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very\Downloads\Material demand data for Avery\"/>
    </mc:Choice>
  </mc:AlternateContent>
  <xr:revisionPtr revIDLastSave="0" documentId="13_ncr:1_{5D4CEB78-772B-4126-BC25-2599E39E5D75}" xr6:coauthVersionLast="47" xr6:coauthVersionMax="47" xr10:uidLastSave="{00000000-0000-0000-0000-000000000000}"/>
  <bookViews>
    <workbookView xWindow="-110" yWindow="-110" windowWidth="19420" windowHeight="10420" xr2:uid="{5DEAE0B1-F53B-48DA-AE66-9CE354FCC428}"/>
  </bookViews>
  <sheets>
    <sheet name="Sheet1" sheetId="1" r:id="rId1"/>
    <sheet name="Wind " sheetId="2" r:id="rId2"/>
    <sheet name="Oil, Coal, Natural Gas (tGW)" sheetId="3" r:id="rId3"/>
    <sheet name="CCS" sheetId="4" r:id="rId4"/>
    <sheet name="Nuclear" sheetId="5" r:id="rId5"/>
    <sheet name="Biomass and Waste" sheetId="6" r:id="rId6"/>
    <sheet name="Hydro" sheetId="7" r:id="rId7"/>
    <sheet name="Geothermal" sheetId="8" r:id="rId8"/>
    <sheet name="Solar PV" sheetId="9" r:id="rId9"/>
    <sheet name="BatteryFuelCell" sheetId="12" r:id="rId10"/>
    <sheet name="ResourcesReserves" sheetId="14" r:id="rId11"/>
  </sheets>
  <definedNames>
    <definedName name="bbib30" localSheetId="1">'Wind '!$D$150</definedName>
    <definedName name="bbib70" localSheetId="1">'Wind '!$D$154</definedName>
    <definedName name="bbib76" localSheetId="1">'Wind '!$D$155</definedName>
    <definedName name="btbl14" localSheetId="1">'Wind '!$G$11</definedName>
    <definedName name="btblfn10" localSheetId="8">'Solar PV'!$B$403</definedName>
    <definedName name="btblfn4" localSheetId="1">'Wind '!$B$435</definedName>
    <definedName name="btblfn5" localSheetId="1">'Wind '!$B$439</definedName>
    <definedName name="btblfn9" localSheetId="8">'Solar PV'!$B$400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0" i="2" l="1"/>
  <c r="D491" i="2"/>
  <c r="D492" i="2"/>
  <c r="D493" i="2"/>
  <c r="D494" i="2"/>
  <c r="D495" i="2"/>
  <c r="D496" i="2"/>
  <c r="D497" i="2"/>
  <c r="D498" i="2"/>
  <c r="D499" i="2"/>
  <c r="D500" i="2"/>
  <c r="D489" i="2"/>
  <c r="E455" i="2"/>
  <c r="E439" i="2"/>
  <c r="E438" i="2"/>
  <c r="E440" i="2"/>
  <c r="E441" i="2"/>
  <c r="E442" i="2"/>
  <c r="E443" i="2"/>
  <c r="E444" i="2"/>
  <c r="E445" i="2"/>
  <c r="E446" i="2"/>
  <c r="E447" i="2"/>
  <c r="E448" i="2"/>
  <c r="E449" i="2"/>
  <c r="E450" i="2"/>
  <c r="E451" i="2"/>
  <c r="E452" i="2"/>
  <c r="E453" i="2"/>
  <c r="E454" i="2"/>
  <c r="F285" i="2"/>
  <c r="G285" i="2" s="1"/>
  <c r="F284" i="2"/>
  <c r="G284" i="2" s="1"/>
  <c r="F283" i="2"/>
  <c r="G283" i="2" s="1"/>
  <c r="F282" i="2"/>
  <c r="G282" i="2" s="1"/>
  <c r="D281" i="2"/>
  <c r="C281" i="2"/>
  <c r="F281" i="2" s="1"/>
  <c r="G281" i="2" s="1"/>
  <c r="U411" i="2"/>
  <c r="Y411" i="2" s="1"/>
  <c r="V411" i="2"/>
  <c r="Z411" i="2" s="1"/>
  <c r="U412" i="2"/>
  <c r="Y412" i="2" s="1"/>
  <c r="Z412" i="2"/>
  <c r="U413" i="2"/>
  <c r="Y413" i="2" s="1"/>
  <c r="V413" i="2"/>
  <c r="Z413" i="2" s="1"/>
  <c r="U414" i="2"/>
  <c r="Y414" i="2" s="1"/>
  <c r="V414" i="2"/>
  <c r="Z414" i="2" s="1"/>
  <c r="U415" i="2"/>
  <c r="Y415" i="2" s="1"/>
  <c r="Z415" i="2"/>
  <c r="Y416" i="2"/>
  <c r="Z416" i="2"/>
  <c r="C289" i="2" l="1"/>
  <c r="C293" i="2" s="1"/>
  <c r="D293" i="2" s="1"/>
  <c r="C288" i="2"/>
  <c r="C292" i="2" s="1"/>
  <c r="D292" i="2" s="1"/>
  <c r="N371" i="9" l="1"/>
  <c r="T361" i="9" s="1"/>
  <c r="N372" i="9"/>
  <c r="N374" i="9"/>
  <c r="O342" i="9"/>
  <c r="O343" i="9"/>
  <c r="O344" i="9"/>
  <c r="O346" i="9"/>
  <c r="O347" i="9"/>
  <c r="O348" i="9"/>
  <c r="O349" i="9"/>
  <c r="O350" i="9"/>
  <c r="O351" i="9"/>
  <c r="T365" i="9" s="1"/>
  <c r="O352" i="9"/>
  <c r="O353" i="9"/>
  <c r="O354" i="9"/>
  <c r="O355" i="9"/>
  <c r="O356" i="9"/>
  <c r="O357" i="9"/>
  <c r="O358" i="9"/>
  <c r="O360" i="9"/>
  <c r="O361" i="9"/>
  <c r="O362" i="9"/>
  <c r="O363" i="9"/>
  <c r="O364" i="9"/>
  <c r="O365" i="9"/>
  <c r="O366" i="9"/>
  <c r="O367" i="9"/>
  <c r="O368" i="9"/>
  <c r="O369" i="9"/>
  <c r="O371" i="9"/>
  <c r="O372" i="9"/>
  <c r="T367" i="9" s="1"/>
  <c r="O374" i="9"/>
  <c r="T362" i="9" s="1"/>
  <c r="M346" i="9"/>
  <c r="M347" i="9"/>
  <c r="M348" i="9"/>
  <c r="M349" i="9"/>
  <c r="T347" i="9" s="1"/>
  <c r="M350" i="9"/>
  <c r="T348" i="9" s="1"/>
  <c r="M351" i="9"/>
  <c r="M352" i="9"/>
  <c r="T349" i="9" s="1"/>
  <c r="M353" i="9"/>
  <c r="M354" i="9"/>
  <c r="M355" i="9"/>
  <c r="T350" i="9" s="1"/>
  <c r="M356" i="9"/>
  <c r="M357" i="9"/>
  <c r="M358" i="9"/>
  <c r="M360" i="9"/>
  <c r="M361" i="9"/>
  <c r="M362" i="9"/>
  <c r="M363" i="9"/>
  <c r="M364" i="9"/>
  <c r="M365" i="9"/>
  <c r="M366" i="9"/>
  <c r="M367" i="9"/>
  <c r="M368" i="9"/>
  <c r="M369" i="9"/>
  <c r="M371" i="9"/>
  <c r="M372" i="9"/>
  <c r="T351" i="9" s="1"/>
  <c r="M374" i="9"/>
  <c r="L346" i="9"/>
  <c r="L347" i="9"/>
  <c r="L348" i="9"/>
  <c r="L349" i="9"/>
  <c r="T340" i="9" s="1"/>
  <c r="L350" i="9"/>
  <c r="T341" i="9" s="1"/>
  <c r="L351" i="9"/>
  <c r="L352" i="9"/>
  <c r="T342" i="9" s="1"/>
  <c r="L353" i="9"/>
  <c r="L354" i="9"/>
  <c r="L355" i="9"/>
  <c r="T343" i="9" s="1"/>
  <c r="L356" i="9"/>
  <c r="L357" i="9"/>
  <c r="L358" i="9"/>
  <c r="L360" i="9"/>
  <c r="L361" i="9"/>
  <c r="L362" i="9"/>
  <c r="L363" i="9"/>
  <c r="L364" i="9"/>
  <c r="L365" i="9"/>
  <c r="L366" i="9"/>
  <c r="L367" i="9"/>
  <c r="L368" i="9"/>
  <c r="L369" i="9"/>
  <c r="L371" i="9"/>
  <c r="L372" i="9"/>
  <c r="T344" i="9" s="1"/>
  <c r="L374" i="9"/>
  <c r="N341" i="9"/>
  <c r="N342" i="9"/>
  <c r="N343" i="9"/>
  <c r="T352" i="9" s="1"/>
  <c r="N344" i="9"/>
  <c r="T353" i="9" s="1"/>
  <c r="N346" i="9"/>
  <c r="N347" i="9"/>
  <c r="N348" i="9"/>
  <c r="N349" i="9"/>
  <c r="N350" i="9"/>
  <c r="N351" i="9"/>
  <c r="T355" i="9" s="1"/>
  <c r="N352" i="9"/>
  <c r="N353" i="9"/>
  <c r="N354" i="9"/>
  <c r="N355" i="9"/>
  <c r="N356" i="9"/>
  <c r="N357" i="9"/>
  <c r="N358" i="9"/>
  <c r="N360" i="9"/>
  <c r="N361" i="9"/>
  <c r="N362" i="9"/>
  <c r="N363" i="9"/>
  <c r="N364" i="9"/>
  <c r="N365" i="9"/>
  <c r="N366" i="9"/>
  <c r="N367" i="9"/>
  <c r="N368" i="9"/>
  <c r="N369" i="9"/>
  <c r="L339" i="9"/>
  <c r="L340" i="9"/>
  <c r="L341" i="9"/>
  <c r="L342" i="9"/>
  <c r="L343" i="9"/>
  <c r="L344" i="9"/>
  <c r="L338" i="9"/>
  <c r="T338" i="9" s="1"/>
  <c r="M339" i="9"/>
  <c r="M340" i="9"/>
  <c r="M341" i="9"/>
  <c r="M342" i="9"/>
  <c r="M343" i="9"/>
  <c r="M344" i="9"/>
  <c r="M338" i="9"/>
  <c r="T345" i="9" s="1"/>
  <c r="O341" i="9"/>
  <c r="N340" i="9"/>
  <c r="T354" i="9" s="1"/>
  <c r="N338" i="9"/>
  <c r="O338" i="9"/>
  <c r="C325" i="9"/>
  <c r="C324" i="9"/>
  <c r="B298" i="9"/>
  <c r="B302" i="9" s="1"/>
  <c r="C302" i="9" s="1"/>
  <c r="B297" i="9"/>
  <c r="B301" i="9" s="1"/>
  <c r="C301" i="9" s="1"/>
  <c r="C326" i="9" l="1"/>
  <c r="T339" i="9"/>
  <c r="T364" i="9"/>
  <c r="T356" i="9"/>
  <c r="T363" i="9"/>
  <c r="T366" i="9"/>
  <c r="T346" i="9"/>
  <c r="V370" i="2" l="1"/>
  <c r="V384" i="2" s="1"/>
  <c r="V371" i="2"/>
  <c r="V385" i="2" s="1"/>
  <c r="V372" i="2"/>
  <c r="V386" i="2" s="1"/>
  <c r="V373" i="2"/>
  <c r="V387" i="2" s="1"/>
  <c r="V374" i="2"/>
  <c r="V388" i="2" s="1"/>
  <c r="V375" i="2"/>
  <c r="V389" i="2" s="1"/>
  <c r="V376" i="2"/>
  <c r="V390" i="2" s="1"/>
  <c r="V377" i="2"/>
  <c r="V391" i="2" s="1"/>
  <c r="R370" i="2"/>
  <c r="R384" i="2" s="1"/>
  <c r="S370" i="2"/>
  <c r="S384" i="2" s="1"/>
  <c r="T370" i="2"/>
  <c r="T384" i="2" s="1"/>
  <c r="U370" i="2"/>
  <c r="U384" i="2" s="1"/>
  <c r="R371" i="2"/>
  <c r="R385" i="2" s="1"/>
  <c r="S371" i="2"/>
  <c r="S385" i="2" s="1"/>
  <c r="T371" i="2"/>
  <c r="T385" i="2" s="1"/>
  <c r="U371" i="2"/>
  <c r="U385" i="2" s="1"/>
  <c r="R372" i="2"/>
  <c r="R386" i="2" s="1"/>
  <c r="S372" i="2"/>
  <c r="S386" i="2" s="1"/>
  <c r="T372" i="2"/>
  <c r="T386" i="2" s="1"/>
  <c r="U372" i="2"/>
  <c r="U386" i="2" s="1"/>
  <c r="R373" i="2"/>
  <c r="R387" i="2" s="1"/>
  <c r="S373" i="2"/>
  <c r="S387" i="2" s="1"/>
  <c r="T373" i="2"/>
  <c r="T387" i="2" s="1"/>
  <c r="U373" i="2"/>
  <c r="U387" i="2" s="1"/>
  <c r="R374" i="2"/>
  <c r="R388" i="2" s="1"/>
  <c r="S374" i="2"/>
  <c r="S388" i="2" s="1"/>
  <c r="T374" i="2"/>
  <c r="T388" i="2" s="1"/>
  <c r="U374" i="2"/>
  <c r="U388" i="2" s="1"/>
  <c r="R375" i="2"/>
  <c r="R389" i="2" s="1"/>
  <c r="S375" i="2"/>
  <c r="S389" i="2" s="1"/>
  <c r="T375" i="2"/>
  <c r="T389" i="2" s="1"/>
  <c r="U375" i="2"/>
  <c r="U389" i="2" s="1"/>
  <c r="R376" i="2"/>
  <c r="R390" i="2" s="1"/>
  <c r="S376" i="2"/>
  <c r="S390" i="2" s="1"/>
  <c r="T376" i="2"/>
  <c r="T390" i="2" s="1"/>
  <c r="U376" i="2"/>
  <c r="U390" i="2" s="1"/>
  <c r="R377" i="2"/>
  <c r="R391" i="2" s="1"/>
  <c r="S377" i="2"/>
  <c r="S391" i="2" s="1"/>
  <c r="T377" i="2"/>
  <c r="T391" i="2" s="1"/>
  <c r="U377" i="2"/>
  <c r="U391" i="2" s="1"/>
  <c r="Q371" i="2"/>
  <c r="Q385" i="2" s="1"/>
  <c r="Q372" i="2"/>
  <c r="Q386" i="2" s="1"/>
  <c r="Q373" i="2"/>
  <c r="Q387" i="2" s="1"/>
  <c r="Q374" i="2"/>
  <c r="Q388" i="2" s="1"/>
  <c r="Q375" i="2"/>
  <c r="Q389" i="2" s="1"/>
  <c r="Q376" i="2"/>
  <c r="Q390" i="2" s="1"/>
  <c r="Q377" i="2"/>
  <c r="Q391" i="2" s="1"/>
  <c r="Q370" i="2"/>
  <c r="Q384" i="2" s="1"/>
  <c r="P370" i="2"/>
  <c r="P384" i="2" s="1"/>
  <c r="P371" i="2"/>
  <c r="P385" i="2" s="1"/>
  <c r="P372" i="2"/>
  <c r="P386" i="2" s="1"/>
  <c r="P373" i="2"/>
  <c r="P387" i="2" s="1"/>
  <c r="P374" i="2"/>
  <c r="P388" i="2" s="1"/>
  <c r="P375" i="2"/>
  <c r="P389" i="2" s="1"/>
  <c r="P376" i="2"/>
  <c r="P390" i="2" s="1"/>
  <c r="P377" i="2"/>
  <c r="P391" i="2" s="1"/>
  <c r="O370" i="2"/>
  <c r="O384" i="2" s="1"/>
  <c r="O371" i="2"/>
  <c r="O385" i="2" s="1"/>
  <c r="O372" i="2"/>
  <c r="O386" i="2" s="1"/>
  <c r="O373" i="2"/>
  <c r="O387" i="2" s="1"/>
  <c r="O374" i="2"/>
  <c r="O388" i="2" s="1"/>
  <c r="O375" i="2"/>
  <c r="O389" i="2" s="1"/>
  <c r="O376" i="2"/>
  <c r="O390" i="2" s="1"/>
  <c r="O377" i="2"/>
  <c r="O391" i="2" s="1"/>
  <c r="N371" i="2"/>
  <c r="N385" i="2" s="1"/>
  <c r="N372" i="2"/>
  <c r="N386" i="2" s="1"/>
  <c r="N373" i="2"/>
  <c r="N387" i="2" s="1"/>
  <c r="N374" i="2"/>
  <c r="N388" i="2" s="1"/>
  <c r="N375" i="2"/>
  <c r="N389" i="2" s="1"/>
  <c r="N376" i="2"/>
  <c r="N390" i="2" s="1"/>
  <c r="N377" i="2"/>
  <c r="N391" i="2" s="1"/>
  <c r="N370" i="2"/>
  <c r="N384" i="2" s="1"/>
  <c r="M371" i="2"/>
  <c r="M385" i="2" s="1"/>
  <c r="M372" i="2"/>
  <c r="M386" i="2" s="1"/>
  <c r="M373" i="2"/>
  <c r="M387" i="2" s="1"/>
  <c r="M374" i="2"/>
  <c r="M388" i="2" s="1"/>
  <c r="M375" i="2"/>
  <c r="M389" i="2" s="1"/>
  <c r="M376" i="2"/>
  <c r="M390" i="2" s="1"/>
  <c r="M377" i="2"/>
  <c r="M391" i="2" s="1"/>
  <c r="M370" i="2"/>
  <c r="M384" i="2" s="1"/>
  <c r="L370" i="2"/>
  <c r="L384" i="2" s="1"/>
  <c r="L371" i="2"/>
  <c r="L385" i="2" s="1"/>
  <c r="L372" i="2"/>
  <c r="L386" i="2" s="1"/>
  <c r="L373" i="2"/>
  <c r="L387" i="2" s="1"/>
  <c r="L374" i="2"/>
  <c r="L388" i="2" s="1"/>
  <c r="L375" i="2"/>
  <c r="L389" i="2" s="1"/>
  <c r="L376" i="2"/>
  <c r="L390" i="2" s="1"/>
  <c r="L377" i="2"/>
  <c r="L391" i="2" s="1"/>
  <c r="K371" i="2"/>
  <c r="K385" i="2" s="1"/>
  <c r="K372" i="2"/>
  <c r="K386" i="2" s="1"/>
  <c r="K373" i="2"/>
  <c r="K387" i="2" s="1"/>
  <c r="K374" i="2"/>
  <c r="K388" i="2" s="1"/>
  <c r="K375" i="2"/>
  <c r="K389" i="2" s="1"/>
  <c r="K376" i="2"/>
  <c r="K390" i="2" s="1"/>
  <c r="K377" i="2"/>
  <c r="K391" i="2" s="1"/>
  <c r="K370" i="2"/>
  <c r="K384" i="2" s="1"/>
  <c r="I370" i="2"/>
  <c r="I384" i="2" s="1"/>
  <c r="J370" i="2"/>
  <c r="J384" i="2" s="1"/>
  <c r="I371" i="2"/>
  <c r="I385" i="2" s="1"/>
  <c r="J371" i="2"/>
  <c r="J385" i="2" s="1"/>
  <c r="I372" i="2"/>
  <c r="I386" i="2" s="1"/>
  <c r="J372" i="2"/>
  <c r="J386" i="2" s="1"/>
  <c r="I373" i="2"/>
  <c r="I387" i="2" s="1"/>
  <c r="J373" i="2"/>
  <c r="J387" i="2" s="1"/>
  <c r="I374" i="2"/>
  <c r="I388" i="2" s="1"/>
  <c r="J374" i="2"/>
  <c r="J388" i="2" s="1"/>
  <c r="I375" i="2"/>
  <c r="I389" i="2" s="1"/>
  <c r="J375" i="2"/>
  <c r="J389" i="2" s="1"/>
  <c r="I376" i="2"/>
  <c r="I390" i="2" s="1"/>
  <c r="J376" i="2"/>
  <c r="J390" i="2" s="1"/>
  <c r="I377" i="2"/>
  <c r="I391" i="2" s="1"/>
  <c r="J377" i="2"/>
  <c r="J391" i="2" s="1"/>
  <c r="H371" i="2"/>
  <c r="H385" i="2" s="1"/>
  <c r="H372" i="2"/>
  <c r="H386" i="2" s="1"/>
  <c r="H373" i="2"/>
  <c r="H387" i="2" s="1"/>
  <c r="H374" i="2"/>
  <c r="H388" i="2" s="1"/>
  <c r="H375" i="2"/>
  <c r="H389" i="2" s="1"/>
  <c r="H376" i="2"/>
  <c r="H390" i="2" s="1"/>
  <c r="H377" i="2"/>
  <c r="H391" i="2" s="1"/>
  <c r="H370" i="2"/>
  <c r="H384" i="2" s="1"/>
  <c r="G370" i="2"/>
  <c r="G384" i="2" s="1"/>
  <c r="G371" i="2"/>
  <c r="G385" i="2" s="1"/>
  <c r="G372" i="2"/>
  <c r="G386" i="2" s="1"/>
  <c r="G373" i="2"/>
  <c r="G387" i="2" s="1"/>
  <c r="G374" i="2"/>
  <c r="G388" i="2" s="1"/>
  <c r="G375" i="2"/>
  <c r="G389" i="2" s="1"/>
  <c r="G376" i="2"/>
  <c r="G390" i="2" s="1"/>
  <c r="G377" i="2"/>
  <c r="G391" i="2" s="1"/>
  <c r="F377" i="2"/>
  <c r="F391" i="2" s="1"/>
  <c r="F371" i="2"/>
  <c r="F385" i="2" s="1"/>
  <c r="F372" i="2"/>
  <c r="F386" i="2" s="1"/>
  <c r="F373" i="2"/>
  <c r="F387" i="2" s="1"/>
  <c r="F374" i="2"/>
  <c r="F388" i="2" s="1"/>
  <c r="F375" i="2"/>
  <c r="F389" i="2" s="1"/>
  <c r="F376" i="2"/>
  <c r="F390" i="2" s="1"/>
  <c r="F370" i="2"/>
  <c r="F384" i="2" s="1"/>
  <c r="I196" i="2"/>
  <c r="J216" i="2"/>
  <c r="I205" i="2"/>
  <c r="I203" i="2"/>
  <c r="I201" i="2"/>
  <c r="I195" i="2"/>
  <c r="AA389" i="2" l="1"/>
  <c r="AC391" i="2"/>
  <c r="Y391" i="2"/>
  <c r="W391" i="2"/>
  <c r="X391" i="2"/>
  <c r="AB391" i="2"/>
  <c r="AB370" i="2"/>
  <c r="Z391" i="2"/>
  <c r="AA391" i="2"/>
  <c r="Z377" i="2"/>
  <c r="AA377" i="2"/>
  <c r="AB377" i="2"/>
  <c r="AC377" i="2"/>
  <c r="AA370" i="2"/>
  <c r="AC370" i="2"/>
  <c r="Z384" i="2"/>
  <c r="AB384" i="2"/>
  <c r="X384" i="2"/>
  <c r="AC384" i="2"/>
  <c r="Y384" i="2"/>
  <c r="AA384" i="2"/>
  <c r="W384" i="2"/>
  <c r="AC390" i="2"/>
  <c r="AB390" i="2"/>
  <c r="Y390" i="2"/>
  <c r="AA390" i="2"/>
  <c r="W390" i="2"/>
  <c r="X390" i="2"/>
  <c r="Z376" i="2"/>
  <c r="AA376" i="2"/>
  <c r="AB376" i="2"/>
  <c r="AC376" i="2"/>
  <c r="Z390" i="2"/>
  <c r="Z375" i="2"/>
  <c r="AA375" i="2"/>
  <c r="AB375" i="2"/>
  <c r="AC375" i="2"/>
  <c r="AB389" i="2"/>
  <c r="Y389" i="2"/>
  <c r="X389" i="2"/>
  <c r="W389" i="2"/>
  <c r="AC389" i="2"/>
  <c r="Z388" i="2"/>
  <c r="Y388" i="2"/>
  <c r="W388" i="2"/>
  <c r="AB388" i="2"/>
  <c r="X388" i="2"/>
  <c r="AA388" i="2"/>
  <c r="Z389" i="2"/>
  <c r="Z374" i="2"/>
  <c r="AA374" i="2"/>
  <c r="AB374" i="2"/>
  <c r="AC374" i="2"/>
  <c r="AA387" i="2"/>
  <c r="W387" i="2"/>
  <c r="Y387" i="2"/>
  <c r="X387" i="2"/>
  <c r="Z387" i="2"/>
  <c r="AC387" i="2"/>
  <c r="AB387" i="2"/>
  <c r="AC388" i="2"/>
  <c r="Z373" i="2"/>
  <c r="AA373" i="2"/>
  <c r="AB373" i="2"/>
  <c r="AC373" i="2"/>
  <c r="Z386" i="2"/>
  <c r="X386" i="2"/>
  <c r="AC386" i="2"/>
  <c r="AB386" i="2"/>
  <c r="W386" i="2"/>
  <c r="AA386" i="2"/>
  <c r="Y386" i="2"/>
  <c r="Z372" i="2"/>
  <c r="AA372" i="2"/>
  <c r="AB372" i="2"/>
  <c r="AC372" i="2"/>
  <c r="Z385" i="2"/>
  <c r="AB385" i="2"/>
  <c r="X385" i="2"/>
  <c r="AC385" i="2"/>
  <c r="Y385" i="2"/>
  <c r="W385" i="2"/>
  <c r="AA385" i="2"/>
  <c r="Z371" i="2"/>
  <c r="AA371" i="2"/>
  <c r="AB371" i="2"/>
  <c r="AC371" i="2"/>
  <c r="X376" i="2"/>
  <c r="X377" i="2"/>
  <c r="Y377" i="2"/>
  <c r="Z370" i="2"/>
  <c r="X375" i="2"/>
  <c r="Y376" i="2"/>
  <c r="Y375" i="2"/>
  <c r="X374" i="2"/>
  <c r="X373" i="2"/>
  <c r="Y374" i="2"/>
  <c r="X372" i="2"/>
  <c r="Y373" i="2"/>
  <c r="X371" i="2"/>
  <c r="W372" i="2"/>
  <c r="Y372" i="2"/>
  <c r="Y371" i="2"/>
  <c r="Y370" i="2"/>
  <c r="W376" i="2"/>
  <c r="W377" i="2"/>
  <c r="W375" i="2"/>
  <c r="W374" i="2"/>
  <c r="W373" i="2"/>
  <c r="W371" i="2"/>
  <c r="W370" i="2"/>
  <c r="X370" i="2"/>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4" i="6"/>
  <c r="C174" i="2"/>
  <c r="D174" i="2" s="1"/>
  <c r="C175" i="2"/>
  <c r="D175" i="2" s="1"/>
  <c r="C176" i="2"/>
  <c r="D176" i="2" s="1"/>
  <c r="C177" i="2"/>
  <c r="D177" i="2" s="1"/>
  <c r="C178" i="2"/>
  <c r="D178" i="2" s="1"/>
  <c r="C179" i="2"/>
  <c r="D179" i="2" s="1"/>
  <c r="C172" i="2"/>
  <c r="D172" i="2" s="1"/>
  <c r="C154"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26" i="2"/>
  <c r="C225" i="9" l="1"/>
  <c r="C226" i="9"/>
  <c r="C227" i="9"/>
  <c r="C228" i="9"/>
  <c r="C229" i="9"/>
  <c r="C230" i="9"/>
  <c r="C22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tc={8BEA8D4A-7738-49FA-AE9C-97F0C7A0CC8C}</author>
    <author>tc={CFC44A69-BFE3-48E3-B2C9-29368D70C5A9}</author>
    <author>tc={F56CB91A-5C99-41CA-9CEA-6C39F97DCFC0}</author>
    <author>tc={0356ADED-FA77-4B04-83EE-49B452547CB7}</author>
    <author>tc={896208ED-23BF-478A-97CF-004D20B892B8}</author>
    <author>tc={0F32D378-06B7-438D-BE72-838FFD0874E9}</author>
    <author>tc={84A9523A-0141-4286-97FD-AECD0B29410E}</author>
    <author>tc={B448DEC2-68F7-4607-91EE-7BD2536D1D11}</author>
  </authors>
  <commentList>
    <comment ref="B1" authorId="0" shapeId="0" xr:uid="{8BEA8D4A-7738-49FA-AE9C-97F0C7A0CC8C}">
      <text>
        <t>[Threaded comment]
Your version of Excel allows you to read this threaded comment; however, any edits to it will get removed if the file is opened in a newer version of Excel. Learn more: https://go.microsoft.com/fwlink/?linkid=870924
Comment:
    https://tethys.pnnl.gov/sites/default/files/publications/Chipindula-et-al-2018.pdf</t>
      </text>
    </comment>
    <comment ref="E50" authorId="1" shapeId="0" xr:uid="{CFC44A69-BFE3-48E3-B2C9-29368D70C5A9}">
      <text>
        <t xml:space="preserve">[Threaded comment]
Your version of Excel allows you to read this threaded comment; however, any edits to it will get removed if the file is opened in a newer version of Excel. Learn more: https://go.microsoft.com/fwlink/?linkid=870924
Comment:
    Just one offshore value </t>
      </text>
    </comment>
    <comment ref="E51" authorId="2" shapeId="0" xr:uid="{F56CB91A-5C99-41CA-9CEA-6C39F97DCFC0}">
      <text>
        <t>[Threaded comment]
Your version of Excel allows you to read this threaded comment; however, any edits to it will get removed if the file is opened in a newer version of Excel. Learn more: https://go.microsoft.com/fwlink/?linkid=870924
Comment:
    I went through this paper but can't figure out whether it is fixed or floating</t>
      </text>
    </comment>
    <comment ref="E57" authorId="3" shapeId="0" xr:uid="{0356ADED-FA77-4B04-83EE-49B452547CB7}">
      <text>
        <t xml:space="preserve">[Threaded comment]
Your version of Excel allows you to read this threaded comment; however, any edits to it will get removed if the file is opened in a newer version of Excel. Learn more: https://go.microsoft.com/fwlink/?linkid=870924
Comment:
    Not sure how to differentiate </t>
      </text>
    </comment>
    <comment ref="E64" authorId="4" shapeId="0" xr:uid="{896208ED-23BF-478A-97CF-004D20B892B8}">
      <text>
        <t xml:space="preserve">[Threaded comment]
Your version of Excel allows you to read this threaded comment; however, any edits to it will get removed if the file is opened in a newer version of Excel. Learn more: https://go.microsoft.com/fwlink/?linkid=870924
Comment:
    Not sure how to differentiate 
</t>
      </text>
    </comment>
    <comment ref="E65" authorId="5" shapeId="0" xr:uid="{0F32D378-06B7-438D-BE72-838FFD0874E9}">
      <text>
        <t>[Threaded comment]
Your version of Excel allows you to read this threaded comment; however, any edits to it will get removed if the file is opened in a newer version of Excel. Learn more: https://go.microsoft.com/fwlink/?linkid=870924
Comment:
    Seems to just be data from onshore wind</t>
      </text>
    </comment>
    <comment ref="E66" authorId="6" shapeId="0" xr:uid="{84A9523A-0141-4286-97FD-AECD0B29410E}">
      <text>
        <t xml:space="preserve">[Threaded comment]
Your version of Excel allows you to read this threaded comment; however, any edits to it will get removed if the file is opened in a newer version of Excel. Learn more: https://go.microsoft.com/fwlink/?linkid=870924
Comment:
    Just from onshore wind </t>
      </text>
    </comment>
    <comment ref="E67" authorId="7" shapeId="0" xr:uid="{B448DEC2-68F7-4607-91EE-7BD2536D1D11}">
      <text>
        <t xml:space="preserve">[Threaded comment]
Your version of Excel allows you to read this threaded comment; however, any edits to it will get removed if the file is opened in a newer version of Excel. Learn more: https://go.microsoft.com/fwlink/?linkid=870924
Comment:
    Just one value for all of offshore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tc={59B59B9F-F9CF-41C4-9968-07D6A9F7CEDE}</author>
    <author>tc={E7B426EE-4E57-4436-A8DE-99654142C769}</author>
    <author>tc={E58C4206-7E87-4814-A247-EBAB82D78382}</author>
    <author>tc={DC8098CA-48AD-431D-A13B-18A925E375DB}</author>
    <author>tc={408DD577-145C-47FE-A7B4-1296B0A8C465}</author>
    <author>tc={D84DD98A-87F6-426D-A339-A80D0DC1F3ED}</author>
    <author>tc={D7A56CBD-C641-4AD4-BFAD-5A790F1B4FA0}</author>
    <author>tc={9A7F004A-CBE1-489E-A7E3-0994B24D71A3}</author>
    <author>tc={AC2E0638-ECA9-45A6-BEDB-E2AC074507B5}</author>
    <author>tc={12E611EE-BBE3-4E79-BF04-31CD56D55298}</author>
    <author>tc={DDBAD25C-01D0-4BB0-9C1B-89E274C5FE9B}</author>
    <author>tc={9F39826B-DA8E-4FA3-B0F6-D2F53DE18662}</author>
    <author>tc={86D159E5-5E0E-4984-992B-527902FE31DD}</author>
    <author>tc={38FF3E00-1AE9-40CE-A632-4F9FBBEB0C8D}</author>
    <author>tc={E199B71B-68DD-4442-B2F9-528A76A8724A}</author>
    <author>tc={BF92A63F-75CA-4754-8E35-0173A3E6B345}</author>
    <author>tc={678102C3-EACF-4A94-864A-4B5173104F41}</author>
    <author>tc={79D429CC-10CA-4CF0-B676-562A122D1E5A}</author>
    <author>tc={EB2E7A07-81D8-4DB2-87D6-E77973F549ED}</author>
    <author>tc={71CFA97F-3C2A-4C27-8685-B3B392796409}</author>
    <author>tc={A2B688A6-90C5-41CC-85A0-26E4D68B61F3}</author>
    <author>tc={6661305F-0B0B-4CFC-9E6A-C28CF59CD48C}</author>
  </authors>
  <commentList>
    <comment ref="A5" authorId="0" shapeId="0" xr:uid="{59B59B9F-F9CF-41C4-9968-07D6A9F7CEDE}">
      <text>
        <t xml:space="preserve">[Threaded comment]
Your version of Excel allows you to read this threaded comment; however, any edits to it will get removed if the file is opened in a newer version of Excel. Learn more: https://go.microsoft.com/fwlink/?linkid=870924
Comment:
    Not lca
</t>
      </text>
    </comment>
    <comment ref="C155" authorId="1" shapeId="0" xr:uid="{E7B426EE-4E57-4436-A8DE-99654142C769}">
      <text>
        <t>[Threaded comment]
Your version of Excel allows you to read this threaded comment; however, any edits to it will get removed if the file is opened in a newer version of Excel. Learn more: https://go.microsoft.com/fwlink/?linkid=870924
Comment:
    This seems way too big</t>
      </text>
    </comment>
    <comment ref="A162" authorId="2" shapeId="0" xr:uid="{E58C4206-7E87-4814-A247-EBAB82D78382}">
      <text>
        <t>[Threaded comment]
Your version of Excel allows you to read this threaded comment; however, any edits to it will get removed if the file is opened in a newer version of Excel. Learn more: https://go.microsoft.com/fwlink/?linkid=870924
Comment:
    Not lca</t>
      </text>
    </comment>
    <comment ref="A172" authorId="3" shapeId="0" xr:uid="{DC8098CA-48AD-431D-A13B-18A925E375DB}">
      <text>
        <t>[Threaded comment]
Your version of Excel allows you to read this threaded comment; however, any edits to it will get removed if the file is opened in a newer version of Excel. Learn more: https://go.microsoft.com/fwlink/?linkid=870924
Comment:
    This seems like the lower bound of everything</t>
      </text>
    </comment>
    <comment ref="F353" authorId="4" shapeId="0" xr:uid="{408DD577-145C-47FE-A7B4-1296B0A8C465}">
      <text>
        <t>[Threaded comment]
Your version of Excel allows you to read this threaded comment; however, any edits to it will get removed if the file is opened in a newer version of Excel. Learn more: https://go.microsoft.com/fwlink/?linkid=870924
Comment:
    50MW power plant of 2MW turbines</t>
      </text>
    </comment>
    <comment ref="G353" authorId="5" shapeId="0" xr:uid="{D84DD98A-87F6-426D-A339-A80D0DC1F3ED}">
      <text>
        <t>[Threaded comment]
Your version of Excel allows you to read this threaded comment; however, any edits to it will get removed if the file is opened in a newer version of Excel. Learn more: https://go.microsoft.com/fwlink/?linkid=870924
Comment:
    50 mw of 2mw turbines</t>
      </text>
    </comment>
    <comment ref="H353" authorId="6" shapeId="0" xr:uid="{D7A56CBD-C641-4AD4-BFAD-5A790F1B4FA0}">
      <text>
        <t xml:space="preserve">[Threaded comment]
Your version of Excel allows you to read this threaded comment; however, any edits to it will get removed if the file is opened in a newer version of Excel. Learn more: https://go.microsoft.com/fwlink/?linkid=870924
Comment:
    100mw of 3.3MW turbines
Reply:
    This one maybe isn't getting used right now </t>
      </text>
    </comment>
    <comment ref="H355" authorId="7" shapeId="0" xr:uid="{9A7F004A-CBE1-489E-A7E3-0994B24D71A3}">
      <text>
        <t>[Threaded comment]
Your version of Excel allows you to read this threaded comment; however, any edits to it will get removed if the file is opened in a newer version of Excel. Learn more: https://go.microsoft.com/fwlink/?linkid=870924
Comment:
    I included steel and iron (unspecified in here)</t>
      </text>
    </comment>
    <comment ref="H356" authorId="8" shapeId="0" xr:uid="{AC2E0638-ECA9-45A6-BEDB-E2AC074507B5}">
      <text>
        <t>[Threaded comment]
Your version of Excel allows you to read this threaded comment; however, any edits to it will get removed if the file is opened in a newer version of Excel. Learn more: https://go.microsoft.com/fwlink/?linkid=870924
Comment:
    I included steel and iron (unspecified in here)</t>
      </text>
    </comment>
    <comment ref="F367" authorId="9" shapeId="0" xr:uid="{12E611EE-BBE3-4E79-BF04-31CD56D55298}">
      <text>
        <t>[Threaded comment]
Your version of Excel allows you to read this threaded comment; however, any edits to it will get removed if the file is opened in a newer version of Excel. Learn more: https://go.microsoft.com/fwlink/?linkid=870924
Comment:
    50MW power plant of 2MW turbines</t>
      </text>
    </comment>
    <comment ref="G367" authorId="10" shapeId="0" xr:uid="{DDBAD25C-01D0-4BB0-9C1B-89E274C5FE9B}">
      <text>
        <t>[Threaded comment]
Your version of Excel allows you to read this threaded comment; however, any edits to it will get removed if the file is opened in a newer version of Excel. Learn more: https://go.microsoft.com/fwlink/?linkid=870924
Comment:
    50 mw of 2mw turbines</t>
      </text>
    </comment>
    <comment ref="H367" authorId="11" shapeId="0" xr:uid="{9F39826B-DA8E-4FA3-B0F6-D2F53DE18662}">
      <text>
        <t xml:space="preserve">[Threaded comment]
Your version of Excel allows you to read this threaded comment; however, any edits to it will get removed if the file is opened in a newer version of Excel. Learn more: https://go.microsoft.com/fwlink/?linkid=870924
Comment:
    100mw of 3.3MW turbines
Reply:
    This one maybe isn't getting used right now </t>
      </text>
    </comment>
    <comment ref="H369" authorId="12" shapeId="0" xr:uid="{86D159E5-5E0E-4984-992B-527902FE31DD}">
      <text>
        <t>[Threaded comment]
Your version of Excel allows you to read this threaded comment; however, any edits to it will get removed if the file is opened in a newer version of Excel. Learn more: https://go.microsoft.com/fwlink/?linkid=870924
Comment:
    I included steel and iron (unspecified in here)</t>
      </text>
    </comment>
    <comment ref="F381" authorId="13" shapeId="0" xr:uid="{38FF3E00-1AE9-40CE-A632-4F9FBBEB0C8D}">
      <text>
        <t>[Threaded comment]
Your version of Excel allows you to read this threaded comment; however, any edits to it will get removed if the file is opened in a newer version of Excel. Learn more: https://go.microsoft.com/fwlink/?linkid=870924
Comment:
    50MW power plant of 2MW turbines</t>
      </text>
    </comment>
    <comment ref="G381" authorId="14" shapeId="0" xr:uid="{E199B71B-68DD-4442-B2F9-528A76A8724A}">
      <text>
        <t>[Threaded comment]
Your version of Excel allows you to read this threaded comment; however, any edits to it will get removed if the file is opened in a newer version of Excel. Learn more: https://go.microsoft.com/fwlink/?linkid=870924
Comment:
    50 mw of 2mw turbines</t>
      </text>
    </comment>
    <comment ref="H381" authorId="15" shapeId="0" xr:uid="{BF92A63F-75CA-4754-8E35-0173A3E6B345}">
      <text>
        <t xml:space="preserve">[Threaded comment]
Your version of Excel allows you to read this threaded comment; however, any edits to it will get removed if the file is opened in a newer version of Excel. Learn more: https://go.microsoft.com/fwlink/?linkid=870924
Comment:
    100mw of 3.3MW turbines
Reply:
    This one maybe isn't getting used right now </t>
      </text>
    </comment>
    <comment ref="H383" authorId="16" shapeId="0" xr:uid="{678102C3-EACF-4A94-864A-4B5173104F41}">
      <text>
        <t>[Threaded comment]
Your version of Excel allows you to read this threaded comment; however, any edits to it will get removed if the file is opened in a newer version of Excel. Learn more: https://go.microsoft.com/fwlink/?linkid=870924
Comment:
    I included steel and iron (unspecified in here)</t>
      </text>
    </comment>
    <comment ref="F394" authorId="17" shapeId="0" xr:uid="{79D429CC-10CA-4CF0-B676-562A122D1E5A}">
      <text>
        <t>[Threaded comment]
Your version of Excel allows you to read this threaded comment; however, any edits to it will get removed if the file is opened in a newer version of Excel. Learn more: https://go.microsoft.com/fwlink/?linkid=870924
Comment:
    50MW power plant of 2MW turbines</t>
      </text>
    </comment>
    <comment ref="G394" authorId="18" shapeId="0" xr:uid="{EB2E7A07-81D8-4DB2-87D6-E77973F549ED}">
      <text>
        <t>[Threaded comment]
Your version of Excel allows you to read this threaded comment; however, any edits to it will get removed if the file is opened in a newer version of Excel. Learn more: https://go.microsoft.com/fwlink/?linkid=870924
Comment:
    50 mw of 2mw turbines</t>
      </text>
    </comment>
    <comment ref="H394" authorId="19" shapeId="0" xr:uid="{71CFA97F-3C2A-4C27-8685-B3B392796409}">
      <text>
        <t xml:space="preserve">[Threaded comment]
Your version of Excel allows you to read this threaded comment; however, any edits to it will get removed if the file is opened in a newer version of Excel. Learn more: https://go.microsoft.com/fwlink/?linkid=870924
Comment:
    100mw of 3.3MW turbines
Reply:
    This one maybe isn't getting used right now </t>
      </text>
    </comment>
    <comment ref="H396" authorId="20" shapeId="0" xr:uid="{A2B688A6-90C5-41CC-85A0-26E4D68B61F3}">
      <text>
        <t>[Threaded comment]
Your version of Excel allows you to read this threaded comment; however, any edits to it will get removed if the file is opened in a newer version of Excel. Learn more: https://go.microsoft.com/fwlink/?linkid=870924
Comment:
    I included steel and iron (unspecified in here)</t>
      </text>
    </comment>
    <comment ref="D617" authorId="21" shapeId="0" xr:uid="{6661305F-0B0B-4CFC-9E6A-C28CF59CD48C}">
      <text>
        <t xml:space="preserve">[Threaded comment]
Your version of Excel allows you to read this threaded comment; however, any edits to it will get removed if the file is opened in a newer version of Excel. Learn more: https://go.microsoft.com/fwlink/?linkid=870924
Comment:
    This value is very weird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tc={17EF9A07-69F5-4317-BDE8-B50B8FAF5C56}</author>
  </authors>
  <commentList>
    <comment ref="D3" authorId="0" shapeId="0" xr:uid="{17EF9A07-69F5-4317-BDE8-B50B8FAF5C56}">
      <text>
        <t xml:space="preserve">[Threaded comment]
Your version of Excel allows you to read this threaded comment; however, any edits to it will get removed if the file is opened in a newer version of Excel. Learn more: https://go.microsoft.com/fwlink/?linkid=870924
Comment:
    The paper seems to average the mateirals with multiple values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tc={754A155A-9DBA-4EFB-BA8C-38372E4E3391}</author>
    <author>tc={E0302304-1EDF-4E0A-A4D2-3568A11D5FF8}</author>
    <author>tc={6F402FE2-7AF0-4326-ADF9-A35F8723AE86}</author>
    <author>tc={292FCA8D-7E03-4080-8F5A-49A97947BE13}</author>
    <author>tc={72790C56-FECB-4F1E-8751-DDEF74FDC6E8}</author>
  </authors>
  <commentList>
    <comment ref="A167" authorId="0" shapeId="0" xr:uid="{754A155A-9DBA-4EFB-BA8C-38372E4E3391}">
      <text>
        <t xml:space="preserve">[Threaded comment]
Your version of Excel allows you to read this threaded comment; however, any edits to it will get removed if the file is opened in a newer version of Excel. Learn more: https://go.microsoft.com/fwlink/?linkid=870924
Comment:
    Not lca but may want to use it 
</t>
      </text>
    </comment>
    <comment ref="A222" authorId="1" shapeId="0" xr:uid="{E0302304-1EDF-4E0A-A4D2-3568A11D5FF8}">
      <text>
        <t>[Threaded comment]
Your version of Excel allows you to read this threaded comment; however, any edits to it will get removed if the file is opened in a newer version of Excel. Learn more: https://go.microsoft.com/fwlink/?linkid=870924
Comment:
    Results of surveys with authors</t>
      </text>
    </comment>
    <comment ref="B233" authorId="2" shapeId="0" xr:uid="{6F402FE2-7AF0-4326-ADF9-A35F8723AE86}">
      <text>
        <t>[Threaded comment]
Your version of Excel allows you to read this threaded comment; however, any edits to it will get removed if the file is opened in a newer version of Excel. Learn more: https://go.microsoft.com/fwlink/?linkid=870924
Comment:
     Metals demand data
has been gleaned from many industrial sources, such as: Areva,
US EPA, World Nuclear Association (all nuclear); O ̈ kopol, NREL
(solar); BVC Assoc, Corus, GE, Shin Etsu, Avalon, GWMG and
others (wind); ENTSO-E (grid); and Johnson Matthey, F-T Tech-
nology Development (bioenergy).</t>
      </text>
    </comment>
    <comment ref="B253" authorId="3" shapeId="0" xr:uid="{292FCA8D-7E03-4080-8F5A-49A97947BE13}">
      <text>
        <t>[Threaded comment]
Your version of Excel allows you to read this threaded comment; however, any edits to it will get removed if the file is opened in a newer version of Excel. Learn more: https://go.microsoft.com/fwlink/?linkid=870924
Comment:
    Not an lca</t>
      </text>
    </comment>
    <comment ref="A385" authorId="4" shapeId="0" xr:uid="{72790C56-FECB-4F1E-8751-DDEF74FDC6E8}">
      <text>
        <t>[Threaded comment]
Your version of Excel allows you to read this threaded comment; however, any edits to it will get removed if the file is opened in a newer version of Excel. Learn more: https://go.microsoft.com/fwlink/?linkid=870924
Comment:
    Not currently using this as there are a ton of assumptions about it</t>
      </text>
    </comment>
  </commentList>
</comments>
</file>

<file path=xl/sharedStrings.xml><?xml version="1.0" encoding="utf-8"?>
<sst xmlns="http://schemas.openxmlformats.org/spreadsheetml/2006/main" count="4084" uniqueCount="725">
  <si>
    <t>Technology</t>
  </si>
  <si>
    <t>technology</t>
  </si>
  <si>
    <t>Material</t>
  </si>
  <si>
    <t>value</t>
  </si>
  <si>
    <t>Source</t>
  </si>
  <si>
    <t>Onshore_DD_PMG</t>
  </si>
  <si>
    <t>onshore wind</t>
  </si>
  <si>
    <t>Aluminum</t>
  </si>
  <si>
    <t>Garrett + Ronde 2011</t>
  </si>
  <si>
    <t>Cement</t>
  </si>
  <si>
    <t>Wilburn 2011</t>
  </si>
  <si>
    <t>Cu</t>
  </si>
  <si>
    <t>Habib + Wenzel 2016</t>
  </si>
  <si>
    <t>BBF Associates 2011</t>
  </si>
  <si>
    <t>Dy</t>
  </si>
  <si>
    <t>DOE 2011</t>
  </si>
  <si>
    <t>Hoenderdaal et al 2013</t>
  </si>
  <si>
    <t>Fiberglass</t>
  </si>
  <si>
    <t>Nd</t>
  </si>
  <si>
    <t>Ni</t>
  </si>
  <si>
    <t>Fizaine + Court 2015</t>
  </si>
  <si>
    <t>Steel</t>
  </si>
  <si>
    <t>Onshore_AG</t>
  </si>
  <si>
    <t>Razdan + Garrett 2015a</t>
  </si>
  <si>
    <t>Razdan + Garrett 2015b</t>
  </si>
  <si>
    <t>Garcia-Olivares et al 2012</t>
  </si>
  <si>
    <t>Offshore_DD_PMG</t>
  </si>
  <si>
    <t>offshore wind fixed</t>
  </si>
  <si>
    <t>Chipindula et al 2018</t>
  </si>
  <si>
    <t>offshore wind floating</t>
  </si>
  <si>
    <t>Elsam Engineering 2004</t>
  </si>
  <si>
    <t>Falconer 2009</t>
  </si>
  <si>
    <t>Offshore_AG</t>
  </si>
  <si>
    <t>CSI_PV</t>
  </si>
  <si>
    <t>utility-scale solar pv</t>
  </si>
  <si>
    <t>Ag</t>
  </si>
  <si>
    <t>Manberger + Stenqvist 2018</t>
  </si>
  <si>
    <t>Bodeker et al 2010</t>
  </si>
  <si>
    <t>Jean et al 2015</t>
  </si>
  <si>
    <t>Mason et al 2006</t>
  </si>
  <si>
    <t>IRENA 2017</t>
  </si>
  <si>
    <t>Glass</t>
  </si>
  <si>
    <t>Jean et al., 2015</t>
  </si>
  <si>
    <t>Rigby et al., 2011</t>
  </si>
  <si>
    <t>Fthenakis et al., 2011</t>
  </si>
  <si>
    <t>Rischknecht et al 2015</t>
  </si>
  <si>
    <t>Si</t>
  </si>
  <si>
    <t>Kavlak et al., 2015</t>
  </si>
  <si>
    <t>CIGS</t>
  </si>
  <si>
    <t>Ga</t>
  </si>
  <si>
    <t>Kavlak et al 2015</t>
  </si>
  <si>
    <t>In</t>
  </si>
  <si>
    <t>Se</t>
  </si>
  <si>
    <t>CDTE</t>
  </si>
  <si>
    <t>Cd</t>
  </si>
  <si>
    <t>Te</t>
  </si>
  <si>
    <t>ASIGE</t>
  </si>
  <si>
    <t>CSP</t>
  </si>
  <si>
    <t>Concentrated Solar</t>
  </si>
  <si>
    <t>Pihl et al 2012</t>
  </si>
  <si>
    <t>Mn</t>
  </si>
  <si>
    <t>Coal</t>
  </si>
  <si>
    <t>Tahara et al 1997</t>
  </si>
  <si>
    <t>Spath et al 1999</t>
  </si>
  <si>
    <t>White + Kulcinski 1998</t>
  </si>
  <si>
    <t>El-Bassioni 1980</t>
  </si>
  <si>
    <t>Albers et al 1976</t>
  </si>
  <si>
    <t>Biomass</t>
  </si>
  <si>
    <t>Sullivan et al 2010</t>
  </si>
  <si>
    <t>Gas</t>
  </si>
  <si>
    <t>Spath + Mann 2000</t>
  </si>
  <si>
    <t>CoalCCS</t>
  </si>
  <si>
    <t>BiomassCCS</t>
  </si>
  <si>
    <t>GasCCS</t>
  </si>
  <si>
    <t>Nuclear</t>
  </si>
  <si>
    <t>Bryan + Dudley 1974</t>
  </si>
  <si>
    <t>USNRC 1977</t>
  </si>
  <si>
    <t>Peterson et al 2005</t>
  </si>
  <si>
    <t>Andreades et al 2014</t>
  </si>
  <si>
    <t>Hydro</t>
  </si>
  <si>
    <t>Pacca + Horvath 2002</t>
  </si>
  <si>
    <t>Flury + Frischknecht 2012</t>
  </si>
  <si>
    <t>Rule 2009</t>
  </si>
  <si>
    <t>Geothermal</t>
  </si>
  <si>
    <t>Karlsdottir et al 2015</t>
  </si>
  <si>
    <t>Tosti et al 2020</t>
  </si>
  <si>
    <t>Basosi et al 2020</t>
  </si>
  <si>
    <t>Pratiwi et al 2018</t>
  </si>
  <si>
    <t>Elia et al 2020</t>
  </si>
  <si>
    <t>STEEL PRICE</t>
  </si>
  <si>
    <t>Market price [$2016/t]</t>
  </si>
  <si>
    <t>Quantity [t/kW]</t>
  </si>
  <si>
    <t>FIBERGLASS</t>
  </si>
  <si>
    <t>CONCRETE</t>
  </si>
  <si>
    <t>CAST IRON</t>
  </si>
  <si>
    <t>ALUMINUM</t>
  </si>
  <si>
    <t>COPPER</t>
  </si>
  <si>
    <t>POLYMERS</t>
  </si>
  <si>
    <t>ELECTRICITY</t>
  </si>
  <si>
    <t>Electricity price [$2016/kWh]</t>
  </si>
  <si>
    <t>Electricity consumption [kWh/kW]</t>
  </si>
  <si>
    <t>THERMAL ENERGY</t>
  </si>
  <si>
    <t>Thermal energy price [$2016/kWh]</t>
  </si>
  <si>
    <t>Thermal energy consumption [kWh/kW]</t>
  </si>
  <si>
    <t>Costs components</t>
  </si>
  <si>
    <t>Techno-economic variables</t>
  </si>
  <si>
    <t>Al</t>
  </si>
  <si>
    <t>material intensity in oil, coal, and natural gas (t/GW)</t>
  </si>
  <si>
    <t>From Vidal et al, 2013</t>
  </si>
  <si>
    <t>Table S 4. Material intensity in Carbon Capture and Storage (t/GW)</t>
  </si>
  <si>
    <t>Moss et al, 2011</t>
  </si>
  <si>
    <t>Chromium</t>
  </si>
  <si>
    <t>Cobalt</t>
  </si>
  <si>
    <t>Copper</t>
  </si>
  <si>
    <t>Managanese</t>
  </si>
  <si>
    <t>Molybdenum</t>
  </si>
  <si>
    <t>Nickel</t>
  </si>
  <si>
    <t>Niobium</t>
  </si>
  <si>
    <t>Vanadium</t>
  </si>
  <si>
    <t>Moss et all, 2011</t>
  </si>
  <si>
    <t>Indium</t>
  </si>
  <si>
    <t>Lead</t>
  </si>
  <si>
    <t>Silver</t>
  </si>
  <si>
    <t>Tin</t>
  </si>
  <si>
    <t>Table S 6. Material intensity in Biomass and Waste (t/GW)</t>
  </si>
  <si>
    <t>Aluminium</t>
  </si>
  <si>
    <t>Zinc</t>
  </si>
  <si>
    <t xml:space="preserve">Material Intensity </t>
  </si>
  <si>
    <t>Ashby, 2013</t>
  </si>
  <si>
    <t>Table S 7. Material intensity in Hydro (t/GW)</t>
  </si>
  <si>
    <t xml:space="preserve">Magnesium </t>
  </si>
  <si>
    <t>Manganese</t>
  </si>
  <si>
    <t xml:space="preserve">Steel </t>
  </si>
  <si>
    <t>Table S 8. Material intensity in Geothermal (t/GW)</t>
  </si>
  <si>
    <t>Tantalum</t>
  </si>
  <si>
    <t>Moss et all 2011</t>
  </si>
  <si>
    <t>Ashby 2013</t>
  </si>
  <si>
    <t>World Bank 2017</t>
  </si>
  <si>
    <t>Type</t>
  </si>
  <si>
    <t>Material Intensity (t/GW)</t>
  </si>
  <si>
    <t>Elshkaki and Graedel 2013</t>
  </si>
  <si>
    <t>US DOE 2011</t>
  </si>
  <si>
    <t>Selenium</t>
  </si>
  <si>
    <t>Tellurium</t>
  </si>
  <si>
    <t>reference</t>
  </si>
  <si>
    <t>Zimmermann 2013</t>
  </si>
  <si>
    <t>VESTAS 2006</t>
  </si>
  <si>
    <t>Onshore</t>
  </si>
  <si>
    <t>Offshore</t>
  </si>
  <si>
    <t>Boron</t>
  </si>
  <si>
    <t>onshore</t>
  </si>
  <si>
    <t>offshore</t>
  </si>
  <si>
    <t>RL Moss et al 2013</t>
  </si>
  <si>
    <t>Fizaine and Court 2015</t>
  </si>
  <si>
    <t>Mclellan et al 2015</t>
  </si>
  <si>
    <t>Kleijin and Van Der Voet 2010</t>
  </si>
  <si>
    <t>Guezuraga et al, 2012</t>
  </si>
  <si>
    <t>Habib et al, 2016</t>
  </si>
  <si>
    <t>Martinez et al 2009</t>
  </si>
  <si>
    <t>Teske et al 2016</t>
  </si>
  <si>
    <t>Habib and Wenzel 2016</t>
  </si>
  <si>
    <t>Lacal-Arantegui 2015</t>
  </si>
  <si>
    <t>All</t>
  </si>
  <si>
    <t>Roelich et al 2014</t>
  </si>
  <si>
    <t>Praseodymium</t>
  </si>
  <si>
    <t>Terbium</t>
  </si>
  <si>
    <t>https://ars.els-cdn.com/content/image/1-s2.0-S0921344919302290-mmc1.pdf</t>
  </si>
  <si>
    <t>https://eitrawmaterials.eu/wp-content/uploads/2020/04/rms_for_wind_and_solar_published_v2.pdf</t>
  </si>
  <si>
    <t>Concrete</t>
  </si>
  <si>
    <t xml:space="preserve">Material </t>
  </si>
  <si>
    <t xml:space="preserve">Year </t>
  </si>
  <si>
    <t xml:space="preserve">Material intensity (t/GW) </t>
  </si>
  <si>
    <t xml:space="preserve">Reference </t>
  </si>
  <si>
    <t xml:space="preserve">Ag </t>
  </si>
  <si>
    <t xml:space="preserve">Nassar, Wilburn and Goonan (2016) </t>
  </si>
  <si>
    <t xml:space="preserve">2019 (*) </t>
  </si>
  <si>
    <t xml:space="preserve">Giurco, Dominish, Florin, Watari and McLellan </t>
  </si>
  <si>
    <r>
      <t>2050 (</t>
    </r>
    <r>
      <rPr>
        <sz val="10"/>
        <color rgb="FF000000"/>
        <rFont val="Times New Roman"/>
        <family val="1"/>
      </rPr>
      <t>**)</t>
    </r>
    <r>
      <rPr>
        <sz val="9"/>
        <color rgb="FF000000"/>
        <rFont val="Times New Roman"/>
        <family val="1"/>
      </rPr>
      <t xml:space="preserve"> </t>
    </r>
  </si>
  <si>
    <t xml:space="preserve">Cd </t>
  </si>
  <si>
    <t xml:space="preserve">116.7-143 </t>
  </si>
  <si>
    <t xml:space="preserve">Wellmer et al. (2019) </t>
  </si>
  <si>
    <t xml:space="preserve">Te </t>
  </si>
  <si>
    <t xml:space="preserve">99.7-135 </t>
  </si>
  <si>
    <t xml:space="preserve">2014 (*) </t>
  </si>
  <si>
    <t xml:space="preserve">30; 70; 300 </t>
  </si>
  <si>
    <t xml:space="preserve">Bustamante and Gaustad (2014) </t>
  </si>
  <si>
    <t xml:space="preserve">In </t>
  </si>
  <si>
    <t xml:space="preserve">55.5-75  </t>
  </si>
  <si>
    <t xml:space="preserve">5; 9; 20 </t>
  </si>
  <si>
    <t xml:space="preserve">Stamp, Wäger and Hellweg (2014) </t>
  </si>
  <si>
    <t xml:space="preserve">Ga </t>
  </si>
  <si>
    <t xml:space="preserve">6; 8; 11  </t>
  </si>
  <si>
    <t xml:space="preserve">2; 3; 6  </t>
  </si>
  <si>
    <t xml:space="preserve">1; 2; 3  </t>
  </si>
  <si>
    <t xml:space="preserve">2-7.2 </t>
  </si>
  <si>
    <t xml:space="preserve">Se </t>
  </si>
  <si>
    <t xml:space="preserve">10-39.3 </t>
  </si>
  <si>
    <t xml:space="preserve">Ge </t>
  </si>
  <si>
    <t>Table 3. Material intensities for solar PV panels reported in the literature</t>
  </si>
  <si>
    <t xml:space="preserve">Table 4. Material intensity estimates for solar PV panels </t>
  </si>
  <si>
    <t xml:space="preserve">Technology </t>
  </si>
  <si>
    <t xml:space="preserve">Scenario </t>
  </si>
  <si>
    <t xml:space="preserve">Unit </t>
  </si>
  <si>
    <t xml:space="preserve">All </t>
  </si>
  <si>
    <t xml:space="preserve">Concrete </t>
  </si>
  <si>
    <t xml:space="preserve">LDS </t>
  </si>
  <si>
    <t xml:space="preserve">t/MW </t>
  </si>
  <si>
    <t xml:space="preserve">MDS </t>
  </si>
  <si>
    <t xml:space="preserve">HDS </t>
  </si>
  <si>
    <t xml:space="preserve">Plastic </t>
  </si>
  <si>
    <t xml:space="preserve">Glass </t>
  </si>
  <si>
    <t xml:space="preserve">Al </t>
  </si>
  <si>
    <t xml:space="preserve">Cu </t>
  </si>
  <si>
    <t xml:space="preserve">c-Si </t>
  </si>
  <si>
    <t xml:space="preserve">Si </t>
  </si>
  <si>
    <t xml:space="preserve">c-Si c-Si </t>
  </si>
  <si>
    <t xml:space="preserve">t/GW </t>
  </si>
  <si>
    <t xml:space="preserve">CdTe </t>
  </si>
  <si>
    <t xml:space="preserve"> </t>
  </si>
  <si>
    <t xml:space="preserve">CIGS </t>
  </si>
  <si>
    <t xml:space="preserve">a-Si </t>
  </si>
  <si>
    <t xml:space="preserve">a-Si a-Si </t>
  </si>
  <si>
    <t>Table 3 summarises the values for material intensity as reported in Nassar, Wilburn and Goonan (2016) and other relevant references. For some materials, a range of values is reported. If three values are reported, they correspond to optimistic (low), neutral (medium) and pessimistic (high) intensity assumptions respectively. Table 3. Material intensities for solar PV panels reported in the literatur</t>
  </si>
  <si>
    <t xml:space="preserve">Table 2. Material usage estimates in t/GW for different wind turbine types </t>
  </si>
  <si>
    <t xml:space="preserve">Range </t>
  </si>
  <si>
    <t xml:space="preserve">DD-EESG </t>
  </si>
  <si>
    <t xml:space="preserve">DD-PMSG </t>
  </si>
  <si>
    <t xml:space="preserve">GB-PMSG </t>
  </si>
  <si>
    <t xml:space="preserve">GB-DFIG </t>
  </si>
  <si>
    <t xml:space="preserve">243 500-413 000 </t>
  </si>
  <si>
    <t xml:space="preserve">369 000 </t>
  </si>
  <si>
    <t xml:space="preserve">243 000 </t>
  </si>
  <si>
    <t xml:space="preserve">413 000 </t>
  </si>
  <si>
    <t xml:space="preserve">355 000 </t>
  </si>
  <si>
    <t xml:space="preserve">107 000-132 000 </t>
  </si>
  <si>
    <t xml:space="preserve">132 000 </t>
  </si>
  <si>
    <t xml:space="preserve">119 500 </t>
  </si>
  <si>
    <t xml:space="preserve">107 000 </t>
  </si>
  <si>
    <t xml:space="preserve">113 000 </t>
  </si>
  <si>
    <t xml:space="preserve">Polymers </t>
  </si>
  <si>
    <t xml:space="preserve">4 600 </t>
  </si>
  <si>
    <t xml:space="preserve">Glass/carbon composites </t>
  </si>
  <si>
    <t xml:space="preserve">7 700-8 400 </t>
  </si>
  <si>
    <t xml:space="preserve">8 100 </t>
  </si>
  <si>
    <t xml:space="preserve">8 400 </t>
  </si>
  <si>
    <t xml:space="preserve">7 700 </t>
  </si>
  <si>
    <t xml:space="preserve">Aluminium (Al) </t>
  </si>
  <si>
    <t xml:space="preserve">500-1 600 </t>
  </si>
  <si>
    <t xml:space="preserve">1 600 </t>
  </si>
  <si>
    <t xml:space="preserve">1 400 </t>
  </si>
  <si>
    <t xml:space="preserve">Boron (B) </t>
  </si>
  <si>
    <t xml:space="preserve">0-6 </t>
  </si>
  <si>
    <t xml:space="preserve">Chromium (Cr) </t>
  </si>
  <si>
    <t xml:space="preserve">470-580 </t>
  </si>
  <si>
    <t xml:space="preserve">Copper (Cu) </t>
  </si>
  <si>
    <t xml:space="preserve">950-5 000 </t>
  </si>
  <si>
    <t xml:space="preserve">5 000 </t>
  </si>
  <si>
    <t xml:space="preserve">3 000 </t>
  </si>
  <si>
    <t xml:space="preserve">Dysprosium (Dy) </t>
  </si>
  <si>
    <t xml:space="preserve">Iron (cast) (Fe) </t>
  </si>
  <si>
    <t xml:space="preserve">18 000-20 800 </t>
  </si>
  <si>
    <t xml:space="preserve">20 100 </t>
  </si>
  <si>
    <t xml:space="preserve">20 800 </t>
  </si>
  <si>
    <t xml:space="preserve">18 000 </t>
  </si>
  <si>
    <t xml:space="preserve">Manganese (Mn) </t>
  </si>
  <si>
    <t xml:space="preserve">780-800 </t>
  </si>
  <si>
    <t xml:space="preserve">Molybdenum (Mo) </t>
  </si>
  <si>
    <t xml:space="preserve">99-119 </t>
  </si>
  <si>
    <t xml:space="preserve">Neodymium (Nd) </t>
  </si>
  <si>
    <t xml:space="preserve">12-180 </t>
  </si>
  <si>
    <t xml:space="preserve">Nickel (Ni) </t>
  </si>
  <si>
    <t xml:space="preserve">240-440 </t>
  </si>
  <si>
    <t xml:space="preserve">Praseodymium (Pr) </t>
  </si>
  <si>
    <t xml:space="preserve">0-35 </t>
  </si>
  <si>
    <t xml:space="preserve">Terbium (Tb) </t>
  </si>
  <si>
    <t xml:space="preserve">0-7 </t>
  </si>
  <si>
    <t xml:space="preserve">Zinc (Zn) </t>
  </si>
  <si>
    <t xml:space="preserve">5 500 </t>
  </si>
  <si>
    <t>Below are some additional notes on the materials used in wind turbines.  Concrete. There are different mass requirements for the onshore and offshore wind turbines. The lower estimate is for DD-PMSG turbines predominantly used at offshore sites; the higher estimate is for type GB-PMSG (larger turbines mostly used in the onshore).  Steel. Existing turbine models use between 107 and 132 t of steel per MW of installed capacity.  Polymers. Values are practically identical across different turbine types.  Glass/carbon composites. Usage is approximately 8 t/MW irrespective of the turbine type.  Aluminium (Al). Across turbine types and models the range of possible values for aluminium is large, varying from 500 to 1 600 t/GW. The lower estimates apply to direct-drive turbines w</t>
  </si>
  <si>
    <t>The report gives multiple pages on the assumptions they make to get this data</t>
  </si>
  <si>
    <t>Table A2. The amount of metals used in the onshore and offshore wind turbines</t>
  </si>
  <si>
    <t>Metals</t>
  </si>
  <si>
    <t>Onshore (ton/MW)</t>
  </si>
  <si>
    <t>Offshore (ton/MW)</t>
  </si>
  <si>
    <t>Garcia-Olivares et al., 2012</t>
  </si>
  <si>
    <t>Nickel Institute</t>
  </si>
  <si>
    <t>Schleisner, 2000</t>
  </si>
  <si>
    <t>Neodymium</t>
  </si>
  <si>
    <t>US DOE, 2010</t>
  </si>
  <si>
    <t>Dysprosium</t>
  </si>
  <si>
    <t>https://www.sciencedirect.com/science/article/pii/S0959652613004575#tblA2</t>
  </si>
  <si>
    <t>https://www.irena.org/-/media/Files/IRENA/Agency/Publication/2017/Jun/IRENA_Leveraging_for_Solar_PV_2017.pdf?rev=04c0d805dc4c42f1bd6d854df5e0d363</t>
  </si>
  <si>
    <t xml:space="preserve">Materials needed to develop a 1 MW Silicion-based solar PV plant (tonnes) </t>
  </si>
  <si>
    <t>Silicon</t>
  </si>
  <si>
    <t>Matterial</t>
  </si>
  <si>
    <t>Tonnes</t>
  </si>
  <si>
    <t>Ton</t>
  </si>
  <si>
    <t>Empty Cell</t>
  </si>
  <si>
    <t>Gallium</t>
  </si>
  <si>
    <t>Lithium</t>
  </si>
  <si>
    <t>Platinum</t>
  </si>
  <si>
    <t>Reserve (ton)</t>
  </si>
  <si>
    <t>Mining (ton/year)</t>
  </si>
  <si>
    <t>Recycling rate (current)</t>
  </si>
  <si>
    <t>Metal intensity (ton/GW)</t>
  </si>
  <si>
    <t>Wind power (induction)</t>
  </si>
  <si>
    <t>Wind power (PM)</t>
  </si>
  <si>
    <t>Solar PV (Si)</t>
  </si>
  <si>
    <t>Solar PV (aSiGe)</t>
  </si>
  <si>
    <t>Solar PV (CdTe)</t>
  </si>
  <si>
    <t>Solar PV (CIGS)</t>
  </si>
  <si>
    <t>CSP (parabolic)</t>
  </si>
  <si>
    <t>CSP (central tower)</t>
  </si>
  <si>
    <t>Motor PM (kg/kW)</t>
  </si>
  <si>
    <t>Motor induction (kg/kW)</t>
  </si>
  <si>
    <t>Battery (kg/kWh)</t>
  </si>
  <si>
    <t>Fuel cell (kg/kW)</t>
  </si>
  <si>
    <t>https://www.sciencedirect.com/science/article/pii/S0301421518302726?via%3Dihub#t0015</t>
  </si>
  <si>
    <t>Hf</t>
  </si>
  <si>
    <t>Mo</t>
  </si>
  <si>
    <t>W</t>
  </si>
  <si>
    <t>Y</t>
  </si>
  <si>
    <t>Nb</t>
  </si>
  <si>
    <t>Zr</t>
  </si>
  <si>
    <t>Cr</t>
  </si>
  <si>
    <t>Sn</t>
  </si>
  <si>
    <t>V</t>
  </si>
  <si>
    <t>Pb</t>
  </si>
  <si>
    <t>Ti</t>
  </si>
  <si>
    <t>Co</t>
  </si>
  <si>
    <t>Element</t>
  </si>
  <si>
    <t>Metal Demand (kg/MW)</t>
  </si>
  <si>
    <t>Moss_2011</t>
  </si>
  <si>
    <t>metal demand (kg/MW)</t>
  </si>
  <si>
    <t>element</t>
  </si>
  <si>
    <t>Moss 2011</t>
  </si>
  <si>
    <t>Metal demand (kg/MW)</t>
  </si>
  <si>
    <t xml:space="preserve">material intensity (t/GW) </t>
  </si>
  <si>
    <t>Bitumen</t>
  </si>
  <si>
    <t>Brass</t>
  </si>
  <si>
    <t xml:space="preserve">Cast Iron </t>
  </si>
  <si>
    <t>Ceramic tiles</t>
  </si>
  <si>
    <t>Epoxy resin</t>
  </si>
  <si>
    <t>CFRP</t>
  </si>
  <si>
    <t>Glulam</t>
  </si>
  <si>
    <t>HDPE</t>
  </si>
  <si>
    <t>LDPE</t>
  </si>
  <si>
    <t>low alloy steel</t>
  </si>
  <si>
    <t>low carbon stee</t>
  </si>
  <si>
    <t>PP</t>
  </si>
  <si>
    <t>PVC</t>
  </si>
  <si>
    <t>Rock wool</t>
  </si>
  <si>
    <t>SAN</t>
  </si>
  <si>
    <t>Stainless steel</t>
  </si>
  <si>
    <t>Steel(electric)</t>
  </si>
  <si>
    <t>Synthetic rubber</t>
  </si>
  <si>
    <t>Titanium dioxide</t>
  </si>
  <si>
    <t>ASHBY, 2013</t>
  </si>
  <si>
    <t>`</t>
  </si>
  <si>
    <t>https://iea.blob.core.windows.net/assets/ffd2a83b-8c30-4e9d-980a-52b6d9a86fdc/TheRoleofCriticalMineralsinCleanEnergyTransitions.pdf</t>
  </si>
  <si>
    <t>Ev Motors</t>
  </si>
  <si>
    <t>Permanent Magnet Motors (kg/vehicle)</t>
  </si>
  <si>
    <t>iron</t>
  </si>
  <si>
    <t>boron</t>
  </si>
  <si>
    <t>Induction motors (kg/vehicle)</t>
  </si>
  <si>
    <t>Iron</t>
  </si>
  <si>
    <t>Phosphorus</t>
  </si>
  <si>
    <t>Graphite flake</t>
  </si>
  <si>
    <t>Rest (plastics, electronics…)</t>
  </si>
  <si>
    <t>Oxygena</t>
  </si>
  <si>
    <t>TOTAL</t>
  </si>
  <si>
    <t>Ref.</t>
  </si>
  <si>
    <t>76 and 77</t>
  </si>
  <si>
    <t>75–77</t>
  </si>
  <si>
    <t>75–78</t>
  </si>
  <si>
    <r>
      <t>kg MW</t>
    </r>
    <r>
      <rPr>
        <b/>
        <vertAlign val="superscript"/>
        <sz val="7.5"/>
        <color theme="1"/>
        <rFont val="Source Sans Pro"/>
        <family val="2"/>
      </rPr>
      <t>−1</t>
    </r>
  </si>
  <si>
    <t>LMO</t>
  </si>
  <si>
    <t>NMC-622</t>
  </si>
  <si>
    <t>NMC- 811</t>
  </si>
  <si>
    <t>NCA</t>
  </si>
  <si>
    <t>LFP</t>
  </si>
  <si>
    <r>
      <t>Table 4</t>
    </r>
    <r>
      <rPr>
        <sz val="8"/>
        <color theme="1"/>
        <rFont val="Source Sans Pro"/>
        <family val="2"/>
      </rPr>
      <t> Material intensities (kg MW</t>
    </r>
    <r>
      <rPr>
        <vertAlign val="superscript"/>
        <sz val="7.5"/>
        <color theme="1"/>
        <rFont val="Source Sans Pro"/>
        <family val="2"/>
      </rPr>
      <t>−1</t>
    </r>
    <r>
      <rPr>
        <sz val="8"/>
        <color theme="1"/>
        <rFont val="Source Sans Pro"/>
        <family val="2"/>
      </rPr>
      <t>) of the selected EV batteries; based on a 60 kW h battery with a power of 100 kW</t>
    </r>
  </si>
  <si>
    <t>Inverter</t>
  </si>
  <si>
    <t>Electric motor</t>
  </si>
  <si>
    <t>High voltage connection</t>
  </si>
  <si>
    <t>Low voltage connection</t>
  </si>
  <si>
    <t>Others</t>
  </si>
  <si>
    <t>TOTAL (excluding battery)</t>
  </si>
  <si>
    <t>Vehicle parts (excluding battery)</t>
  </si>
  <si>
    <t>H4w ICEV</t>
  </si>
  <si>
    <t>H4w HEV</t>
  </si>
  <si>
    <t>H4w PHEV</t>
  </si>
  <si>
    <t>H4w BEV</t>
  </si>
  <si>
    <t>Bus HEV &amp; BEV</t>
  </si>
  <si>
    <t>values are kg/vehicle</t>
  </si>
  <si>
    <t>Unit</t>
  </si>
  <si>
    <t>Home charger (3.7 kW)</t>
  </si>
  <si>
    <t>Conventional charger (45 kW)</t>
  </si>
  <si>
    <t>Fast charger (200 kW)</t>
  </si>
  <si>
    <t>Material intensity</t>
  </si>
  <si>
    <t>kg per unit</t>
  </si>
  <si>
    <t>∼0.7</t>
  </si>
  <si>
    <t>∼1.5</t>
  </si>
  <si>
    <t>ABS, Fiberglass…</t>
  </si>
  <si>
    <t>Lifetime. Source: ref. 96</t>
  </si>
  <si>
    <t>Years</t>
  </si>
  <si>
    <r>
      <t>Table 6</t>
    </r>
    <r>
      <rPr>
        <sz val="7"/>
        <color theme="1"/>
        <rFont val="Source Sans Pro"/>
        <family val="2"/>
      </rPr>
      <t> Material intensity per unit of charger and lifetime by the type of charger. Source: ref. </t>
    </r>
    <r>
      <rPr>
        <sz val="7"/>
        <color rgb="FF007AAF"/>
        <rFont val="Source Sans Pro"/>
        <family val="2"/>
      </rPr>
      <t>95</t>
    </r>
    <r>
      <rPr>
        <sz val="7"/>
        <color theme="1"/>
        <rFont val="Source Sans Pro"/>
        <family val="2"/>
      </rPr>
      <t> and </t>
    </r>
    <r>
      <rPr>
        <sz val="7"/>
        <color rgb="FF007AAF"/>
        <rFont val="Source Sans Pro"/>
        <family val="2"/>
      </rPr>
      <t>96</t>
    </r>
    <r>
      <rPr>
        <sz val="7"/>
        <color theme="1"/>
        <rFont val="Source Sans Pro"/>
        <family val="2"/>
      </rPr>
      <t>, with own modifications (see text)</t>
    </r>
  </si>
  <si>
    <t>Units</t>
  </si>
  <si>
    <t>Refs.</t>
  </si>
  <si>
    <t>Graphite</t>
  </si>
  <si>
    <r>
      <t>a</t>
    </r>
    <r>
      <rPr>
        <b/>
        <sz val="8"/>
        <color theme="1"/>
        <rFont val="Source Sans Pro"/>
        <family val="2"/>
      </rPr>
      <t> </t>
    </r>
    <r>
      <rPr>
        <b/>
        <sz val="6"/>
        <color theme="1"/>
        <rFont val="Source Sans Pro"/>
        <family val="2"/>
      </rPr>
      <t>For lithium an own calculation based on various sources was performed, see main text.</t>
    </r>
  </si>
  <si>
    <t>Resources</t>
  </si>
  <si>
    <t>Mt</t>
  </si>
  <si>
    <r>
      <t>7.5 × 10</t>
    </r>
    <r>
      <rPr>
        <vertAlign val="superscript"/>
        <sz val="7.5"/>
        <color theme="1"/>
        <rFont val="Source Sans Pro"/>
        <family val="2"/>
      </rPr>
      <t>4</t>
    </r>
  </si>
  <si>
    <t>Reserves</t>
  </si>
  <si>
    <r>
      <t>2.8 × 10</t>
    </r>
    <r>
      <rPr>
        <vertAlign val="superscript"/>
        <sz val="7.5"/>
        <color theme="1"/>
        <rFont val="Source Sans Pro"/>
        <family val="2"/>
      </rPr>
      <t>4</t>
    </r>
  </si>
  <si>
    <t>Current estimated recycling rates EOL</t>
  </si>
  <si>
    <t>%</t>
  </si>
  <si>
    <t>15a</t>
  </si>
  <si>
    <t>https://pubs.rsc.org/en/content/articlehtml/2022/ee/d2ee00802e</t>
  </si>
  <si>
    <t xml:space="preserve">NIR (%) </t>
  </si>
  <si>
    <t xml:space="preserve">&gt;25 </t>
  </si>
  <si>
    <t xml:space="preserve">U.S. Production </t>
  </si>
  <si>
    <t xml:space="preserve">withheld </t>
  </si>
  <si>
    <t xml:space="preserve">Global Production </t>
  </si>
  <si>
    <t xml:space="preserve">Exports </t>
  </si>
  <si>
    <t xml:space="preserve">Imports </t>
  </si>
  <si>
    <t xml:space="preserve">not indicated </t>
  </si>
  <si>
    <t xml:space="preserve">Global Reserves </t>
  </si>
  <si>
    <t>Li</t>
  </si>
  <si>
    <t>U.S Reserves</t>
  </si>
  <si>
    <t>Table 2. Selected Statistics for Five EV Battery Minerals In metric tons, unless indicated otherwise</t>
  </si>
  <si>
    <t>https://crsreports.congress.gov/product/pdf/R/R47227</t>
  </si>
  <si>
    <t>Notes: Values are estimates for 2021. NIR is “net import reliance.” The USGS may withhold production data to avoid disclosing company proprietary data. U.S. production does not include secondary production (i.e., production from recycling). Values for manganese imports and exports are gross weights of ores and concentrates, not contained manganese. Nickel import and export values represent the sum of ores, concentrates, and primary production. Additional nickel production from refinery byproducts is withheld. “not indicated”: U.S. reserves of graphite are described as “relatively small”; no tonnage is indicated (p. 75).</t>
  </si>
  <si>
    <t>V150</t>
  </si>
  <si>
    <t>Name</t>
  </si>
  <si>
    <t xml:space="preserve">Table 5: Material breakdown of 50MW power plant of V90-2.0MW turbines per (units shown in tonne or kg per total wind plant) </t>
  </si>
  <si>
    <t xml:space="preserve">Material classification </t>
  </si>
  <si>
    <t xml:space="preserve">Turbines </t>
  </si>
  <si>
    <t xml:space="preserve">Foundations </t>
  </si>
  <si>
    <t xml:space="preserve">Site cables </t>
  </si>
  <si>
    <t xml:space="preserve">Site switchgears </t>
  </si>
  <si>
    <t xml:space="preserve">Site transformer </t>
  </si>
  <si>
    <t>Steel and iron materials (total)</t>
  </si>
  <si>
    <t>tonne</t>
  </si>
  <si>
    <t>Unalloyed, low alloyed</t>
  </si>
  <si>
    <t>Highly alloyed</t>
  </si>
  <si>
    <t>Cast iron</t>
  </si>
  <si>
    <t>Steel and iron materials (unspecified)</t>
  </si>
  <si>
    <t>Lights alloys, cast and wrought alloys (total)</t>
  </si>
  <si>
    <t>Aluminium and aluminium alloys</t>
  </si>
  <si>
    <t>Nonferrous heavy metals, cast and wrought alloys (total)</t>
  </si>
  <si>
    <t>Copper alloys</t>
  </si>
  <si>
    <t>Polymer materials (total)</t>
  </si>
  <si>
    <t>Thermoplastics</t>
  </si>
  <si>
    <t>Thermoplastic elastomers</t>
  </si>
  <si>
    <t>Elastomers / elastomeric compounds</t>
  </si>
  <si>
    <t>Duromers</t>
  </si>
  <si>
    <t xml:space="preserve">Polymeric compounds </t>
  </si>
  <si>
    <t xml:space="preserve">tonne </t>
  </si>
  <si>
    <t xml:space="preserve">Process polymers (total) </t>
  </si>
  <si>
    <t xml:space="preserve">Lacquers </t>
  </si>
  <si>
    <t xml:space="preserve">Adhesives, sealants </t>
  </si>
  <si>
    <t xml:space="preserve">Other materials and material compounds (total) </t>
  </si>
  <si>
    <t xml:space="preserve">Modified organic natural materials </t>
  </si>
  <si>
    <t xml:space="preserve">Ceramic / glass </t>
  </si>
  <si>
    <t xml:space="preserve">Other materials and material compounds </t>
  </si>
  <si>
    <r>
      <t>SF</t>
    </r>
    <r>
      <rPr>
        <vertAlign val="subscript"/>
        <sz val="9"/>
        <color rgb="FF000000"/>
        <rFont val="Arial"/>
        <family val="2"/>
      </rPr>
      <t>6</t>
    </r>
    <r>
      <rPr>
        <sz val="9"/>
        <color rgb="FF000000"/>
        <rFont val="Arial"/>
        <family val="2"/>
      </rPr>
      <t xml:space="preserve"> gas </t>
    </r>
  </si>
  <si>
    <t xml:space="preserve">kg </t>
  </si>
  <si>
    <t xml:space="preserve">Electronics / electrics (total) </t>
  </si>
  <si>
    <t xml:space="preserve">Electronics </t>
  </si>
  <si>
    <t xml:space="preserve">Electrics </t>
  </si>
  <si>
    <t xml:space="preserve">Magnets </t>
  </si>
  <si>
    <t xml:space="preserve">Fuels and auxiliary means (total) </t>
  </si>
  <si>
    <t xml:space="preserve">Lubricants </t>
  </si>
  <si>
    <t>Coolant / other glycols</t>
  </si>
  <si>
    <t>Other fuels and auxiliary means</t>
  </si>
  <si>
    <t>Not specified</t>
  </si>
  <si>
    <t>Total mass</t>
  </si>
  <si>
    <t>Total number of pieces</t>
  </si>
  <si>
    <t>Mass of piece</t>
  </si>
  <si>
    <t xml:space="preserve">Total </t>
  </si>
  <si>
    <t xml:space="preserve">VESTAS  in tonnes </t>
  </si>
  <si>
    <t>V110</t>
  </si>
  <si>
    <t>Vestas V110 https://www.vestas.de/content/dam/vestas-com/global/en/sustainability/reports-and-ratings/lcas/LCAV11020MW181215.pdf.coredownload.inline.pdf</t>
  </si>
  <si>
    <t>Copper alloy</t>
  </si>
  <si>
    <t>MW of one turine</t>
  </si>
  <si>
    <t>Vestas 136 https://www.vestas.com/content/dam/vestas-com/global/en/sustainability/reports-and-ratings/lcas/LCA%20of%20Electricity%20Production%20from%20an%20onshore%20V136-4.2MW%20Wind%20Plant_Final.pdf.coredownload.inline.pdf</t>
  </si>
  <si>
    <t>Vestas V112 3.3 https://www.vestas.de/content/dam/vestas-com/global/en/sustainability/reports-and-ratings/lcas/Life%20cycle%20assessment_V112-3%203MW_Mk2c_Version_2_1_210915.pdf.coredownload.inline.pdf</t>
  </si>
  <si>
    <t>Vestas V112 3.45 https://www.vestas.com/content/dam/vestas-com/global/en/sustainability/reports-and-ratings/lcas/V1123%2045MW_Mk3a_ISO_LCA_Final_31072017.pdf.coredownload.inline.pdf</t>
  </si>
  <si>
    <t>V112-3.3</t>
  </si>
  <si>
    <t>V112-3.45</t>
  </si>
  <si>
    <t>Vestas V90-2MWhttps://www.vestas.com/content/dam/vestas-com/global/en/sustainability/reports-and-ratings/lcas/LCA_V902MW_version1.pdf.coredownload.inline.pdf</t>
  </si>
  <si>
    <t>Vestas V100 https://www.vestas.com/content/dam/vestas-com/global/en/sustainability/reports-and-ratings/lcas/LCAV10020MW181215.pdf.coredownload.inline.pdf</t>
  </si>
  <si>
    <t>V100</t>
  </si>
  <si>
    <t>Total MW</t>
  </si>
  <si>
    <t>V90-2MW</t>
  </si>
  <si>
    <t>OnshoreGridsteamer?</t>
  </si>
  <si>
    <t>V120</t>
  </si>
  <si>
    <t>Vestas V120https://www.vestas.com/content/dam/vestas-com/global/en/sustainability/reports-and-ratings/lcas/0075-0999_V01%20-%20LCA%20of%20Electricity%20Production%20from%20an%20onshore%20V120-2.0%20MW%20Wind%20Plant_120718_v1.1.pdf.coredownload.inline.pdf</t>
  </si>
  <si>
    <t>Vestas V90-3MW https://www.vestas.com/content/dam/vestas-com/global/en/sustainability/reports-and-ratings/lcas/LCA_V903MW_version_1_1.pdf.coredownload.inline.pdf</t>
  </si>
  <si>
    <t xml:space="preserve">Onshore </t>
  </si>
  <si>
    <t>V90-3MW</t>
  </si>
  <si>
    <t>V136</t>
  </si>
  <si>
    <t>Vestas V105-345 https://www.vestas.com/content/dam/vestas-com/global/en/sustainability/reports-and-ratings/lcas/V1053%2045MW_Mk3a_ISO_LCA_Final_31072017.pdf.coredownload.inline.pdf</t>
  </si>
  <si>
    <t>V105</t>
  </si>
  <si>
    <t>Vestas V117-3.45 https://www.vestas.com/en/sustainability/reports-and-ratings#lcadownload</t>
  </si>
  <si>
    <t>V117</t>
  </si>
  <si>
    <t>Vestas V126 https://www.vestas.com/content/dam/vestas-com/global/en/sustainability/reports-and-ratings/lcas/V1263%2045MW_Mk3a_ISO_LCA_Final_31072017.pdf.coredownload.inline.pdf</t>
  </si>
  <si>
    <t>V126</t>
  </si>
  <si>
    <t>Vestas V136 https://www.vestas.com/content/dam/vestas-com/global/en/sustainability/reports-and-ratings/lcas/V1363%2045MW_Mk3a_ISO_LCA_Final_31072017.pdf.coredownload.inline.pdf</t>
  </si>
  <si>
    <t>Vestas V117-4.2 https://www.vestas.com/content/dam/vestas-com/global/en/sustainability/reports-and-ratings/lcas/LCA%20of%20Electricity%20Production%20from%20an%20onshore%20V11742MW%20Wind%20PlantFinal.pdf.coredownload.inline.pdf</t>
  </si>
  <si>
    <t>V117-4.2</t>
  </si>
  <si>
    <t>Vestas V150-4.2 https://www.vestas.com/content/dam/vestas-com/global/en/sustainability/reports-and-ratings/lcas/LCA%20of%20Electricity%20Production%20from%20an%20onshore%20V150-4.2,%204.5MW%20Wind%20Plant_Final.Web.pdf.coredownload.inline.pdf</t>
  </si>
  <si>
    <t>Vestas V150-6 https://www.vestas.com/content/dam/vestas-com/global/en/sustainability/reports-and-ratings/lcas/LCA%20of%20Electricity%20Production%20from%20an%20onshore%20EnVentus%20V150-6.0.pdf.coredownload.inline.pdf</t>
  </si>
  <si>
    <t>V162</t>
  </si>
  <si>
    <t>Vestas V162 https://www.vestas.com/content/dam/vestas-com/global/en/sustainability/reports-and-ratings/lcas/LCA%20of%20Electricity%20Production%20from%20an%20onshore%20EnVentus%20V162-6.2.pdf.coredownload.inline.pdf</t>
  </si>
  <si>
    <t>Min</t>
  </si>
  <si>
    <t>Max</t>
  </si>
  <si>
    <t>Sd</t>
  </si>
  <si>
    <t>25th</t>
  </si>
  <si>
    <t>75th</t>
  </si>
  <si>
    <t>Median</t>
  </si>
  <si>
    <t>Mean</t>
  </si>
  <si>
    <t>VESTAS in tonne/MW</t>
  </si>
  <si>
    <t>VESTAS in ton/GW</t>
  </si>
  <si>
    <t>Mass (kg)</t>
  </si>
  <si>
    <t>SimaPro material category</t>
  </si>
  <si>
    <t>G83</t>
  </si>
  <si>
    <t>G87</t>
  </si>
  <si>
    <t>Low alloy steel</t>
  </si>
  <si>
    <t>Steel, low-alloyed</t>
  </si>
  <si>
    <t>High alloy steel</t>
  </si>
  <si>
    <t>Steel, chromium steel 18/8</t>
  </si>
  <si>
    <t>Casting</t>
  </si>
  <si>
    <t>Aluminum, primary, ingot</t>
  </si>
  <si>
    <t>Polymer</t>
  </si>
  <si>
    <t>Polyethylene, high density, granulate</t>
  </si>
  <si>
    <t>Glass fiber-reinforced plastic, polyamide, injection molded</t>
  </si>
  <si>
    <t>Carbon fiber</t>
  </si>
  <si>
    <t>GRP (glass reinforced plastic)</t>
  </si>
  <si>
    <t>Painting</t>
  </si>
  <si>
    <t>Acrylic varnish, without water, in 87.5% solution state</t>
  </si>
  <si>
    <t>Adhesive</t>
  </si>
  <si>
    <t>Adhesive for metal</t>
  </si>
  <si>
    <t>MW of one turbine</t>
  </si>
  <si>
    <t>kg/MW</t>
  </si>
  <si>
    <t xml:space="preserve">Rotor components </t>
  </si>
  <si>
    <t>GRP (Glass Reinforced Plastic)</t>
  </si>
  <si>
    <t>Components electric/electronic</t>
  </si>
  <si>
    <t>Electronics for control units</t>
  </si>
  <si>
    <t>Lubricant</t>
  </si>
  <si>
    <t>Lubricating oil</t>
  </si>
  <si>
    <t>Wires</t>
  </si>
  <si>
    <t>Table 3 Nacelle components of Gamesa G83 and G87 turbines (Gamesa 2013)</t>
  </si>
  <si>
    <t>Part</t>
  </si>
  <si>
    <t>Wiring</t>
  </si>
  <si>
    <t>Tower</t>
  </si>
  <si>
    <t>Paint</t>
  </si>
  <si>
    <t>Foundation</t>
  </si>
  <si>
    <t>Corrugated steel</t>
  </si>
  <si>
    <t>Steel, low-alloyed, hot-rolled</t>
  </si>
  <si>
    <t>Concrete block</t>
  </si>
  <si>
    <t>Table 5 Wiring, tower, and foundation components of Gamesa G83 and G87 turbines (Gamesa 2013)</t>
  </si>
  <si>
    <t>Gamse (kg)</t>
  </si>
  <si>
    <t>Gamse (tons/gw)</t>
  </si>
  <si>
    <t>https://link.springer.com/article/10.1007/s10098-019-01678-0#Tab4</t>
  </si>
  <si>
    <t>Polymers</t>
  </si>
  <si>
    <t>Ceramic/glass</t>
  </si>
  <si>
    <t xml:space="preserve"> https://www.sciencedirect.com/science/article/pii/S0960148108001754</t>
  </si>
  <si>
    <t>offshore floating power plant</t>
  </si>
  <si>
    <t>Life-Cycle Analysis Results of Geothermal Systems in Comparison to Other Power Systems</t>
  </si>
  <si>
    <t>https://www.energy.gov/sites/prod/files/2014/02/f7/lifecycle_analysis_of_geothermal_systems.pdf</t>
  </si>
  <si>
    <t>mt/MW</t>
  </si>
  <si>
    <t>Solar</t>
  </si>
  <si>
    <t>Notes:</t>
  </si>
  <si>
    <t>Pacca 2002</t>
  </si>
  <si>
    <t>Mason 2006</t>
  </si>
  <si>
    <t>Phylipsen 1995</t>
  </si>
  <si>
    <t>de Wild 2005</t>
  </si>
  <si>
    <t>Authors point out that Pacca and Horvath 2002 numbers are high, while Phylipsen 1995 and de Wild 2005 do not appear to consider material inputs beyond panels</t>
  </si>
  <si>
    <t>Capacity (MW)</t>
  </si>
  <si>
    <t>mt/GW</t>
  </si>
  <si>
    <t>Mason 2006 estimate matches up well with other figure for Springerville, AZ</t>
  </si>
  <si>
    <t>Conversion of tons concrete to tons cement</t>
  </si>
  <si>
    <t>Concrete volume (m^3) per GW</t>
  </si>
  <si>
    <t>Assuming 1600 kg/m^3</t>
  </si>
  <si>
    <t>Assuming 2500 kg/m^3</t>
  </si>
  <si>
    <t>Cement (kg) per GW</t>
  </si>
  <si>
    <t>Cement (tons) per GW</t>
  </si>
  <si>
    <t>1600 kg/m^3 density and 165 kg/m^3 cement content</t>
  </si>
  <si>
    <t>2500 kg/m^3 density and 400 kg/m^3 cement content</t>
  </si>
  <si>
    <t>Frischknecht, R., Fthenakis, V., Kim, H.C., Raugei, M., Sinha, P., Stucki, M., 2015. Life Cycle Inventories and Life Cycle Assessments of Photovoltaic Systems.</t>
  </si>
  <si>
    <t>https://www.bnl.gov/pv/files/pdf/226_Task12_LifeCycle_Inventories.pdf</t>
  </si>
  <si>
    <t>page 31</t>
  </si>
  <si>
    <t>For a 1.6 sq meter c-Si PV module with a 210 Wp module power, 0.00026 kg of Ni are used.</t>
  </si>
  <si>
    <t>1 GW/ 210 W = 4761905</t>
  </si>
  <si>
    <t>4761905*0.00026=1238 kg / GW, not including associated infrastructure</t>
  </si>
  <si>
    <t>t/GW</t>
  </si>
  <si>
    <t>c-Si</t>
  </si>
  <si>
    <t>Notes</t>
  </si>
  <si>
    <t>Lists no nickel usage for CdTe solar modules</t>
  </si>
  <si>
    <t xml:space="preserve">1 t Ni per GW c-Si matches numbers presented in Elshkaki, A., &amp; Graedel, T. E. (2013). Dynamic analysis of the global metals flows and stocks in electricity generation technologies. Journal of Cleaner Production, 59, 260–273. doi:10.1016/j.jclepro.2013.07.003 </t>
  </si>
  <si>
    <t>https://www.sciencedirect.com/science/article/abs/pii/S0959652613004575?via%3Dihub</t>
  </si>
  <si>
    <t>We use Wp per m^2 values from Frischknecht et al. 2020 below, in conjunction with the ballpark figure of 10 kg glass per m^2 of c-Si panel from this study, Table 5.1.6</t>
  </si>
  <si>
    <t>Wp per m^2</t>
  </si>
  <si>
    <t>tons/GW</t>
  </si>
  <si>
    <t>Average</t>
  </si>
  <si>
    <t>Photovoltaic module (laminate/unframed and panel/framed)</t>
  </si>
  <si>
    <t>Mono-Si</t>
  </si>
  <si>
    <t>Multi-Si</t>
  </si>
  <si>
    <t>CI(G)S</t>
  </si>
  <si>
    <t>CdTe</t>
  </si>
  <si>
    <t>PVPS Task 12 2020</t>
  </si>
  <si>
    <t>Jungbluth et al. 2012</t>
  </si>
  <si>
    <t>Subtotal wafer / semiconductor</t>
  </si>
  <si>
    <t>Wafer / semiconductor</t>
  </si>
  <si>
    <t>silicon for photovoltaics</t>
  </si>
  <si>
    <t>silane, at plant</t>
  </si>
  <si>
    <t>indium</t>
  </si>
  <si>
    <t>cadmium telluride</t>
  </si>
  <si>
    <t>cadmium sulphide</t>
  </si>
  <si>
    <t>gallium</t>
  </si>
  <si>
    <t>selenium</t>
  </si>
  <si>
    <t>Subtotal metals</t>
  </si>
  <si>
    <t>aluminium</t>
  </si>
  <si>
    <t>aluminium, production mix</t>
  </si>
  <si>
    <t>aluminium alloy</t>
  </si>
  <si>
    <t>copper</t>
  </si>
  <si>
    <t>lead</t>
  </si>
  <si>
    <t>molybdenum</t>
  </si>
  <si>
    <t>silver</t>
  </si>
  <si>
    <t>steel</t>
  </si>
  <si>
    <t>chromium steel</t>
  </si>
  <si>
    <t>tin</t>
  </si>
  <si>
    <t>zinc oxide</t>
  </si>
  <si>
    <t>brazing solder</t>
  </si>
  <si>
    <t>soft solder</t>
  </si>
  <si>
    <t>Subtotal plastics</t>
  </si>
  <si>
    <t>Plastics</t>
  </si>
  <si>
    <t>ethylvinylacetate</t>
  </si>
  <si>
    <t>polyvinylfluoride film</t>
  </si>
  <si>
    <t>polyvinylbutyral foil</t>
  </si>
  <si>
    <t>polyphenylene sulfide</t>
  </si>
  <si>
    <t>polyethylene terephthalate, PET</t>
  </si>
  <si>
    <t>polyethylene, HDPE</t>
  </si>
  <si>
    <t>packaging film, LDPE</t>
  </si>
  <si>
    <t>glass fibre reinforced plastic, polyamide</t>
  </si>
  <si>
    <t>silicone product</t>
  </si>
  <si>
    <t>synthetic rubber</t>
  </si>
  <si>
    <t>Subtotal solar glass</t>
  </si>
  <si>
    <t>Solar glass</t>
  </si>
  <si>
    <t>flat glass</t>
  </si>
  <si>
    <t>solar glass</t>
  </si>
  <si>
    <t>Subtotal metals panel</t>
  </si>
  <si>
    <t>Total laminate/unframed</t>
  </si>
  <si>
    <t>Total panel/framed</t>
  </si>
  <si>
    <t>Total weight in kg per square meter of unframed module</t>
  </si>
  <si>
    <t>Rated power in Wp per square meter of module</t>
  </si>
  <si>
    <t>Module efficiency in percent</t>
  </si>
  <si>
    <t>Module area for 3kWp PV systems in square meter</t>
  </si>
  <si>
    <t>Module area for 570kWp PV systems in square meter</t>
  </si>
  <si>
    <t>Table 2: Bill of materials and panel efficiency of single crystalline and multi-crystalline silicon, CdTe and CIGS PV panels; adapted and updated from [1</t>
  </si>
  <si>
    <t>https://iea-pvps.org/wp-content/uploads/2020/12/IEA-PVPS-LCI-report-2020.pdf</t>
  </si>
  <si>
    <t>I am only taking materials only in panels as infrastructure is not included</t>
  </si>
  <si>
    <t>CSI</t>
  </si>
  <si>
    <t xml:space="preserve">Aluminum </t>
  </si>
  <si>
    <t xml:space="preserve">Molybdenum </t>
  </si>
  <si>
    <t>IEA 2020</t>
  </si>
  <si>
    <t>VESTAS in metric ton/GW</t>
  </si>
  <si>
    <t>Gamse (metric tons/gw)</t>
  </si>
  <si>
    <t>Life Cycle Assessment of offshore and onshore sited wind farms. 2004</t>
  </si>
  <si>
    <t>translated from the Danish Elsam Engineering report 186768 of March 2004 written in Danish</t>
  </si>
  <si>
    <t>https://www.vestas.com/~/media/vestas/about/sustainability/pdfs/lca_v80_2004_uk.ashx#:~:text=Vestas%20Wind%20Systems%20A%2FS%20financed%20its%20own%20participation%20in,farms%20through%20their%20life%20cycles.</t>
  </si>
  <si>
    <t>Table 5.3, assuming Vestas V80 2MW offshore turbine, excluding onshore wind findings as these are well older than 2010 (2006)</t>
  </si>
  <si>
    <t>kg/turbine</t>
  </si>
  <si>
    <t>Offshore turbine</t>
  </si>
  <si>
    <t>kg/farm for transmission</t>
  </si>
  <si>
    <t>kg total for a 1000 MW farm</t>
  </si>
  <si>
    <t>metric tons/GW</t>
  </si>
  <si>
    <t>Steel+high-strength steel+cast iron</t>
  </si>
  <si>
    <t>I'm assuming that these are non-PM turbines</t>
  </si>
  <si>
    <t>Glass fibre</t>
  </si>
  <si>
    <t>Amount/power plant</t>
  </si>
  <si>
    <t>Steel, low alloyed</t>
  </si>
  <si>
    <t>kg</t>
  </si>
  <si>
    <t>Steel, high alloyedb</t>
  </si>
  <si>
    <t>Gravel</t>
  </si>
  <si>
    <t>Polyethylene</t>
  </si>
  <si>
    <t>Polyvinyl chloride</t>
  </si>
  <si>
    <t>Electro steelb</t>
  </si>
  <si>
    <t>Epoxy resinb</t>
  </si>
  <si>
    <t>Logsb (wood)</t>
  </si>
  <si>
    <t>Ceramicsb</t>
  </si>
  <si>
    <t>https://www.sciencedirect.com/science/article/pii/S0960148108001754</t>
  </si>
  <si>
    <t>Table 3. Aggregated inventory data for the process “Sway floating wind power plant 5 MW”a</t>
  </si>
  <si>
    <r>
      <t>Table 1. </t>
    </r>
    <r>
      <rPr>
        <sz val="11"/>
        <color theme="1"/>
        <rFont val="Calibri"/>
        <family val="2"/>
        <scheme val="minor"/>
      </rPr>
      <t>Quantities of materials used to build the 24 MW pilot wind farm and fuel consumptions during the three main phases of the project</t>
    </r>
  </si>
  <si>
    <t>Process input</t>
  </si>
  <si>
    <t>Mass (metric tons)</t>
  </si>
  <si>
    <t>Materials</t>
  </si>
  <si>
    <t>Other materials</t>
  </si>
  <si>
    <t>Alkyd paint</t>
  </si>
  <si>
    <t>Wood</t>
  </si>
  <si>
    <t>Epoxy</t>
  </si>
  <si>
    <t>Marine Diesel Oil (MDO)</t>
  </si>
  <si>
    <t>Installation</t>
  </si>
  <si>
    <t>Maintenance</t>
  </si>
  <si>
    <t>Decommissioning</t>
  </si>
  <si>
    <t>https://onlinelibrary.wiley.com/doi/full/10.1111/jiec.12989</t>
  </si>
  <si>
    <t>Onshore wind</t>
  </si>
  <si>
    <t>VESTAS</t>
  </si>
  <si>
    <t>Fiberclass</t>
  </si>
  <si>
    <t>Alsaleh &amp; Sattler 2019</t>
  </si>
  <si>
    <t>Alsaleh &amp; Sattler 2015</t>
  </si>
  <si>
    <t>Alsaleh &amp; Sattler 2016</t>
  </si>
  <si>
    <t>Alsaleh &amp; Sattler 2017</t>
  </si>
  <si>
    <t>Alsaleh &amp; Sattler 2018</t>
  </si>
  <si>
    <t>Alsaleh &amp; Sattler 2020</t>
  </si>
  <si>
    <t>Alsaleh &amp; Sattler 2021</t>
  </si>
  <si>
    <t>Alsaleh &amp; Sattler 2022</t>
  </si>
  <si>
    <t>Alsaleh &amp; Sattler 2023</t>
  </si>
  <si>
    <t>Alsaleh &amp; Sattler 2024</t>
  </si>
  <si>
    <t>Offshore wind floating</t>
  </si>
  <si>
    <t>Weinzettel et al</t>
  </si>
  <si>
    <t>Poujol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</si>
</sst>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0"/>
      <color rgb="FF000000"/>
      <name val="Arial"/>
      <family val="2"/>
    </font>
    <font>
      <b/>
      <sz val="10"/>
      <color rgb="FF000000"/>
      <name val="Arial"/>
      <family val="2"/>
    </font>
    <font>
      <sz val="7"/>
      <color rgb="FF2E2E2E"/>
      <name val="Georgia"/>
      <family val="1"/>
    </font>
    <font>
      <b/>
      <sz val="7"/>
      <color rgb="FF2E2E2E"/>
      <name val="Georgia"/>
      <family val="1"/>
    </font>
    <font>
      <sz val="8"/>
      <color rgb="FF2E2E2E"/>
      <name val="Georgia"/>
      <family val="1"/>
    </font>
    <font>
      <u/>
      <sz val="11"/>
      <color theme="10"/>
      <name val="Calibri"/>
      <family val="2"/>
      <scheme val="minor"/>
    </font>
    <font>
      <sz val="10"/>
      <color rgb="FF000000"/>
      <name val="Times New Roman"/>
      <family val="1"/>
    </font>
    <font>
      <sz val="9"/>
      <color rgb="FF000000"/>
      <name val="Times New Roman"/>
      <family val="1"/>
    </font>
    <font>
      <sz val="8.5"/>
      <color rgb="FF000000"/>
      <name val="Times New Roman"/>
      <family val="1"/>
    </font>
    <font>
      <sz val="7"/>
      <color theme="1"/>
      <name val="Calibri"/>
      <family val="2"/>
      <scheme val="minor"/>
    </font>
    <font>
      <sz val="7"/>
      <color rgb="FF2E2E2E"/>
      <name val="Calibri"/>
      <family val="2"/>
      <scheme val="minor"/>
    </font>
    <font>
      <b/>
      <sz val="7"/>
      <color theme="1"/>
      <name val="Calibri"/>
      <family val="2"/>
      <scheme val="minor"/>
    </font>
    <font>
      <sz val="8"/>
      <color theme="1"/>
      <name val="Source Sans Pro"/>
      <family val="2"/>
    </font>
    <font>
      <b/>
      <sz val="8"/>
      <color theme="1"/>
      <name val="Source Sans Pro"/>
      <family val="2"/>
    </font>
    <font>
      <b/>
      <vertAlign val="superscript"/>
      <sz val="7.5"/>
      <color theme="1"/>
      <name val="Source Sans Pro"/>
      <family val="2"/>
    </font>
    <font>
      <vertAlign val="superscript"/>
      <sz val="7.5"/>
      <color theme="1"/>
      <name val="Source Sans Pro"/>
      <family val="2"/>
    </font>
    <font>
      <sz val="7"/>
      <color theme="1"/>
      <name val="Source Sans Pro"/>
      <family val="2"/>
    </font>
    <font>
      <b/>
      <sz val="7"/>
      <color theme="1"/>
      <name val="Source Sans Pro"/>
      <family val="2"/>
    </font>
    <font>
      <sz val="7"/>
      <color rgb="FF007AAF"/>
      <name val="Source Sans Pro"/>
      <family val="2"/>
    </font>
    <font>
      <b/>
      <i/>
      <sz val="6"/>
      <color rgb="FF007AAF"/>
      <name val="Source Sans Pro"/>
      <family val="2"/>
    </font>
    <font>
      <b/>
      <sz val="6"/>
      <color theme="1"/>
      <name val="Source Sans Pro"/>
      <family val="2"/>
    </font>
    <font>
      <sz val="11"/>
      <color rgb="FF000000"/>
      <name val="Times New Roman"/>
      <family val="1"/>
    </font>
    <font>
      <sz val="9"/>
      <color rgb="FF000000"/>
      <name val="Gill Sans MT"/>
      <family val="2"/>
    </font>
    <font>
      <sz val="11"/>
      <color rgb="FF000000"/>
      <name val="Arial"/>
      <family val="2"/>
    </font>
    <font>
      <sz val="11"/>
      <color theme="1"/>
      <name val="Calibri"/>
      <family val="2"/>
      <scheme val="minor"/>
    </font>
    <font>
      <sz val="9"/>
      <color rgb="FF000000"/>
      <name val="Arial"/>
      <family val="2"/>
    </font>
    <font>
      <b/>
      <sz val="9"/>
      <color rgb="FF000000"/>
      <name val="Arial"/>
      <family val="2"/>
    </font>
    <font>
      <b/>
      <sz val="11"/>
      <color rgb="FF000000"/>
      <name val="Arial"/>
      <family val="2"/>
    </font>
    <font>
      <vertAlign val="subscript"/>
      <sz val="9"/>
      <color rgb="FF000000"/>
      <name val="Arial"/>
      <family val="2"/>
    </font>
    <font>
      <b/>
      <sz val="11"/>
      <color theme="1"/>
      <name val="Segoe UI"/>
      <family val="2"/>
    </font>
    <font>
      <sz val="11"/>
      <color theme="1"/>
      <name val="Segoe UI"/>
      <family val="2"/>
    </font>
    <font>
      <sz val="10"/>
      <color theme="1"/>
      <name val="Arial"/>
      <family val="2"/>
    </font>
    <font>
      <u/>
      <sz val="10"/>
      <color rgb="FF0000FF"/>
      <name val="Arial"/>
      <family val="2"/>
    </font>
    <font>
      <sz val="11"/>
      <color rgb="FF1155CC"/>
      <name val="Inconsolata"/>
    </font>
    <font>
      <b/>
      <sz val="9"/>
      <color rgb="FF616161"/>
      <name val="Arial"/>
      <family val="2"/>
    </font>
    <font>
      <b/>
      <sz val="8"/>
      <color rgb="FF000000"/>
      <name val="Times New Roman"/>
      <family val="1"/>
    </font>
    <font>
      <sz val="8"/>
      <color rgb="FF000000"/>
      <name val="Times New Roman"/>
      <family val="1"/>
    </font>
    <font>
      <sz val="9"/>
      <color rgb="FF616161"/>
      <name val="Arial"/>
      <family val="2"/>
    </font>
    <font>
      <sz val="9"/>
      <color rgb="FF103D7D"/>
      <name val="Arial"/>
      <family val="2"/>
    </font>
    <font>
      <sz val="7"/>
      <color theme="1"/>
      <name val="Georgia"/>
      <family val="1"/>
    </font>
    <font>
      <b/>
      <sz val="11"/>
      <color theme="1"/>
      <name val="Calibri"/>
      <family val="2"/>
      <scheme val="minor"/>
    </font>
    <font>
      <sz val="8"/>
      <name val="Calibri"/>
      <family val="2"/>
      <scheme val="minor"/>
    </font>
    <font>
      <i/>
      <sz val="7"/>
      <color rgb="FF2E2E2E"/>
      <name val="Georgia"/>
      <family val="1"/>
    </font>
    <font>
      <sz val="11"/>
      <color theme="1"/>
      <name val="Calibri"/>
      <family val="2"/>
      <scheme val="minor"/>
    </font>
    <font>
      <sz val="11"/>
      <color rgb="FF000000"/>
      <name val="Calibri"/>
      <family val="2"/>
      <scheme val="minor"/>
    </font>
    <font>
      <sz val="6"/>
      <color rgb="FF000000"/>
      <name val="Calibri"/>
      <family val="2"/>
      <scheme val="minor"/>
    </font>
    <font>
      <i/>
      <sz val="6"/>
      <color rgb="FF000000"/>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theme="4" tint="0.59999389629810485"/>
        <bgColor indexed="65"/>
      </patternFill>
    </fill>
    <fill>
      <patternFill patternType="solid">
        <fgColor rgb="FFE6E6E6"/>
        <bgColor indexed="64"/>
      </patternFill>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DFDCD9"/>
        <bgColor indexed="64"/>
      </patternFill>
    </fill>
    <fill>
      <patternFill patternType="solid">
        <fgColor theme="9" tint="0.79998168889431442"/>
        <bgColor indexed="64"/>
      </patternFill>
    </fill>
    <fill>
      <patternFill patternType="solid">
        <fgColor rgb="FFEEEEEE"/>
        <bgColor indexed="64"/>
      </patternFill>
    </fill>
  </fills>
  <borders count="41">
    <border>
      <left/>
      <right/>
      <top/>
      <bottom/>
      <diagonal/>
    </border>
    <border>
      <left/>
      <right/>
      <top style="medium">
        <color rgb="FFEBEBEB"/>
      </top>
      <bottom/>
      <diagonal/>
    </border>
    <border>
      <left/>
      <right/>
      <top/>
      <bottom style="medium">
        <color rgb="FFEBEBEB"/>
      </bottom>
      <diagonal/>
    </border>
    <border>
      <left/>
      <right/>
      <top style="medium">
        <color rgb="FFEBEBEB"/>
      </top>
      <bottom style="medium">
        <color rgb="FFEBEBEB"/>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style="thick">
        <color rgb="FF37424A"/>
      </top>
      <bottom style="medium">
        <color rgb="FF000000"/>
      </bottom>
      <diagonal/>
    </border>
    <border>
      <left/>
      <right/>
      <top style="thick">
        <color rgb="FF37424A"/>
      </top>
      <bottom/>
      <diagonal/>
    </border>
    <border>
      <left style="medium">
        <color rgb="FFA6A6A6"/>
      </left>
      <right style="medium">
        <color rgb="FFD5D5D5"/>
      </right>
      <top style="medium">
        <color rgb="FFA6A6A6"/>
      </top>
      <bottom style="medium">
        <color rgb="FFA6A6A6"/>
      </bottom>
      <diagonal/>
    </border>
    <border>
      <left style="medium">
        <color rgb="FFA6A6A6"/>
      </left>
      <right style="medium">
        <color rgb="FFD5D5D5"/>
      </right>
      <top/>
      <bottom style="medium">
        <color rgb="FFA6A6A6"/>
      </bottom>
      <diagonal/>
    </border>
    <border>
      <left style="medium">
        <color rgb="FFA6A6A6"/>
      </left>
      <right/>
      <top style="medium">
        <color rgb="FFD5D5D5"/>
      </top>
      <bottom style="medium">
        <color rgb="FFA6A6A6"/>
      </bottom>
      <diagonal/>
    </border>
    <border>
      <left style="medium">
        <color rgb="FFA6A6A6"/>
      </left>
      <right style="medium">
        <color rgb="FFD5D5D5"/>
      </right>
      <top style="medium">
        <color rgb="FFD5D5D5"/>
      </top>
      <bottom/>
      <diagonal/>
    </border>
    <border>
      <left style="medium">
        <color rgb="FFD5D5D5"/>
      </left>
      <right style="medium">
        <color rgb="FFD5D5D5"/>
      </right>
      <top style="medium">
        <color rgb="FFA6A6A6"/>
      </top>
      <bottom style="medium">
        <color rgb="FFA6A6A6"/>
      </bottom>
      <diagonal/>
    </border>
    <border>
      <left style="medium">
        <color rgb="FFD5D5D5"/>
      </left>
      <right style="medium">
        <color rgb="FFD5D5D5"/>
      </right>
      <top style="medium">
        <color rgb="FFA6A6A6"/>
      </top>
      <bottom style="medium">
        <color rgb="FFD5D5D5"/>
      </bottom>
      <diagonal/>
    </border>
    <border>
      <left style="medium">
        <color rgb="FFA6A6A6"/>
      </left>
      <right style="medium">
        <color rgb="FFD5D5D5"/>
      </right>
      <top style="medium">
        <color rgb="FFA6A6A6"/>
      </top>
      <bottom style="medium">
        <color rgb="FFD5D5D5"/>
      </bottom>
      <diagonal/>
    </border>
    <border>
      <left style="medium">
        <color rgb="FFD5D5D5"/>
      </left>
      <right style="medium">
        <color rgb="FFA6A6A6"/>
      </right>
      <top style="medium">
        <color rgb="FFD5D5D5"/>
      </top>
      <bottom/>
      <diagonal/>
    </border>
    <border>
      <left style="medium">
        <color rgb="FFD5D5D5"/>
      </left>
      <right style="medium">
        <color rgb="FFA6A6A6"/>
      </right>
      <top/>
      <bottom style="medium">
        <color rgb="FFA6A6A6"/>
      </bottom>
      <diagonal/>
    </border>
    <border>
      <left/>
      <right style="medium">
        <color rgb="FFA6A6A6"/>
      </right>
      <top style="medium">
        <color rgb="FFD5D5D5"/>
      </top>
      <bottom style="medium">
        <color rgb="FFA6A6A6"/>
      </bottom>
      <diagonal/>
    </border>
    <border>
      <left style="medium">
        <color rgb="FFD5D5D5"/>
      </left>
      <right style="medium">
        <color rgb="FFD5D5D5"/>
      </right>
      <top style="medium">
        <color rgb="FFD5D5D5"/>
      </top>
      <bottom style="medium">
        <color rgb="FFA6A6A6"/>
      </bottom>
      <diagonal/>
    </border>
    <border>
      <left style="medium">
        <color rgb="FFA6A6A6"/>
      </left>
      <right style="medium">
        <color rgb="FFD5D5D5"/>
      </right>
      <top style="medium">
        <color rgb="FFD5D5D5"/>
      </top>
      <bottom style="medium">
        <color rgb="FFA6A6A6"/>
      </bottom>
      <diagonal/>
    </border>
    <border>
      <left style="medium">
        <color rgb="FFD5D5D5"/>
      </left>
      <right style="medium">
        <color rgb="FFA6A6A6"/>
      </right>
      <top style="medium">
        <color rgb="FFA6A6A6"/>
      </top>
      <bottom/>
      <diagonal/>
    </border>
    <border>
      <left style="medium">
        <color rgb="FFD5D5D5"/>
      </left>
      <right style="medium">
        <color rgb="FFA6A6A6"/>
      </right>
      <top/>
      <bottom/>
      <diagonal/>
    </border>
    <border>
      <left style="medium">
        <color rgb="FFD5D5D5"/>
      </left>
      <right style="medium">
        <color rgb="FFA6A6A6"/>
      </right>
      <top/>
      <bottom style="medium">
        <color rgb="FFD5D5D5"/>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9E9E9E"/>
      </left>
      <right/>
      <top style="medium">
        <color rgb="FF9E9E9E"/>
      </top>
      <bottom/>
      <diagonal/>
    </border>
    <border>
      <left/>
      <right style="medium">
        <color rgb="FF9E9E9E"/>
      </right>
      <top style="medium">
        <color rgb="FF9E9E9E"/>
      </top>
      <bottom/>
      <diagonal/>
    </border>
    <border>
      <left style="medium">
        <color rgb="FF9E9E9E"/>
      </left>
      <right/>
      <top/>
      <bottom/>
      <diagonal/>
    </border>
    <border>
      <left/>
      <right style="medium">
        <color rgb="FF9E9E9E"/>
      </right>
      <top/>
      <bottom/>
      <diagonal/>
    </border>
    <border>
      <left style="medium">
        <color rgb="FF9E9E9E"/>
      </left>
      <right/>
      <top/>
      <bottom style="medium">
        <color rgb="FF9E9E9E"/>
      </bottom>
      <diagonal/>
    </border>
    <border>
      <left/>
      <right style="medium">
        <color rgb="FF9E9E9E"/>
      </right>
      <top/>
      <bottom style="medium">
        <color rgb="FF9E9E9E"/>
      </bottom>
      <diagonal/>
    </border>
  </borders>
  <cellStyleXfs count="3">
    <xf numFmtId="0" fontId="0" fillId="0" borderId="0"/>
    <xf numFmtId="0" fontId="6" fillId="0" borderId="0" applyNumberFormat="0" applyFill="0" applyBorder="0" applyAlignment="0" applyProtection="0"/>
    <xf numFmtId="0" fontId="25" fillId="3" borderId="0" applyNumberFormat="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0" fillId="0" borderId="2" xfId="0" applyBorder="1"/>
    <xf numFmtId="0" fontId="3" fillId="0" borderId="2"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5" fillId="0" borderId="0" xfId="0" applyFont="1"/>
    <xf numFmtId="0" fontId="3" fillId="0" borderId="3" xfId="0" applyFont="1" applyBorder="1" applyAlignment="1">
      <alignment horizontal="left" vertical="center" wrapText="1"/>
    </xf>
    <xf numFmtId="0" fontId="6" fillId="0" borderId="0" xfId="1" applyAlignment="1">
      <alignment vertical="center" wrapText="1"/>
    </xf>
    <xf numFmtId="0" fontId="6" fillId="0" borderId="0" xfId="1" applyAlignment="1">
      <alignment vertical="center"/>
    </xf>
    <xf numFmtId="0" fontId="8" fillId="0" borderId="4" xfId="0" applyFont="1" applyBorder="1" applyAlignment="1">
      <alignment horizontal="left" vertical="center" wrapText="1"/>
    </xf>
    <xf numFmtId="0" fontId="8" fillId="0" borderId="0" xfId="0" applyFont="1" applyAlignment="1">
      <alignment horizontal="left" vertical="center" wrapText="1"/>
    </xf>
    <xf numFmtId="0" fontId="8" fillId="0" borderId="5" xfId="0" applyFont="1" applyBorder="1" applyAlignment="1">
      <alignment horizontal="left" vertical="center" wrapText="1"/>
    </xf>
    <xf numFmtId="0" fontId="8" fillId="0" borderId="0" xfId="0" applyFont="1" applyAlignment="1">
      <alignment horizontal="justify" vertical="center" wrapText="1"/>
    </xf>
    <xf numFmtId="0" fontId="7" fillId="0" borderId="5" xfId="0" applyFont="1" applyBorder="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xf>
    <xf numFmtId="0" fontId="9" fillId="0" borderId="4" xfId="0" applyFont="1" applyBorder="1" applyAlignment="1">
      <alignment horizontal="left" vertical="center" wrapText="1" indent="1"/>
    </xf>
    <xf numFmtId="0" fontId="9" fillId="0" borderId="4" xfId="0" applyFont="1" applyBorder="1" applyAlignment="1">
      <alignment horizontal="left" vertical="center" wrapText="1"/>
    </xf>
    <xf numFmtId="0" fontId="9" fillId="0" borderId="0" xfId="0" applyFont="1" applyAlignment="1">
      <alignment horizontal="left" vertical="center" wrapText="1" indent="3"/>
    </xf>
    <xf numFmtId="0" fontId="9" fillId="0" borderId="0" xfId="0" applyFont="1" applyAlignment="1">
      <alignment horizontal="left" vertical="center" wrapText="1"/>
    </xf>
    <xf numFmtId="0" fontId="9" fillId="0" borderId="0" xfId="0" applyFont="1" applyAlignment="1">
      <alignment horizontal="left" vertical="center" wrapText="1" indent="1"/>
    </xf>
    <xf numFmtId="0" fontId="9" fillId="0" borderId="5" xfId="0" applyFont="1" applyBorder="1" applyAlignment="1">
      <alignment horizontal="left" vertical="center" wrapText="1"/>
    </xf>
    <xf numFmtId="0" fontId="9" fillId="0" borderId="5" xfId="0" applyFont="1" applyBorder="1" applyAlignment="1">
      <alignment horizontal="left" vertical="center" wrapText="1" indent="1"/>
    </xf>
    <xf numFmtId="0" fontId="9" fillId="0" borderId="5" xfId="0" applyFont="1" applyBorder="1" applyAlignment="1">
      <alignment horizontal="left" vertical="center" wrapText="1" indent="3"/>
    </xf>
    <xf numFmtId="0" fontId="7" fillId="0" borderId="0" xfId="0" applyFont="1" applyAlignment="1">
      <alignment horizontal="left" vertical="center"/>
    </xf>
    <xf numFmtId="0" fontId="9" fillId="0" borderId="6" xfId="0" applyFont="1" applyBorder="1" applyAlignment="1">
      <alignment horizontal="left" vertical="center" wrapText="1" indent="3"/>
    </xf>
    <xf numFmtId="0" fontId="9" fillId="0" borderId="6" xfId="0" applyFont="1" applyBorder="1" applyAlignment="1">
      <alignment horizontal="left" vertical="center" wrapText="1"/>
    </xf>
    <xf numFmtId="0" fontId="8" fillId="0" borderId="4" xfId="0" applyFont="1" applyBorder="1" applyAlignment="1">
      <alignment horizontal="left" vertical="center" wrapText="1" indent="2"/>
    </xf>
    <xf numFmtId="0" fontId="8" fillId="0" borderId="5" xfId="0" applyFont="1" applyBorder="1" applyAlignment="1">
      <alignment horizontal="left" vertical="center" wrapText="1" indent="3"/>
    </xf>
    <xf numFmtId="0" fontId="8" fillId="0" borderId="5" xfId="0" applyFont="1" applyBorder="1" applyAlignment="1">
      <alignment horizontal="left" vertical="center" wrapText="1" indent="1"/>
    </xf>
    <xf numFmtId="0" fontId="8" fillId="0" borderId="5" xfId="0" applyFont="1" applyBorder="1" applyAlignment="1">
      <alignment horizontal="left" vertical="center" wrapText="1" indent="2"/>
    </xf>
    <xf numFmtId="16" fontId="8" fillId="0" borderId="5" xfId="0" applyNumberFormat="1" applyFont="1" applyBorder="1" applyAlignment="1">
      <alignment horizontal="left" vertical="center" wrapText="1" indent="3"/>
    </xf>
    <xf numFmtId="0" fontId="11" fillId="0" borderId="0" xfId="0" applyFont="1" applyAlignment="1">
      <alignment vertical="center"/>
    </xf>
    <xf numFmtId="0" fontId="10" fillId="0" borderId="0" xfId="0" applyFont="1" applyAlignment="1">
      <alignment vertical="center" wrapText="1"/>
    </xf>
    <xf numFmtId="0" fontId="12" fillId="0" borderId="3" xfId="0" applyFont="1" applyBorder="1" applyAlignment="1">
      <alignment horizontal="center" vertical="center" wrapText="1"/>
    </xf>
    <xf numFmtId="0" fontId="10" fillId="0" borderId="2" xfId="0" applyFont="1" applyBorder="1" applyAlignment="1">
      <alignment vertical="center" wrapText="1"/>
    </xf>
    <xf numFmtId="0" fontId="6" fillId="0" borderId="2" xfId="1" applyBorder="1" applyAlignment="1">
      <alignment vertical="center" wrapText="1"/>
    </xf>
    <xf numFmtId="0" fontId="3" fillId="0" borderId="2" xfId="0" applyFont="1" applyBorder="1" applyAlignment="1">
      <alignment vertical="center" wrapText="1"/>
    </xf>
    <xf numFmtId="0" fontId="4" fillId="0" borderId="0" xfId="0" applyFont="1" applyAlignment="1">
      <alignment horizontal="center" vertical="center" wrapText="1"/>
    </xf>
    <xf numFmtId="0" fontId="3" fillId="0" borderId="0" xfId="0" applyFont="1" applyAlignment="1">
      <alignment vertical="center" wrapText="1"/>
    </xf>
    <xf numFmtId="9" fontId="3" fillId="0" borderId="0" xfId="0" applyNumberFormat="1" applyFont="1" applyAlignment="1">
      <alignment vertical="center" wrapText="1"/>
    </xf>
    <xf numFmtId="0" fontId="0" fillId="0" borderId="1" xfId="0" applyBorder="1"/>
    <xf numFmtId="0" fontId="6" fillId="0" borderId="0" xfId="1"/>
    <xf numFmtId="0" fontId="13" fillId="0" borderId="0" xfId="0" applyFont="1" applyAlignment="1">
      <alignment horizontal="left" vertical="top" wrapText="1"/>
    </xf>
    <xf numFmtId="0" fontId="6" fillId="0" borderId="0" xfId="1" applyAlignment="1">
      <alignment horizontal="left" vertical="top" wrapText="1"/>
    </xf>
    <xf numFmtId="0" fontId="0" fillId="2" borderId="0" xfId="0" applyFill="1"/>
    <xf numFmtId="0" fontId="14" fillId="2" borderId="5" xfId="0" applyFont="1" applyFill="1" applyBorder="1" applyAlignment="1">
      <alignment horizontal="left" wrapText="1"/>
    </xf>
    <xf numFmtId="0" fontId="14" fillId="0" borderId="7" xfId="0" applyFont="1" applyBorder="1" applyAlignment="1">
      <alignment vertical="center" wrapText="1"/>
    </xf>
    <xf numFmtId="0" fontId="17" fillId="2" borderId="0" xfId="0" applyFont="1" applyFill="1" applyAlignment="1">
      <alignment horizontal="left" vertical="top" wrapText="1"/>
    </xf>
    <xf numFmtId="0" fontId="18" fillId="2" borderId="5" xfId="0" applyFont="1" applyFill="1" applyBorder="1" applyAlignment="1">
      <alignment horizontal="left" wrapText="1"/>
    </xf>
    <xf numFmtId="0" fontId="18" fillId="0" borderId="7" xfId="0" applyFont="1" applyBorder="1" applyAlignment="1">
      <alignment vertical="center" wrapText="1"/>
    </xf>
    <xf numFmtId="0" fontId="14" fillId="0" borderId="5" xfId="0" applyFont="1" applyBorder="1" applyAlignment="1">
      <alignment horizontal="left" wrapText="1"/>
    </xf>
    <xf numFmtId="0" fontId="22" fillId="0" borderId="0" xfId="0" applyFont="1" applyAlignment="1">
      <alignment horizontal="left" vertical="center" wrapText="1" indent="4"/>
    </xf>
    <xf numFmtId="0" fontId="23" fillId="0" borderId="0" xfId="0" applyFont="1" applyAlignment="1">
      <alignment vertical="center" wrapText="1"/>
    </xf>
    <xf numFmtId="0" fontId="23" fillId="0" borderId="0" xfId="0" applyFont="1" applyAlignment="1">
      <alignment horizontal="center" vertical="center" wrapText="1"/>
    </xf>
    <xf numFmtId="0" fontId="23" fillId="0" borderId="0" xfId="0" applyFont="1" applyAlignment="1">
      <alignment horizontal="right" vertical="center" wrapText="1"/>
    </xf>
    <xf numFmtId="0" fontId="23" fillId="0" borderId="0" xfId="0" applyFont="1" applyAlignment="1">
      <alignment horizontal="left" vertical="center" wrapText="1" indent="1"/>
    </xf>
    <xf numFmtId="3" fontId="23" fillId="0" borderId="0" xfId="0" applyNumberFormat="1" applyFont="1" applyAlignment="1">
      <alignment horizontal="left" vertical="center" wrapText="1" indent="1"/>
    </xf>
    <xf numFmtId="3" fontId="23" fillId="0" borderId="0" xfId="0" applyNumberFormat="1" applyFont="1" applyAlignment="1">
      <alignment vertical="center" wrapText="1"/>
    </xf>
    <xf numFmtId="3" fontId="23" fillId="0" borderId="0" xfId="0" applyNumberFormat="1" applyFont="1" applyAlignment="1">
      <alignment horizontal="right" vertical="center" wrapText="1"/>
    </xf>
    <xf numFmtId="3" fontId="23" fillId="0" borderId="0" xfId="0" applyNumberFormat="1" applyFont="1" applyAlignment="1">
      <alignment horizontal="left" vertical="center" wrapText="1" indent="2"/>
    </xf>
    <xf numFmtId="3" fontId="23" fillId="0" borderId="0" xfId="0" applyNumberFormat="1" applyFont="1" applyAlignment="1">
      <alignment horizontal="center" vertical="center" wrapText="1"/>
    </xf>
    <xf numFmtId="3" fontId="23" fillId="0" borderId="5" xfId="0" applyNumberFormat="1" applyFont="1" applyBorder="1" applyAlignment="1">
      <alignment vertical="center" wrapText="1"/>
    </xf>
    <xf numFmtId="3" fontId="23" fillId="0" borderId="5" xfId="0" applyNumberFormat="1" applyFont="1" applyBorder="1" applyAlignment="1">
      <alignment horizontal="left" vertical="center" wrapText="1" indent="1"/>
    </xf>
    <xf numFmtId="3" fontId="23" fillId="0" borderId="5" xfId="0" applyNumberFormat="1" applyFont="1" applyBorder="1" applyAlignment="1">
      <alignment horizontal="right" vertical="center" wrapText="1"/>
    </xf>
    <xf numFmtId="0" fontId="23" fillId="0" borderId="6" xfId="0" applyFont="1" applyBorder="1" applyAlignment="1">
      <alignment vertical="center" wrapText="1"/>
    </xf>
    <xf numFmtId="3" fontId="23" fillId="0" borderId="6" xfId="0" applyNumberFormat="1" applyFont="1" applyBorder="1" applyAlignment="1">
      <alignment horizontal="left" vertical="center" wrapText="1" indent="1"/>
    </xf>
    <xf numFmtId="0" fontId="23" fillId="0" borderId="6" xfId="0" applyFont="1" applyBorder="1" applyAlignment="1">
      <alignment horizontal="center" vertical="center" wrapText="1"/>
    </xf>
    <xf numFmtId="0" fontId="24" fillId="0" borderId="8" xfId="0" applyFont="1" applyBorder="1" applyAlignment="1">
      <alignment vertical="center" wrapText="1"/>
    </xf>
    <xf numFmtId="0" fontId="0" fillId="0" borderId="8" xfId="0" applyBorder="1" applyAlignment="1">
      <alignment vertical="top" wrapText="1"/>
    </xf>
    <xf numFmtId="0" fontId="28" fillId="0" borderId="0" xfId="0" applyFont="1" applyAlignment="1">
      <alignment vertical="center"/>
    </xf>
    <xf numFmtId="0" fontId="27" fillId="0" borderId="9" xfId="0" applyFont="1" applyBorder="1" applyAlignment="1">
      <alignment vertical="center" wrapText="1"/>
    </xf>
    <xf numFmtId="0" fontId="27" fillId="0" borderId="9" xfId="0" applyFont="1" applyBorder="1" applyAlignment="1">
      <alignment horizontal="justify" vertical="center" wrapText="1"/>
    </xf>
    <xf numFmtId="0" fontId="26" fillId="0" borderId="0" xfId="0" applyFont="1" applyAlignment="1">
      <alignment vertical="center" wrapText="1"/>
    </xf>
    <xf numFmtId="0" fontId="26" fillId="0" borderId="0" xfId="0" applyFont="1" applyAlignment="1">
      <alignment horizontal="left" vertical="center" wrapText="1" indent="1"/>
    </xf>
    <xf numFmtId="0" fontId="26" fillId="0" borderId="0" xfId="0" applyFont="1" applyAlignment="1">
      <alignment horizontal="left" vertical="center" wrapText="1" indent="2"/>
    </xf>
    <xf numFmtId="0" fontId="26" fillId="0" borderId="0" xfId="0" applyFont="1" applyAlignment="1">
      <alignment horizontal="center" vertical="center" wrapText="1"/>
    </xf>
    <xf numFmtId="0" fontId="26" fillId="0" borderId="0" xfId="0" applyFont="1" applyAlignment="1">
      <alignment horizontal="left" vertical="center" wrapText="1" indent="4"/>
    </xf>
    <xf numFmtId="0" fontId="26" fillId="0" borderId="0" xfId="0" applyFont="1" applyAlignment="1">
      <alignment horizontal="left" vertical="center" wrapText="1" indent="3"/>
    </xf>
    <xf numFmtId="0" fontId="26" fillId="0" borderId="5" xfId="0" applyFont="1" applyBorder="1" applyAlignment="1">
      <alignment horizontal="left" vertical="center" wrapText="1" indent="4"/>
    </xf>
    <xf numFmtId="0" fontId="26" fillId="0" borderId="5" xfId="0" applyFont="1" applyBorder="1" applyAlignment="1">
      <alignment vertical="center" wrapText="1"/>
    </xf>
    <xf numFmtId="0" fontId="26" fillId="0" borderId="5" xfId="0" applyFont="1" applyBorder="1" applyAlignment="1">
      <alignment horizontal="left" vertical="center" wrapText="1" indent="1"/>
    </xf>
    <xf numFmtId="0" fontId="26" fillId="0" borderId="5" xfId="0" applyFont="1" applyBorder="1" applyAlignment="1">
      <alignment horizontal="left" vertical="center" wrapText="1" indent="3"/>
    </xf>
    <xf numFmtId="0" fontId="26" fillId="0" borderId="5" xfId="0" applyFont="1" applyBorder="1" applyAlignment="1">
      <alignment horizontal="left" vertical="center" wrapText="1" indent="2"/>
    </xf>
    <xf numFmtId="0" fontId="26" fillId="0" borderId="5" xfId="0" applyFont="1" applyBorder="1" applyAlignment="1">
      <alignment horizontal="center" vertical="center" wrapText="1"/>
    </xf>
    <xf numFmtId="0" fontId="26" fillId="0" borderId="0" xfId="0" applyFont="1" applyAlignment="1">
      <alignment vertical="center"/>
    </xf>
    <xf numFmtId="0" fontId="26" fillId="0" borderId="10" xfId="0" applyFont="1" applyBorder="1" applyAlignment="1">
      <alignment horizontal="left" vertical="center" wrapText="1" indent="4"/>
    </xf>
    <xf numFmtId="0" fontId="26" fillId="0" borderId="10" xfId="0" applyFont="1" applyBorder="1" applyAlignment="1">
      <alignment vertical="center" wrapText="1"/>
    </xf>
    <xf numFmtId="0" fontId="26" fillId="0" borderId="10" xfId="0" applyFont="1" applyBorder="1" applyAlignment="1">
      <alignment horizontal="left" vertical="center" wrapText="1" indent="1"/>
    </xf>
    <xf numFmtId="0" fontId="26" fillId="0" borderId="10" xfId="0" applyFont="1" applyBorder="1" applyAlignment="1">
      <alignment horizontal="center" vertical="center" wrapText="1"/>
    </xf>
    <xf numFmtId="0" fontId="27" fillId="0" borderId="0" xfId="0" applyFont="1" applyAlignment="1">
      <alignment vertical="center" wrapText="1"/>
    </xf>
    <xf numFmtId="0" fontId="30" fillId="4" borderId="11" xfId="0" applyFont="1" applyFill="1" applyBorder="1" applyAlignment="1">
      <alignment horizontal="left" vertical="center" wrapText="1"/>
    </xf>
    <xf numFmtId="0" fontId="31" fillId="0" borderId="11" xfId="0" applyFont="1" applyBorder="1" applyAlignment="1">
      <alignment horizontal="left" vertical="center" wrapText="1"/>
    </xf>
    <xf numFmtId="3" fontId="0" fillId="0" borderId="0" xfId="0" applyNumberFormat="1"/>
    <xf numFmtId="3" fontId="31" fillId="0" borderId="11" xfId="0" applyNumberFormat="1" applyFont="1" applyBorder="1" applyAlignment="1">
      <alignment horizontal="left" vertical="center" wrapText="1"/>
    </xf>
    <xf numFmtId="0" fontId="31" fillId="0" borderId="15" xfId="0" applyFont="1" applyBorder="1" applyAlignment="1">
      <alignment horizontal="left" vertical="center" wrapText="1"/>
    </xf>
    <xf numFmtId="0" fontId="31" fillId="0" borderId="16" xfId="0" applyFont="1" applyBorder="1" applyAlignment="1">
      <alignment horizontal="left" vertical="center" wrapText="1"/>
    </xf>
    <xf numFmtId="0" fontId="31" fillId="0" borderId="17" xfId="0" applyFont="1" applyBorder="1" applyAlignment="1">
      <alignment horizontal="left" vertical="center" wrapText="1"/>
    </xf>
    <xf numFmtId="0" fontId="30" fillId="4" borderId="21" xfId="0" applyFont="1" applyFill="1" applyBorder="1" applyAlignment="1">
      <alignment horizontal="left" vertical="center" wrapText="1"/>
    </xf>
    <xf numFmtId="0" fontId="30" fillId="4" borderId="22" xfId="0" applyFont="1" applyFill="1" applyBorder="1" applyAlignment="1">
      <alignment horizontal="left" vertical="center" wrapText="1"/>
    </xf>
    <xf numFmtId="0" fontId="31" fillId="0" borderId="11" xfId="0" applyFont="1" applyBorder="1" applyAlignment="1">
      <alignment vertical="center" wrapText="1"/>
    </xf>
    <xf numFmtId="3" fontId="31" fillId="0" borderId="11" xfId="0" applyNumberFormat="1" applyFont="1" applyBorder="1" applyAlignment="1">
      <alignment vertical="center" wrapText="1"/>
    </xf>
    <xf numFmtId="3" fontId="31" fillId="0" borderId="17" xfId="0" applyNumberFormat="1" applyFont="1" applyBorder="1" applyAlignment="1">
      <alignment vertical="center" wrapText="1"/>
    </xf>
    <xf numFmtId="0" fontId="25" fillId="3" borderId="0" xfId="2" applyAlignment="1"/>
    <xf numFmtId="0" fontId="6" fillId="3" borderId="0" xfId="1" applyFill="1" applyAlignment="1"/>
    <xf numFmtId="0" fontId="32" fillId="0" borderId="0" xfId="0" applyFont="1"/>
    <xf numFmtId="0" fontId="32" fillId="5" borderId="0" xfId="0" applyFont="1" applyFill="1"/>
    <xf numFmtId="0" fontId="32" fillId="6" borderId="0" xfId="0" applyFont="1" applyFill="1"/>
    <xf numFmtId="0" fontId="33" fillId="0" borderId="0" xfId="0" applyFont="1"/>
    <xf numFmtId="0" fontId="24" fillId="0" borderId="0" xfId="0" applyFont="1"/>
    <xf numFmtId="0" fontId="34" fillId="7" borderId="0" xfId="0" applyFont="1" applyFill="1"/>
    <xf numFmtId="0" fontId="36" fillId="8" borderId="29" xfId="0" applyFont="1" applyFill="1" applyBorder="1" applyAlignment="1">
      <alignment vertical="center" wrapText="1"/>
    </xf>
    <xf numFmtId="0" fontId="36" fillId="8" borderId="29" xfId="0" applyFont="1" applyFill="1" applyBorder="1" applyAlignment="1">
      <alignment horizontal="justify" vertical="center" wrapText="1"/>
    </xf>
    <xf numFmtId="0" fontId="35" fillId="0" borderId="0" xfId="0" applyFont="1"/>
    <xf numFmtId="0" fontId="35" fillId="8" borderId="32" xfId="0" applyFont="1" applyFill="1" applyBorder="1" applyAlignment="1">
      <alignment vertical="center" wrapText="1"/>
    </xf>
    <xf numFmtId="10" fontId="36" fillId="8" borderId="29" xfId="0" applyNumberFormat="1" applyFont="1" applyFill="1" applyBorder="1" applyAlignment="1">
      <alignment horizontal="right" vertical="center" wrapText="1"/>
    </xf>
    <xf numFmtId="0" fontId="37" fillId="0" borderId="30" xfId="0" applyFont="1" applyBorder="1" applyAlignment="1">
      <alignment vertical="center" wrapText="1"/>
    </xf>
    <xf numFmtId="10" fontId="37" fillId="0" borderId="29" xfId="0" applyNumberFormat="1" applyFont="1" applyBorder="1" applyAlignment="1">
      <alignment horizontal="right" vertical="center" wrapText="1"/>
    </xf>
    <xf numFmtId="0" fontId="37" fillId="0" borderId="29" xfId="0" applyFont="1" applyBorder="1" applyAlignment="1">
      <alignment vertical="center" wrapText="1"/>
    </xf>
    <xf numFmtId="0" fontId="37" fillId="0" borderId="29" xfId="0" applyFont="1" applyBorder="1" applyAlignment="1">
      <alignment horizontal="justify" vertical="center" wrapText="1"/>
    </xf>
    <xf numFmtId="0" fontId="36" fillId="8" borderId="31" xfId="0" applyFont="1" applyFill="1" applyBorder="1" applyAlignment="1">
      <alignment vertical="top" wrapText="1"/>
    </xf>
    <xf numFmtId="0" fontId="36" fillId="8" borderId="29" xfId="0" applyFont="1" applyFill="1" applyBorder="1" applyAlignment="1">
      <alignment horizontal="right" vertical="center" wrapText="1"/>
    </xf>
    <xf numFmtId="0" fontId="38" fillId="0" borderId="0" xfId="0" applyFont="1" applyAlignment="1">
      <alignment vertical="center"/>
    </xf>
    <xf numFmtId="0" fontId="39" fillId="0" borderId="0" xfId="0" applyFont="1" applyAlignment="1">
      <alignment horizontal="right" vertical="center"/>
    </xf>
    <xf numFmtId="0" fontId="40" fillId="0" borderId="0" xfId="0" applyFont="1" applyAlignment="1">
      <alignment horizontal="left" vertical="center" wrapText="1"/>
    </xf>
    <xf numFmtId="0" fontId="40" fillId="0" borderId="0" xfId="0" applyFont="1" applyAlignment="1">
      <alignment vertical="center" wrapText="1"/>
    </xf>
    <xf numFmtId="0" fontId="6" fillId="0" borderId="0" xfId="1" applyAlignment="1">
      <alignment horizontal="left" vertical="center" wrapText="1"/>
    </xf>
    <xf numFmtId="0" fontId="40" fillId="0" borderId="1" xfId="0" applyFont="1" applyBorder="1" applyAlignment="1">
      <alignment horizontal="left" vertical="center" wrapText="1"/>
    </xf>
    <xf numFmtId="0" fontId="6" fillId="0" borderId="2" xfId="1" applyBorder="1" applyAlignment="1">
      <alignment horizontal="left" vertical="center" wrapText="1"/>
    </xf>
    <xf numFmtId="0" fontId="40" fillId="0" borderId="2" xfId="0" applyFont="1" applyBorder="1" applyAlignment="1">
      <alignment vertical="center" wrapText="1"/>
    </xf>
    <xf numFmtId="0" fontId="3" fillId="0" borderId="0" xfId="0" applyFont="1" applyAlignment="1">
      <alignment vertical="center"/>
    </xf>
    <xf numFmtId="0" fontId="4" fillId="0" borderId="3" xfId="0" applyFont="1" applyBorder="1" applyAlignment="1">
      <alignment horizontal="left" vertical="center" wrapText="1"/>
    </xf>
    <xf numFmtId="0" fontId="40" fillId="0" borderId="1" xfId="0" applyFont="1" applyBorder="1" applyAlignment="1">
      <alignment vertical="center" wrapText="1"/>
    </xf>
    <xf numFmtId="0" fontId="0" fillId="9" borderId="0" xfId="0" applyFill="1"/>
    <xf numFmtId="0" fontId="41" fillId="0" borderId="0" xfId="0" applyFont="1"/>
    <xf numFmtId="3" fontId="41" fillId="0" borderId="0" xfId="0" applyNumberFormat="1" applyFont="1"/>
    <xf numFmtId="0" fontId="27" fillId="0" borderId="0" xfId="0" applyFont="1" applyAlignment="1">
      <alignment horizontal="left" vertical="center" wrapText="1" indent="4"/>
    </xf>
    <xf numFmtId="0" fontId="27" fillId="0" borderId="0" xfId="0" applyFont="1" applyAlignment="1">
      <alignment vertical="center"/>
    </xf>
    <xf numFmtId="11" fontId="3" fillId="0" borderId="0" xfId="0" applyNumberFormat="1" applyFont="1" applyAlignment="1">
      <alignment vertical="center" wrapText="1"/>
    </xf>
    <xf numFmtId="0" fontId="44" fillId="0" borderId="0" xfId="0" applyFont="1"/>
    <xf numFmtId="0" fontId="45" fillId="10" borderId="35" xfId="0" applyFont="1" applyFill="1" applyBorder="1" applyAlignment="1">
      <alignment horizontal="left" vertical="top" wrapText="1"/>
    </xf>
    <xf numFmtId="0" fontId="45" fillId="10" borderId="36" xfId="0" applyFont="1" applyFill="1" applyBorder="1" applyAlignment="1">
      <alignment horizontal="left" vertical="top" wrapText="1"/>
    </xf>
    <xf numFmtId="0" fontId="47" fillId="0" borderId="37" xfId="0" applyFont="1" applyBorder="1" applyAlignment="1">
      <alignment horizontal="left" vertical="top" wrapText="1"/>
    </xf>
    <xf numFmtId="0" fontId="46" fillId="0" borderId="38" xfId="0" applyFont="1" applyBorder="1" applyAlignment="1">
      <alignment horizontal="left" vertical="top" wrapText="1"/>
    </xf>
    <xf numFmtId="0" fontId="46" fillId="0" borderId="37" xfId="0" applyFont="1" applyBorder="1" applyAlignment="1">
      <alignment horizontal="left" vertical="top" wrapText="1"/>
    </xf>
    <xf numFmtId="0" fontId="46" fillId="0" borderId="39" xfId="0" applyFont="1" applyBorder="1" applyAlignment="1">
      <alignment horizontal="left" vertical="top" wrapText="1"/>
    </xf>
    <xf numFmtId="0" fontId="46" fillId="0" borderId="40" xfId="0" applyFont="1" applyBorder="1" applyAlignment="1">
      <alignment horizontal="left" vertical="top" wrapText="1"/>
    </xf>
    <xf numFmtId="0" fontId="27" fillId="9" borderId="0" xfId="0" applyFont="1" applyFill="1" applyAlignment="1">
      <alignment vertical="center" wrapText="1"/>
    </xf>
    <xf numFmtId="0" fontId="41" fillId="9" borderId="0" xfId="0" applyFont="1" applyFill="1"/>
    <xf numFmtId="0" fontId="27" fillId="9" borderId="0" xfId="0" applyFont="1" applyFill="1" applyAlignment="1">
      <alignment horizontal="left" vertical="center" wrapText="1" indent="4"/>
    </xf>
    <xf numFmtId="3" fontId="41" fillId="9" borderId="0" xfId="0" applyNumberFormat="1" applyFont="1" applyFill="1"/>
    <xf numFmtId="3" fontId="0" fillId="9" borderId="0" xfId="0" applyNumberFormat="1" applyFill="1"/>
    <xf numFmtId="11" fontId="3" fillId="9" borderId="0" xfId="0" applyNumberFormat="1" applyFont="1" applyFill="1" applyAlignment="1">
      <alignment vertical="center" wrapText="1"/>
    </xf>
    <xf numFmtId="0" fontId="1" fillId="9" borderId="0" xfId="0" applyFont="1" applyFill="1"/>
    <xf numFmtId="0" fontId="4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31" fillId="0" borderId="23" xfId="0" applyFont="1" applyBorder="1" applyAlignment="1">
      <alignment horizontal="left" vertical="center" wrapText="1"/>
    </xf>
    <xf numFmtId="0" fontId="31" fillId="0" borderId="24" xfId="0" applyFont="1" applyBorder="1" applyAlignment="1">
      <alignment horizontal="left" vertical="center" wrapText="1"/>
    </xf>
    <xf numFmtId="0" fontId="31" fillId="0" borderId="25" xfId="0" applyFont="1" applyBorder="1" applyAlignment="1">
      <alignment horizontal="left" vertical="center" wrapText="1"/>
    </xf>
    <xf numFmtId="0" fontId="30" fillId="4" borderId="18" xfId="0" applyFont="1" applyFill="1" applyBorder="1" applyAlignment="1">
      <alignment horizontal="left" vertical="center" wrapText="1"/>
    </xf>
    <xf numFmtId="0" fontId="30" fillId="4" borderId="19" xfId="0" applyFont="1" applyFill="1" applyBorder="1" applyAlignment="1">
      <alignment horizontal="left" vertical="center" wrapText="1"/>
    </xf>
    <xf numFmtId="0" fontId="30" fillId="4" borderId="13" xfId="0" applyFont="1" applyFill="1" applyBorder="1" applyAlignment="1">
      <alignment horizontal="left" vertical="center" wrapText="1"/>
    </xf>
    <xf numFmtId="0" fontId="30" fillId="4" borderId="20" xfId="0" applyFont="1" applyFill="1" applyBorder="1" applyAlignment="1">
      <alignment horizontal="left" vertical="center" wrapText="1"/>
    </xf>
    <xf numFmtId="0" fontId="30" fillId="4" borderId="14" xfId="0" applyFont="1" applyFill="1" applyBorder="1" applyAlignment="1">
      <alignment horizontal="left" vertical="center" wrapText="1"/>
    </xf>
    <xf numFmtId="0" fontId="30" fillId="4" borderId="12" xfId="0" applyFont="1" applyFill="1" applyBorder="1" applyAlignment="1">
      <alignment horizontal="left" vertical="center" wrapText="1"/>
    </xf>
    <xf numFmtId="0" fontId="31" fillId="0" borderId="19" xfId="0" applyFont="1" applyBorder="1" applyAlignment="1">
      <alignment horizontal="left" vertical="center" wrapText="1"/>
    </xf>
    <xf numFmtId="0" fontId="37" fillId="0" borderId="34" xfId="0" applyFont="1" applyBorder="1" applyAlignment="1">
      <alignment vertical="center" wrapText="1"/>
    </xf>
    <xf numFmtId="0" fontId="37" fillId="0" borderId="31" xfId="0" applyFont="1" applyBorder="1" applyAlignment="1">
      <alignment vertical="center" wrapText="1"/>
    </xf>
    <xf numFmtId="0" fontId="36" fillId="8" borderId="33" xfId="0" applyFont="1" applyFill="1" applyBorder="1" applyAlignment="1">
      <alignment vertical="center" wrapText="1"/>
    </xf>
    <xf numFmtId="0" fontId="36" fillId="8" borderId="30" xfId="0" applyFont="1" applyFill="1" applyBorder="1" applyAlignment="1">
      <alignment vertical="center" wrapText="1"/>
    </xf>
    <xf numFmtId="0" fontId="37" fillId="0" borderId="32" xfId="0" applyFont="1" applyBorder="1" applyAlignment="1">
      <alignment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0" borderId="5" xfId="0" applyFont="1" applyBorder="1" applyAlignment="1">
      <alignment horizontal="left" vertical="center" wrapText="1"/>
    </xf>
    <xf numFmtId="0" fontId="36" fillId="8" borderId="4" xfId="0" applyFont="1" applyFill="1" applyBorder="1" applyAlignment="1">
      <alignment vertical="center" wrapText="1"/>
    </xf>
    <xf numFmtId="0" fontId="9" fillId="0" borderId="0" xfId="0" applyFont="1" applyAlignment="1">
      <alignment horizontal="left" vertical="center" wrapText="1" indent="3"/>
    </xf>
    <xf numFmtId="0" fontId="7" fillId="0" borderId="0" xfId="0" applyFont="1" applyAlignment="1">
      <alignment horizontal="left" vertical="center" wrapText="1"/>
    </xf>
    <xf numFmtId="0" fontId="7" fillId="0" borderId="5" xfId="0" applyFont="1" applyBorder="1" applyAlignment="1">
      <alignment horizontal="left" vertical="center" wrapText="1"/>
    </xf>
    <xf numFmtId="0" fontId="35" fillId="8" borderId="32" xfId="0" applyFont="1" applyFill="1" applyBorder="1" applyAlignment="1">
      <alignment vertical="center" wrapText="1"/>
    </xf>
    <xf numFmtId="0" fontId="35" fillId="8" borderId="31" xfId="0" applyFont="1" applyFill="1" applyBorder="1" applyAlignment="1">
      <alignment vertical="center" wrapText="1"/>
    </xf>
    <xf numFmtId="0" fontId="36" fillId="8" borderId="32" xfId="0" applyFont="1" applyFill="1" applyBorder="1" applyAlignment="1">
      <alignment vertical="center" wrapText="1"/>
    </xf>
    <xf numFmtId="0" fontId="36" fillId="8" borderId="26" xfId="0" applyFont="1" applyFill="1" applyBorder="1" applyAlignment="1">
      <alignment horizontal="center" vertical="center" wrapText="1"/>
    </xf>
    <xf numFmtId="0" fontId="36" fillId="8" borderId="6" xfId="0" applyFont="1" applyFill="1" applyBorder="1" applyAlignment="1">
      <alignment horizontal="center" vertical="center" wrapText="1"/>
    </xf>
    <xf numFmtId="0" fontId="36" fillId="8" borderId="27" xfId="0" applyFont="1" applyFill="1" applyBorder="1" applyAlignment="1">
      <alignment horizontal="center" vertical="center" wrapText="1"/>
    </xf>
    <xf numFmtId="0" fontId="36" fillId="8" borderId="28" xfId="0" applyFont="1" applyFill="1" applyBorder="1" applyAlignment="1">
      <alignment horizontal="center" vertical="center" wrapText="1"/>
    </xf>
    <xf numFmtId="0" fontId="36" fillId="8" borderId="5" xfId="0" applyFont="1" applyFill="1" applyBorder="1" applyAlignment="1">
      <alignment horizontal="center" vertical="center" wrapText="1"/>
    </xf>
    <xf numFmtId="0" fontId="36" fillId="8" borderId="29" xfId="0" applyFont="1" applyFill="1" applyBorder="1" applyAlignment="1">
      <alignment horizontal="center" vertical="center" wrapText="1"/>
    </xf>
    <xf numFmtId="0" fontId="36" fillId="8" borderId="33" xfId="0" applyFont="1" applyFill="1" applyBorder="1" applyAlignment="1">
      <alignment horizontal="justify" vertical="center" wrapText="1"/>
    </xf>
    <xf numFmtId="0" fontId="36" fillId="8" borderId="4" xfId="0" applyFont="1" applyFill="1" applyBorder="1" applyAlignment="1">
      <alignment horizontal="justify" vertical="center" wrapText="1"/>
    </xf>
    <xf numFmtId="0" fontId="36" fillId="8" borderId="30" xfId="0" applyFont="1" applyFill="1" applyBorder="1" applyAlignment="1">
      <alignment horizontal="justify" vertical="center" wrapText="1"/>
    </xf>
    <xf numFmtId="0" fontId="36" fillId="8" borderId="33" xfId="0" applyFont="1" applyFill="1" applyBorder="1" applyAlignment="1">
      <alignment horizontal="center" vertical="center" wrapText="1"/>
    </xf>
    <xf numFmtId="0" fontId="36" fillId="8" borderId="4" xfId="0" applyFont="1" applyFill="1" applyBorder="1" applyAlignment="1">
      <alignment horizontal="center" vertical="center" wrapText="1"/>
    </xf>
    <xf numFmtId="0" fontId="36" fillId="8" borderId="30"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0" fillId="0" borderId="2" xfId="0" applyFont="1" applyBorder="1" applyAlignment="1">
      <alignment horizontal="left" vertical="center" wrapText="1"/>
    </xf>
    <xf numFmtId="0" fontId="17" fillId="2" borderId="6" xfId="0" applyFont="1" applyFill="1" applyBorder="1" applyAlignment="1">
      <alignment horizontal="left" vertical="top" wrapText="1"/>
    </xf>
    <xf numFmtId="0" fontId="17" fillId="2" borderId="0" xfId="0" applyFont="1" applyFill="1" applyAlignment="1">
      <alignment horizontal="left" vertical="top" wrapText="1"/>
    </xf>
    <xf numFmtId="0" fontId="6" fillId="2" borderId="0" xfId="1" applyFill="1" applyAlignment="1">
      <alignment horizontal="left" vertical="top" wrapText="1"/>
    </xf>
    <xf numFmtId="3" fontId="23" fillId="0" borderId="0" xfId="0" applyNumberFormat="1" applyFont="1" applyAlignment="1">
      <alignment horizontal="left" vertical="center" wrapText="1" indent="1"/>
    </xf>
    <xf numFmtId="3" fontId="23" fillId="0" borderId="0" xfId="0" applyNumberFormat="1" applyFont="1" applyAlignment="1">
      <alignment vertical="center" wrapText="1"/>
    </xf>
    <xf numFmtId="3" fontId="23" fillId="0" borderId="0" xfId="0" applyNumberFormat="1" applyFont="1" applyAlignment="1">
      <alignment horizontal="center" vertical="center" wrapText="1"/>
    </xf>
    <xf numFmtId="0" fontId="20" fillId="0" borderId="0" xfId="0" applyFont="1" applyAlignment="1">
      <alignment horizontal="center" vertical="center" wrapText="1"/>
    </xf>
    <xf numFmtId="0" fontId="23" fillId="0" borderId="0" xfId="0" applyFont="1" applyAlignment="1">
      <alignment horizontal="center" vertical="center" wrapText="1"/>
    </xf>
  </cellXfs>
  <cellStyles count="3">
    <cellStyle name="40% - Accent1" xfId="2" builtinId="3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463550</xdr:colOff>
      <xdr:row>219</xdr:row>
      <xdr:rowOff>165100</xdr:rowOff>
    </xdr:from>
    <xdr:to>
      <xdr:col>17</xdr:col>
      <xdr:colOff>165924</xdr:colOff>
      <xdr:row>219</xdr:row>
      <xdr:rowOff>182880</xdr:rowOff>
    </xdr:to>
    <xdr:grpSp>
      <xdr:nvGrpSpPr>
        <xdr:cNvPr id="2" name="Group 1">
          <a:extLst>
            <a:ext uri="{FF2B5EF4-FFF2-40B4-BE49-F238E27FC236}">
              <a16:creationId xmlns:a16="http://schemas.microsoft.com/office/drawing/2014/main" id="{A2A4F373-9C23-798C-78BD-7C707E0212BF}"/>
            </a:ext>
          </a:extLst>
        </xdr:cNvPr>
        <xdr:cNvGrpSpPr/>
      </xdr:nvGrpSpPr>
      <xdr:grpSpPr>
        <a:xfrm>
          <a:off x="3524576" y="58373433"/>
          <a:ext cx="13721220" cy="17780"/>
          <a:chOff x="0" y="0"/>
          <a:chExt cx="8822182" cy="18288"/>
        </a:xfrm>
      </xdr:grpSpPr>
      <xdr:sp macro="" textlink="">
        <xdr:nvSpPr>
          <xdr:cNvPr id="3" name="Shape 17889">
            <a:extLst>
              <a:ext uri="{FF2B5EF4-FFF2-40B4-BE49-F238E27FC236}">
                <a16:creationId xmlns:a16="http://schemas.microsoft.com/office/drawing/2014/main" id="{3BF7A98C-AAF0-7B48-BF91-AA42900AA538}"/>
              </a:ext>
            </a:extLst>
          </xdr:cNvPr>
          <xdr:cNvSpPr/>
        </xdr:nvSpPr>
        <xdr:spPr>
          <a:xfrm>
            <a:off x="0" y="0"/>
            <a:ext cx="2967863" cy="18288"/>
          </a:xfrm>
          <a:custGeom>
            <a:avLst/>
            <a:gdLst/>
            <a:ahLst/>
            <a:cxnLst/>
            <a:rect l="0" t="0" r="0" b="0"/>
            <a:pathLst>
              <a:path w="2967863" h="18288">
                <a:moveTo>
                  <a:pt x="0" y="0"/>
                </a:moveTo>
                <a:lnTo>
                  <a:pt x="2967863" y="0"/>
                </a:lnTo>
                <a:lnTo>
                  <a:pt x="2967863"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4" name="Shape 17890">
            <a:extLst>
              <a:ext uri="{FF2B5EF4-FFF2-40B4-BE49-F238E27FC236}">
                <a16:creationId xmlns:a16="http://schemas.microsoft.com/office/drawing/2014/main" id="{63C7D438-3F5E-D807-34B9-6E1B78E9C0B9}"/>
              </a:ext>
            </a:extLst>
          </xdr:cNvPr>
          <xdr:cNvSpPr/>
        </xdr:nvSpPr>
        <xdr:spPr>
          <a:xfrm>
            <a:off x="2967863" y="0"/>
            <a:ext cx="18288" cy="18288"/>
          </a:xfrm>
          <a:custGeom>
            <a:avLst/>
            <a:gdLst/>
            <a:ahLst/>
            <a:cxnLst/>
            <a:rect l="0" t="0" r="0" b="0"/>
            <a:pathLst>
              <a:path w="18288" h="18288">
                <a:moveTo>
                  <a:pt x="0" y="0"/>
                </a:moveTo>
                <a:lnTo>
                  <a:pt x="18288" y="0"/>
                </a:lnTo>
                <a:lnTo>
                  <a:pt x="18288"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5" name="Shape 17891">
            <a:extLst>
              <a:ext uri="{FF2B5EF4-FFF2-40B4-BE49-F238E27FC236}">
                <a16:creationId xmlns:a16="http://schemas.microsoft.com/office/drawing/2014/main" id="{E8A79D24-2F2C-5374-2919-D7466D934FF8}"/>
              </a:ext>
            </a:extLst>
          </xdr:cNvPr>
          <xdr:cNvSpPr/>
        </xdr:nvSpPr>
        <xdr:spPr>
          <a:xfrm>
            <a:off x="2986151" y="0"/>
            <a:ext cx="894588" cy="18288"/>
          </a:xfrm>
          <a:custGeom>
            <a:avLst/>
            <a:gdLst/>
            <a:ahLst/>
            <a:cxnLst/>
            <a:rect l="0" t="0" r="0" b="0"/>
            <a:pathLst>
              <a:path w="894588" h="18288">
                <a:moveTo>
                  <a:pt x="0" y="0"/>
                </a:moveTo>
                <a:lnTo>
                  <a:pt x="894588" y="0"/>
                </a:lnTo>
                <a:lnTo>
                  <a:pt x="894588"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6" name="Shape 17892">
            <a:extLst>
              <a:ext uri="{FF2B5EF4-FFF2-40B4-BE49-F238E27FC236}">
                <a16:creationId xmlns:a16="http://schemas.microsoft.com/office/drawing/2014/main" id="{1C9453E5-9F47-0BBE-D1F6-79841C79ECB5}"/>
              </a:ext>
            </a:extLst>
          </xdr:cNvPr>
          <xdr:cNvSpPr/>
        </xdr:nvSpPr>
        <xdr:spPr>
          <a:xfrm>
            <a:off x="3880739" y="0"/>
            <a:ext cx="18288" cy="18288"/>
          </a:xfrm>
          <a:custGeom>
            <a:avLst/>
            <a:gdLst/>
            <a:ahLst/>
            <a:cxnLst/>
            <a:rect l="0" t="0" r="0" b="0"/>
            <a:pathLst>
              <a:path w="18288" h="18288">
                <a:moveTo>
                  <a:pt x="0" y="0"/>
                </a:moveTo>
                <a:lnTo>
                  <a:pt x="18288" y="0"/>
                </a:lnTo>
                <a:lnTo>
                  <a:pt x="18288"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7" name="Shape 17893">
            <a:extLst>
              <a:ext uri="{FF2B5EF4-FFF2-40B4-BE49-F238E27FC236}">
                <a16:creationId xmlns:a16="http://schemas.microsoft.com/office/drawing/2014/main" id="{888BB544-82E9-8D5F-DC3D-F617558A3635}"/>
              </a:ext>
            </a:extLst>
          </xdr:cNvPr>
          <xdr:cNvSpPr/>
        </xdr:nvSpPr>
        <xdr:spPr>
          <a:xfrm>
            <a:off x="3899027" y="0"/>
            <a:ext cx="969264" cy="18288"/>
          </a:xfrm>
          <a:custGeom>
            <a:avLst/>
            <a:gdLst/>
            <a:ahLst/>
            <a:cxnLst/>
            <a:rect l="0" t="0" r="0" b="0"/>
            <a:pathLst>
              <a:path w="969264" h="18288">
                <a:moveTo>
                  <a:pt x="0" y="0"/>
                </a:moveTo>
                <a:lnTo>
                  <a:pt x="969264" y="0"/>
                </a:lnTo>
                <a:lnTo>
                  <a:pt x="969264"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8" name="Shape 17894">
            <a:extLst>
              <a:ext uri="{FF2B5EF4-FFF2-40B4-BE49-F238E27FC236}">
                <a16:creationId xmlns:a16="http://schemas.microsoft.com/office/drawing/2014/main" id="{D9937C83-E5C5-E42B-E3E9-912700D6217B}"/>
              </a:ext>
            </a:extLst>
          </xdr:cNvPr>
          <xdr:cNvSpPr/>
        </xdr:nvSpPr>
        <xdr:spPr>
          <a:xfrm>
            <a:off x="4868291" y="0"/>
            <a:ext cx="18288" cy="18288"/>
          </a:xfrm>
          <a:custGeom>
            <a:avLst/>
            <a:gdLst/>
            <a:ahLst/>
            <a:cxnLst/>
            <a:rect l="0" t="0" r="0" b="0"/>
            <a:pathLst>
              <a:path w="18288" h="18288">
                <a:moveTo>
                  <a:pt x="0" y="0"/>
                </a:moveTo>
                <a:lnTo>
                  <a:pt x="18288" y="0"/>
                </a:lnTo>
                <a:lnTo>
                  <a:pt x="18288"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9" name="Shape 17895">
            <a:extLst>
              <a:ext uri="{FF2B5EF4-FFF2-40B4-BE49-F238E27FC236}">
                <a16:creationId xmlns:a16="http://schemas.microsoft.com/office/drawing/2014/main" id="{BC96C2E7-6E6C-D9D3-9388-6774F2B9BC4F}"/>
              </a:ext>
            </a:extLst>
          </xdr:cNvPr>
          <xdr:cNvSpPr/>
        </xdr:nvSpPr>
        <xdr:spPr>
          <a:xfrm>
            <a:off x="4886579" y="0"/>
            <a:ext cx="971093" cy="18288"/>
          </a:xfrm>
          <a:custGeom>
            <a:avLst/>
            <a:gdLst/>
            <a:ahLst/>
            <a:cxnLst/>
            <a:rect l="0" t="0" r="0" b="0"/>
            <a:pathLst>
              <a:path w="971093" h="18288">
                <a:moveTo>
                  <a:pt x="0" y="0"/>
                </a:moveTo>
                <a:lnTo>
                  <a:pt x="971093" y="0"/>
                </a:lnTo>
                <a:lnTo>
                  <a:pt x="971093"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10" name="Shape 17896">
            <a:extLst>
              <a:ext uri="{FF2B5EF4-FFF2-40B4-BE49-F238E27FC236}">
                <a16:creationId xmlns:a16="http://schemas.microsoft.com/office/drawing/2014/main" id="{8F24408D-7493-5384-C660-025EF47CF540}"/>
              </a:ext>
            </a:extLst>
          </xdr:cNvPr>
          <xdr:cNvSpPr/>
        </xdr:nvSpPr>
        <xdr:spPr>
          <a:xfrm>
            <a:off x="5857622" y="0"/>
            <a:ext cx="18288" cy="18288"/>
          </a:xfrm>
          <a:custGeom>
            <a:avLst/>
            <a:gdLst/>
            <a:ahLst/>
            <a:cxnLst/>
            <a:rect l="0" t="0" r="0" b="0"/>
            <a:pathLst>
              <a:path w="18288" h="18288">
                <a:moveTo>
                  <a:pt x="0" y="0"/>
                </a:moveTo>
                <a:lnTo>
                  <a:pt x="18288" y="0"/>
                </a:lnTo>
                <a:lnTo>
                  <a:pt x="18288"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11" name="Shape 17897">
            <a:extLst>
              <a:ext uri="{FF2B5EF4-FFF2-40B4-BE49-F238E27FC236}">
                <a16:creationId xmlns:a16="http://schemas.microsoft.com/office/drawing/2014/main" id="{8B677EBA-BDA5-DCFB-B1AE-46AEA7332993}"/>
              </a:ext>
            </a:extLst>
          </xdr:cNvPr>
          <xdr:cNvSpPr/>
        </xdr:nvSpPr>
        <xdr:spPr>
          <a:xfrm>
            <a:off x="5875910" y="0"/>
            <a:ext cx="969264" cy="18288"/>
          </a:xfrm>
          <a:custGeom>
            <a:avLst/>
            <a:gdLst/>
            <a:ahLst/>
            <a:cxnLst/>
            <a:rect l="0" t="0" r="0" b="0"/>
            <a:pathLst>
              <a:path w="969264" h="18288">
                <a:moveTo>
                  <a:pt x="0" y="0"/>
                </a:moveTo>
                <a:lnTo>
                  <a:pt x="969264" y="0"/>
                </a:lnTo>
                <a:lnTo>
                  <a:pt x="969264"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12" name="Shape 17898">
            <a:extLst>
              <a:ext uri="{FF2B5EF4-FFF2-40B4-BE49-F238E27FC236}">
                <a16:creationId xmlns:a16="http://schemas.microsoft.com/office/drawing/2014/main" id="{932E3565-C7FB-A177-352A-407DD69FD85A}"/>
              </a:ext>
            </a:extLst>
          </xdr:cNvPr>
          <xdr:cNvSpPr/>
        </xdr:nvSpPr>
        <xdr:spPr>
          <a:xfrm>
            <a:off x="6845173" y="0"/>
            <a:ext cx="18288" cy="18288"/>
          </a:xfrm>
          <a:custGeom>
            <a:avLst/>
            <a:gdLst/>
            <a:ahLst/>
            <a:cxnLst/>
            <a:rect l="0" t="0" r="0" b="0"/>
            <a:pathLst>
              <a:path w="18288" h="18288">
                <a:moveTo>
                  <a:pt x="0" y="0"/>
                </a:moveTo>
                <a:lnTo>
                  <a:pt x="18288" y="0"/>
                </a:lnTo>
                <a:lnTo>
                  <a:pt x="18288"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13" name="Shape 17899">
            <a:extLst>
              <a:ext uri="{FF2B5EF4-FFF2-40B4-BE49-F238E27FC236}">
                <a16:creationId xmlns:a16="http://schemas.microsoft.com/office/drawing/2014/main" id="{B935D20C-CFB7-8823-0BD3-10527BA684A0}"/>
              </a:ext>
            </a:extLst>
          </xdr:cNvPr>
          <xdr:cNvSpPr/>
        </xdr:nvSpPr>
        <xdr:spPr>
          <a:xfrm>
            <a:off x="6863461" y="0"/>
            <a:ext cx="969569" cy="18288"/>
          </a:xfrm>
          <a:custGeom>
            <a:avLst/>
            <a:gdLst/>
            <a:ahLst/>
            <a:cxnLst/>
            <a:rect l="0" t="0" r="0" b="0"/>
            <a:pathLst>
              <a:path w="969569" h="18288">
                <a:moveTo>
                  <a:pt x="0" y="0"/>
                </a:moveTo>
                <a:lnTo>
                  <a:pt x="969569" y="0"/>
                </a:lnTo>
                <a:lnTo>
                  <a:pt x="969569"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14" name="Shape 17900">
            <a:extLst>
              <a:ext uri="{FF2B5EF4-FFF2-40B4-BE49-F238E27FC236}">
                <a16:creationId xmlns:a16="http://schemas.microsoft.com/office/drawing/2014/main" id="{F5944DCB-052F-E74E-0D89-B126390F70BC}"/>
              </a:ext>
            </a:extLst>
          </xdr:cNvPr>
          <xdr:cNvSpPr/>
        </xdr:nvSpPr>
        <xdr:spPr>
          <a:xfrm>
            <a:off x="7833107" y="0"/>
            <a:ext cx="18288" cy="18288"/>
          </a:xfrm>
          <a:custGeom>
            <a:avLst/>
            <a:gdLst/>
            <a:ahLst/>
            <a:cxnLst/>
            <a:rect l="0" t="0" r="0" b="0"/>
            <a:pathLst>
              <a:path w="18288" h="18288">
                <a:moveTo>
                  <a:pt x="0" y="0"/>
                </a:moveTo>
                <a:lnTo>
                  <a:pt x="18288" y="0"/>
                </a:lnTo>
                <a:lnTo>
                  <a:pt x="18288"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sp macro="" textlink="">
        <xdr:nvSpPr>
          <xdr:cNvPr id="15" name="Shape 17901">
            <a:extLst>
              <a:ext uri="{FF2B5EF4-FFF2-40B4-BE49-F238E27FC236}">
                <a16:creationId xmlns:a16="http://schemas.microsoft.com/office/drawing/2014/main" id="{6487D68E-1BDF-DFBC-05C9-9FEFA6F397FB}"/>
              </a:ext>
            </a:extLst>
          </xdr:cNvPr>
          <xdr:cNvSpPr/>
        </xdr:nvSpPr>
        <xdr:spPr>
          <a:xfrm>
            <a:off x="7851395" y="0"/>
            <a:ext cx="970788" cy="18288"/>
          </a:xfrm>
          <a:custGeom>
            <a:avLst/>
            <a:gdLst/>
            <a:ahLst/>
            <a:cxnLst/>
            <a:rect l="0" t="0" r="0" b="0"/>
            <a:pathLst>
              <a:path w="970788" h="18288">
                <a:moveTo>
                  <a:pt x="0" y="0"/>
                </a:moveTo>
                <a:lnTo>
                  <a:pt x="970788" y="0"/>
                </a:lnTo>
                <a:lnTo>
                  <a:pt x="970788" y="18288"/>
                </a:lnTo>
                <a:lnTo>
                  <a:pt x="0" y="18288"/>
                </a:lnTo>
                <a:lnTo>
                  <a:pt x="0" y="0"/>
                </a:lnTo>
              </a:path>
            </a:pathLst>
          </a:custGeom>
          <a:ln w="0" cap="flat">
            <a:miter lim="127000"/>
          </a:ln>
        </xdr:spPr>
        <xdr:style>
          <a:lnRef idx="0">
            <a:srgbClr val="000000">
              <a:alpha val="0"/>
            </a:srgbClr>
          </a:lnRef>
          <a:fillRef idx="1">
            <a:srgbClr val="37424A"/>
          </a:fillRef>
          <a:effectRef idx="0">
            <a:scrgbClr r="0" g="0" b="0"/>
          </a:effectRef>
          <a:fontRef idx="none"/>
        </xdr:style>
        <xdr:txBody>
          <a:bodyPr/>
          <a:lstStyle/>
          <a:p>
            <a:endParaRPr lang="en-CA"/>
          </a:p>
        </xdr:txBody>
      </xdr:sp>
    </xdr:grpSp>
    <xdr:clientData/>
  </xdr:twoCellAnchor>
  <xdr:twoCellAnchor>
    <xdr:from>
      <xdr:col>2</xdr:col>
      <xdr:colOff>450850</xdr:colOff>
      <xdr:row>234</xdr:row>
      <xdr:rowOff>88900</xdr:rowOff>
    </xdr:from>
    <xdr:to>
      <xdr:col>17</xdr:col>
      <xdr:colOff>162114</xdr:colOff>
      <xdr:row>234</xdr:row>
      <xdr:rowOff>94615</xdr:rowOff>
    </xdr:to>
    <xdr:grpSp>
      <xdr:nvGrpSpPr>
        <xdr:cNvPr id="16" name="Group 15">
          <a:extLst>
            <a:ext uri="{FF2B5EF4-FFF2-40B4-BE49-F238E27FC236}">
              <a16:creationId xmlns:a16="http://schemas.microsoft.com/office/drawing/2014/main" id="{7ABA9485-2B69-A72A-C06F-AD9D08619FD4}"/>
            </a:ext>
          </a:extLst>
        </xdr:cNvPr>
        <xdr:cNvGrpSpPr/>
      </xdr:nvGrpSpPr>
      <xdr:grpSpPr>
        <a:xfrm>
          <a:off x="3511876" y="61276849"/>
          <a:ext cx="13730110" cy="5715"/>
          <a:chOff x="0" y="0"/>
          <a:chExt cx="8831326" cy="6097"/>
        </a:xfrm>
      </xdr:grpSpPr>
      <xdr:sp macro="" textlink="">
        <xdr:nvSpPr>
          <xdr:cNvPr id="17" name="Shape 17915">
            <a:extLst>
              <a:ext uri="{FF2B5EF4-FFF2-40B4-BE49-F238E27FC236}">
                <a16:creationId xmlns:a16="http://schemas.microsoft.com/office/drawing/2014/main" id="{6B919783-DA02-270B-AB60-2EC7BE8A33CD}"/>
              </a:ext>
            </a:extLst>
          </xdr:cNvPr>
          <xdr:cNvSpPr/>
        </xdr:nvSpPr>
        <xdr:spPr>
          <a:xfrm>
            <a:off x="0" y="0"/>
            <a:ext cx="2977007" cy="9144"/>
          </a:xfrm>
          <a:custGeom>
            <a:avLst/>
            <a:gdLst/>
            <a:ahLst/>
            <a:cxnLst/>
            <a:rect l="0" t="0" r="0" b="0"/>
            <a:pathLst>
              <a:path w="2977007" h="9144">
                <a:moveTo>
                  <a:pt x="0" y="0"/>
                </a:moveTo>
                <a:lnTo>
                  <a:pt x="2977007" y="0"/>
                </a:lnTo>
                <a:lnTo>
                  <a:pt x="2977007"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18" name="Shape 17916">
            <a:extLst>
              <a:ext uri="{FF2B5EF4-FFF2-40B4-BE49-F238E27FC236}">
                <a16:creationId xmlns:a16="http://schemas.microsoft.com/office/drawing/2014/main" id="{A8EEF899-8DF0-D245-E18F-A057C4E9E160}"/>
              </a:ext>
            </a:extLst>
          </xdr:cNvPr>
          <xdr:cNvSpPr/>
        </xdr:nvSpPr>
        <xdr:spPr>
          <a:xfrm>
            <a:off x="2967863" y="0"/>
            <a:ext cx="9144" cy="9144"/>
          </a:xfrm>
          <a:custGeom>
            <a:avLst/>
            <a:gdLst/>
            <a:ahLst/>
            <a:cxnLst/>
            <a:rect l="0" t="0" r="0" b="0"/>
            <a:pathLst>
              <a:path w="9144" h="9144">
                <a:moveTo>
                  <a:pt x="0" y="0"/>
                </a:moveTo>
                <a:lnTo>
                  <a:pt x="9144" y="0"/>
                </a:lnTo>
                <a:lnTo>
                  <a:pt x="914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19" name="Shape 17917">
            <a:extLst>
              <a:ext uri="{FF2B5EF4-FFF2-40B4-BE49-F238E27FC236}">
                <a16:creationId xmlns:a16="http://schemas.microsoft.com/office/drawing/2014/main" id="{C7E6C1AC-A5F8-779D-AB23-096D79948046}"/>
              </a:ext>
            </a:extLst>
          </xdr:cNvPr>
          <xdr:cNvSpPr/>
        </xdr:nvSpPr>
        <xdr:spPr>
          <a:xfrm>
            <a:off x="2973959" y="0"/>
            <a:ext cx="915924" cy="9144"/>
          </a:xfrm>
          <a:custGeom>
            <a:avLst/>
            <a:gdLst/>
            <a:ahLst/>
            <a:cxnLst/>
            <a:rect l="0" t="0" r="0" b="0"/>
            <a:pathLst>
              <a:path w="915924" h="9144">
                <a:moveTo>
                  <a:pt x="0" y="0"/>
                </a:moveTo>
                <a:lnTo>
                  <a:pt x="915924" y="0"/>
                </a:lnTo>
                <a:lnTo>
                  <a:pt x="91592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0" name="Shape 17918">
            <a:extLst>
              <a:ext uri="{FF2B5EF4-FFF2-40B4-BE49-F238E27FC236}">
                <a16:creationId xmlns:a16="http://schemas.microsoft.com/office/drawing/2014/main" id="{74B8E8B1-7CE2-255E-B84A-8B7C5F848DC4}"/>
              </a:ext>
            </a:extLst>
          </xdr:cNvPr>
          <xdr:cNvSpPr/>
        </xdr:nvSpPr>
        <xdr:spPr>
          <a:xfrm>
            <a:off x="3880739" y="0"/>
            <a:ext cx="9144" cy="9144"/>
          </a:xfrm>
          <a:custGeom>
            <a:avLst/>
            <a:gdLst/>
            <a:ahLst/>
            <a:cxnLst/>
            <a:rect l="0" t="0" r="0" b="0"/>
            <a:pathLst>
              <a:path w="9144" h="9144">
                <a:moveTo>
                  <a:pt x="0" y="0"/>
                </a:moveTo>
                <a:lnTo>
                  <a:pt x="9144" y="0"/>
                </a:lnTo>
                <a:lnTo>
                  <a:pt x="914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1" name="Shape 17919">
            <a:extLst>
              <a:ext uri="{FF2B5EF4-FFF2-40B4-BE49-F238E27FC236}">
                <a16:creationId xmlns:a16="http://schemas.microsoft.com/office/drawing/2014/main" id="{C281294D-6B41-4A96-C8E8-6134311D5D71}"/>
              </a:ext>
            </a:extLst>
          </xdr:cNvPr>
          <xdr:cNvSpPr/>
        </xdr:nvSpPr>
        <xdr:spPr>
          <a:xfrm>
            <a:off x="3886835" y="0"/>
            <a:ext cx="990600" cy="9144"/>
          </a:xfrm>
          <a:custGeom>
            <a:avLst/>
            <a:gdLst/>
            <a:ahLst/>
            <a:cxnLst/>
            <a:rect l="0" t="0" r="0" b="0"/>
            <a:pathLst>
              <a:path w="990600" h="9144">
                <a:moveTo>
                  <a:pt x="0" y="0"/>
                </a:moveTo>
                <a:lnTo>
                  <a:pt x="990600" y="0"/>
                </a:lnTo>
                <a:lnTo>
                  <a:pt x="990600"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2" name="Shape 17920">
            <a:extLst>
              <a:ext uri="{FF2B5EF4-FFF2-40B4-BE49-F238E27FC236}">
                <a16:creationId xmlns:a16="http://schemas.microsoft.com/office/drawing/2014/main" id="{ED974F86-7739-5124-4C81-C0E6CF4A16E9}"/>
              </a:ext>
            </a:extLst>
          </xdr:cNvPr>
          <xdr:cNvSpPr/>
        </xdr:nvSpPr>
        <xdr:spPr>
          <a:xfrm>
            <a:off x="4868291" y="0"/>
            <a:ext cx="9144" cy="9144"/>
          </a:xfrm>
          <a:custGeom>
            <a:avLst/>
            <a:gdLst/>
            <a:ahLst/>
            <a:cxnLst/>
            <a:rect l="0" t="0" r="0" b="0"/>
            <a:pathLst>
              <a:path w="9144" h="9144">
                <a:moveTo>
                  <a:pt x="0" y="0"/>
                </a:moveTo>
                <a:lnTo>
                  <a:pt x="9144" y="0"/>
                </a:lnTo>
                <a:lnTo>
                  <a:pt x="914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3" name="Shape 17921">
            <a:extLst>
              <a:ext uri="{FF2B5EF4-FFF2-40B4-BE49-F238E27FC236}">
                <a16:creationId xmlns:a16="http://schemas.microsoft.com/office/drawing/2014/main" id="{E01509FF-3998-1DF0-204F-2A32B546D7AE}"/>
              </a:ext>
            </a:extLst>
          </xdr:cNvPr>
          <xdr:cNvSpPr/>
        </xdr:nvSpPr>
        <xdr:spPr>
          <a:xfrm>
            <a:off x="4874387" y="0"/>
            <a:ext cx="992429" cy="9144"/>
          </a:xfrm>
          <a:custGeom>
            <a:avLst/>
            <a:gdLst/>
            <a:ahLst/>
            <a:cxnLst/>
            <a:rect l="0" t="0" r="0" b="0"/>
            <a:pathLst>
              <a:path w="992429" h="9144">
                <a:moveTo>
                  <a:pt x="0" y="0"/>
                </a:moveTo>
                <a:lnTo>
                  <a:pt x="992429" y="0"/>
                </a:lnTo>
                <a:lnTo>
                  <a:pt x="992429"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4" name="Shape 17922">
            <a:extLst>
              <a:ext uri="{FF2B5EF4-FFF2-40B4-BE49-F238E27FC236}">
                <a16:creationId xmlns:a16="http://schemas.microsoft.com/office/drawing/2014/main" id="{C4C0CFE1-7C00-0E64-8A74-87AB3B72B553}"/>
              </a:ext>
            </a:extLst>
          </xdr:cNvPr>
          <xdr:cNvSpPr/>
        </xdr:nvSpPr>
        <xdr:spPr>
          <a:xfrm>
            <a:off x="5857621" y="0"/>
            <a:ext cx="9144" cy="9144"/>
          </a:xfrm>
          <a:custGeom>
            <a:avLst/>
            <a:gdLst/>
            <a:ahLst/>
            <a:cxnLst/>
            <a:rect l="0" t="0" r="0" b="0"/>
            <a:pathLst>
              <a:path w="9144" h="9144">
                <a:moveTo>
                  <a:pt x="0" y="0"/>
                </a:moveTo>
                <a:lnTo>
                  <a:pt x="9144" y="0"/>
                </a:lnTo>
                <a:lnTo>
                  <a:pt x="914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5" name="Shape 17923">
            <a:extLst>
              <a:ext uri="{FF2B5EF4-FFF2-40B4-BE49-F238E27FC236}">
                <a16:creationId xmlns:a16="http://schemas.microsoft.com/office/drawing/2014/main" id="{7A7C495A-783B-9B0A-0A23-DA80F68CCC57}"/>
              </a:ext>
            </a:extLst>
          </xdr:cNvPr>
          <xdr:cNvSpPr/>
        </xdr:nvSpPr>
        <xdr:spPr>
          <a:xfrm>
            <a:off x="5863717" y="0"/>
            <a:ext cx="990600" cy="9144"/>
          </a:xfrm>
          <a:custGeom>
            <a:avLst/>
            <a:gdLst/>
            <a:ahLst/>
            <a:cxnLst/>
            <a:rect l="0" t="0" r="0" b="0"/>
            <a:pathLst>
              <a:path w="990600" h="9144">
                <a:moveTo>
                  <a:pt x="0" y="0"/>
                </a:moveTo>
                <a:lnTo>
                  <a:pt x="990600" y="0"/>
                </a:lnTo>
                <a:lnTo>
                  <a:pt x="990600"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6" name="Shape 17924">
            <a:extLst>
              <a:ext uri="{FF2B5EF4-FFF2-40B4-BE49-F238E27FC236}">
                <a16:creationId xmlns:a16="http://schemas.microsoft.com/office/drawing/2014/main" id="{60C89C03-EBC1-D442-E76A-2AC39BB57BAF}"/>
              </a:ext>
            </a:extLst>
          </xdr:cNvPr>
          <xdr:cNvSpPr/>
        </xdr:nvSpPr>
        <xdr:spPr>
          <a:xfrm>
            <a:off x="6845173" y="0"/>
            <a:ext cx="9144" cy="9144"/>
          </a:xfrm>
          <a:custGeom>
            <a:avLst/>
            <a:gdLst/>
            <a:ahLst/>
            <a:cxnLst/>
            <a:rect l="0" t="0" r="0" b="0"/>
            <a:pathLst>
              <a:path w="9144" h="9144">
                <a:moveTo>
                  <a:pt x="0" y="0"/>
                </a:moveTo>
                <a:lnTo>
                  <a:pt x="9144" y="0"/>
                </a:lnTo>
                <a:lnTo>
                  <a:pt x="914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7" name="Shape 17925">
            <a:extLst>
              <a:ext uri="{FF2B5EF4-FFF2-40B4-BE49-F238E27FC236}">
                <a16:creationId xmlns:a16="http://schemas.microsoft.com/office/drawing/2014/main" id="{23471669-26A8-6ED3-F58E-9064772EEEF6}"/>
              </a:ext>
            </a:extLst>
          </xdr:cNvPr>
          <xdr:cNvSpPr/>
        </xdr:nvSpPr>
        <xdr:spPr>
          <a:xfrm>
            <a:off x="6851269" y="0"/>
            <a:ext cx="990905" cy="9144"/>
          </a:xfrm>
          <a:custGeom>
            <a:avLst/>
            <a:gdLst/>
            <a:ahLst/>
            <a:cxnLst/>
            <a:rect l="0" t="0" r="0" b="0"/>
            <a:pathLst>
              <a:path w="990905" h="9144">
                <a:moveTo>
                  <a:pt x="0" y="0"/>
                </a:moveTo>
                <a:lnTo>
                  <a:pt x="990905" y="0"/>
                </a:lnTo>
                <a:lnTo>
                  <a:pt x="990905"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8" name="Shape 17926">
            <a:extLst>
              <a:ext uri="{FF2B5EF4-FFF2-40B4-BE49-F238E27FC236}">
                <a16:creationId xmlns:a16="http://schemas.microsoft.com/office/drawing/2014/main" id="{FCE36301-831E-483B-910E-37947CE5C6DF}"/>
              </a:ext>
            </a:extLst>
          </xdr:cNvPr>
          <xdr:cNvSpPr/>
        </xdr:nvSpPr>
        <xdr:spPr>
          <a:xfrm>
            <a:off x="7833106" y="0"/>
            <a:ext cx="9144" cy="9144"/>
          </a:xfrm>
          <a:custGeom>
            <a:avLst/>
            <a:gdLst/>
            <a:ahLst/>
            <a:cxnLst/>
            <a:rect l="0" t="0" r="0" b="0"/>
            <a:pathLst>
              <a:path w="9144" h="9144">
                <a:moveTo>
                  <a:pt x="0" y="0"/>
                </a:moveTo>
                <a:lnTo>
                  <a:pt x="9144" y="0"/>
                </a:lnTo>
                <a:lnTo>
                  <a:pt x="914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sp macro="" textlink="">
        <xdr:nvSpPr>
          <xdr:cNvPr id="29" name="Shape 17927">
            <a:extLst>
              <a:ext uri="{FF2B5EF4-FFF2-40B4-BE49-F238E27FC236}">
                <a16:creationId xmlns:a16="http://schemas.microsoft.com/office/drawing/2014/main" id="{EE3F52C9-0F67-B9E3-0B91-AE1A54D475F5}"/>
              </a:ext>
            </a:extLst>
          </xdr:cNvPr>
          <xdr:cNvSpPr/>
        </xdr:nvSpPr>
        <xdr:spPr>
          <a:xfrm>
            <a:off x="7839202" y="0"/>
            <a:ext cx="992124" cy="9144"/>
          </a:xfrm>
          <a:custGeom>
            <a:avLst/>
            <a:gdLst/>
            <a:ahLst/>
            <a:cxnLst/>
            <a:rect l="0" t="0" r="0" b="0"/>
            <a:pathLst>
              <a:path w="992124" h="9144">
                <a:moveTo>
                  <a:pt x="0" y="0"/>
                </a:moveTo>
                <a:lnTo>
                  <a:pt x="992124" y="0"/>
                </a:lnTo>
                <a:lnTo>
                  <a:pt x="99212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CA"/>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345</xdr:row>
      <xdr:rowOff>0</xdr:rowOff>
    </xdr:from>
    <xdr:to>
      <xdr:col>0</xdr:col>
      <xdr:colOff>115570</xdr:colOff>
      <xdr:row>348</xdr:row>
      <xdr:rowOff>45297</xdr:rowOff>
    </xdr:to>
    <xdr:grpSp>
      <xdr:nvGrpSpPr>
        <xdr:cNvPr id="7" name="Group 6">
          <a:extLst>
            <a:ext uri="{FF2B5EF4-FFF2-40B4-BE49-F238E27FC236}">
              <a16:creationId xmlns:a16="http://schemas.microsoft.com/office/drawing/2014/main" id="{65C018DE-BD4B-E116-64AF-D13701311713}"/>
            </a:ext>
          </a:extLst>
        </xdr:cNvPr>
        <xdr:cNvGrpSpPr/>
      </xdr:nvGrpSpPr>
      <xdr:grpSpPr>
        <a:xfrm>
          <a:off x="0" y="68181569"/>
          <a:ext cx="115570" cy="916865"/>
          <a:chOff x="0" y="0"/>
          <a:chExt cx="115849" cy="913451"/>
        </a:xfrm>
      </xdr:grpSpPr>
      <xdr:sp macro="" textlink="">
        <xdr:nvSpPr>
          <xdr:cNvPr id="8" name="Rectangle 7">
            <a:extLst>
              <a:ext uri="{FF2B5EF4-FFF2-40B4-BE49-F238E27FC236}">
                <a16:creationId xmlns:a16="http://schemas.microsoft.com/office/drawing/2014/main" id="{0458719D-8D34-5123-E2B8-71835A5CC2AA}"/>
              </a:ext>
            </a:extLst>
          </xdr:cNvPr>
          <xdr:cNvSpPr/>
        </xdr:nvSpPr>
        <xdr:spPr>
          <a:xfrm rot="-5399999">
            <a:off x="-530404" y="228966"/>
            <a:ext cx="1214890" cy="154080"/>
          </a:xfrm>
          <a:prstGeom prst="rect">
            <a:avLst/>
          </a:prstGeom>
          <a:ln>
            <a:noFill/>
          </a:ln>
        </xdr:spPr>
        <xdr:txBody>
          <a:bodyPr vert="horz" lIns="0" tIns="0" rIns="0" bIns="0" rtlCol="0">
            <a:noAutofit/>
          </a:bodyPr>
          <a:lstStyle/>
          <a:p>
            <a:pPr marR="67310">
              <a:lnSpc>
                <a:spcPct val="107000"/>
              </a:lnSpc>
              <a:spcAft>
                <a:spcPts val="800"/>
              </a:spcAft>
            </a:pPr>
            <a:r>
              <a:rPr lang="en-CA" sz="800" b="1">
                <a:solidFill>
                  <a:srgbClr val="000000"/>
                </a:solidFill>
                <a:effectLst/>
                <a:latin typeface="Times New Roman" panose="02020603050405020304" pitchFamily="18" charset="0"/>
                <a:ea typeface="Times New Roman" panose="02020603050405020304" pitchFamily="18" charset="0"/>
              </a:rPr>
              <a:t>Laminate/unframed</a:t>
            </a:r>
            <a:endParaRPr lang="en-CA" sz="900" b="1">
              <a:solidFill>
                <a:srgbClr val="616161"/>
              </a:solidFill>
              <a:effectLst/>
              <a:latin typeface="Arial" panose="020B0604020202020204" pitchFamily="34" charset="0"/>
              <a:ea typeface="Arial" panose="020B0604020202020204" pitchFamily="34" charset="0"/>
            </a:endParaRPr>
          </a:p>
        </xdr:txBody>
      </xdr:sp>
    </xdr:grpSp>
    <xdr:clientData/>
  </xdr:twoCellAnchor>
  <xdr:twoCellAnchor>
    <xdr:from>
      <xdr:col>0</xdr:col>
      <xdr:colOff>0</xdr:colOff>
      <xdr:row>373</xdr:row>
      <xdr:rowOff>0</xdr:rowOff>
    </xdr:from>
    <xdr:to>
      <xdr:col>0</xdr:col>
      <xdr:colOff>248920</xdr:colOff>
      <xdr:row>374</xdr:row>
      <xdr:rowOff>9949</xdr:rowOff>
    </xdr:to>
    <xdr:grpSp>
      <xdr:nvGrpSpPr>
        <xdr:cNvPr id="9" name="Group 8">
          <a:extLst>
            <a:ext uri="{FF2B5EF4-FFF2-40B4-BE49-F238E27FC236}">
              <a16:creationId xmlns:a16="http://schemas.microsoft.com/office/drawing/2014/main" id="{880F676E-AFE2-C554-BC84-327B01A40D78}"/>
            </a:ext>
          </a:extLst>
        </xdr:cNvPr>
        <xdr:cNvGrpSpPr/>
      </xdr:nvGrpSpPr>
      <xdr:grpSpPr>
        <a:xfrm>
          <a:off x="0" y="75079412"/>
          <a:ext cx="248920" cy="283870"/>
          <a:chOff x="0" y="0"/>
          <a:chExt cx="249042" cy="285578"/>
        </a:xfrm>
      </xdr:grpSpPr>
      <xdr:sp macro="" textlink="">
        <xdr:nvSpPr>
          <xdr:cNvPr id="10" name="Rectangle 9">
            <a:extLst>
              <a:ext uri="{FF2B5EF4-FFF2-40B4-BE49-F238E27FC236}">
                <a16:creationId xmlns:a16="http://schemas.microsoft.com/office/drawing/2014/main" id="{71DA20F6-76B7-1325-5F01-2E1EE2541C96}"/>
              </a:ext>
            </a:extLst>
          </xdr:cNvPr>
          <xdr:cNvSpPr/>
        </xdr:nvSpPr>
        <xdr:spPr>
          <a:xfrm rot="-5399999">
            <a:off x="-112868" y="18629"/>
            <a:ext cx="379819" cy="154079"/>
          </a:xfrm>
          <a:prstGeom prst="rect">
            <a:avLst/>
          </a:prstGeom>
          <a:ln>
            <a:noFill/>
          </a:ln>
        </xdr:spPr>
        <xdr:txBody>
          <a:bodyPr vert="horz" lIns="0" tIns="0" rIns="0" bIns="0" rtlCol="0">
            <a:noAutofit/>
          </a:bodyPr>
          <a:lstStyle/>
          <a:p>
            <a:pPr marR="67310">
              <a:lnSpc>
                <a:spcPct val="107000"/>
              </a:lnSpc>
              <a:spcAft>
                <a:spcPts val="800"/>
              </a:spcAft>
            </a:pPr>
            <a:r>
              <a:rPr lang="en-CA" sz="800" b="1">
                <a:solidFill>
                  <a:srgbClr val="000000"/>
                </a:solidFill>
                <a:effectLst/>
                <a:latin typeface="Times New Roman" panose="02020603050405020304" pitchFamily="18" charset="0"/>
                <a:ea typeface="Times New Roman" panose="02020603050405020304" pitchFamily="18" charset="0"/>
              </a:rPr>
              <a:t>Panel/</a:t>
            </a:r>
            <a:endParaRPr lang="en-CA" sz="900" b="1">
              <a:solidFill>
                <a:srgbClr val="616161"/>
              </a:solidFill>
              <a:effectLst/>
              <a:latin typeface="Arial" panose="020B0604020202020204" pitchFamily="34" charset="0"/>
              <a:ea typeface="Arial" panose="020B0604020202020204" pitchFamily="34" charset="0"/>
            </a:endParaRPr>
          </a:p>
        </xdr:txBody>
      </xdr:sp>
      <xdr:sp macro="" textlink="">
        <xdr:nvSpPr>
          <xdr:cNvPr id="11" name="Rectangle 10">
            <a:extLst>
              <a:ext uri="{FF2B5EF4-FFF2-40B4-BE49-F238E27FC236}">
                <a16:creationId xmlns:a16="http://schemas.microsoft.com/office/drawing/2014/main" id="{B39F8D09-DF4D-0544-A774-4DB9D15ACCB9}"/>
              </a:ext>
            </a:extLst>
          </xdr:cNvPr>
          <xdr:cNvSpPr/>
        </xdr:nvSpPr>
        <xdr:spPr>
          <a:xfrm rot="-5399999">
            <a:off x="27701" y="16492"/>
            <a:ext cx="365065" cy="154080"/>
          </a:xfrm>
          <a:prstGeom prst="rect">
            <a:avLst/>
          </a:prstGeom>
          <a:ln>
            <a:noFill/>
          </a:ln>
        </xdr:spPr>
        <xdr:txBody>
          <a:bodyPr vert="horz" lIns="0" tIns="0" rIns="0" bIns="0" rtlCol="0">
            <a:noAutofit/>
          </a:bodyPr>
          <a:lstStyle/>
          <a:p>
            <a:pPr marR="67310">
              <a:lnSpc>
                <a:spcPct val="107000"/>
              </a:lnSpc>
              <a:spcAft>
                <a:spcPts val="800"/>
              </a:spcAft>
            </a:pPr>
            <a:r>
              <a:rPr lang="en-CA" sz="800" b="1">
                <a:solidFill>
                  <a:srgbClr val="000000"/>
                </a:solidFill>
                <a:effectLst/>
                <a:latin typeface="Times New Roman" panose="02020603050405020304" pitchFamily="18" charset="0"/>
                <a:ea typeface="Times New Roman" panose="02020603050405020304" pitchFamily="18" charset="0"/>
              </a:rPr>
              <a:t>frame</a:t>
            </a:r>
            <a:endParaRPr lang="en-CA" sz="900" b="1">
              <a:solidFill>
                <a:srgbClr val="616161"/>
              </a:solidFill>
              <a:effectLst/>
              <a:latin typeface="Arial" panose="020B0604020202020204" pitchFamily="34" charset="0"/>
              <a:ea typeface="Arial" panose="020B0604020202020204" pitchFamily="34" charset="0"/>
            </a:endParaRPr>
          </a:p>
        </xdr:txBody>
      </xdr:sp>
    </xdr:grpSp>
    <xdr:clientData/>
  </xdr:twoCellAnchor>
</xdr:wsDr>
</file>

<file path=xl/persons/person.xml><?xml version="1.0" encoding="utf-8"?>
<personList xmlns="http://schemas.microsoft.com/office/spreadsheetml/2018/threadedcomments" xmlns:x="http://schemas.openxmlformats.org/spreadsheetml/2006/main">
  <person displayName="Avery M" id="{621A9E96-49A0-42D7-BD19-DAC75793F388}" userId="230bb3588fa72d0e" providerId="Windows Live"/>
  <person displayName="Maarten Brinkerink" id="{66BF062A-FAEB-4929-9DE8-BA88761BE977}" userId="S::maarten.brinkerink@ucc.ie::c4df2804-bed9-4c30-9000-24a8c5d11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3-02T19:00:32.07" personId="{66BF062A-FAEB-4929-9DE8-BA88761BE977}" id="{8BEA8D4A-7738-49FA-AE9C-97F0C7A0CC8C}">
    <text>https://tethys.pnnl.gov/sites/default/files/publications/Chipindula-et-al-2018.pdf</text>
    <extLst>
      <x:ext xmlns:xltc2="http://schemas.microsoft.com/office/spreadsheetml/2020/threadedcomments2" uri="{F7C98A9C-CBB3-438F-8F68-D28B6AF4A901}">
        <xltc2:checksum>2401391341</xltc2:checksum>
        <xltc2:hyperlink startIndex="0" length="82" url="https://tethys.pnnl.gov/sites/default/files/publications/Chipindula-et-al-2018.pdf"/>
      </x:ext>
    </extLst>
  </threadedComment>
  <threadedComment ref="E50" dT="2023-04-10T17:23:52.79" personId="{621A9E96-49A0-42D7-BD19-DAC75793F388}" id="{CFC44A69-BFE3-48E3-B2C9-29368D70C5A9}">
    <text xml:space="preserve">Just one offshore value </text>
  </threadedComment>
  <threadedComment ref="E51" dT="2023-04-10T15:30:45.66" personId="{621A9E96-49A0-42D7-BD19-DAC75793F388}" id="{F56CB91A-5C99-41CA-9CEA-6C39F97DCFC0}">
    <text>I went through this paper but can't figure out whether it is fixed or floating</text>
  </threadedComment>
  <threadedComment ref="E57" dT="2023-04-10T15:56:39.42" personId="{621A9E96-49A0-42D7-BD19-DAC75793F388}" id="{0356ADED-FA77-4B04-83EE-49B452547CB7}">
    <text xml:space="preserve">Not sure how to differentiate </text>
  </threadedComment>
  <threadedComment ref="E64" dT="2023-04-10T15:56:52.87" personId="{621A9E96-49A0-42D7-BD19-DAC75793F388}" id="{896208ED-23BF-478A-97CF-004D20B892B8}">
    <text xml:space="preserve">Not sure how to differentiate 
</text>
  </threadedComment>
  <threadedComment ref="E65" dT="2023-04-10T17:20:44.32" personId="{621A9E96-49A0-42D7-BD19-DAC75793F388}" id="{0F32D378-06B7-438D-BE72-838FFD0874E9}">
    <text>Seems to just be data from onshore wind</text>
  </threadedComment>
  <threadedComment ref="E66" dT="2023-04-10T17:21:12.48" personId="{621A9E96-49A0-42D7-BD19-DAC75793F388}" id="{84A9523A-0141-4286-97FD-AECD0B29410E}">
    <text xml:space="preserve">Just from onshore wind </text>
  </threadedComment>
  <threadedComment ref="E67" dT="2023-04-10T17:21:57.17" personId="{621A9E96-49A0-42D7-BD19-DAC75793F388}" id="{B448DEC2-68F7-4607-91EE-7BD2536D1D11}">
    <text xml:space="preserve">Just one value for all of offshore </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3-04-28T20:33:00.91" personId="{621A9E96-49A0-42D7-BD19-DAC75793F388}" id="{59B59B9F-F9CF-41C4-9968-07D6A9F7CEDE}">
    <text xml:space="preserve">Not lca
</text>
  </threadedComment>
  <threadedComment ref="C155" dT="2023-04-20T00:27:13.00" personId="{621A9E96-49A0-42D7-BD19-DAC75793F388}" id="{E7B426EE-4E57-4436-A8DE-99654142C769}">
    <text>This seems way too big</text>
  </threadedComment>
  <threadedComment ref="A162" dT="2023-04-28T19:59:53.80" personId="{621A9E96-49A0-42D7-BD19-DAC75793F388}" id="{E58C4206-7E87-4814-A247-EBAB82D78382}">
    <text>Not lca</text>
  </threadedComment>
  <threadedComment ref="A172" dT="2023-04-20T00:28:56.74" personId="{621A9E96-49A0-42D7-BD19-DAC75793F388}" id="{DC8098CA-48AD-431D-A13B-18A925E375DB}">
    <text>This seems like the lower bound of everything</text>
  </threadedComment>
  <threadedComment ref="F353" dT="2023-04-26T01:45:02.89" personId="{621A9E96-49A0-42D7-BD19-DAC75793F388}" id="{408DD577-145C-47FE-A7B4-1296B0A8C465}">
    <text>50MW power plant of 2MW turbines</text>
  </threadedComment>
  <threadedComment ref="G353" dT="2023-04-26T01:46:16.18" personId="{621A9E96-49A0-42D7-BD19-DAC75793F388}" id="{D84DD98A-87F6-426D-A339-A80D0DC1F3ED}">
    <text>50 mw of 2mw turbines</text>
  </threadedComment>
  <threadedComment ref="H353" dT="2023-04-26T14:44:16.91" personId="{621A9E96-49A0-42D7-BD19-DAC75793F388}" id="{D7A56CBD-C641-4AD4-BFAD-5A790F1B4FA0}">
    <text xml:space="preserve">100mw of 3.3MW turbines
</text>
  </threadedComment>
  <threadedComment ref="H353" dT="2023-04-26T15:44:32.37" personId="{621A9E96-49A0-42D7-BD19-DAC75793F388}" id="{3CE1B4CD-3819-4B5A-9BD9-0667EF264887}" parentId="{D7A56CBD-C641-4AD4-BFAD-5A790F1B4FA0}">
    <text xml:space="preserve">This one maybe isn't getting used right now </text>
  </threadedComment>
  <threadedComment ref="H355" dT="2023-04-26T14:45:50.19" personId="{621A9E96-49A0-42D7-BD19-DAC75793F388}" id="{9A7F004A-CBE1-489E-A7E3-0994B24D71A3}">
    <text>I included steel and iron (unspecified in here)</text>
  </threadedComment>
  <threadedComment ref="H356" dT="2023-04-26T14:45:50.19" personId="{621A9E96-49A0-42D7-BD19-DAC75793F388}" id="{AC2E0638-ECA9-45A6-BEDB-E2AC074507B5}">
    <text>I included steel and iron (unspecified in here)</text>
  </threadedComment>
  <threadedComment ref="F367" dT="2023-04-26T01:45:02.89" personId="{621A9E96-49A0-42D7-BD19-DAC75793F388}" id="{12E611EE-BBE3-4E79-BF04-31CD56D55298}">
    <text>50MW power plant of 2MW turbines</text>
  </threadedComment>
  <threadedComment ref="G367" dT="2023-04-26T01:46:16.18" personId="{621A9E96-49A0-42D7-BD19-DAC75793F388}" id="{DDBAD25C-01D0-4BB0-9C1B-89E274C5FE9B}">
    <text>50 mw of 2mw turbines</text>
  </threadedComment>
  <threadedComment ref="H367" dT="2023-04-26T14:44:16.91" personId="{621A9E96-49A0-42D7-BD19-DAC75793F388}" id="{9F39826B-DA8E-4FA3-B0F6-D2F53DE18662}">
    <text xml:space="preserve">100mw of 3.3MW turbines
</text>
  </threadedComment>
  <threadedComment ref="H367" dT="2023-04-26T15:44:32.37" personId="{621A9E96-49A0-42D7-BD19-DAC75793F388}" id="{67CD4C5D-2970-447C-9D84-DC34C31EE044}" parentId="{9F39826B-DA8E-4FA3-B0F6-D2F53DE18662}">
    <text xml:space="preserve">This one maybe isn't getting used right now </text>
  </threadedComment>
  <threadedComment ref="H369" dT="2023-04-26T14:45:50.19" personId="{621A9E96-49A0-42D7-BD19-DAC75793F388}" id="{86D159E5-5E0E-4984-992B-527902FE31DD}">
    <text>I included steel and iron (unspecified in here)</text>
  </threadedComment>
  <threadedComment ref="F381" dT="2023-04-26T01:45:02.89" personId="{621A9E96-49A0-42D7-BD19-DAC75793F388}" id="{38FF3E00-1AE9-40CE-A632-4F9FBBEB0C8D}">
    <text>50MW power plant of 2MW turbines</text>
  </threadedComment>
  <threadedComment ref="G381" dT="2023-04-26T01:46:16.18" personId="{621A9E96-49A0-42D7-BD19-DAC75793F388}" id="{E199B71B-68DD-4442-B2F9-528A76A8724A}">
    <text>50 mw of 2mw turbines</text>
  </threadedComment>
  <threadedComment ref="H381" dT="2023-04-26T14:44:16.91" personId="{621A9E96-49A0-42D7-BD19-DAC75793F388}" id="{BF92A63F-75CA-4754-8E35-0173A3E6B345}">
    <text xml:space="preserve">100mw of 3.3MW turbines
</text>
  </threadedComment>
  <threadedComment ref="H381" dT="2023-04-26T15:44:32.37" personId="{621A9E96-49A0-42D7-BD19-DAC75793F388}" id="{0326F427-8F69-47C8-BB11-20AD4A53D0C7}" parentId="{BF92A63F-75CA-4754-8E35-0173A3E6B345}">
    <text xml:space="preserve">This one maybe isn't getting used right now </text>
  </threadedComment>
  <threadedComment ref="H383" dT="2023-04-26T14:45:50.19" personId="{621A9E96-49A0-42D7-BD19-DAC75793F388}" id="{678102C3-EACF-4A94-864A-4B5173104F41}">
    <text>I included steel and iron (unspecified in here)</text>
  </threadedComment>
  <threadedComment ref="F394" dT="2023-04-26T01:45:02.89" personId="{621A9E96-49A0-42D7-BD19-DAC75793F388}" id="{79D429CC-10CA-4CF0-B676-562A122D1E5A}">
    <text>50MW power plant of 2MW turbines</text>
  </threadedComment>
  <threadedComment ref="G394" dT="2023-04-26T01:46:16.18" personId="{621A9E96-49A0-42D7-BD19-DAC75793F388}" id="{EB2E7A07-81D8-4DB2-87D6-E77973F549ED}">
    <text>50 mw of 2mw turbines</text>
  </threadedComment>
  <threadedComment ref="H394" dT="2023-04-26T14:44:16.91" personId="{621A9E96-49A0-42D7-BD19-DAC75793F388}" id="{71CFA97F-3C2A-4C27-8685-B3B392796409}">
    <text xml:space="preserve">100mw of 3.3MW turbines
</text>
  </threadedComment>
  <threadedComment ref="H394" dT="2023-04-26T15:44:32.37" personId="{621A9E96-49A0-42D7-BD19-DAC75793F388}" id="{4477812F-3ECD-419E-A1AA-A390E84F0BEA}" parentId="{71CFA97F-3C2A-4C27-8685-B3B392796409}">
    <text xml:space="preserve">This one maybe isn't getting used right now </text>
  </threadedComment>
  <threadedComment ref="H396" dT="2023-04-26T14:45:50.19" personId="{621A9E96-49A0-42D7-BD19-DAC75793F388}" id="{A2B688A6-90C5-41CC-85A0-26E4D68B61F3}">
    <text>I included steel and iron (unspecified in here)</text>
  </threadedComment>
  <threadedComment ref="D617" dT="2023-04-28T21:30:32.92" personId="{621A9E96-49A0-42D7-BD19-DAC75793F388}" id="{6661305F-0B0B-4CFC-9E6A-C28CF59CD48C}">
    <text xml:space="preserve">This value is very weird
</text>
  </threadedComment>
</ThreadedComments>
</file>

<file path=xl/threadedComments/threadedComment3.xml><?xml version="1.0" encoding="utf-8"?>
<ThreadedComments xmlns="http://schemas.microsoft.com/office/spreadsheetml/2018/threadedcomments" xmlns:x="http://schemas.openxmlformats.org/spreadsheetml/2006/main">
  <threadedComment ref="D3" dT="2023-04-18T15:24:36.96" personId="{621A9E96-49A0-42D7-BD19-DAC75793F388}" id="{17EF9A07-69F5-4317-BDE8-B50B8FAF5C56}">
    <text xml:space="preserve">The paper seems to average the mateirals with multiple values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67" dT="2023-04-28T18:58:14.04" personId="{621A9E96-49A0-42D7-BD19-DAC75793F388}" id="{754A155A-9DBA-4EFB-BA8C-38372E4E3391}">
    <text xml:space="preserve">Not lca but may want to use it 
</text>
  </threadedComment>
  <threadedComment ref="A222" dT="2023-04-28T19:03:12.18" personId="{621A9E96-49A0-42D7-BD19-DAC75793F388}" id="{E0302304-1EDF-4E0A-A4D2-3568A11D5FF8}">
    <text>Results of surveys with authors</text>
  </threadedComment>
  <threadedComment ref="B233" dT="2023-04-28T19:04:38.33" personId="{621A9E96-49A0-42D7-BD19-DAC75793F388}" id="{6F402FE2-7AF0-4326-ADF9-A35F8723AE86}">
    <text xml:space="preserve"> Metals demand data
has been gleaned from many industrial sources, such as: Areva,
US EPA, World Nuclear Association (all nuclear); O ̈ kopol, NREL
(solar); BVC Assoc, Corus, GE, Shin Etsu, Avalon, GWMG and
others (wind); ENTSO-E (grid); and Johnson Matthey, F-T Tech-
nology Development (bioenergy).</text>
  </threadedComment>
  <threadedComment ref="B253" dT="2023-04-28T19:06:57.22" personId="{621A9E96-49A0-42D7-BD19-DAC75793F388}" id="{292FCA8D-7E03-4080-8F5A-49A97947BE13}">
    <text>Not an lca</text>
  </threadedComment>
  <threadedComment ref="A385" dT="2023-04-28T18:14:27.24" personId="{621A9E96-49A0-42D7-BD19-DAC75793F388}" id="{72790C56-FECB-4F1E-8751-DDEF74FDC6E8}">
    <text>Not currently using this as there are a ton of assumptions about it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s://pubs.rsc.org/en/content/articlehtml/2022/ee/d2ee00802e" TargetMode="External"/><Relationship Id="rId3" Type="http://schemas.openxmlformats.org/officeDocument/2006/relationships/hyperlink" Target="https://pubs.rsc.org/en/content/articlehtml/2022/ee/d2ee00802e" TargetMode="External"/><Relationship Id="rId7" Type="http://schemas.openxmlformats.org/officeDocument/2006/relationships/hyperlink" Target="https://pubs.rsc.org/en/content/articlehtml/2022/ee/d2ee00802e" TargetMode="External"/><Relationship Id="rId2" Type="http://schemas.openxmlformats.org/officeDocument/2006/relationships/hyperlink" Target="https://pubs.rsc.org/en/content/articlehtml/2022/ee/d2ee00802e" TargetMode="External"/><Relationship Id="rId1" Type="http://schemas.openxmlformats.org/officeDocument/2006/relationships/hyperlink" Target="https://iea.blob.core.windows.net/assets/ffd2a83b-8c30-4e9d-980a-52b6d9a86fdc/TheRoleofCriticalMineralsinCleanEnergyTransitions.pdf" TargetMode="External"/><Relationship Id="rId6" Type="http://schemas.openxmlformats.org/officeDocument/2006/relationships/hyperlink" Target="https://pubs.rsc.org/en/content/articlehtml/2022/ee/d2ee00802e" TargetMode="External"/><Relationship Id="rId5" Type="http://schemas.openxmlformats.org/officeDocument/2006/relationships/hyperlink" Target="https://pubs.rsc.org/en/content/articlehtml/2022/ee/d2ee00802e" TargetMode="External"/><Relationship Id="rId4" Type="http://schemas.openxmlformats.org/officeDocument/2006/relationships/hyperlink" Target="https://pubs.rsc.org/en/content/articlehtml/2022/ee/d2ee00802e" TargetMode="External"/><Relationship Id="rId9"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hyperlink" Target="https://pubs.rsc.org/en/content/articlehtml/2022/ee/d2ee00802e" TargetMode="External"/><Relationship Id="rId2" Type="http://schemas.openxmlformats.org/officeDocument/2006/relationships/hyperlink" Target="https://pubs.rsc.org/en/content/articlehtml/2022/ee/d2ee00802e" TargetMode="External"/><Relationship Id="rId1" Type="http://schemas.openxmlformats.org/officeDocument/2006/relationships/hyperlink" Target="https://pubs.rsc.org/en/content/articlehtml/2022/ee/d2ee00802e" TargetMode="External"/><Relationship Id="rId6" Type="http://schemas.openxmlformats.org/officeDocument/2006/relationships/printerSettings" Target="../printerSettings/printerSettings4.bin"/><Relationship Id="rId5" Type="http://schemas.openxmlformats.org/officeDocument/2006/relationships/hyperlink" Target="https://pubs.rsc.org/en/content/articlehtml/2022/ee/d2ee00802e" TargetMode="External"/><Relationship Id="rId4" Type="http://schemas.openxmlformats.org/officeDocument/2006/relationships/hyperlink" Target="https://pubs.rsc.org/en/content/articlehtml/2022/ee/d2ee00802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ink.springer.com/article/10.1007/s10098-019-01678-0" TargetMode="External"/><Relationship Id="rId13" Type="http://schemas.openxmlformats.org/officeDocument/2006/relationships/hyperlink" Target="https://www.sciencedirect.com/science/article/pii/S0960148108001754" TargetMode="External"/><Relationship Id="rId18" Type="http://schemas.openxmlformats.org/officeDocument/2006/relationships/hyperlink" Target="https://onlinelibrary.wiley.com/doi/full/10.1111/jiec.12989" TargetMode="External"/><Relationship Id="rId3" Type="http://schemas.openxmlformats.org/officeDocument/2006/relationships/hyperlink" Target="https://www.sciencedirect.com/science/article/pii/S0959652613004575" TargetMode="External"/><Relationship Id="rId21" Type="http://schemas.openxmlformats.org/officeDocument/2006/relationships/vmlDrawing" Target="../drawings/vmlDrawing2.vml"/><Relationship Id="rId7" Type="http://schemas.openxmlformats.org/officeDocument/2006/relationships/hyperlink" Target="https://eitrawmaterials.eu/wp-content/uploads/2020/04/rms_for_wind_and_solar_published_v2.pdf" TargetMode="External"/><Relationship Id="rId12" Type="http://schemas.openxmlformats.org/officeDocument/2006/relationships/hyperlink" Target="https://www.sciencedirect.com/science/article/pii/S0960148108001754" TargetMode="External"/><Relationship Id="rId17" Type="http://schemas.openxmlformats.org/officeDocument/2006/relationships/hyperlink" Target="https://www.sciencedirect.com/science/article/pii/S0960148108001754" TargetMode="External"/><Relationship Id="rId2" Type="http://schemas.openxmlformats.org/officeDocument/2006/relationships/hyperlink" Target="https://www.sciencedirect.com/science/article/pii/S0959652613004575" TargetMode="External"/><Relationship Id="rId16" Type="http://schemas.openxmlformats.org/officeDocument/2006/relationships/hyperlink" Target="https://www.sciencedirect.com/science/article/pii/S0960148108001754" TargetMode="External"/><Relationship Id="rId20" Type="http://schemas.openxmlformats.org/officeDocument/2006/relationships/drawing" Target="../drawings/drawing1.xml"/><Relationship Id="rId1" Type="http://schemas.openxmlformats.org/officeDocument/2006/relationships/hyperlink" Target="https://www.sciencedirect.com/science/article/pii/S0959652613004575" TargetMode="External"/><Relationship Id="rId6" Type="http://schemas.openxmlformats.org/officeDocument/2006/relationships/hyperlink" Target="https://www.sciencedirect.com/science/article/pii/S0959652613004575" TargetMode="External"/><Relationship Id="rId11" Type="http://schemas.openxmlformats.org/officeDocument/2006/relationships/hyperlink" Target="https://www.vestas.com/~/media/vestas/about/sustainability/pdfs/lca_v80_2004_uk.ashx" TargetMode="External"/><Relationship Id="rId5" Type="http://schemas.openxmlformats.org/officeDocument/2006/relationships/hyperlink" Target="https://www.sciencedirect.com/science/article/pii/S0959652613004575" TargetMode="External"/><Relationship Id="rId15" Type="http://schemas.openxmlformats.org/officeDocument/2006/relationships/hyperlink" Target="https://www.sciencedirect.com/science/article/pii/S0960148108001754" TargetMode="External"/><Relationship Id="rId23" Type="http://schemas.microsoft.com/office/2017/10/relationships/threadedComment" Target="../threadedComments/threadedComment2.xml"/><Relationship Id="rId10" Type="http://schemas.openxmlformats.org/officeDocument/2006/relationships/hyperlink" Target="https://www.sciencedirect.com/science/article/pii/S0301421518302726?via%3Dihub" TargetMode="External"/><Relationship Id="rId19" Type="http://schemas.openxmlformats.org/officeDocument/2006/relationships/printerSettings" Target="../printerSettings/printerSettings1.bin"/><Relationship Id="rId4" Type="http://schemas.openxmlformats.org/officeDocument/2006/relationships/hyperlink" Target="https://www.sciencedirect.com/science/article/pii/S0959652613004575" TargetMode="External"/><Relationship Id="rId9" Type="http://schemas.openxmlformats.org/officeDocument/2006/relationships/hyperlink" Target="https://link.springer.com/article/10.1007/s10098-019-01678-0" TargetMode="External"/><Relationship Id="rId14" Type="http://schemas.openxmlformats.org/officeDocument/2006/relationships/hyperlink" Target="https://www.sciencedirect.com/science/article/pii/S0960148108001754" TargetMode="External"/><Relationship Id="rId2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8" Type="http://schemas.openxmlformats.org/officeDocument/2006/relationships/hyperlink" Target="https://iea-pvps.org/wp-content/uploads/2020/12/IEA-PVPS-LCI-report-2020.pdf" TargetMode="External"/><Relationship Id="rId13" Type="http://schemas.microsoft.com/office/2017/10/relationships/threadedComment" Target="../threadedComments/threadedComment4.xml"/><Relationship Id="rId3" Type="http://schemas.openxmlformats.org/officeDocument/2006/relationships/hyperlink" Target="https://www.energy.gov/sites/prod/files/2014/02/f7/lifecycle_analysis_of_geothermal_systems.pdf" TargetMode="External"/><Relationship Id="rId7" Type="http://schemas.openxmlformats.org/officeDocument/2006/relationships/hyperlink" Target="https://www.sciencedirect.com/science/article/pii/S0301421518302726?via%3Dihub" TargetMode="External"/><Relationship Id="rId12" Type="http://schemas.openxmlformats.org/officeDocument/2006/relationships/comments" Target="../comments4.xml"/><Relationship Id="rId2" Type="http://schemas.openxmlformats.org/officeDocument/2006/relationships/hyperlink" Target="https://eitrawmaterials.eu/wp-content/uploads/2020/04/rms_for_wind_and_solar_published_v2.pdf" TargetMode="External"/><Relationship Id="rId1" Type="http://schemas.openxmlformats.org/officeDocument/2006/relationships/hyperlink" Target="https://www.irena.org/-/media/Files/IRENA/Agency/Publication/2017/Jun/IRENA_Leveraging_for_Solar_PV_2017.pdf?rev=04c0d805dc4c42f1bd6d854df5e0d363" TargetMode="External"/><Relationship Id="rId6" Type="http://schemas.openxmlformats.org/officeDocument/2006/relationships/hyperlink" Target="https://www.bnl.gov/pv/files/pdf/226_Task12_LifeCycle_Inventories.pdf" TargetMode="External"/><Relationship Id="rId11" Type="http://schemas.openxmlformats.org/officeDocument/2006/relationships/vmlDrawing" Target="../drawings/vmlDrawing4.vml"/><Relationship Id="rId5" Type="http://schemas.openxmlformats.org/officeDocument/2006/relationships/hyperlink" Target="https://www.sciencedirect.com/science/article/abs/pii/S0959652613004575?via%3Dihub" TargetMode="External"/><Relationship Id="rId10" Type="http://schemas.openxmlformats.org/officeDocument/2006/relationships/drawing" Target="../drawings/drawing2.xml"/><Relationship Id="rId4" Type="http://schemas.openxmlformats.org/officeDocument/2006/relationships/hyperlink" Target="https://www.bnl.gov/pv/files/pdf/226_Task12_LifeCycle_Inventories.pdf"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0C00C-F0A6-4C56-B96C-2286EFF907F2}">
  <dimension ref="A1:E431"/>
  <sheetViews>
    <sheetView tabSelected="1" workbookViewId="0">
      <pane ySplit="1" topLeftCell="A134" activePane="bottomLeft" state="frozen"/>
      <selection pane="bottomLeft" activeCell="H152" sqref="H152"/>
    </sheetView>
  </sheetViews>
  <sheetFormatPr defaultRowHeight="14.5" x14ac:dyDescent="0.35"/>
  <cols>
    <col min="2" max="2" width="21.08984375" customWidth="1"/>
  </cols>
  <sheetData>
    <row r="1" spans="1:5" x14ac:dyDescent="0.35">
      <c r="A1" t="s">
        <v>0</v>
      </c>
      <c r="B1" t="s">
        <v>1</v>
      </c>
      <c r="C1" t="s">
        <v>2</v>
      </c>
      <c r="D1" t="s">
        <v>3</v>
      </c>
      <c r="E1" t="s">
        <v>4</v>
      </c>
    </row>
    <row r="2" spans="1:5" x14ac:dyDescent="0.35">
      <c r="A2" t="s">
        <v>5</v>
      </c>
      <c r="B2" t="s">
        <v>6</v>
      </c>
      <c r="C2" t="s">
        <v>7</v>
      </c>
      <c r="D2">
        <v>13200</v>
      </c>
      <c r="E2" t="s">
        <v>8</v>
      </c>
    </row>
    <row r="3" spans="1:5" x14ac:dyDescent="0.35">
      <c r="A3" t="s">
        <v>5</v>
      </c>
      <c r="B3" t="s">
        <v>6</v>
      </c>
      <c r="C3" t="s">
        <v>9</v>
      </c>
      <c r="D3">
        <v>38717</v>
      </c>
      <c r="E3" t="s">
        <v>8</v>
      </c>
    </row>
    <row r="4" spans="1:5" x14ac:dyDescent="0.35">
      <c r="A4" t="s">
        <v>5</v>
      </c>
      <c r="B4" t="s">
        <v>6</v>
      </c>
      <c r="C4" t="s">
        <v>9</v>
      </c>
      <c r="D4">
        <v>41456</v>
      </c>
      <c r="E4" t="s">
        <v>10</v>
      </c>
    </row>
    <row r="5" spans="1:5" x14ac:dyDescent="0.35">
      <c r="A5" t="s">
        <v>5</v>
      </c>
      <c r="B5" t="s">
        <v>6</v>
      </c>
      <c r="C5" t="s">
        <v>9</v>
      </c>
      <c r="D5">
        <v>60070</v>
      </c>
      <c r="E5" t="s">
        <v>8</v>
      </c>
    </row>
    <row r="6" spans="1:5" x14ac:dyDescent="0.35">
      <c r="A6" t="s">
        <v>5</v>
      </c>
      <c r="B6" t="s">
        <v>6</v>
      </c>
      <c r="C6" t="s">
        <v>9</v>
      </c>
      <c r="D6">
        <v>64320</v>
      </c>
      <c r="E6" t="s">
        <v>10</v>
      </c>
    </row>
    <row r="7" spans="1:5" x14ac:dyDescent="0.35">
      <c r="A7" t="s">
        <v>5</v>
      </c>
      <c r="B7" t="s">
        <v>6</v>
      </c>
      <c r="C7" t="s">
        <v>11</v>
      </c>
      <c r="D7">
        <v>3320</v>
      </c>
      <c r="E7" t="s">
        <v>8</v>
      </c>
    </row>
    <row r="8" spans="1:5" x14ac:dyDescent="0.35">
      <c r="A8" t="s">
        <v>5</v>
      </c>
      <c r="B8" t="s">
        <v>6</v>
      </c>
      <c r="C8" t="s">
        <v>11</v>
      </c>
      <c r="D8">
        <v>3000</v>
      </c>
      <c r="E8" t="s">
        <v>10</v>
      </c>
    </row>
    <row r="9" spans="1:5" x14ac:dyDescent="0.35">
      <c r="A9" t="s">
        <v>5</v>
      </c>
      <c r="B9" t="s">
        <v>6</v>
      </c>
      <c r="C9" t="s">
        <v>11</v>
      </c>
      <c r="D9">
        <v>4700</v>
      </c>
      <c r="E9" t="s">
        <v>12</v>
      </c>
    </row>
    <row r="10" spans="1:5" x14ac:dyDescent="0.35">
      <c r="A10" t="s">
        <v>5</v>
      </c>
      <c r="B10" t="s">
        <v>6</v>
      </c>
      <c r="C10" t="s">
        <v>11</v>
      </c>
      <c r="D10">
        <v>5761</v>
      </c>
      <c r="E10" t="s">
        <v>13</v>
      </c>
    </row>
    <row r="11" spans="1:5" x14ac:dyDescent="0.35">
      <c r="A11" t="s">
        <v>5</v>
      </c>
      <c r="B11" t="s">
        <v>6</v>
      </c>
      <c r="C11" t="s">
        <v>11</v>
      </c>
      <c r="D11">
        <v>2994</v>
      </c>
      <c r="E11" t="s">
        <v>13</v>
      </c>
    </row>
    <row r="12" spans="1:5" x14ac:dyDescent="0.35">
      <c r="A12" t="s">
        <v>5</v>
      </c>
      <c r="B12" t="s">
        <v>6</v>
      </c>
      <c r="C12" t="s">
        <v>11</v>
      </c>
      <c r="D12">
        <v>6759</v>
      </c>
      <c r="E12" t="s">
        <v>13</v>
      </c>
    </row>
    <row r="13" spans="1:5" x14ac:dyDescent="0.35">
      <c r="A13" t="s">
        <v>5</v>
      </c>
      <c r="B13" t="s">
        <v>6</v>
      </c>
      <c r="C13" t="s">
        <v>11</v>
      </c>
      <c r="D13">
        <v>2540</v>
      </c>
      <c r="E13" t="s">
        <v>13</v>
      </c>
    </row>
    <row r="14" spans="1:5" x14ac:dyDescent="0.35">
      <c r="A14" t="s">
        <v>5</v>
      </c>
      <c r="B14" t="s">
        <v>6</v>
      </c>
      <c r="C14" t="s">
        <v>11</v>
      </c>
      <c r="D14">
        <v>3538</v>
      </c>
      <c r="E14" t="s">
        <v>13</v>
      </c>
    </row>
    <row r="15" spans="1:5" x14ac:dyDescent="0.35">
      <c r="A15" t="s">
        <v>5</v>
      </c>
      <c r="B15" t="s">
        <v>6</v>
      </c>
      <c r="C15" t="s">
        <v>14</v>
      </c>
      <c r="D15">
        <v>12</v>
      </c>
      <c r="E15" t="s">
        <v>15</v>
      </c>
    </row>
    <row r="16" spans="1:5" x14ac:dyDescent="0.35">
      <c r="A16" t="s">
        <v>5</v>
      </c>
      <c r="B16" t="s">
        <v>6</v>
      </c>
      <c r="C16" t="s">
        <v>14</v>
      </c>
      <c r="D16">
        <v>28</v>
      </c>
      <c r="E16" t="s">
        <v>16</v>
      </c>
    </row>
    <row r="17" spans="1:5" x14ac:dyDescent="0.35">
      <c r="A17" t="s">
        <v>5</v>
      </c>
      <c r="B17" t="s">
        <v>6</v>
      </c>
      <c r="C17" t="s">
        <v>17</v>
      </c>
      <c r="D17">
        <v>9580</v>
      </c>
      <c r="E17" t="s">
        <v>8</v>
      </c>
    </row>
    <row r="18" spans="1:5" x14ac:dyDescent="0.35">
      <c r="A18" t="s">
        <v>5</v>
      </c>
      <c r="B18" t="s">
        <v>6</v>
      </c>
      <c r="C18" t="s">
        <v>17</v>
      </c>
      <c r="D18">
        <v>6800</v>
      </c>
      <c r="E18" t="s">
        <v>10</v>
      </c>
    </row>
    <row r="19" spans="1:5" x14ac:dyDescent="0.35">
      <c r="A19" t="s">
        <v>5</v>
      </c>
      <c r="B19" t="s">
        <v>6</v>
      </c>
      <c r="C19" t="s">
        <v>18</v>
      </c>
      <c r="D19">
        <v>186</v>
      </c>
      <c r="E19" t="s">
        <v>15</v>
      </c>
    </row>
    <row r="20" spans="1:5" x14ac:dyDescent="0.35">
      <c r="A20" t="s">
        <v>5</v>
      </c>
      <c r="B20" t="s">
        <v>6</v>
      </c>
      <c r="C20" t="s">
        <v>18</v>
      </c>
      <c r="D20">
        <v>216</v>
      </c>
      <c r="E20" t="s">
        <v>10</v>
      </c>
    </row>
    <row r="21" spans="1:5" x14ac:dyDescent="0.35">
      <c r="A21" t="s">
        <v>5</v>
      </c>
      <c r="B21" t="s">
        <v>6</v>
      </c>
      <c r="C21" t="s">
        <v>18</v>
      </c>
      <c r="D21">
        <v>198</v>
      </c>
      <c r="E21" t="s">
        <v>16</v>
      </c>
    </row>
    <row r="22" spans="1:5" x14ac:dyDescent="0.35">
      <c r="A22" t="s">
        <v>5</v>
      </c>
      <c r="B22" t="s">
        <v>6</v>
      </c>
      <c r="C22" t="s">
        <v>19</v>
      </c>
      <c r="D22">
        <v>377</v>
      </c>
      <c r="E22" t="s">
        <v>20</v>
      </c>
    </row>
    <row r="23" spans="1:5" x14ac:dyDescent="0.35">
      <c r="A23" t="s">
        <v>5</v>
      </c>
      <c r="B23" t="s">
        <v>6</v>
      </c>
      <c r="C23" t="s">
        <v>21</v>
      </c>
      <c r="D23">
        <v>122780</v>
      </c>
      <c r="E23" t="s">
        <v>8</v>
      </c>
    </row>
    <row r="24" spans="1:5" x14ac:dyDescent="0.35">
      <c r="A24" t="s">
        <v>5</v>
      </c>
      <c r="B24" t="s">
        <v>6</v>
      </c>
      <c r="C24" t="s">
        <v>21</v>
      </c>
      <c r="D24">
        <v>123000</v>
      </c>
      <c r="E24" t="s">
        <v>10</v>
      </c>
    </row>
    <row r="25" spans="1:5" x14ac:dyDescent="0.35">
      <c r="A25" t="s">
        <v>22</v>
      </c>
      <c r="B25" t="s">
        <v>6</v>
      </c>
      <c r="C25" t="s">
        <v>7</v>
      </c>
      <c r="D25">
        <v>4900</v>
      </c>
      <c r="E25" t="s">
        <v>23</v>
      </c>
    </row>
    <row r="26" spans="1:5" x14ac:dyDescent="0.35">
      <c r="A26" t="s">
        <v>22</v>
      </c>
      <c r="B26" t="s">
        <v>6</v>
      </c>
      <c r="C26" t="s">
        <v>7</v>
      </c>
      <c r="D26">
        <v>5080</v>
      </c>
      <c r="E26" t="s">
        <v>24</v>
      </c>
    </row>
    <row r="27" spans="1:5" x14ac:dyDescent="0.35">
      <c r="A27" t="s">
        <v>22</v>
      </c>
      <c r="B27" t="s">
        <v>6</v>
      </c>
      <c r="C27" t="s">
        <v>9</v>
      </c>
      <c r="D27">
        <v>41388</v>
      </c>
      <c r="E27" t="s">
        <v>23</v>
      </c>
    </row>
    <row r="28" spans="1:5" x14ac:dyDescent="0.35">
      <c r="A28" t="s">
        <v>22</v>
      </c>
      <c r="B28" t="s">
        <v>6</v>
      </c>
      <c r="C28" t="s">
        <v>9</v>
      </c>
      <c r="D28">
        <v>47099</v>
      </c>
      <c r="E28" t="s">
        <v>24</v>
      </c>
    </row>
    <row r="29" spans="1:5" x14ac:dyDescent="0.35">
      <c r="A29" t="s">
        <v>22</v>
      </c>
      <c r="B29" t="s">
        <v>6</v>
      </c>
      <c r="C29" t="s">
        <v>9</v>
      </c>
      <c r="D29">
        <v>41456</v>
      </c>
      <c r="E29" t="s">
        <v>10</v>
      </c>
    </row>
    <row r="30" spans="1:5" x14ac:dyDescent="0.35">
      <c r="A30" t="s">
        <v>22</v>
      </c>
      <c r="B30" t="s">
        <v>6</v>
      </c>
      <c r="C30" t="s">
        <v>9</v>
      </c>
      <c r="D30">
        <v>64214</v>
      </c>
      <c r="E30" t="s">
        <v>23</v>
      </c>
    </row>
    <row r="31" spans="1:5" x14ac:dyDescent="0.35">
      <c r="A31" t="s">
        <v>22</v>
      </c>
      <c r="B31" t="s">
        <v>6</v>
      </c>
      <c r="C31" t="s">
        <v>9</v>
      </c>
      <c r="D31">
        <v>73075</v>
      </c>
      <c r="E31" t="s">
        <v>24</v>
      </c>
    </row>
    <row r="32" spans="1:5" x14ac:dyDescent="0.35">
      <c r="A32" t="s">
        <v>22</v>
      </c>
      <c r="B32" t="s">
        <v>6</v>
      </c>
      <c r="C32" t="s">
        <v>9</v>
      </c>
      <c r="D32">
        <v>64320</v>
      </c>
      <c r="E32" t="s">
        <v>10</v>
      </c>
    </row>
    <row r="33" spans="1:5" x14ac:dyDescent="0.35">
      <c r="A33" t="s">
        <v>22</v>
      </c>
      <c r="B33" t="s">
        <v>6</v>
      </c>
      <c r="C33" t="s">
        <v>11</v>
      </c>
      <c r="D33">
        <v>1700</v>
      </c>
      <c r="E33" t="s">
        <v>23</v>
      </c>
    </row>
    <row r="34" spans="1:5" x14ac:dyDescent="0.35">
      <c r="A34" t="s">
        <v>22</v>
      </c>
      <c r="B34" t="s">
        <v>6</v>
      </c>
      <c r="C34" t="s">
        <v>11</v>
      </c>
      <c r="D34">
        <v>1740</v>
      </c>
      <c r="E34" t="s">
        <v>24</v>
      </c>
    </row>
    <row r="35" spans="1:5" x14ac:dyDescent="0.35">
      <c r="A35" t="s">
        <v>22</v>
      </c>
      <c r="B35" t="s">
        <v>6</v>
      </c>
      <c r="C35" t="s">
        <v>11</v>
      </c>
      <c r="D35">
        <v>1850</v>
      </c>
      <c r="E35" t="s">
        <v>25</v>
      </c>
    </row>
    <row r="36" spans="1:5" x14ac:dyDescent="0.35">
      <c r="A36" t="s">
        <v>22</v>
      </c>
      <c r="B36" t="s">
        <v>6</v>
      </c>
      <c r="C36" t="s">
        <v>17</v>
      </c>
      <c r="D36">
        <v>8980</v>
      </c>
      <c r="E36" t="s">
        <v>23</v>
      </c>
    </row>
    <row r="37" spans="1:5" x14ac:dyDescent="0.35">
      <c r="A37" t="s">
        <v>22</v>
      </c>
      <c r="B37" t="s">
        <v>6</v>
      </c>
      <c r="C37" t="s">
        <v>17</v>
      </c>
      <c r="D37">
        <v>7400</v>
      </c>
      <c r="E37" t="s">
        <v>24</v>
      </c>
    </row>
    <row r="38" spans="1:5" x14ac:dyDescent="0.35">
      <c r="A38" t="s">
        <v>22</v>
      </c>
      <c r="B38" t="s">
        <v>6</v>
      </c>
      <c r="C38" t="s">
        <v>17</v>
      </c>
      <c r="D38">
        <v>6800</v>
      </c>
      <c r="E38" t="s">
        <v>10</v>
      </c>
    </row>
    <row r="39" spans="1:5" x14ac:dyDescent="0.35">
      <c r="A39" t="s">
        <v>22</v>
      </c>
      <c r="B39" t="s">
        <v>6</v>
      </c>
      <c r="C39" t="s">
        <v>19</v>
      </c>
      <c r="D39">
        <v>377</v>
      </c>
      <c r="E39" t="s">
        <v>20</v>
      </c>
    </row>
    <row r="40" spans="1:5" x14ac:dyDescent="0.35">
      <c r="A40" t="s">
        <v>22</v>
      </c>
      <c r="B40" t="s">
        <v>6</v>
      </c>
      <c r="C40" t="s">
        <v>21</v>
      </c>
      <c r="D40">
        <v>120480</v>
      </c>
      <c r="E40" t="s">
        <v>23</v>
      </c>
    </row>
    <row r="41" spans="1:5" x14ac:dyDescent="0.35">
      <c r="A41" t="s">
        <v>22</v>
      </c>
      <c r="B41" t="s">
        <v>6</v>
      </c>
      <c r="C41" t="s">
        <v>21</v>
      </c>
      <c r="D41">
        <v>130480</v>
      </c>
      <c r="E41" t="s">
        <v>24</v>
      </c>
    </row>
    <row r="42" spans="1:5" x14ac:dyDescent="0.35">
      <c r="A42" t="s">
        <v>22</v>
      </c>
      <c r="B42" t="s">
        <v>6</v>
      </c>
      <c r="C42" t="s">
        <v>21</v>
      </c>
      <c r="D42">
        <v>123000</v>
      </c>
      <c r="E42" t="s">
        <v>10</v>
      </c>
    </row>
    <row r="43" spans="1:5" x14ac:dyDescent="0.35">
      <c r="A43" t="s">
        <v>26</v>
      </c>
      <c r="B43" t="s">
        <v>27</v>
      </c>
      <c r="C43" t="s">
        <v>7</v>
      </c>
      <c r="D43">
        <v>1000</v>
      </c>
      <c r="E43" t="s">
        <v>28</v>
      </c>
    </row>
    <row r="44" spans="1:5" x14ac:dyDescent="0.35">
      <c r="A44" t="s">
        <v>26</v>
      </c>
      <c r="B44" t="s">
        <v>27</v>
      </c>
      <c r="C44" t="s">
        <v>7</v>
      </c>
      <c r="D44">
        <v>898</v>
      </c>
      <c r="E44" t="s">
        <v>28</v>
      </c>
    </row>
    <row r="45" spans="1:5" x14ac:dyDescent="0.35">
      <c r="A45" t="s">
        <v>26</v>
      </c>
      <c r="B45" t="s">
        <v>29</v>
      </c>
      <c r="C45" t="s">
        <v>7</v>
      </c>
      <c r="D45">
        <v>898</v>
      </c>
      <c r="E45" t="s">
        <v>28</v>
      </c>
    </row>
    <row r="46" spans="1:5" x14ac:dyDescent="0.35">
      <c r="A46" t="s">
        <v>26</v>
      </c>
      <c r="B46" t="s">
        <v>29</v>
      </c>
      <c r="C46" t="s">
        <v>7</v>
      </c>
      <c r="D46">
        <v>556</v>
      </c>
      <c r="E46" t="s">
        <v>28</v>
      </c>
    </row>
    <row r="47" spans="1:5" x14ac:dyDescent="0.35">
      <c r="A47" t="s">
        <v>26</v>
      </c>
      <c r="B47" t="s">
        <v>27</v>
      </c>
      <c r="C47" t="s">
        <v>7</v>
      </c>
      <c r="D47">
        <v>2140</v>
      </c>
      <c r="E47" t="s">
        <v>30</v>
      </c>
    </row>
    <row r="48" spans="1:5" x14ac:dyDescent="0.35">
      <c r="A48" t="s">
        <v>26</v>
      </c>
      <c r="B48" t="s">
        <v>27</v>
      </c>
      <c r="C48" t="s">
        <v>9</v>
      </c>
      <c r="D48">
        <v>142</v>
      </c>
      <c r="E48" t="s">
        <v>30</v>
      </c>
    </row>
    <row r="49" spans="1:5" x14ac:dyDescent="0.35">
      <c r="A49" t="s">
        <v>26</v>
      </c>
      <c r="B49" t="s">
        <v>27</v>
      </c>
      <c r="C49" t="s">
        <v>9</v>
      </c>
      <c r="D49">
        <v>220</v>
      </c>
      <c r="E49" t="s">
        <v>30</v>
      </c>
    </row>
    <row r="50" spans="1:5" x14ac:dyDescent="0.35">
      <c r="A50" t="s">
        <v>26</v>
      </c>
      <c r="C50" t="s">
        <v>11</v>
      </c>
      <c r="D50">
        <v>10000</v>
      </c>
      <c r="E50" t="s">
        <v>25</v>
      </c>
    </row>
    <row r="51" spans="1:5" x14ac:dyDescent="0.35">
      <c r="A51" t="s">
        <v>26</v>
      </c>
      <c r="C51" t="s">
        <v>11</v>
      </c>
      <c r="D51">
        <v>9580</v>
      </c>
      <c r="E51" t="s">
        <v>31</v>
      </c>
    </row>
    <row r="52" spans="1:5" x14ac:dyDescent="0.35">
      <c r="A52" t="s">
        <v>26</v>
      </c>
      <c r="B52" t="s">
        <v>27</v>
      </c>
      <c r="C52" t="s">
        <v>11</v>
      </c>
      <c r="D52">
        <v>1650</v>
      </c>
      <c r="E52" s="1" t="s">
        <v>28</v>
      </c>
    </row>
    <row r="53" spans="1:5" x14ac:dyDescent="0.35">
      <c r="A53" t="s">
        <v>26</v>
      </c>
      <c r="B53" t="s">
        <v>27</v>
      </c>
      <c r="C53" t="s">
        <v>11</v>
      </c>
      <c r="D53">
        <v>5218</v>
      </c>
      <c r="E53" t="s">
        <v>28</v>
      </c>
    </row>
    <row r="54" spans="1:5" x14ac:dyDescent="0.35">
      <c r="A54" t="s">
        <v>26</v>
      </c>
      <c r="B54" s="1" t="s">
        <v>29</v>
      </c>
      <c r="C54" t="s">
        <v>11</v>
      </c>
      <c r="D54">
        <v>5218</v>
      </c>
      <c r="E54" t="s">
        <v>28</v>
      </c>
    </row>
    <row r="55" spans="1:5" x14ac:dyDescent="0.35">
      <c r="A55" t="s">
        <v>26</v>
      </c>
      <c r="B55" t="s">
        <v>29</v>
      </c>
      <c r="C55" t="s">
        <v>11</v>
      </c>
      <c r="D55">
        <v>9601</v>
      </c>
      <c r="E55" t="s">
        <v>28</v>
      </c>
    </row>
    <row r="56" spans="1:5" x14ac:dyDescent="0.35">
      <c r="A56" t="s">
        <v>26</v>
      </c>
      <c r="B56" t="s">
        <v>27</v>
      </c>
      <c r="C56" t="s">
        <v>11</v>
      </c>
      <c r="D56">
        <v>2337</v>
      </c>
      <c r="E56" t="s">
        <v>30</v>
      </c>
    </row>
    <row r="57" spans="1:5" x14ac:dyDescent="0.35">
      <c r="A57" t="s">
        <v>26</v>
      </c>
      <c r="B57" s="1"/>
      <c r="C57" t="s">
        <v>14</v>
      </c>
      <c r="D57">
        <v>12</v>
      </c>
      <c r="E57" t="s">
        <v>15</v>
      </c>
    </row>
    <row r="58" spans="1:5" x14ac:dyDescent="0.35">
      <c r="A58" t="s">
        <v>26</v>
      </c>
      <c r="C58" t="s">
        <v>14</v>
      </c>
      <c r="D58">
        <v>28</v>
      </c>
      <c r="E58" t="s">
        <v>16</v>
      </c>
    </row>
    <row r="59" spans="1:5" x14ac:dyDescent="0.35">
      <c r="A59" t="s">
        <v>26</v>
      </c>
      <c r="B59" s="1" t="s">
        <v>27</v>
      </c>
      <c r="C59" t="s">
        <v>17</v>
      </c>
      <c r="D59">
        <v>5823</v>
      </c>
      <c r="E59" t="s">
        <v>28</v>
      </c>
    </row>
    <row r="60" spans="1:5" x14ac:dyDescent="0.35">
      <c r="A60" t="s">
        <v>26</v>
      </c>
      <c r="B60" t="s">
        <v>29</v>
      </c>
      <c r="C60" t="s">
        <v>17</v>
      </c>
      <c r="D60">
        <v>5833</v>
      </c>
      <c r="E60" t="s">
        <v>28</v>
      </c>
    </row>
    <row r="61" spans="1:5" x14ac:dyDescent="0.35">
      <c r="A61" t="s">
        <v>26</v>
      </c>
      <c r="B61" t="s">
        <v>27</v>
      </c>
      <c r="C61" t="s">
        <v>17</v>
      </c>
      <c r="D61">
        <v>5833</v>
      </c>
      <c r="E61" t="s">
        <v>28</v>
      </c>
    </row>
    <row r="62" spans="1:5" x14ac:dyDescent="0.35">
      <c r="A62" t="s">
        <v>26</v>
      </c>
      <c r="B62" s="1" t="s">
        <v>27</v>
      </c>
      <c r="C62" t="s">
        <v>17</v>
      </c>
      <c r="D62">
        <v>10551</v>
      </c>
      <c r="E62" t="s">
        <v>28</v>
      </c>
    </row>
    <row r="63" spans="1:5" x14ac:dyDescent="0.35">
      <c r="A63" t="s">
        <v>26</v>
      </c>
      <c r="B63" t="s">
        <v>27</v>
      </c>
      <c r="C63" t="s">
        <v>17</v>
      </c>
      <c r="D63">
        <v>10921</v>
      </c>
      <c r="E63" t="s">
        <v>30</v>
      </c>
    </row>
    <row r="64" spans="1:5" x14ac:dyDescent="0.35">
      <c r="A64" t="s">
        <v>26</v>
      </c>
      <c r="B64" s="1"/>
      <c r="C64" t="s">
        <v>18</v>
      </c>
      <c r="D64">
        <v>186</v>
      </c>
      <c r="E64" t="s">
        <v>15</v>
      </c>
    </row>
    <row r="65" spans="1:5" x14ac:dyDescent="0.35">
      <c r="A65" t="s">
        <v>26</v>
      </c>
      <c r="C65" t="s">
        <v>18</v>
      </c>
      <c r="D65">
        <v>216</v>
      </c>
      <c r="E65" t="s">
        <v>10</v>
      </c>
    </row>
    <row r="66" spans="1:5" x14ac:dyDescent="0.35">
      <c r="A66" t="s">
        <v>26</v>
      </c>
      <c r="C66" t="s">
        <v>18</v>
      </c>
      <c r="D66">
        <v>198</v>
      </c>
      <c r="E66" t="s">
        <v>16</v>
      </c>
    </row>
    <row r="67" spans="1:5" x14ac:dyDescent="0.35">
      <c r="A67" t="s">
        <v>26</v>
      </c>
      <c r="C67" t="s">
        <v>19</v>
      </c>
      <c r="D67">
        <v>377</v>
      </c>
      <c r="E67" t="s">
        <v>20</v>
      </c>
    </row>
    <row r="68" spans="1:5" x14ac:dyDescent="0.35">
      <c r="A68" t="s">
        <v>26</v>
      </c>
      <c r="B68" t="s">
        <v>27</v>
      </c>
      <c r="C68" t="s">
        <v>21</v>
      </c>
      <c r="D68">
        <v>147576</v>
      </c>
      <c r="E68" t="s">
        <v>28</v>
      </c>
    </row>
    <row r="69" spans="1:5" x14ac:dyDescent="0.35">
      <c r="A69" t="s">
        <v>26</v>
      </c>
      <c r="B69" t="s">
        <v>27</v>
      </c>
      <c r="C69" t="s">
        <v>21</v>
      </c>
      <c r="D69">
        <v>803094</v>
      </c>
      <c r="E69" t="s">
        <v>28</v>
      </c>
    </row>
    <row r="70" spans="1:5" x14ac:dyDescent="0.35">
      <c r="A70" t="s">
        <v>26</v>
      </c>
      <c r="B70" t="s">
        <v>29</v>
      </c>
      <c r="C70" t="s">
        <v>21</v>
      </c>
      <c r="D70">
        <v>917224</v>
      </c>
      <c r="E70" t="s">
        <v>28</v>
      </c>
    </row>
    <row r="71" spans="1:5" x14ac:dyDescent="0.35">
      <c r="A71" t="s">
        <v>26</v>
      </c>
      <c r="B71" t="s">
        <v>29</v>
      </c>
      <c r="C71" t="s">
        <v>21</v>
      </c>
      <c r="D71">
        <v>530417</v>
      </c>
      <c r="E71" t="s">
        <v>28</v>
      </c>
    </row>
    <row r="72" spans="1:5" x14ac:dyDescent="0.35">
      <c r="A72" t="s">
        <v>26</v>
      </c>
      <c r="B72" t="s">
        <v>27</v>
      </c>
      <c r="C72" t="s">
        <v>21</v>
      </c>
      <c r="D72">
        <v>193257</v>
      </c>
      <c r="E72" t="s">
        <v>30</v>
      </c>
    </row>
    <row r="73" spans="1:5" x14ac:dyDescent="0.35">
      <c r="A73" t="s">
        <v>32</v>
      </c>
      <c r="B73" t="s">
        <v>27</v>
      </c>
      <c r="C73" t="s">
        <v>7</v>
      </c>
      <c r="D73">
        <v>1000</v>
      </c>
      <c r="E73" t="s">
        <v>28</v>
      </c>
    </row>
    <row r="74" spans="1:5" x14ac:dyDescent="0.35">
      <c r="A74" t="s">
        <v>32</v>
      </c>
      <c r="B74" t="s">
        <v>27</v>
      </c>
      <c r="C74" t="s">
        <v>7</v>
      </c>
      <c r="D74">
        <v>898</v>
      </c>
      <c r="E74" t="s">
        <v>28</v>
      </c>
    </row>
    <row r="75" spans="1:5" x14ac:dyDescent="0.35">
      <c r="A75" t="s">
        <v>32</v>
      </c>
      <c r="B75" t="s">
        <v>29</v>
      </c>
      <c r="C75" t="s">
        <v>7</v>
      </c>
      <c r="D75">
        <v>898</v>
      </c>
      <c r="E75" t="s">
        <v>28</v>
      </c>
    </row>
    <row r="76" spans="1:5" x14ac:dyDescent="0.35">
      <c r="A76" t="s">
        <v>32</v>
      </c>
      <c r="B76" t="s">
        <v>29</v>
      </c>
      <c r="C76" t="s">
        <v>7</v>
      </c>
      <c r="D76">
        <v>556</v>
      </c>
      <c r="E76" t="s">
        <v>28</v>
      </c>
    </row>
    <row r="77" spans="1:5" x14ac:dyDescent="0.35">
      <c r="A77" t="s">
        <v>32</v>
      </c>
      <c r="B77" t="s">
        <v>27</v>
      </c>
      <c r="C77" t="s">
        <v>7</v>
      </c>
      <c r="D77">
        <v>2140</v>
      </c>
      <c r="E77" t="s">
        <v>30</v>
      </c>
    </row>
    <row r="78" spans="1:5" x14ac:dyDescent="0.35">
      <c r="A78" t="s">
        <v>32</v>
      </c>
      <c r="B78" t="s">
        <v>27</v>
      </c>
      <c r="C78" t="s">
        <v>9</v>
      </c>
      <c r="D78">
        <v>142</v>
      </c>
      <c r="E78" t="s">
        <v>30</v>
      </c>
    </row>
    <row r="79" spans="1:5" x14ac:dyDescent="0.35">
      <c r="A79" t="s">
        <v>32</v>
      </c>
      <c r="B79" t="s">
        <v>27</v>
      </c>
      <c r="C79" t="s">
        <v>9</v>
      </c>
      <c r="D79">
        <v>220</v>
      </c>
      <c r="E79" t="s">
        <v>30</v>
      </c>
    </row>
    <row r="80" spans="1:5" x14ac:dyDescent="0.35">
      <c r="A80" t="s">
        <v>32</v>
      </c>
      <c r="C80" t="s">
        <v>11</v>
      </c>
      <c r="D80">
        <v>10000</v>
      </c>
      <c r="E80" t="s">
        <v>25</v>
      </c>
    </row>
    <row r="81" spans="1:5" x14ac:dyDescent="0.35">
      <c r="A81" t="s">
        <v>32</v>
      </c>
      <c r="C81" t="s">
        <v>11</v>
      </c>
      <c r="D81">
        <v>9580</v>
      </c>
      <c r="E81" t="s">
        <v>31</v>
      </c>
    </row>
    <row r="82" spans="1:5" x14ac:dyDescent="0.35">
      <c r="A82" t="s">
        <v>32</v>
      </c>
      <c r="B82" s="1" t="s">
        <v>27</v>
      </c>
      <c r="C82" t="s">
        <v>11</v>
      </c>
      <c r="D82">
        <v>1650</v>
      </c>
      <c r="E82" t="s">
        <v>28</v>
      </c>
    </row>
    <row r="83" spans="1:5" x14ac:dyDescent="0.35">
      <c r="A83" t="s">
        <v>32</v>
      </c>
      <c r="B83" s="1" t="s">
        <v>27</v>
      </c>
      <c r="C83" t="s">
        <v>11</v>
      </c>
      <c r="D83">
        <v>5218</v>
      </c>
      <c r="E83" t="s">
        <v>28</v>
      </c>
    </row>
    <row r="84" spans="1:5" x14ac:dyDescent="0.35">
      <c r="A84" t="s">
        <v>32</v>
      </c>
      <c r="B84" s="1" t="s">
        <v>29</v>
      </c>
      <c r="C84" t="s">
        <v>11</v>
      </c>
      <c r="D84">
        <v>5218</v>
      </c>
      <c r="E84" t="s">
        <v>28</v>
      </c>
    </row>
    <row r="85" spans="1:5" x14ac:dyDescent="0.35">
      <c r="A85" t="s">
        <v>32</v>
      </c>
      <c r="B85" s="1" t="s">
        <v>29</v>
      </c>
      <c r="C85" t="s">
        <v>11</v>
      </c>
      <c r="D85">
        <v>9601</v>
      </c>
      <c r="E85" t="s">
        <v>28</v>
      </c>
    </row>
    <row r="86" spans="1:5" x14ac:dyDescent="0.35">
      <c r="A86" t="s">
        <v>32</v>
      </c>
      <c r="B86" t="s">
        <v>27</v>
      </c>
      <c r="C86" t="s">
        <v>11</v>
      </c>
      <c r="D86">
        <v>2337</v>
      </c>
      <c r="E86" t="s">
        <v>30</v>
      </c>
    </row>
    <row r="87" spans="1:5" x14ac:dyDescent="0.35">
      <c r="A87" t="s">
        <v>32</v>
      </c>
      <c r="B87" t="s">
        <v>27</v>
      </c>
      <c r="C87" t="s">
        <v>17</v>
      </c>
      <c r="D87">
        <v>5823</v>
      </c>
      <c r="E87" t="s">
        <v>28</v>
      </c>
    </row>
    <row r="88" spans="1:5" x14ac:dyDescent="0.35">
      <c r="A88" t="s">
        <v>32</v>
      </c>
      <c r="B88" t="s">
        <v>27</v>
      </c>
      <c r="C88" t="s">
        <v>17</v>
      </c>
      <c r="D88">
        <v>5833</v>
      </c>
      <c r="E88" t="s">
        <v>28</v>
      </c>
    </row>
    <row r="89" spans="1:5" x14ac:dyDescent="0.35">
      <c r="A89" t="s">
        <v>32</v>
      </c>
      <c r="B89" t="s">
        <v>29</v>
      </c>
      <c r="C89" t="s">
        <v>17</v>
      </c>
      <c r="D89">
        <v>5833</v>
      </c>
      <c r="E89" t="s">
        <v>28</v>
      </c>
    </row>
    <row r="90" spans="1:5" x14ac:dyDescent="0.35">
      <c r="A90" t="s">
        <v>32</v>
      </c>
      <c r="B90" t="s">
        <v>29</v>
      </c>
      <c r="C90" t="s">
        <v>17</v>
      </c>
      <c r="D90">
        <v>10551</v>
      </c>
      <c r="E90" t="s">
        <v>28</v>
      </c>
    </row>
    <row r="91" spans="1:5" x14ac:dyDescent="0.35">
      <c r="A91" t="s">
        <v>32</v>
      </c>
      <c r="B91" t="s">
        <v>27</v>
      </c>
      <c r="C91" t="s">
        <v>17</v>
      </c>
      <c r="D91">
        <v>10921</v>
      </c>
      <c r="E91" t="s">
        <v>30</v>
      </c>
    </row>
    <row r="92" spans="1:5" x14ac:dyDescent="0.35">
      <c r="A92" t="s">
        <v>32</v>
      </c>
      <c r="C92" t="s">
        <v>19</v>
      </c>
      <c r="D92">
        <v>377</v>
      </c>
      <c r="E92" t="s">
        <v>20</v>
      </c>
    </row>
    <row r="93" spans="1:5" x14ac:dyDescent="0.35">
      <c r="A93" t="s">
        <v>32</v>
      </c>
      <c r="B93" t="s">
        <v>27</v>
      </c>
      <c r="C93" t="s">
        <v>21</v>
      </c>
      <c r="D93">
        <v>147576</v>
      </c>
      <c r="E93" t="s">
        <v>28</v>
      </c>
    </row>
    <row r="94" spans="1:5" x14ac:dyDescent="0.35">
      <c r="A94" t="s">
        <v>32</v>
      </c>
      <c r="B94" t="s">
        <v>27</v>
      </c>
      <c r="C94" t="s">
        <v>21</v>
      </c>
      <c r="D94">
        <v>803094</v>
      </c>
      <c r="E94" t="s">
        <v>28</v>
      </c>
    </row>
    <row r="95" spans="1:5" x14ac:dyDescent="0.35">
      <c r="A95" t="s">
        <v>32</v>
      </c>
      <c r="B95" t="s">
        <v>29</v>
      </c>
      <c r="C95" t="s">
        <v>21</v>
      </c>
      <c r="D95">
        <v>917224</v>
      </c>
      <c r="E95" t="s">
        <v>28</v>
      </c>
    </row>
    <row r="96" spans="1:5" x14ac:dyDescent="0.35">
      <c r="A96" t="s">
        <v>32</v>
      </c>
      <c r="B96" t="s">
        <v>29</v>
      </c>
      <c r="C96" t="s">
        <v>21</v>
      </c>
      <c r="D96">
        <v>530417</v>
      </c>
      <c r="E96" t="s">
        <v>28</v>
      </c>
    </row>
    <row r="97" spans="1:5" x14ac:dyDescent="0.35">
      <c r="A97" t="s">
        <v>32</v>
      </c>
      <c r="B97" t="s">
        <v>27</v>
      </c>
      <c r="C97" t="s">
        <v>21</v>
      </c>
      <c r="D97">
        <v>193257</v>
      </c>
      <c r="E97" t="s">
        <v>30</v>
      </c>
    </row>
    <row r="98" spans="1:5" x14ac:dyDescent="0.35">
      <c r="A98" t="s">
        <v>33</v>
      </c>
      <c r="B98" t="s">
        <v>34</v>
      </c>
      <c r="C98" t="s">
        <v>35</v>
      </c>
      <c r="D98">
        <v>10</v>
      </c>
      <c r="E98" t="s">
        <v>36</v>
      </c>
    </row>
    <row r="99" spans="1:5" x14ac:dyDescent="0.35">
      <c r="A99" t="s">
        <v>33</v>
      </c>
      <c r="B99" t="s">
        <v>34</v>
      </c>
      <c r="C99" t="s">
        <v>7</v>
      </c>
      <c r="D99">
        <v>38500</v>
      </c>
      <c r="E99" t="s">
        <v>37</v>
      </c>
    </row>
    <row r="100" spans="1:5" x14ac:dyDescent="0.35">
      <c r="A100" t="s">
        <v>33</v>
      </c>
      <c r="B100" t="s">
        <v>34</v>
      </c>
      <c r="C100" t="s">
        <v>7</v>
      </c>
      <c r="D100">
        <v>8500</v>
      </c>
      <c r="E100" t="s">
        <v>38</v>
      </c>
    </row>
    <row r="101" spans="1:5" x14ac:dyDescent="0.35">
      <c r="A101" t="s">
        <v>33</v>
      </c>
      <c r="B101" t="s">
        <v>34</v>
      </c>
      <c r="C101" t="s">
        <v>7</v>
      </c>
      <c r="D101">
        <v>19000</v>
      </c>
      <c r="E101" t="s">
        <v>39</v>
      </c>
    </row>
    <row r="102" spans="1:5" x14ac:dyDescent="0.35">
      <c r="A102" t="s">
        <v>33</v>
      </c>
      <c r="B102" t="s">
        <v>34</v>
      </c>
      <c r="C102" t="s">
        <v>7</v>
      </c>
      <c r="D102">
        <v>19000</v>
      </c>
      <c r="E102" t="s">
        <v>40</v>
      </c>
    </row>
    <row r="103" spans="1:5" x14ac:dyDescent="0.35">
      <c r="A103" t="s">
        <v>33</v>
      </c>
      <c r="B103" t="s">
        <v>34</v>
      </c>
      <c r="C103" t="s">
        <v>9</v>
      </c>
      <c r="D103">
        <v>6497</v>
      </c>
      <c r="E103" t="s">
        <v>38</v>
      </c>
    </row>
    <row r="104" spans="1:5" x14ac:dyDescent="0.35">
      <c r="A104" t="s">
        <v>33</v>
      </c>
      <c r="B104" t="s">
        <v>34</v>
      </c>
      <c r="C104" t="s">
        <v>9</v>
      </c>
      <c r="D104">
        <v>6775</v>
      </c>
      <c r="E104" t="s">
        <v>39</v>
      </c>
    </row>
    <row r="105" spans="1:5" x14ac:dyDescent="0.35">
      <c r="A105" t="s">
        <v>33</v>
      </c>
      <c r="B105" t="s">
        <v>34</v>
      </c>
      <c r="C105" t="s">
        <v>9</v>
      </c>
      <c r="D105">
        <v>10080</v>
      </c>
      <c r="E105" t="s">
        <v>38</v>
      </c>
    </row>
    <row r="106" spans="1:5" x14ac:dyDescent="0.35">
      <c r="A106" t="s">
        <v>33</v>
      </c>
      <c r="B106" t="s">
        <v>34</v>
      </c>
      <c r="C106" t="s">
        <v>9</v>
      </c>
      <c r="D106">
        <v>10512</v>
      </c>
      <c r="E106" t="s">
        <v>39</v>
      </c>
    </row>
    <row r="107" spans="1:5" x14ac:dyDescent="0.35">
      <c r="A107" t="s">
        <v>33</v>
      </c>
      <c r="B107" t="s">
        <v>34</v>
      </c>
      <c r="C107" t="s">
        <v>9</v>
      </c>
      <c r="D107">
        <v>4847</v>
      </c>
      <c r="E107" t="s">
        <v>40</v>
      </c>
    </row>
    <row r="108" spans="1:5" x14ac:dyDescent="0.35">
      <c r="A108" t="s">
        <v>33</v>
      </c>
      <c r="B108" t="s">
        <v>34</v>
      </c>
      <c r="C108" t="s">
        <v>9</v>
      </c>
      <c r="D108">
        <v>7520</v>
      </c>
      <c r="E108" t="s">
        <v>40</v>
      </c>
    </row>
    <row r="109" spans="1:5" x14ac:dyDescent="0.35">
      <c r="A109" t="s">
        <v>33</v>
      </c>
      <c r="B109" t="s">
        <v>34</v>
      </c>
      <c r="C109" t="s">
        <v>11</v>
      </c>
      <c r="D109">
        <v>7000</v>
      </c>
      <c r="E109" t="s">
        <v>13</v>
      </c>
    </row>
    <row r="110" spans="1:5" x14ac:dyDescent="0.35">
      <c r="A110" t="s">
        <v>33</v>
      </c>
      <c r="B110" t="s">
        <v>34</v>
      </c>
      <c r="C110" t="s">
        <v>11</v>
      </c>
      <c r="D110">
        <v>4900</v>
      </c>
      <c r="E110" t="s">
        <v>38</v>
      </c>
    </row>
    <row r="111" spans="1:5" x14ac:dyDescent="0.35">
      <c r="A111" t="s">
        <v>33</v>
      </c>
      <c r="B111" t="s">
        <v>34</v>
      </c>
      <c r="C111" t="s">
        <v>11</v>
      </c>
      <c r="D111">
        <v>7530</v>
      </c>
      <c r="E111" t="s">
        <v>39</v>
      </c>
    </row>
    <row r="112" spans="1:5" x14ac:dyDescent="0.35">
      <c r="A112" t="s">
        <v>33</v>
      </c>
      <c r="B112" t="s">
        <v>34</v>
      </c>
      <c r="C112" t="s">
        <v>11</v>
      </c>
      <c r="D112">
        <v>7000</v>
      </c>
      <c r="E112" t="s">
        <v>40</v>
      </c>
    </row>
    <row r="113" spans="1:5" x14ac:dyDescent="0.35">
      <c r="A113" t="s">
        <v>33</v>
      </c>
      <c r="B113" t="s">
        <v>34</v>
      </c>
      <c r="C113" t="s">
        <v>41</v>
      </c>
      <c r="D113">
        <v>50000</v>
      </c>
      <c r="E113" t="s">
        <v>42</v>
      </c>
    </row>
    <row r="114" spans="1:5" x14ac:dyDescent="0.35">
      <c r="A114" t="s">
        <v>33</v>
      </c>
      <c r="B114" t="s">
        <v>34</v>
      </c>
      <c r="C114" t="s">
        <v>41</v>
      </c>
      <c r="D114">
        <v>70000</v>
      </c>
      <c r="E114" t="s">
        <v>40</v>
      </c>
    </row>
    <row r="115" spans="1:5" x14ac:dyDescent="0.35">
      <c r="A115" t="s">
        <v>33</v>
      </c>
      <c r="B115" t="s">
        <v>34</v>
      </c>
      <c r="C115" t="s">
        <v>41</v>
      </c>
      <c r="D115">
        <v>66700</v>
      </c>
      <c r="E115" t="s">
        <v>43</v>
      </c>
    </row>
    <row r="116" spans="1:5" x14ac:dyDescent="0.35">
      <c r="A116" t="s">
        <v>33</v>
      </c>
      <c r="B116" t="s">
        <v>34</v>
      </c>
      <c r="C116" t="s">
        <v>41</v>
      </c>
      <c r="D116">
        <v>53400</v>
      </c>
      <c r="E116" t="s">
        <v>44</v>
      </c>
    </row>
    <row r="117" spans="1:5" x14ac:dyDescent="0.35">
      <c r="A117" t="s">
        <v>33</v>
      </c>
      <c r="B117" t="s">
        <v>34</v>
      </c>
      <c r="C117" t="s">
        <v>19</v>
      </c>
      <c r="D117">
        <v>1</v>
      </c>
      <c r="E117" t="s">
        <v>45</v>
      </c>
    </row>
    <row r="118" spans="1:5" x14ac:dyDescent="0.35">
      <c r="A118" t="s">
        <v>33</v>
      </c>
      <c r="B118" t="s">
        <v>34</v>
      </c>
      <c r="C118" t="s">
        <v>46</v>
      </c>
      <c r="D118">
        <v>638</v>
      </c>
      <c r="E118" t="s">
        <v>47</v>
      </c>
    </row>
    <row r="119" spans="1:5" x14ac:dyDescent="0.35">
      <c r="A119" t="s">
        <v>33</v>
      </c>
      <c r="B119" t="s">
        <v>34</v>
      </c>
      <c r="C119" t="s">
        <v>46</v>
      </c>
      <c r="D119">
        <v>2882</v>
      </c>
      <c r="E119" t="s">
        <v>47</v>
      </c>
    </row>
    <row r="120" spans="1:5" x14ac:dyDescent="0.35">
      <c r="A120" t="s">
        <v>33</v>
      </c>
      <c r="B120" t="s">
        <v>34</v>
      </c>
      <c r="C120" t="s">
        <v>46</v>
      </c>
      <c r="D120">
        <v>6629</v>
      </c>
      <c r="E120" t="s">
        <v>47</v>
      </c>
    </row>
    <row r="121" spans="1:5" x14ac:dyDescent="0.35">
      <c r="A121" t="s">
        <v>33</v>
      </c>
      <c r="B121" t="s">
        <v>34</v>
      </c>
      <c r="C121" t="s">
        <v>46</v>
      </c>
      <c r="D121">
        <v>1460</v>
      </c>
      <c r="E121" t="s">
        <v>42</v>
      </c>
    </row>
    <row r="122" spans="1:5" x14ac:dyDescent="0.35">
      <c r="A122" t="s">
        <v>33</v>
      </c>
      <c r="B122" t="s">
        <v>34</v>
      </c>
      <c r="C122" t="s">
        <v>46</v>
      </c>
      <c r="D122">
        <v>2020</v>
      </c>
      <c r="E122" t="s">
        <v>42</v>
      </c>
    </row>
    <row r="123" spans="1:5" x14ac:dyDescent="0.35">
      <c r="A123" t="s">
        <v>33</v>
      </c>
      <c r="B123" t="s">
        <v>34</v>
      </c>
      <c r="C123" t="s">
        <v>46</v>
      </c>
      <c r="D123">
        <v>7000</v>
      </c>
      <c r="E123" t="s">
        <v>40</v>
      </c>
    </row>
    <row r="124" spans="1:5" x14ac:dyDescent="0.35">
      <c r="A124" t="s">
        <v>33</v>
      </c>
      <c r="B124" t="s">
        <v>34</v>
      </c>
      <c r="C124" t="s">
        <v>46</v>
      </c>
      <c r="D124">
        <v>2930</v>
      </c>
      <c r="E124" t="s">
        <v>44</v>
      </c>
    </row>
    <row r="125" spans="1:5" x14ac:dyDescent="0.35">
      <c r="A125" t="s">
        <v>33</v>
      </c>
      <c r="B125" t="s">
        <v>34</v>
      </c>
      <c r="C125" t="s">
        <v>46</v>
      </c>
      <c r="D125">
        <v>3450</v>
      </c>
      <c r="E125" t="s">
        <v>44</v>
      </c>
    </row>
    <row r="126" spans="1:5" x14ac:dyDescent="0.35">
      <c r="A126" t="s">
        <v>33</v>
      </c>
      <c r="B126" t="s">
        <v>34</v>
      </c>
      <c r="C126" t="s">
        <v>21</v>
      </c>
      <c r="D126">
        <v>73000</v>
      </c>
      <c r="E126" t="s">
        <v>38</v>
      </c>
    </row>
    <row r="127" spans="1:5" x14ac:dyDescent="0.35">
      <c r="A127" t="s">
        <v>33</v>
      </c>
      <c r="B127" t="s">
        <v>34</v>
      </c>
      <c r="C127" t="s">
        <v>21</v>
      </c>
      <c r="D127">
        <v>55900</v>
      </c>
      <c r="E127" t="s">
        <v>39</v>
      </c>
    </row>
    <row r="128" spans="1:5" x14ac:dyDescent="0.35">
      <c r="A128" t="s">
        <v>33</v>
      </c>
      <c r="B128" t="s">
        <v>34</v>
      </c>
      <c r="C128" t="s">
        <v>21</v>
      </c>
      <c r="D128">
        <v>56000</v>
      </c>
      <c r="E128" t="s">
        <v>40</v>
      </c>
    </row>
    <row r="129" spans="1:5" x14ac:dyDescent="0.35">
      <c r="A129" t="s">
        <v>48</v>
      </c>
      <c r="C129" t="s">
        <v>7</v>
      </c>
      <c r="D129">
        <v>31300</v>
      </c>
      <c r="E129" t="s">
        <v>37</v>
      </c>
    </row>
    <row r="130" spans="1:5" x14ac:dyDescent="0.35">
      <c r="A130" t="s">
        <v>48</v>
      </c>
      <c r="C130" t="s">
        <v>7</v>
      </c>
      <c r="D130">
        <v>6885</v>
      </c>
      <c r="E130" t="s">
        <v>38</v>
      </c>
    </row>
    <row r="131" spans="1:5" x14ac:dyDescent="0.35">
      <c r="A131" t="s">
        <v>48</v>
      </c>
      <c r="C131" t="s">
        <v>7</v>
      </c>
      <c r="D131">
        <v>15390</v>
      </c>
      <c r="E131" t="s">
        <v>39</v>
      </c>
    </row>
    <row r="132" spans="1:5" x14ac:dyDescent="0.35">
      <c r="A132" t="s">
        <v>48</v>
      </c>
      <c r="C132" t="s">
        <v>7</v>
      </c>
      <c r="D132">
        <v>15390</v>
      </c>
      <c r="E132" t="s">
        <v>40</v>
      </c>
    </row>
    <row r="133" spans="1:5" x14ac:dyDescent="0.35">
      <c r="A133" t="s">
        <v>48</v>
      </c>
      <c r="C133" t="s">
        <v>9</v>
      </c>
      <c r="D133">
        <v>6497</v>
      </c>
      <c r="E133" t="s">
        <v>38</v>
      </c>
    </row>
    <row r="134" spans="1:5" x14ac:dyDescent="0.35">
      <c r="A134" t="s">
        <v>48</v>
      </c>
      <c r="C134" t="s">
        <v>9</v>
      </c>
      <c r="D134">
        <v>6775</v>
      </c>
      <c r="E134" t="s">
        <v>39</v>
      </c>
    </row>
    <row r="135" spans="1:5" x14ac:dyDescent="0.35">
      <c r="A135" t="s">
        <v>48</v>
      </c>
      <c r="C135" t="s">
        <v>9</v>
      </c>
      <c r="D135">
        <v>10080</v>
      </c>
      <c r="E135" t="s">
        <v>38</v>
      </c>
    </row>
    <row r="136" spans="1:5" x14ac:dyDescent="0.35">
      <c r="A136" t="s">
        <v>48</v>
      </c>
      <c r="C136" t="s">
        <v>9</v>
      </c>
      <c r="D136">
        <v>10512</v>
      </c>
      <c r="E136" t="s">
        <v>39</v>
      </c>
    </row>
    <row r="137" spans="1:5" x14ac:dyDescent="0.35">
      <c r="A137" t="s">
        <v>48</v>
      </c>
      <c r="C137" t="s">
        <v>9</v>
      </c>
      <c r="D137">
        <v>4847</v>
      </c>
      <c r="E137" t="s">
        <v>40</v>
      </c>
    </row>
    <row r="138" spans="1:5" x14ac:dyDescent="0.35">
      <c r="A138" t="s">
        <v>48</v>
      </c>
      <c r="C138" t="s">
        <v>9</v>
      </c>
      <c r="D138">
        <v>7520</v>
      </c>
      <c r="E138" t="s">
        <v>40</v>
      </c>
    </row>
    <row r="139" spans="1:5" x14ac:dyDescent="0.35">
      <c r="A139" t="s">
        <v>48</v>
      </c>
      <c r="C139" t="s">
        <v>11</v>
      </c>
      <c r="D139">
        <v>7000</v>
      </c>
      <c r="E139" t="s">
        <v>13</v>
      </c>
    </row>
    <row r="140" spans="1:5" x14ac:dyDescent="0.35">
      <c r="A140" t="s">
        <v>48</v>
      </c>
      <c r="C140" t="s">
        <v>11</v>
      </c>
      <c r="D140">
        <v>4900</v>
      </c>
      <c r="E140" t="s">
        <v>38</v>
      </c>
    </row>
    <row r="141" spans="1:5" x14ac:dyDescent="0.35">
      <c r="A141" t="s">
        <v>48</v>
      </c>
      <c r="C141" t="s">
        <v>11</v>
      </c>
      <c r="D141">
        <v>7530</v>
      </c>
      <c r="E141" t="s">
        <v>39</v>
      </c>
    </row>
    <row r="142" spans="1:5" x14ac:dyDescent="0.35">
      <c r="A142" t="s">
        <v>48</v>
      </c>
      <c r="C142" t="s">
        <v>11</v>
      </c>
      <c r="D142">
        <v>7000</v>
      </c>
      <c r="E142" t="s">
        <v>40</v>
      </c>
    </row>
    <row r="143" spans="1:5" x14ac:dyDescent="0.35">
      <c r="A143" t="s">
        <v>48</v>
      </c>
      <c r="C143" t="s">
        <v>49</v>
      </c>
      <c r="D143">
        <v>2</v>
      </c>
      <c r="E143" t="s">
        <v>50</v>
      </c>
    </row>
    <row r="144" spans="1:5" x14ac:dyDescent="0.35">
      <c r="A144" t="s">
        <v>48</v>
      </c>
      <c r="C144" t="s">
        <v>49</v>
      </c>
      <c r="D144">
        <v>4</v>
      </c>
      <c r="E144" t="s">
        <v>50</v>
      </c>
    </row>
    <row r="145" spans="1:5" x14ac:dyDescent="0.35">
      <c r="A145" t="s">
        <v>48</v>
      </c>
      <c r="C145" t="s">
        <v>49</v>
      </c>
      <c r="D145">
        <v>9</v>
      </c>
      <c r="E145" t="s">
        <v>50</v>
      </c>
    </row>
    <row r="146" spans="1:5" x14ac:dyDescent="0.35">
      <c r="A146" t="s">
        <v>48</v>
      </c>
      <c r="C146" t="s">
        <v>49</v>
      </c>
      <c r="D146">
        <v>9</v>
      </c>
      <c r="E146" t="s">
        <v>38</v>
      </c>
    </row>
    <row r="147" spans="1:5" x14ac:dyDescent="0.35">
      <c r="A147" t="s">
        <v>48</v>
      </c>
      <c r="C147" t="s">
        <v>41</v>
      </c>
      <c r="D147">
        <v>50000</v>
      </c>
      <c r="E147" t="s">
        <v>42</v>
      </c>
    </row>
    <row r="148" spans="1:5" x14ac:dyDescent="0.35">
      <c r="A148" t="s">
        <v>48</v>
      </c>
      <c r="C148" t="s">
        <v>41</v>
      </c>
      <c r="D148">
        <v>70000</v>
      </c>
      <c r="E148" t="s">
        <v>40</v>
      </c>
    </row>
    <row r="149" spans="1:5" x14ac:dyDescent="0.35">
      <c r="A149" t="s">
        <v>48</v>
      </c>
      <c r="C149" t="s">
        <v>41</v>
      </c>
      <c r="D149">
        <v>66700</v>
      </c>
      <c r="E149" t="s">
        <v>43</v>
      </c>
    </row>
    <row r="150" spans="1:5" x14ac:dyDescent="0.35">
      <c r="A150" t="s">
        <v>48</v>
      </c>
      <c r="C150" t="s">
        <v>41</v>
      </c>
      <c r="D150">
        <v>53400</v>
      </c>
      <c r="E150" t="s">
        <v>44</v>
      </c>
    </row>
    <row r="151" spans="1:5" x14ac:dyDescent="0.35">
      <c r="A151" t="s">
        <v>48</v>
      </c>
      <c r="C151" t="s">
        <v>51</v>
      </c>
      <c r="D151">
        <v>7</v>
      </c>
      <c r="E151" t="s">
        <v>50</v>
      </c>
    </row>
    <row r="152" spans="1:5" x14ac:dyDescent="0.35">
      <c r="A152" t="s">
        <v>48</v>
      </c>
      <c r="C152" t="s">
        <v>51</v>
      </c>
      <c r="D152">
        <v>13</v>
      </c>
      <c r="E152" t="s">
        <v>50</v>
      </c>
    </row>
    <row r="153" spans="1:5" x14ac:dyDescent="0.35">
      <c r="A153" t="s">
        <v>48</v>
      </c>
      <c r="C153" t="s">
        <v>51</v>
      </c>
      <c r="D153">
        <v>28</v>
      </c>
      <c r="E153" t="s">
        <v>50</v>
      </c>
    </row>
    <row r="154" spans="1:5" x14ac:dyDescent="0.35">
      <c r="A154" t="s">
        <v>48</v>
      </c>
      <c r="C154" t="s">
        <v>51</v>
      </c>
      <c r="D154">
        <v>15</v>
      </c>
      <c r="E154" t="s">
        <v>38</v>
      </c>
    </row>
    <row r="155" spans="1:5" x14ac:dyDescent="0.35">
      <c r="A155" t="s">
        <v>48</v>
      </c>
      <c r="C155" t="s">
        <v>52</v>
      </c>
      <c r="D155">
        <v>17</v>
      </c>
      <c r="E155" t="s">
        <v>50</v>
      </c>
    </row>
    <row r="156" spans="1:5" x14ac:dyDescent="0.35">
      <c r="A156" t="s">
        <v>48</v>
      </c>
      <c r="C156" t="s">
        <v>52</v>
      </c>
      <c r="D156">
        <v>41</v>
      </c>
      <c r="E156" t="s">
        <v>50</v>
      </c>
    </row>
    <row r="157" spans="1:5" x14ac:dyDescent="0.35">
      <c r="A157" t="s">
        <v>48</v>
      </c>
      <c r="C157" t="s">
        <v>52</v>
      </c>
      <c r="D157">
        <v>161</v>
      </c>
      <c r="E157" t="s">
        <v>50</v>
      </c>
    </row>
    <row r="158" spans="1:5" x14ac:dyDescent="0.35">
      <c r="A158" t="s">
        <v>48</v>
      </c>
      <c r="C158" t="s">
        <v>52</v>
      </c>
      <c r="D158">
        <v>20</v>
      </c>
      <c r="E158" t="s">
        <v>38</v>
      </c>
    </row>
    <row r="159" spans="1:5" x14ac:dyDescent="0.35">
      <c r="A159" t="s">
        <v>48</v>
      </c>
      <c r="C159" t="s">
        <v>21</v>
      </c>
      <c r="D159">
        <v>73000</v>
      </c>
      <c r="E159" t="s">
        <v>38</v>
      </c>
    </row>
    <row r="160" spans="1:5" x14ac:dyDescent="0.35">
      <c r="A160" t="s">
        <v>48</v>
      </c>
      <c r="C160" t="s">
        <v>21</v>
      </c>
      <c r="D160">
        <v>55900</v>
      </c>
      <c r="E160" t="s">
        <v>39</v>
      </c>
    </row>
    <row r="161" spans="1:5" x14ac:dyDescent="0.35">
      <c r="A161" t="s">
        <v>48</v>
      </c>
      <c r="C161" t="s">
        <v>21</v>
      </c>
      <c r="D161">
        <v>56000</v>
      </c>
      <c r="E161" t="s">
        <v>40</v>
      </c>
    </row>
    <row r="162" spans="1:5" x14ac:dyDescent="0.35">
      <c r="A162" t="s">
        <v>53</v>
      </c>
      <c r="C162" t="s">
        <v>7</v>
      </c>
      <c r="D162">
        <v>31300</v>
      </c>
      <c r="E162" t="s">
        <v>37</v>
      </c>
    </row>
    <row r="163" spans="1:5" x14ac:dyDescent="0.35">
      <c r="A163" t="s">
        <v>53</v>
      </c>
      <c r="C163" t="s">
        <v>7</v>
      </c>
      <c r="D163">
        <v>6885</v>
      </c>
      <c r="E163" t="s">
        <v>38</v>
      </c>
    </row>
    <row r="164" spans="1:5" x14ac:dyDescent="0.35">
      <c r="A164" t="s">
        <v>53</v>
      </c>
      <c r="C164" t="s">
        <v>7</v>
      </c>
      <c r="D164">
        <v>15390</v>
      </c>
      <c r="E164" t="s">
        <v>39</v>
      </c>
    </row>
    <row r="165" spans="1:5" x14ac:dyDescent="0.35">
      <c r="A165" t="s">
        <v>53</v>
      </c>
      <c r="C165" t="s">
        <v>7</v>
      </c>
      <c r="D165">
        <v>15390</v>
      </c>
      <c r="E165" t="s">
        <v>40</v>
      </c>
    </row>
    <row r="166" spans="1:5" x14ac:dyDescent="0.35">
      <c r="A166" t="s">
        <v>53</v>
      </c>
      <c r="C166" t="s">
        <v>54</v>
      </c>
      <c r="D166">
        <v>17</v>
      </c>
      <c r="E166" t="s">
        <v>50</v>
      </c>
    </row>
    <row r="167" spans="1:5" x14ac:dyDescent="0.35">
      <c r="A167" t="s">
        <v>53</v>
      </c>
      <c r="C167" t="s">
        <v>54</v>
      </c>
      <c r="D167">
        <v>62</v>
      </c>
      <c r="E167" t="s">
        <v>50</v>
      </c>
    </row>
    <row r="168" spans="1:5" x14ac:dyDescent="0.35">
      <c r="A168" t="s">
        <v>53</v>
      </c>
      <c r="C168" t="s">
        <v>54</v>
      </c>
      <c r="D168">
        <v>138</v>
      </c>
      <c r="E168" t="s">
        <v>50</v>
      </c>
    </row>
    <row r="169" spans="1:5" x14ac:dyDescent="0.35">
      <c r="A169" t="s">
        <v>53</v>
      </c>
      <c r="C169" t="s">
        <v>54</v>
      </c>
      <c r="D169">
        <v>29</v>
      </c>
      <c r="E169" t="s">
        <v>38</v>
      </c>
    </row>
    <row r="170" spans="1:5" x14ac:dyDescent="0.35">
      <c r="A170" t="s">
        <v>53</v>
      </c>
      <c r="C170" t="s">
        <v>9</v>
      </c>
      <c r="D170">
        <v>6497</v>
      </c>
      <c r="E170" t="s">
        <v>38</v>
      </c>
    </row>
    <row r="171" spans="1:5" x14ac:dyDescent="0.35">
      <c r="A171" t="s">
        <v>53</v>
      </c>
      <c r="C171" t="s">
        <v>9</v>
      </c>
      <c r="D171">
        <v>6775</v>
      </c>
      <c r="E171" t="s">
        <v>39</v>
      </c>
    </row>
    <row r="172" spans="1:5" x14ac:dyDescent="0.35">
      <c r="A172" t="s">
        <v>53</v>
      </c>
      <c r="C172" t="s">
        <v>9</v>
      </c>
      <c r="D172">
        <v>10080</v>
      </c>
      <c r="E172" t="s">
        <v>38</v>
      </c>
    </row>
    <row r="173" spans="1:5" x14ac:dyDescent="0.35">
      <c r="A173" t="s">
        <v>53</v>
      </c>
      <c r="C173" t="s">
        <v>9</v>
      </c>
      <c r="D173">
        <v>10512</v>
      </c>
      <c r="E173" t="s">
        <v>39</v>
      </c>
    </row>
    <row r="174" spans="1:5" x14ac:dyDescent="0.35">
      <c r="A174" t="s">
        <v>53</v>
      </c>
      <c r="C174" t="s">
        <v>9</v>
      </c>
      <c r="D174">
        <v>4847</v>
      </c>
      <c r="E174" t="s">
        <v>40</v>
      </c>
    </row>
    <row r="175" spans="1:5" x14ac:dyDescent="0.35">
      <c r="A175" t="s">
        <v>53</v>
      </c>
      <c r="C175" t="s">
        <v>9</v>
      </c>
      <c r="D175">
        <v>7520</v>
      </c>
      <c r="E175" t="s">
        <v>40</v>
      </c>
    </row>
    <row r="176" spans="1:5" x14ac:dyDescent="0.35">
      <c r="A176" t="s">
        <v>53</v>
      </c>
      <c r="C176" t="s">
        <v>11</v>
      </c>
      <c r="D176">
        <v>7000</v>
      </c>
      <c r="E176" t="s">
        <v>13</v>
      </c>
    </row>
    <row r="177" spans="1:5" x14ac:dyDescent="0.35">
      <c r="A177" t="s">
        <v>53</v>
      </c>
      <c r="C177" t="s">
        <v>11</v>
      </c>
      <c r="D177">
        <v>4900</v>
      </c>
      <c r="E177" t="s">
        <v>38</v>
      </c>
    </row>
    <row r="178" spans="1:5" x14ac:dyDescent="0.35">
      <c r="A178" t="s">
        <v>53</v>
      </c>
      <c r="C178" t="s">
        <v>11</v>
      </c>
      <c r="D178">
        <v>7530</v>
      </c>
      <c r="E178" t="s">
        <v>39</v>
      </c>
    </row>
    <row r="179" spans="1:5" x14ac:dyDescent="0.35">
      <c r="A179" t="s">
        <v>53</v>
      </c>
      <c r="C179" t="s">
        <v>11</v>
      </c>
      <c r="D179">
        <v>7000</v>
      </c>
      <c r="E179" t="s">
        <v>40</v>
      </c>
    </row>
    <row r="180" spans="1:5" x14ac:dyDescent="0.35">
      <c r="A180" t="s">
        <v>53</v>
      </c>
      <c r="C180" t="s">
        <v>41</v>
      </c>
      <c r="D180">
        <v>50000</v>
      </c>
      <c r="E180" t="s">
        <v>42</v>
      </c>
    </row>
    <row r="181" spans="1:5" x14ac:dyDescent="0.35">
      <c r="A181" t="s">
        <v>53</v>
      </c>
      <c r="C181" t="s">
        <v>41</v>
      </c>
      <c r="D181">
        <v>70000</v>
      </c>
      <c r="E181" t="s">
        <v>40</v>
      </c>
    </row>
    <row r="182" spans="1:5" x14ac:dyDescent="0.35">
      <c r="A182" t="s">
        <v>53</v>
      </c>
      <c r="C182" t="s">
        <v>41</v>
      </c>
      <c r="D182">
        <v>66700</v>
      </c>
      <c r="E182" t="s">
        <v>43</v>
      </c>
    </row>
    <row r="183" spans="1:5" x14ac:dyDescent="0.35">
      <c r="A183" t="s">
        <v>53</v>
      </c>
      <c r="C183" t="s">
        <v>41</v>
      </c>
      <c r="D183">
        <v>53400</v>
      </c>
      <c r="E183" t="s">
        <v>44</v>
      </c>
    </row>
    <row r="184" spans="1:5" x14ac:dyDescent="0.35">
      <c r="A184" t="s">
        <v>53</v>
      </c>
      <c r="C184" t="s">
        <v>21</v>
      </c>
      <c r="D184">
        <v>73000</v>
      </c>
      <c r="E184" t="s">
        <v>38</v>
      </c>
    </row>
    <row r="185" spans="1:5" x14ac:dyDescent="0.35">
      <c r="A185" t="s">
        <v>53</v>
      </c>
      <c r="C185" t="s">
        <v>21</v>
      </c>
      <c r="D185">
        <v>55900</v>
      </c>
      <c r="E185" t="s">
        <v>39</v>
      </c>
    </row>
    <row r="186" spans="1:5" x14ac:dyDescent="0.35">
      <c r="A186" t="s">
        <v>53</v>
      </c>
      <c r="C186" t="s">
        <v>21</v>
      </c>
      <c r="D186">
        <v>56000</v>
      </c>
      <c r="E186" t="s">
        <v>40</v>
      </c>
    </row>
    <row r="187" spans="1:5" x14ac:dyDescent="0.35">
      <c r="A187" t="s">
        <v>53</v>
      </c>
      <c r="C187" t="s">
        <v>55</v>
      </c>
      <c r="D187">
        <v>19</v>
      </c>
      <c r="E187" t="s">
        <v>50</v>
      </c>
    </row>
    <row r="188" spans="1:5" x14ac:dyDescent="0.35">
      <c r="A188" t="s">
        <v>53</v>
      </c>
      <c r="C188" t="s">
        <v>55</v>
      </c>
      <c r="D188">
        <v>70</v>
      </c>
      <c r="E188" t="s">
        <v>50</v>
      </c>
    </row>
    <row r="189" spans="1:5" x14ac:dyDescent="0.35">
      <c r="A189" t="s">
        <v>53</v>
      </c>
      <c r="C189" t="s">
        <v>55</v>
      </c>
      <c r="D189">
        <v>156</v>
      </c>
      <c r="E189" t="s">
        <v>50</v>
      </c>
    </row>
    <row r="190" spans="1:5" x14ac:dyDescent="0.35">
      <c r="A190" t="s">
        <v>53</v>
      </c>
      <c r="C190" t="s">
        <v>55</v>
      </c>
      <c r="D190">
        <v>31</v>
      </c>
      <c r="E190" t="s">
        <v>38</v>
      </c>
    </row>
    <row r="191" spans="1:5" x14ac:dyDescent="0.35">
      <c r="A191" t="s">
        <v>56</v>
      </c>
      <c r="C191" t="s">
        <v>7</v>
      </c>
      <c r="D191">
        <v>31300</v>
      </c>
      <c r="E191" t="s">
        <v>37</v>
      </c>
    </row>
    <row r="192" spans="1:5" x14ac:dyDescent="0.35">
      <c r="A192" t="s">
        <v>56</v>
      </c>
      <c r="C192" t="s">
        <v>7</v>
      </c>
      <c r="D192">
        <v>6885</v>
      </c>
      <c r="E192" t="s">
        <v>38</v>
      </c>
    </row>
    <row r="193" spans="1:5" x14ac:dyDescent="0.35">
      <c r="A193" t="s">
        <v>56</v>
      </c>
      <c r="C193" t="s">
        <v>7</v>
      </c>
      <c r="D193">
        <v>15390</v>
      </c>
      <c r="E193" t="s">
        <v>39</v>
      </c>
    </row>
    <row r="194" spans="1:5" x14ac:dyDescent="0.35">
      <c r="A194" t="s">
        <v>56</v>
      </c>
      <c r="C194" t="s">
        <v>7</v>
      </c>
      <c r="D194">
        <v>15390</v>
      </c>
      <c r="E194" t="s">
        <v>40</v>
      </c>
    </row>
    <row r="195" spans="1:5" x14ac:dyDescent="0.35">
      <c r="A195" t="s">
        <v>56</v>
      </c>
      <c r="C195" t="s">
        <v>9</v>
      </c>
      <c r="D195">
        <v>6497</v>
      </c>
      <c r="E195" t="s">
        <v>38</v>
      </c>
    </row>
    <row r="196" spans="1:5" x14ac:dyDescent="0.35">
      <c r="A196" t="s">
        <v>56</v>
      </c>
      <c r="C196" t="s">
        <v>9</v>
      </c>
      <c r="D196">
        <v>6775</v>
      </c>
      <c r="E196" t="s">
        <v>39</v>
      </c>
    </row>
    <row r="197" spans="1:5" x14ac:dyDescent="0.35">
      <c r="A197" t="s">
        <v>56</v>
      </c>
      <c r="C197" t="s">
        <v>9</v>
      </c>
      <c r="D197">
        <v>10080</v>
      </c>
      <c r="E197" t="s">
        <v>38</v>
      </c>
    </row>
    <row r="198" spans="1:5" x14ac:dyDescent="0.35">
      <c r="A198" t="s">
        <v>56</v>
      </c>
      <c r="C198" t="s">
        <v>9</v>
      </c>
      <c r="D198">
        <v>10512</v>
      </c>
      <c r="E198" t="s">
        <v>39</v>
      </c>
    </row>
    <row r="199" spans="1:5" x14ac:dyDescent="0.35">
      <c r="A199" t="s">
        <v>56</v>
      </c>
      <c r="C199" t="s">
        <v>9</v>
      </c>
      <c r="D199">
        <v>4847</v>
      </c>
      <c r="E199" t="s">
        <v>40</v>
      </c>
    </row>
    <row r="200" spans="1:5" x14ac:dyDescent="0.35">
      <c r="A200" t="s">
        <v>56</v>
      </c>
      <c r="C200" t="s">
        <v>9</v>
      </c>
      <c r="D200">
        <v>7520</v>
      </c>
      <c r="E200" t="s">
        <v>40</v>
      </c>
    </row>
    <row r="201" spans="1:5" x14ac:dyDescent="0.35">
      <c r="A201" t="s">
        <v>56</v>
      </c>
      <c r="C201" t="s">
        <v>11</v>
      </c>
      <c r="D201">
        <v>7000</v>
      </c>
      <c r="E201" t="s">
        <v>13</v>
      </c>
    </row>
    <row r="202" spans="1:5" x14ac:dyDescent="0.35">
      <c r="A202" t="s">
        <v>56</v>
      </c>
      <c r="C202" t="s">
        <v>11</v>
      </c>
      <c r="D202">
        <v>4900</v>
      </c>
      <c r="E202" t="s">
        <v>38</v>
      </c>
    </row>
    <row r="203" spans="1:5" x14ac:dyDescent="0.35">
      <c r="A203" t="s">
        <v>56</v>
      </c>
      <c r="C203" t="s">
        <v>11</v>
      </c>
      <c r="D203">
        <v>7530</v>
      </c>
      <c r="E203" t="s">
        <v>39</v>
      </c>
    </row>
    <row r="204" spans="1:5" x14ac:dyDescent="0.35">
      <c r="A204" t="s">
        <v>56</v>
      </c>
      <c r="C204" t="s">
        <v>11</v>
      </c>
      <c r="D204">
        <v>7000</v>
      </c>
      <c r="E204" t="s">
        <v>40</v>
      </c>
    </row>
    <row r="205" spans="1:5" x14ac:dyDescent="0.35">
      <c r="A205" t="s">
        <v>56</v>
      </c>
      <c r="C205" t="s">
        <v>41</v>
      </c>
      <c r="D205">
        <v>50000</v>
      </c>
      <c r="E205" t="s">
        <v>42</v>
      </c>
    </row>
    <row r="206" spans="1:5" x14ac:dyDescent="0.35">
      <c r="A206" t="s">
        <v>56</v>
      </c>
      <c r="C206" t="s">
        <v>41</v>
      </c>
      <c r="D206">
        <v>70000</v>
      </c>
      <c r="E206" t="s">
        <v>40</v>
      </c>
    </row>
    <row r="207" spans="1:5" x14ac:dyDescent="0.35">
      <c r="A207" t="s">
        <v>56</v>
      </c>
      <c r="C207" t="s">
        <v>41</v>
      </c>
      <c r="D207">
        <v>66700</v>
      </c>
      <c r="E207" t="s">
        <v>43</v>
      </c>
    </row>
    <row r="208" spans="1:5" x14ac:dyDescent="0.35">
      <c r="A208" t="s">
        <v>56</v>
      </c>
      <c r="C208" t="s">
        <v>41</v>
      </c>
      <c r="D208">
        <v>53400</v>
      </c>
      <c r="E208" t="s">
        <v>44</v>
      </c>
    </row>
    <row r="209" spans="1:5" x14ac:dyDescent="0.35">
      <c r="A209" t="s">
        <v>56</v>
      </c>
      <c r="C209" t="s">
        <v>46</v>
      </c>
      <c r="D209">
        <v>58</v>
      </c>
      <c r="E209" t="s">
        <v>42</v>
      </c>
    </row>
    <row r="210" spans="1:5" x14ac:dyDescent="0.35">
      <c r="A210" t="s">
        <v>56</v>
      </c>
      <c r="C210" t="s">
        <v>21</v>
      </c>
      <c r="D210">
        <v>73000</v>
      </c>
      <c r="E210" t="s">
        <v>38</v>
      </c>
    </row>
    <row r="211" spans="1:5" x14ac:dyDescent="0.35">
      <c r="A211" t="s">
        <v>56</v>
      </c>
      <c r="C211" t="s">
        <v>21</v>
      </c>
      <c r="D211">
        <v>55900</v>
      </c>
      <c r="E211" t="s">
        <v>39</v>
      </c>
    </row>
    <row r="212" spans="1:5" x14ac:dyDescent="0.35">
      <c r="A212" t="s">
        <v>56</v>
      </c>
      <c r="C212" t="s">
        <v>21</v>
      </c>
      <c r="D212">
        <v>56000</v>
      </c>
      <c r="E212" t="s">
        <v>40</v>
      </c>
    </row>
    <row r="213" spans="1:5" x14ac:dyDescent="0.35">
      <c r="A213" t="s">
        <v>57</v>
      </c>
      <c r="B213" t="s">
        <v>58</v>
      </c>
      <c r="C213" t="s">
        <v>35</v>
      </c>
      <c r="D213">
        <v>13</v>
      </c>
      <c r="E213" t="s">
        <v>59</v>
      </c>
    </row>
    <row r="214" spans="1:5" x14ac:dyDescent="0.35">
      <c r="A214" t="s">
        <v>57</v>
      </c>
      <c r="B214" t="s">
        <v>58</v>
      </c>
      <c r="C214" t="s">
        <v>35</v>
      </c>
      <c r="D214">
        <v>16</v>
      </c>
      <c r="E214" t="s">
        <v>59</v>
      </c>
    </row>
    <row r="215" spans="1:5" x14ac:dyDescent="0.35">
      <c r="A215" t="s">
        <v>57</v>
      </c>
      <c r="B215" t="s">
        <v>58</v>
      </c>
      <c r="C215" t="s">
        <v>7</v>
      </c>
      <c r="D215">
        <v>0</v>
      </c>
      <c r="E215" t="s">
        <v>59</v>
      </c>
    </row>
    <row r="216" spans="1:5" x14ac:dyDescent="0.35">
      <c r="A216" t="s">
        <v>57</v>
      </c>
      <c r="B216" t="s">
        <v>58</v>
      </c>
      <c r="C216" t="s">
        <v>7</v>
      </c>
      <c r="D216">
        <v>11000</v>
      </c>
      <c r="E216" t="s">
        <v>59</v>
      </c>
    </row>
    <row r="217" spans="1:5" x14ac:dyDescent="0.35">
      <c r="A217" t="s">
        <v>57</v>
      </c>
      <c r="B217" t="s">
        <v>58</v>
      </c>
      <c r="C217" t="s">
        <v>9</v>
      </c>
      <c r="D217">
        <v>250000</v>
      </c>
      <c r="E217" t="s">
        <v>59</v>
      </c>
    </row>
    <row r="218" spans="1:5" x14ac:dyDescent="0.35">
      <c r="A218" t="s">
        <v>57</v>
      </c>
      <c r="B218" t="s">
        <v>58</v>
      </c>
      <c r="C218" t="s">
        <v>9</v>
      </c>
      <c r="D218">
        <v>72000</v>
      </c>
      <c r="E218" t="s">
        <v>59</v>
      </c>
    </row>
    <row r="219" spans="1:5" x14ac:dyDescent="0.35">
      <c r="A219" t="s">
        <v>57</v>
      </c>
      <c r="B219" t="s">
        <v>58</v>
      </c>
      <c r="C219" t="s">
        <v>11</v>
      </c>
      <c r="D219">
        <v>3200</v>
      </c>
      <c r="E219" t="s">
        <v>59</v>
      </c>
    </row>
    <row r="220" spans="1:5" x14ac:dyDescent="0.35">
      <c r="A220" t="s">
        <v>57</v>
      </c>
      <c r="B220" t="s">
        <v>58</v>
      </c>
      <c r="C220" t="s">
        <v>11</v>
      </c>
      <c r="D220">
        <v>1400</v>
      </c>
      <c r="E220" t="s">
        <v>59</v>
      </c>
    </row>
    <row r="221" spans="1:5" x14ac:dyDescent="0.35">
      <c r="A221" t="s">
        <v>57</v>
      </c>
      <c r="B221" t="s">
        <v>58</v>
      </c>
      <c r="C221" t="s">
        <v>41</v>
      </c>
      <c r="D221">
        <v>130000</v>
      </c>
      <c r="E221" t="s">
        <v>59</v>
      </c>
    </row>
    <row r="222" spans="1:5" x14ac:dyDescent="0.35">
      <c r="A222" t="s">
        <v>57</v>
      </c>
      <c r="B222" t="s">
        <v>58</v>
      </c>
      <c r="C222" t="s">
        <v>41</v>
      </c>
      <c r="D222">
        <v>110000</v>
      </c>
      <c r="E222" t="s">
        <v>59</v>
      </c>
    </row>
    <row r="223" spans="1:5" x14ac:dyDescent="0.35">
      <c r="A223" t="s">
        <v>57</v>
      </c>
      <c r="B223" t="s">
        <v>58</v>
      </c>
      <c r="C223" t="s">
        <v>60</v>
      </c>
      <c r="D223">
        <v>2000</v>
      </c>
      <c r="E223" t="s">
        <v>59</v>
      </c>
    </row>
    <row r="224" spans="1:5" x14ac:dyDescent="0.35">
      <c r="A224" t="s">
        <v>57</v>
      </c>
      <c r="B224" t="s">
        <v>58</v>
      </c>
      <c r="C224" t="s">
        <v>60</v>
      </c>
      <c r="D224">
        <v>5700</v>
      </c>
      <c r="E224" t="s">
        <v>59</v>
      </c>
    </row>
    <row r="225" spans="1:5" x14ac:dyDescent="0.35">
      <c r="A225" t="s">
        <v>57</v>
      </c>
      <c r="B225" t="s">
        <v>58</v>
      </c>
      <c r="C225" t="s">
        <v>19</v>
      </c>
      <c r="D225">
        <v>940</v>
      </c>
      <c r="E225" t="s">
        <v>59</v>
      </c>
    </row>
    <row r="226" spans="1:5" x14ac:dyDescent="0.35">
      <c r="A226" t="s">
        <v>57</v>
      </c>
      <c r="B226" t="s">
        <v>58</v>
      </c>
      <c r="C226" t="s">
        <v>19</v>
      </c>
      <c r="D226">
        <v>1900</v>
      </c>
      <c r="E226" t="s">
        <v>59</v>
      </c>
    </row>
    <row r="227" spans="1:5" x14ac:dyDescent="0.35">
      <c r="A227" t="s">
        <v>57</v>
      </c>
      <c r="B227" t="s">
        <v>58</v>
      </c>
      <c r="C227" t="s">
        <v>21</v>
      </c>
      <c r="D227">
        <v>240000</v>
      </c>
      <c r="E227" t="s">
        <v>59</v>
      </c>
    </row>
    <row r="228" spans="1:5" x14ac:dyDescent="0.35">
      <c r="A228" t="s">
        <v>57</v>
      </c>
      <c r="B228" t="s">
        <v>58</v>
      </c>
      <c r="C228" t="s">
        <v>21</v>
      </c>
      <c r="D228">
        <v>400000</v>
      </c>
      <c r="E228" t="s">
        <v>59</v>
      </c>
    </row>
    <row r="229" spans="1:5" x14ac:dyDescent="0.35">
      <c r="A229" t="s">
        <v>61</v>
      </c>
      <c r="B229" t="s">
        <v>61</v>
      </c>
      <c r="C229" t="s">
        <v>7</v>
      </c>
      <c r="D229">
        <v>624</v>
      </c>
      <c r="E229" t="s">
        <v>62</v>
      </c>
    </row>
    <row r="230" spans="1:5" x14ac:dyDescent="0.35">
      <c r="A230" t="s">
        <v>61</v>
      </c>
      <c r="B230" t="s">
        <v>61</v>
      </c>
      <c r="C230" t="s">
        <v>7</v>
      </c>
      <c r="D230">
        <v>419</v>
      </c>
      <c r="E230" t="s">
        <v>63</v>
      </c>
    </row>
    <row r="231" spans="1:5" x14ac:dyDescent="0.35">
      <c r="A231" t="s">
        <v>61</v>
      </c>
      <c r="B231" t="s">
        <v>61</v>
      </c>
      <c r="C231" t="s">
        <v>7</v>
      </c>
      <c r="D231">
        <v>255</v>
      </c>
      <c r="E231" t="s">
        <v>64</v>
      </c>
    </row>
    <row r="232" spans="1:5" x14ac:dyDescent="0.35">
      <c r="A232" t="s">
        <v>61</v>
      </c>
      <c r="B232" t="s">
        <v>61</v>
      </c>
      <c r="C232" t="s">
        <v>7</v>
      </c>
      <c r="D232">
        <v>281</v>
      </c>
      <c r="E232" t="s">
        <v>65</v>
      </c>
    </row>
    <row r="233" spans="1:5" x14ac:dyDescent="0.35">
      <c r="A233" t="s">
        <v>61</v>
      </c>
      <c r="B233" t="s">
        <v>61</v>
      </c>
      <c r="C233" t="s">
        <v>9</v>
      </c>
      <c r="D233">
        <v>18389</v>
      </c>
      <c r="E233" t="s">
        <v>62</v>
      </c>
    </row>
    <row r="234" spans="1:5" x14ac:dyDescent="0.35">
      <c r="A234" t="s">
        <v>61</v>
      </c>
      <c r="B234" t="s">
        <v>61</v>
      </c>
      <c r="C234" t="s">
        <v>9</v>
      </c>
      <c r="D234">
        <v>28531</v>
      </c>
      <c r="E234" t="s">
        <v>62</v>
      </c>
    </row>
    <row r="235" spans="1:5" x14ac:dyDescent="0.35">
      <c r="A235" t="s">
        <v>61</v>
      </c>
      <c r="B235" t="s">
        <v>61</v>
      </c>
      <c r="C235" t="s">
        <v>9</v>
      </c>
      <c r="D235">
        <v>16372</v>
      </c>
      <c r="E235" t="s">
        <v>63</v>
      </c>
    </row>
    <row r="236" spans="1:5" x14ac:dyDescent="0.35">
      <c r="A236" t="s">
        <v>61</v>
      </c>
      <c r="B236" t="s">
        <v>61</v>
      </c>
      <c r="C236" t="s">
        <v>9</v>
      </c>
      <c r="D236">
        <v>25401</v>
      </c>
      <c r="E236" t="s">
        <v>63</v>
      </c>
    </row>
    <row r="237" spans="1:5" x14ac:dyDescent="0.35">
      <c r="A237" t="s">
        <v>61</v>
      </c>
      <c r="B237" t="s">
        <v>61</v>
      </c>
      <c r="C237" t="s">
        <v>9</v>
      </c>
      <c r="D237">
        <v>7658</v>
      </c>
      <c r="E237" t="s">
        <v>64</v>
      </c>
    </row>
    <row r="238" spans="1:5" x14ac:dyDescent="0.35">
      <c r="A238" t="s">
        <v>61</v>
      </c>
      <c r="B238" t="s">
        <v>61</v>
      </c>
      <c r="C238" t="s">
        <v>9</v>
      </c>
      <c r="D238">
        <v>11881</v>
      </c>
      <c r="E238" t="s">
        <v>64</v>
      </c>
    </row>
    <row r="239" spans="1:5" x14ac:dyDescent="0.35">
      <c r="A239" t="s">
        <v>61</v>
      </c>
      <c r="B239" t="s">
        <v>61</v>
      </c>
      <c r="C239" t="s">
        <v>9</v>
      </c>
      <c r="D239">
        <v>4668</v>
      </c>
      <c r="E239" t="s">
        <v>65</v>
      </c>
    </row>
    <row r="240" spans="1:5" x14ac:dyDescent="0.35">
      <c r="A240" t="s">
        <v>61</v>
      </c>
      <c r="B240" t="s">
        <v>61</v>
      </c>
      <c r="C240" t="s">
        <v>9</v>
      </c>
      <c r="D240">
        <v>6749</v>
      </c>
      <c r="E240" t="s">
        <v>65</v>
      </c>
    </row>
    <row r="241" spans="1:5" x14ac:dyDescent="0.35">
      <c r="A241" t="s">
        <v>61</v>
      </c>
      <c r="B241" t="s">
        <v>61</v>
      </c>
      <c r="C241" t="s">
        <v>9</v>
      </c>
      <c r="D241">
        <v>11315</v>
      </c>
      <c r="E241" t="s">
        <v>65</v>
      </c>
    </row>
    <row r="242" spans="1:5" x14ac:dyDescent="0.35">
      <c r="A242" t="s">
        <v>61</v>
      </c>
      <c r="B242" t="s">
        <v>61</v>
      </c>
      <c r="C242" t="s">
        <v>9</v>
      </c>
      <c r="D242">
        <v>16361</v>
      </c>
      <c r="E242" t="s">
        <v>65</v>
      </c>
    </row>
    <row r="243" spans="1:5" x14ac:dyDescent="0.35">
      <c r="A243" t="s">
        <v>61</v>
      </c>
      <c r="B243" t="s">
        <v>61</v>
      </c>
      <c r="C243" t="s">
        <v>9</v>
      </c>
      <c r="D243">
        <v>10572</v>
      </c>
      <c r="E243" t="s">
        <v>66</v>
      </c>
    </row>
    <row r="244" spans="1:5" x14ac:dyDescent="0.35">
      <c r="A244" t="s">
        <v>61</v>
      </c>
      <c r="B244" t="s">
        <v>61</v>
      </c>
      <c r="C244" t="s">
        <v>9</v>
      </c>
      <c r="D244">
        <v>16403</v>
      </c>
      <c r="E244" t="s">
        <v>66</v>
      </c>
    </row>
    <row r="245" spans="1:5" x14ac:dyDescent="0.35">
      <c r="A245" t="s">
        <v>61</v>
      </c>
      <c r="B245" t="s">
        <v>61</v>
      </c>
      <c r="C245" t="s">
        <v>11</v>
      </c>
      <c r="D245">
        <v>454</v>
      </c>
      <c r="E245" t="s">
        <v>64</v>
      </c>
    </row>
    <row r="246" spans="1:5" x14ac:dyDescent="0.35">
      <c r="A246" t="s">
        <v>61</v>
      </c>
      <c r="B246" t="s">
        <v>61</v>
      </c>
      <c r="C246" t="s">
        <v>11</v>
      </c>
      <c r="D246">
        <v>500</v>
      </c>
      <c r="E246" t="s">
        <v>65</v>
      </c>
    </row>
    <row r="247" spans="1:5" x14ac:dyDescent="0.35">
      <c r="A247" t="s">
        <v>61</v>
      </c>
      <c r="B247" t="s">
        <v>61</v>
      </c>
      <c r="C247" t="s">
        <v>11</v>
      </c>
      <c r="D247">
        <v>538</v>
      </c>
      <c r="E247" t="s">
        <v>65</v>
      </c>
    </row>
    <row r="248" spans="1:5" x14ac:dyDescent="0.35">
      <c r="A248" t="s">
        <v>61</v>
      </c>
      <c r="B248" t="s">
        <v>61</v>
      </c>
      <c r="C248" t="s">
        <v>11</v>
      </c>
      <c r="D248">
        <v>471</v>
      </c>
      <c r="E248" t="s">
        <v>66</v>
      </c>
    </row>
    <row r="249" spans="1:5" x14ac:dyDescent="0.35">
      <c r="A249" t="s">
        <v>61</v>
      </c>
      <c r="B249" t="s">
        <v>61</v>
      </c>
      <c r="C249" t="s">
        <v>60</v>
      </c>
      <c r="D249">
        <v>112</v>
      </c>
      <c r="E249" t="s">
        <v>64</v>
      </c>
    </row>
    <row r="250" spans="1:5" x14ac:dyDescent="0.35">
      <c r="A250" t="s">
        <v>61</v>
      </c>
      <c r="B250" t="s">
        <v>61</v>
      </c>
      <c r="C250" t="s">
        <v>60</v>
      </c>
      <c r="D250">
        <v>124</v>
      </c>
      <c r="E250" t="s">
        <v>65</v>
      </c>
    </row>
    <row r="251" spans="1:5" x14ac:dyDescent="0.35">
      <c r="A251" t="s">
        <v>61</v>
      </c>
      <c r="B251" t="s">
        <v>61</v>
      </c>
      <c r="C251" t="s">
        <v>60</v>
      </c>
      <c r="D251">
        <v>199</v>
      </c>
      <c r="E251" t="s">
        <v>66</v>
      </c>
    </row>
    <row r="252" spans="1:5" x14ac:dyDescent="0.35">
      <c r="A252" t="s">
        <v>61</v>
      </c>
      <c r="B252" t="s">
        <v>61</v>
      </c>
      <c r="C252" t="s">
        <v>19</v>
      </c>
      <c r="D252">
        <v>10</v>
      </c>
      <c r="E252" t="s">
        <v>64</v>
      </c>
    </row>
    <row r="253" spans="1:5" x14ac:dyDescent="0.35">
      <c r="A253" t="s">
        <v>61</v>
      </c>
      <c r="B253" t="s">
        <v>61</v>
      </c>
      <c r="C253" t="s">
        <v>19</v>
      </c>
      <c r="D253">
        <v>11</v>
      </c>
      <c r="E253" t="s">
        <v>65</v>
      </c>
    </row>
    <row r="254" spans="1:5" x14ac:dyDescent="0.35">
      <c r="A254" t="s">
        <v>61</v>
      </c>
      <c r="B254" t="s">
        <v>61</v>
      </c>
      <c r="C254" t="s">
        <v>19</v>
      </c>
      <c r="D254">
        <v>8</v>
      </c>
      <c r="E254" t="s">
        <v>66</v>
      </c>
    </row>
    <row r="255" spans="1:5" x14ac:dyDescent="0.35">
      <c r="A255" t="s">
        <v>61</v>
      </c>
      <c r="B255" t="s">
        <v>61</v>
      </c>
      <c r="C255" t="s">
        <v>21</v>
      </c>
      <c r="D255">
        <v>62200</v>
      </c>
      <c r="E255" t="s">
        <v>62</v>
      </c>
    </row>
    <row r="256" spans="1:5" x14ac:dyDescent="0.35">
      <c r="A256" t="s">
        <v>61</v>
      </c>
      <c r="B256" t="s">
        <v>61</v>
      </c>
      <c r="C256" t="s">
        <v>21</v>
      </c>
      <c r="D256">
        <v>51340</v>
      </c>
      <c r="E256" t="s">
        <v>63</v>
      </c>
    </row>
    <row r="257" spans="1:5" x14ac:dyDescent="0.35">
      <c r="A257" t="s">
        <v>61</v>
      </c>
      <c r="B257" t="s">
        <v>61</v>
      </c>
      <c r="C257" t="s">
        <v>21</v>
      </c>
      <c r="D257">
        <v>44425</v>
      </c>
      <c r="E257" t="s">
        <v>65</v>
      </c>
    </row>
    <row r="258" spans="1:5" x14ac:dyDescent="0.35">
      <c r="A258" t="s">
        <v>67</v>
      </c>
      <c r="B258" t="s">
        <v>67</v>
      </c>
      <c r="C258" t="s">
        <v>7</v>
      </c>
      <c r="D258">
        <v>1300</v>
      </c>
      <c r="E258" t="s">
        <v>68</v>
      </c>
    </row>
    <row r="259" spans="1:5" x14ac:dyDescent="0.35">
      <c r="A259" t="s">
        <v>67</v>
      </c>
      <c r="B259" t="s">
        <v>67</v>
      </c>
      <c r="C259" t="s">
        <v>9</v>
      </c>
      <c r="D259">
        <v>16397</v>
      </c>
      <c r="E259" t="s">
        <v>68</v>
      </c>
    </row>
    <row r="260" spans="1:5" x14ac:dyDescent="0.35">
      <c r="A260" t="s">
        <v>67</v>
      </c>
      <c r="B260" t="s">
        <v>67</v>
      </c>
      <c r="C260" t="s">
        <v>9</v>
      </c>
      <c r="D260">
        <v>25440</v>
      </c>
      <c r="E260" t="s">
        <v>68</v>
      </c>
    </row>
    <row r="261" spans="1:5" x14ac:dyDescent="0.35">
      <c r="A261" t="s">
        <v>67</v>
      </c>
      <c r="B261" t="s">
        <v>67</v>
      </c>
      <c r="C261" t="s">
        <v>11</v>
      </c>
      <c r="D261">
        <v>454</v>
      </c>
      <c r="E261" t="s">
        <v>64</v>
      </c>
    </row>
    <row r="262" spans="1:5" x14ac:dyDescent="0.35">
      <c r="A262" t="s">
        <v>67</v>
      </c>
      <c r="B262" t="s">
        <v>67</v>
      </c>
      <c r="C262" t="s">
        <v>11</v>
      </c>
      <c r="D262">
        <v>500</v>
      </c>
      <c r="E262" t="s">
        <v>65</v>
      </c>
    </row>
    <row r="263" spans="1:5" x14ac:dyDescent="0.35">
      <c r="A263" t="s">
        <v>67</v>
      </c>
      <c r="B263" t="s">
        <v>67</v>
      </c>
      <c r="C263" t="s">
        <v>11</v>
      </c>
      <c r="D263">
        <v>538</v>
      </c>
      <c r="E263" t="s">
        <v>65</v>
      </c>
    </row>
    <row r="264" spans="1:5" x14ac:dyDescent="0.35">
      <c r="A264" t="s">
        <v>67</v>
      </c>
      <c r="B264" t="s">
        <v>67</v>
      </c>
      <c r="C264" t="s">
        <v>11</v>
      </c>
      <c r="D264">
        <v>471</v>
      </c>
      <c r="E264" t="s">
        <v>66</v>
      </c>
    </row>
    <row r="265" spans="1:5" x14ac:dyDescent="0.35">
      <c r="A265" t="s">
        <v>67</v>
      </c>
      <c r="B265" t="s">
        <v>67</v>
      </c>
      <c r="C265" t="s">
        <v>60</v>
      </c>
      <c r="D265">
        <v>112</v>
      </c>
      <c r="E265" t="s">
        <v>64</v>
      </c>
    </row>
    <row r="266" spans="1:5" x14ac:dyDescent="0.35">
      <c r="A266" t="s">
        <v>67</v>
      </c>
      <c r="B266" t="s">
        <v>67</v>
      </c>
      <c r="C266" t="s">
        <v>60</v>
      </c>
      <c r="D266">
        <v>124</v>
      </c>
      <c r="E266" t="s">
        <v>65</v>
      </c>
    </row>
    <row r="267" spans="1:5" x14ac:dyDescent="0.35">
      <c r="A267" t="s">
        <v>67</v>
      </c>
      <c r="B267" t="s">
        <v>67</v>
      </c>
      <c r="C267" t="s">
        <v>60</v>
      </c>
      <c r="D267">
        <v>199</v>
      </c>
      <c r="E267" t="s">
        <v>66</v>
      </c>
    </row>
    <row r="268" spans="1:5" x14ac:dyDescent="0.35">
      <c r="A268" t="s">
        <v>67</v>
      </c>
      <c r="B268" t="s">
        <v>67</v>
      </c>
      <c r="C268" t="s">
        <v>19</v>
      </c>
      <c r="D268">
        <v>10</v>
      </c>
      <c r="E268" t="s">
        <v>64</v>
      </c>
    </row>
    <row r="269" spans="1:5" x14ac:dyDescent="0.35">
      <c r="A269" t="s">
        <v>67</v>
      </c>
      <c r="B269" t="s">
        <v>67</v>
      </c>
      <c r="C269" t="s">
        <v>19</v>
      </c>
      <c r="D269">
        <v>11</v>
      </c>
      <c r="E269" t="s">
        <v>65</v>
      </c>
    </row>
    <row r="270" spans="1:5" x14ac:dyDescent="0.35">
      <c r="A270" t="s">
        <v>67</v>
      </c>
      <c r="B270" t="s">
        <v>67</v>
      </c>
      <c r="C270" t="s">
        <v>19</v>
      </c>
      <c r="D270">
        <v>8</v>
      </c>
      <c r="E270" t="s">
        <v>66</v>
      </c>
    </row>
    <row r="271" spans="1:5" x14ac:dyDescent="0.35">
      <c r="A271" t="s">
        <v>67</v>
      </c>
      <c r="B271" t="s">
        <v>67</v>
      </c>
      <c r="C271" t="s">
        <v>21</v>
      </c>
      <c r="D271">
        <v>52000</v>
      </c>
      <c r="E271" t="s">
        <v>68</v>
      </c>
    </row>
    <row r="272" spans="1:5" x14ac:dyDescent="0.35">
      <c r="A272" t="s">
        <v>69</v>
      </c>
      <c r="B272" t="s">
        <v>69</v>
      </c>
      <c r="C272" t="s">
        <v>7</v>
      </c>
      <c r="D272">
        <v>230</v>
      </c>
      <c r="E272" t="s">
        <v>62</v>
      </c>
    </row>
    <row r="273" spans="1:5" x14ac:dyDescent="0.35">
      <c r="A273" t="s">
        <v>69</v>
      </c>
      <c r="B273" t="s">
        <v>69</v>
      </c>
      <c r="C273" t="s">
        <v>7</v>
      </c>
      <c r="D273">
        <v>204</v>
      </c>
      <c r="E273" t="s">
        <v>70</v>
      </c>
    </row>
    <row r="274" spans="1:5" x14ac:dyDescent="0.35">
      <c r="A274" t="s">
        <v>69</v>
      </c>
      <c r="B274" t="s">
        <v>69</v>
      </c>
      <c r="C274" t="s">
        <v>9</v>
      </c>
      <c r="D274">
        <v>7350</v>
      </c>
      <c r="E274" t="s">
        <v>62</v>
      </c>
    </row>
    <row r="275" spans="1:5" x14ac:dyDescent="0.35">
      <c r="A275" t="s">
        <v>69</v>
      </c>
      <c r="B275" t="s">
        <v>69</v>
      </c>
      <c r="C275" t="s">
        <v>9</v>
      </c>
      <c r="D275">
        <v>11403</v>
      </c>
      <c r="E275" t="s">
        <v>70</v>
      </c>
    </row>
    <row r="276" spans="1:5" x14ac:dyDescent="0.35">
      <c r="A276" t="s">
        <v>69</v>
      </c>
      <c r="B276" t="s">
        <v>69</v>
      </c>
      <c r="C276" t="s">
        <v>9</v>
      </c>
      <c r="D276">
        <v>10080</v>
      </c>
      <c r="E276" t="s">
        <v>62</v>
      </c>
    </row>
    <row r="277" spans="1:5" x14ac:dyDescent="0.35">
      <c r="A277" t="s">
        <v>69</v>
      </c>
      <c r="B277" t="s">
        <v>69</v>
      </c>
      <c r="C277" t="s">
        <v>9</v>
      </c>
      <c r="D277">
        <v>15640</v>
      </c>
      <c r="E277" t="s">
        <v>70</v>
      </c>
    </row>
    <row r="278" spans="1:5" x14ac:dyDescent="0.35">
      <c r="A278" t="s">
        <v>69</v>
      </c>
      <c r="B278" t="s">
        <v>69</v>
      </c>
      <c r="C278" t="s">
        <v>11</v>
      </c>
      <c r="D278">
        <v>454</v>
      </c>
      <c r="E278" t="s">
        <v>64</v>
      </c>
    </row>
    <row r="279" spans="1:5" x14ac:dyDescent="0.35">
      <c r="A279" t="s">
        <v>69</v>
      </c>
      <c r="B279" t="s">
        <v>69</v>
      </c>
      <c r="C279" t="s">
        <v>11</v>
      </c>
      <c r="D279">
        <v>500</v>
      </c>
      <c r="E279" t="s">
        <v>65</v>
      </c>
    </row>
    <row r="280" spans="1:5" x14ac:dyDescent="0.35">
      <c r="A280" t="s">
        <v>69</v>
      </c>
      <c r="B280" t="s">
        <v>69</v>
      </c>
      <c r="C280" t="s">
        <v>11</v>
      </c>
      <c r="D280">
        <v>538</v>
      </c>
      <c r="E280" t="s">
        <v>65</v>
      </c>
    </row>
    <row r="281" spans="1:5" x14ac:dyDescent="0.35">
      <c r="A281" t="s">
        <v>69</v>
      </c>
      <c r="B281" t="s">
        <v>69</v>
      </c>
      <c r="C281" t="s">
        <v>11</v>
      </c>
      <c r="D281">
        <v>471</v>
      </c>
      <c r="E281" t="s">
        <v>66</v>
      </c>
    </row>
    <row r="282" spans="1:5" x14ac:dyDescent="0.35">
      <c r="A282" t="s">
        <v>69</v>
      </c>
      <c r="B282" t="s">
        <v>69</v>
      </c>
      <c r="C282" t="s">
        <v>60</v>
      </c>
      <c r="D282">
        <v>112</v>
      </c>
      <c r="E282" t="s">
        <v>64</v>
      </c>
    </row>
    <row r="283" spans="1:5" x14ac:dyDescent="0.35">
      <c r="A283" t="s">
        <v>69</v>
      </c>
      <c r="B283" t="s">
        <v>69</v>
      </c>
      <c r="C283" t="s">
        <v>60</v>
      </c>
      <c r="D283">
        <v>124</v>
      </c>
      <c r="E283" t="s">
        <v>65</v>
      </c>
    </row>
    <row r="284" spans="1:5" x14ac:dyDescent="0.35">
      <c r="A284" t="s">
        <v>69</v>
      </c>
      <c r="B284" t="s">
        <v>69</v>
      </c>
      <c r="C284" t="s">
        <v>60</v>
      </c>
      <c r="D284">
        <v>199</v>
      </c>
      <c r="E284" t="s">
        <v>66</v>
      </c>
    </row>
    <row r="285" spans="1:5" x14ac:dyDescent="0.35">
      <c r="A285" t="s">
        <v>69</v>
      </c>
      <c r="B285" t="s">
        <v>69</v>
      </c>
      <c r="C285" t="s">
        <v>19</v>
      </c>
      <c r="D285">
        <v>10</v>
      </c>
      <c r="E285" t="s">
        <v>64</v>
      </c>
    </row>
    <row r="286" spans="1:5" x14ac:dyDescent="0.35">
      <c r="A286" t="s">
        <v>69</v>
      </c>
      <c r="B286" t="s">
        <v>69</v>
      </c>
      <c r="C286" t="s">
        <v>19</v>
      </c>
      <c r="D286">
        <v>11</v>
      </c>
      <c r="E286" t="s">
        <v>65</v>
      </c>
    </row>
    <row r="287" spans="1:5" x14ac:dyDescent="0.35">
      <c r="A287" t="s">
        <v>69</v>
      </c>
      <c r="B287" t="s">
        <v>69</v>
      </c>
      <c r="C287" t="s">
        <v>19</v>
      </c>
      <c r="D287">
        <v>8</v>
      </c>
      <c r="E287" t="s">
        <v>66</v>
      </c>
    </row>
    <row r="288" spans="1:5" x14ac:dyDescent="0.35">
      <c r="A288" t="s">
        <v>69</v>
      </c>
      <c r="B288" t="s">
        <v>69</v>
      </c>
      <c r="C288" t="s">
        <v>21</v>
      </c>
      <c r="D288">
        <v>51130</v>
      </c>
      <c r="E288" t="s">
        <v>62</v>
      </c>
    </row>
    <row r="289" spans="1:5" x14ac:dyDescent="0.35">
      <c r="A289" t="s">
        <v>69</v>
      </c>
      <c r="B289" t="s">
        <v>69</v>
      </c>
      <c r="C289" t="s">
        <v>21</v>
      </c>
      <c r="D289">
        <v>31030</v>
      </c>
      <c r="E289" t="s">
        <v>70</v>
      </c>
    </row>
    <row r="290" spans="1:5" x14ac:dyDescent="0.35">
      <c r="A290" t="s">
        <v>71</v>
      </c>
      <c r="B290" t="s">
        <v>71</v>
      </c>
      <c r="C290" t="s">
        <v>7</v>
      </c>
      <c r="D290">
        <v>624</v>
      </c>
      <c r="E290" t="s">
        <v>62</v>
      </c>
    </row>
    <row r="291" spans="1:5" x14ac:dyDescent="0.35">
      <c r="A291" t="s">
        <v>71</v>
      </c>
      <c r="B291" t="s">
        <v>71</v>
      </c>
      <c r="C291" t="s">
        <v>7</v>
      </c>
      <c r="D291">
        <v>419</v>
      </c>
      <c r="E291" t="s">
        <v>63</v>
      </c>
    </row>
    <row r="292" spans="1:5" x14ac:dyDescent="0.35">
      <c r="A292" t="s">
        <v>71</v>
      </c>
      <c r="B292" t="s">
        <v>71</v>
      </c>
      <c r="C292" t="s">
        <v>7</v>
      </c>
      <c r="D292">
        <v>255</v>
      </c>
      <c r="E292" t="s">
        <v>64</v>
      </c>
    </row>
    <row r="293" spans="1:5" x14ac:dyDescent="0.35">
      <c r="A293" t="s">
        <v>71</v>
      </c>
      <c r="B293" t="s">
        <v>71</v>
      </c>
      <c r="C293" t="s">
        <v>7</v>
      </c>
      <c r="D293">
        <v>281</v>
      </c>
      <c r="E293" t="s">
        <v>65</v>
      </c>
    </row>
    <row r="294" spans="1:5" x14ac:dyDescent="0.35">
      <c r="A294" t="s">
        <v>71</v>
      </c>
      <c r="B294" t="s">
        <v>71</v>
      </c>
      <c r="C294" t="s">
        <v>9</v>
      </c>
      <c r="D294">
        <v>9814</v>
      </c>
      <c r="E294" t="s">
        <v>62</v>
      </c>
    </row>
    <row r="295" spans="1:5" x14ac:dyDescent="0.35">
      <c r="A295" t="s">
        <v>71</v>
      </c>
      <c r="B295" t="s">
        <v>71</v>
      </c>
      <c r="C295" t="s">
        <v>9</v>
      </c>
      <c r="D295">
        <v>43653</v>
      </c>
      <c r="E295" t="s">
        <v>62</v>
      </c>
    </row>
    <row r="296" spans="1:5" x14ac:dyDescent="0.35">
      <c r="A296" t="s">
        <v>71</v>
      </c>
      <c r="B296" t="s">
        <v>71</v>
      </c>
      <c r="C296" t="s">
        <v>9</v>
      </c>
      <c r="D296">
        <v>25049</v>
      </c>
      <c r="E296" t="s">
        <v>63</v>
      </c>
    </row>
    <row r="297" spans="1:5" x14ac:dyDescent="0.35">
      <c r="A297" t="s">
        <v>71</v>
      </c>
      <c r="B297" t="s">
        <v>71</v>
      </c>
      <c r="C297" t="s">
        <v>9</v>
      </c>
      <c r="D297">
        <v>38864</v>
      </c>
      <c r="E297" t="s">
        <v>63</v>
      </c>
    </row>
    <row r="298" spans="1:5" x14ac:dyDescent="0.35">
      <c r="A298" t="s">
        <v>71</v>
      </c>
      <c r="B298" t="s">
        <v>71</v>
      </c>
      <c r="C298" t="s">
        <v>9</v>
      </c>
      <c r="D298">
        <v>11716</v>
      </c>
      <c r="E298" t="s">
        <v>64</v>
      </c>
    </row>
    <row r="299" spans="1:5" x14ac:dyDescent="0.35">
      <c r="A299" t="s">
        <v>71</v>
      </c>
      <c r="B299" t="s">
        <v>71</v>
      </c>
      <c r="C299" t="s">
        <v>9</v>
      </c>
      <c r="D299">
        <v>18178</v>
      </c>
      <c r="E299" t="s">
        <v>64</v>
      </c>
    </row>
    <row r="300" spans="1:5" x14ac:dyDescent="0.35">
      <c r="A300" t="s">
        <v>71</v>
      </c>
      <c r="B300" t="s">
        <v>71</v>
      </c>
      <c r="C300" t="s">
        <v>9</v>
      </c>
      <c r="D300">
        <v>7141</v>
      </c>
      <c r="E300" t="s">
        <v>65</v>
      </c>
    </row>
    <row r="301" spans="1:5" x14ac:dyDescent="0.35">
      <c r="A301" t="s">
        <v>71</v>
      </c>
      <c r="B301" t="s">
        <v>71</v>
      </c>
      <c r="C301" t="s">
        <v>9</v>
      </c>
      <c r="D301">
        <v>10326</v>
      </c>
      <c r="E301" t="s">
        <v>65</v>
      </c>
    </row>
    <row r="302" spans="1:5" x14ac:dyDescent="0.35">
      <c r="A302" t="s">
        <v>71</v>
      </c>
      <c r="B302" t="s">
        <v>71</v>
      </c>
      <c r="C302" t="s">
        <v>9</v>
      </c>
      <c r="D302">
        <v>17313</v>
      </c>
      <c r="E302" t="s">
        <v>65</v>
      </c>
    </row>
    <row r="303" spans="1:5" x14ac:dyDescent="0.35">
      <c r="A303" t="s">
        <v>71</v>
      </c>
      <c r="B303" t="s">
        <v>71</v>
      </c>
      <c r="C303" t="s">
        <v>9</v>
      </c>
      <c r="D303">
        <v>25033</v>
      </c>
      <c r="E303" t="s">
        <v>65</v>
      </c>
    </row>
    <row r="304" spans="1:5" x14ac:dyDescent="0.35">
      <c r="A304" t="s">
        <v>71</v>
      </c>
      <c r="B304" t="s">
        <v>71</v>
      </c>
      <c r="C304" t="s">
        <v>9</v>
      </c>
      <c r="D304">
        <v>16175</v>
      </c>
      <c r="E304" t="s">
        <v>66</v>
      </c>
    </row>
    <row r="305" spans="1:5" x14ac:dyDescent="0.35">
      <c r="A305" t="s">
        <v>71</v>
      </c>
      <c r="B305" t="s">
        <v>71</v>
      </c>
      <c r="C305" t="s">
        <v>9</v>
      </c>
      <c r="D305">
        <v>25096</v>
      </c>
      <c r="E305" t="s">
        <v>66</v>
      </c>
    </row>
    <row r="306" spans="1:5" x14ac:dyDescent="0.35">
      <c r="A306" t="s">
        <v>71</v>
      </c>
      <c r="B306" t="s">
        <v>71</v>
      </c>
      <c r="C306" t="s">
        <v>11</v>
      </c>
      <c r="D306">
        <v>545</v>
      </c>
      <c r="E306" t="s">
        <v>64</v>
      </c>
    </row>
    <row r="307" spans="1:5" x14ac:dyDescent="0.35">
      <c r="A307" t="s">
        <v>71</v>
      </c>
      <c r="B307" t="s">
        <v>71</v>
      </c>
      <c r="C307" t="s">
        <v>11</v>
      </c>
      <c r="D307">
        <v>600</v>
      </c>
      <c r="E307" t="s">
        <v>65</v>
      </c>
    </row>
    <row r="308" spans="1:5" x14ac:dyDescent="0.35">
      <c r="A308" t="s">
        <v>71</v>
      </c>
      <c r="B308" t="s">
        <v>71</v>
      </c>
      <c r="C308" t="s">
        <v>11</v>
      </c>
      <c r="D308">
        <v>645</v>
      </c>
      <c r="E308" t="s">
        <v>65</v>
      </c>
    </row>
    <row r="309" spans="1:5" x14ac:dyDescent="0.35">
      <c r="A309" t="s">
        <v>71</v>
      </c>
      <c r="B309" t="s">
        <v>71</v>
      </c>
      <c r="C309" t="s">
        <v>11</v>
      </c>
      <c r="D309">
        <v>565</v>
      </c>
      <c r="E309" t="s">
        <v>66</v>
      </c>
    </row>
    <row r="310" spans="1:5" x14ac:dyDescent="0.35">
      <c r="A310" t="s">
        <v>71</v>
      </c>
      <c r="B310" t="s">
        <v>71</v>
      </c>
      <c r="C310" t="s">
        <v>60</v>
      </c>
      <c r="D310">
        <v>112</v>
      </c>
      <c r="E310" t="s">
        <v>64</v>
      </c>
    </row>
    <row r="311" spans="1:5" x14ac:dyDescent="0.35">
      <c r="A311" t="s">
        <v>71</v>
      </c>
      <c r="B311" t="s">
        <v>71</v>
      </c>
      <c r="C311" t="s">
        <v>60</v>
      </c>
      <c r="D311">
        <v>124</v>
      </c>
      <c r="E311" t="s">
        <v>65</v>
      </c>
    </row>
    <row r="312" spans="1:5" x14ac:dyDescent="0.35">
      <c r="A312" t="s">
        <v>71</v>
      </c>
      <c r="B312" t="s">
        <v>71</v>
      </c>
      <c r="C312" t="s">
        <v>60</v>
      </c>
      <c r="D312">
        <v>199</v>
      </c>
      <c r="E312" t="s">
        <v>66</v>
      </c>
    </row>
    <row r="313" spans="1:5" x14ac:dyDescent="0.35">
      <c r="A313" t="s">
        <v>71</v>
      </c>
      <c r="B313" t="s">
        <v>71</v>
      </c>
      <c r="C313" t="s">
        <v>19</v>
      </c>
      <c r="D313">
        <v>10</v>
      </c>
      <c r="E313" t="s">
        <v>64</v>
      </c>
    </row>
    <row r="314" spans="1:5" x14ac:dyDescent="0.35">
      <c r="A314" t="s">
        <v>71</v>
      </c>
      <c r="B314" t="s">
        <v>71</v>
      </c>
      <c r="C314" t="s">
        <v>19</v>
      </c>
      <c r="D314">
        <v>11</v>
      </c>
      <c r="E314" t="s">
        <v>65</v>
      </c>
    </row>
    <row r="315" spans="1:5" x14ac:dyDescent="0.35">
      <c r="A315" t="s">
        <v>71</v>
      </c>
      <c r="B315" t="s">
        <v>71</v>
      </c>
      <c r="C315" t="s">
        <v>19</v>
      </c>
      <c r="D315">
        <v>8</v>
      </c>
      <c r="E315" t="s">
        <v>66</v>
      </c>
    </row>
    <row r="316" spans="1:5" x14ac:dyDescent="0.35">
      <c r="A316" t="s">
        <v>71</v>
      </c>
      <c r="B316" t="s">
        <v>71</v>
      </c>
      <c r="C316" t="s">
        <v>21</v>
      </c>
      <c r="D316">
        <v>95166</v>
      </c>
      <c r="E316" t="s">
        <v>62</v>
      </c>
    </row>
    <row r="317" spans="1:5" x14ac:dyDescent="0.35">
      <c r="A317" t="s">
        <v>71</v>
      </c>
      <c r="B317" t="s">
        <v>71</v>
      </c>
      <c r="C317" t="s">
        <v>21</v>
      </c>
      <c r="D317">
        <v>78550</v>
      </c>
      <c r="E317" t="s">
        <v>63</v>
      </c>
    </row>
    <row r="318" spans="1:5" x14ac:dyDescent="0.35">
      <c r="A318" t="s">
        <v>71</v>
      </c>
      <c r="B318" t="s">
        <v>71</v>
      </c>
      <c r="C318" t="s">
        <v>21</v>
      </c>
      <c r="D318">
        <v>61648</v>
      </c>
      <c r="E318" t="s">
        <v>64</v>
      </c>
    </row>
    <row r="319" spans="1:5" x14ac:dyDescent="0.35">
      <c r="A319" t="s">
        <v>71</v>
      </c>
      <c r="B319" t="s">
        <v>71</v>
      </c>
      <c r="C319" t="s">
        <v>21</v>
      </c>
      <c r="D319">
        <v>67695</v>
      </c>
      <c r="E319" t="s">
        <v>65</v>
      </c>
    </row>
    <row r="320" spans="1:5" x14ac:dyDescent="0.35">
      <c r="A320" t="s">
        <v>72</v>
      </c>
      <c r="B320" t="s">
        <v>72</v>
      </c>
      <c r="C320" t="s">
        <v>7</v>
      </c>
      <c r="D320">
        <v>1300</v>
      </c>
      <c r="E320" t="s">
        <v>68</v>
      </c>
    </row>
    <row r="321" spans="1:5" x14ac:dyDescent="0.35">
      <c r="A321" t="s">
        <v>72</v>
      </c>
      <c r="B321" t="s">
        <v>72</v>
      </c>
      <c r="C321" t="s">
        <v>9</v>
      </c>
      <c r="D321">
        <v>25087</v>
      </c>
      <c r="E321" t="s">
        <v>68</v>
      </c>
    </row>
    <row r="322" spans="1:5" x14ac:dyDescent="0.35">
      <c r="A322" t="s">
        <v>72</v>
      </c>
      <c r="B322" t="s">
        <v>72</v>
      </c>
      <c r="C322" t="s">
        <v>9</v>
      </c>
      <c r="D322">
        <v>38923</v>
      </c>
      <c r="E322" t="s">
        <v>68</v>
      </c>
    </row>
    <row r="323" spans="1:5" x14ac:dyDescent="0.35">
      <c r="A323" t="s">
        <v>72</v>
      </c>
      <c r="B323" t="s">
        <v>72</v>
      </c>
      <c r="C323" t="s">
        <v>11</v>
      </c>
      <c r="D323">
        <v>545</v>
      </c>
      <c r="E323" t="s">
        <v>64</v>
      </c>
    </row>
    <row r="324" spans="1:5" x14ac:dyDescent="0.35">
      <c r="A324" t="s">
        <v>72</v>
      </c>
      <c r="B324" t="s">
        <v>72</v>
      </c>
      <c r="C324" t="s">
        <v>11</v>
      </c>
      <c r="D324">
        <v>600</v>
      </c>
      <c r="E324" t="s">
        <v>65</v>
      </c>
    </row>
    <row r="325" spans="1:5" x14ac:dyDescent="0.35">
      <c r="A325" t="s">
        <v>72</v>
      </c>
      <c r="B325" t="s">
        <v>72</v>
      </c>
      <c r="C325" t="s">
        <v>11</v>
      </c>
      <c r="D325">
        <v>645</v>
      </c>
      <c r="E325" t="s">
        <v>65</v>
      </c>
    </row>
    <row r="326" spans="1:5" x14ac:dyDescent="0.35">
      <c r="A326" t="s">
        <v>72</v>
      </c>
      <c r="B326" t="s">
        <v>72</v>
      </c>
      <c r="C326" t="s">
        <v>60</v>
      </c>
      <c r="D326">
        <v>112</v>
      </c>
      <c r="E326" t="s">
        <v>64</v>
      </c>
    </row>
    <row r="327" spans="1:5" x14ac:dyDescent="0.35">
      <c r="A327" t="s">
        <v>72</v>
      </c>
      <c r="B327" t="s">
        <v>72</v>
      </c>
      <c r="C327" t="s">
        <v>60</v>
      </c>
      <c r="D327">
        <v>124</v>
      </c>
      <c r="E327" t="s">
        <v>65</v>
      </c>
    </row>
    <row r="328" spans="1:5" x14ac:dyDescent="0.35">
      <c r="A328" t="s">
        <v>72</v>
      </c>
      <c r="B328" t="s">
        <v>72</v>
      </c>
      <c r="C328" t="s">
        <v>60</v>
      </c>
      <c r="D328">
        <v>199</v>
      </c>
      <c r="E328" t="s">
        <v>66</v>
      </c>
    </row>
    <row r="329" spans="1:5" x14ac:dyDescent="0.35">
      <c r="A329" t="s">
        <v>72</v>
      </c>
      <c r="B329" t="s">
        <v>72</v>
      </c>
      <c r="C329" t="s">
        <v>19</v>
      </c>
      <c r="D329">
        <v>10</v>
      </c>
      <c r="E329" t="s">
        <v>64</v>
      </c>
    </row>
    <row r="330" spans="1:5" x14ac:dyDescent="0.35">
      <c r="A330" t="s">
        <v>72</v>
      </c>
      <c r="B330" t="s">
        <v>72</v>
      </c>
      <c r="C330" t="s">
        <v>19</v>
      </c>
      <c r="D330">
        <v>11</v>
      </c>
      <c r="E330" t="s">
        <v>65</v>
      </c>
    </row>
    <row r="331" spans="1:5" x14ac:dyDescent="0.35">
      <c r="A331" t="s">
        <v>72</v>
      </c>
      <c r="B331" t="s">
        <v>72</v>
      </c>
      <c r="C331" t="s">
        <v>19</v>
      </c>
      <c r="D331">
        <v>8</v>
      </c>
      <c r="E331" t="s">
        <v>66</v>
      </c>
    </row>
    <row r="332" spans="1:5" x14ac:dyDescent="0.35">
      <c r="A332" t="s">
        <v>72</v>
      </c>
      <c r="B332" t="s">
        <v>72</v>
      </c>
      <c r="C332" t="s">
        <v>21</v>
      </c>
      <c r="D332">
        <v>79560</v>
      </c>
      <c r="E332" t="s">
        <v>68</v>
      </c>
    </row>
    <row r="333" spans="1:5" x14ac:dyDescent="0.35">
      <c r="A333" t="s">
        <v>73</v>
      </c>
      <c r="B333" t="s">
        <v>73</v>
      </c>
      <c r="C333" t="s">
        <v>7</v>
      </c>
      <c r="D333">
        <v>230</v>
      </c>
      <c r="E333" t="s">
        <v>62</v>
      </c>
    </row>
    <row r="334" spans="1:5" x14ac:dyDescent="0.35">
      <c r="A334" t="s">
        <v>73</v>
      </c>
      <c r="B334" t="s">
        <v>73</v>
      </c>
      <c r="C334" t="s">
        <v>7</v>
      </c>
      <c r="D334">
        <v>204</v>
      </c>
      <c r="E334" t="s">
        <v>70</v>
      </c>
    </row>
    <row r="335" spans="1:5" x14ac:dyDescent="0.35">
      <c r="A335" t="s">
        <v>73</v>
      </c>
      <c r="B335" t="s">
        <v>73</v>
      </c>
      <c r="C335" t="s">
        <v>9</v>
      </c>
      <c r="D335">
        <v>8067</v>
      </c>
      <c r="E335" t="s">
        <v>62</v>
      </c>
    </row>
    <row r="336" spans="1:5" x14ac:dyDescent="0.35">
      <c r="A336" t="s">
        <v>73</v>
      </c>
      <c r="B336" t="s">
        <v>73</v>
      </c>
      <c r="C336" t="s">
        <v>9</v>
      </c>
      <c r="D336">
        <v>17447</v>
      </c>
      <c r="E336" t="s">
        <v>62</v>
      </c>
    </row>
    <row r="337" spans="1:5" x14ac:dyDescent="0.35">
      <c r="A337" t="s">
        <v>73</v>
      </c>
      <c r="B337" t="s">
        <v>73</v>
      </c>
      <c r="C337" t="s">
        <v>9</v>
      </c>
      <c r="D337">
        <v>15423</v>
      </c>
      <c r="E337" t="s">
        <v>70</v>
      </c>
    </row>
    <row r="338" spans="1:5" x14ac:dyDescent="0.35">
      <c r="A338" t="s">
        <v>73</v>
      </c>
      <c r="B338" t="s">
        <v>73</v>
      </c>
      <c r="C338" t="s">
        <v>9</v>
      </c>
      <c r="D338">
        <v>23929</v>
      </c>
      <c r="E338" t="s">
        <v>70</v>
      </c>
    </row>
    <row r="339" spans="1:5" x14ac:dyDescent="0.35">
      <c r="A339" t="s">
        <v>73</v>
      </c>
      <c r="B339" t="s">
        <v>73</v>
      </c>
      <c r="C339" t="s">
        <v>11</v>
      </c>
      <c r="D339">
        <v>545</v>
      </c>
      <c r="E339" t="s">
        <v>64</v>
      </c>
    </row>
    <row r="340" spans="1:5" x14ac:dyDescent="0.35">
      <c r="A340" t="s">
        <v>73</v>
      </c>
      <c r="B340" t="s">
        <v>73</v>
      </c>
      <c r="C340" t="s">
        <v>11</v>
      </c>
      <c r="D340">
        <v>600</v>
      </c>
      <c r="E340" t="s">
        <v>65</v>
      </c>
    </row>
    <row r="341" spans="1:5" x14ac:dyDescent="0.35">
      <c r="A341" t="s">
        <v>73</v>
      </c>
      <c r="B341" t="s">
        <v>73</v>
      </c>
      <c r="C341" t="s">
        <v>11</v>
      </c>
      <c r="D341">
        <v>645</v>
      </c>
      <c r="E341" t="s">
        <v>65</v>
      </c>
    </row>
    <row r="342" spans="1:5" x14ac:dyDescent="0.35">
      <c r="A342" t="s">
        <v>73</v>
      </c>
      <c r="B342" t="s">
        <v>73</v>
      </c>
      <c r="C342" t="s">
        <v>11</v>
      </c>
      <c r="D342">
        <v>565</v>
      </c>
      <c r="E342" t="s">
        <v>66</v>
      </c>
    </row>
    <row r="343" spans="1:5" x14ac:dyDescent="0.35">
      <c r="A343" t="s">
        <v>73</v>
      </c>
      <c r="B343" t="s">
        <v>73</v>
      </c>
      <c r="C343" t="s">
        <v>60</v>
      </c>
      <c r="D343">
        <v>112</v>
      </c>
      <c r="E343" t="s">
        <v>65</v>
      </c>
    </row>
    <row r="344" spans="1:5" x14ac:dyDescent="0.35">
      <c r="A344" t="s">
        <v>73</v>
      </c>
      <c r="B344" t="s">
        <v>73</v>
      </c>
      <c r="C344" t="s">
        <v>60</v>
      </c>
      <c r="D344">
        <v>124</v>
      </c>
      <c r="E344" t="s">
        <v>65</v>
      </c>
    </row>
    <row r="345" spans="1:5" x14ac:dyDescent="0.35">
      <c r="A345" t="s">
        <v>73</v>
      </c>
      <c r="B345" t="s">
        <v>73</v>
      </c>
      <c r="C345" t="s">
        <v>60</v>
      </c>
      <c r="D345">
        <v>199</v>
      </c>
      <c r="E345" t="s">
        <v>66</v>
      </c>
    </row>
    <row r="346" spans="1:5" x14ac:dyDescent="0.35">
      <c r="A346" t="s">
        <v>73</v>
      </c>
      <c r="B346" t="s">
        <v>73</v>
      </c>
      <c r="C346" t="s">
        <v>19</v>
      </c>
      <c r="D346">
        <v>10</v>
      </c>
      <c r="E346" t="s">
        <v>65</v>
      </c>
    </row>
    <row r="347" spans="1:5" x14ac:dyDescent="0.35">
      <c r="A347" t="s">
        <v>73</v>
      </c>
      <c r="B347" t="s">
        <v>73</v>
      </c>
      <c r="C347" t="s">
        <v>19</v>
      </c>
      <c r="D347">
        <v>11</v>
      </c>
      <c r="E347" t="s">
        <v>65</v>
      </c>
    </row>
    <row r="348" spans="1:5" x14ac:dyDescent="0.35">
      <c r="A348" t="s">
        <v>73</v>
      </c>
      <c r="B348" t="s">
        <v>73</v>
      </c>
      <c r="C348" t="s">
        <v>19</v>
      </c>
      <c r="D348">
        <v>8</v>
      </c>
      <c r="E348" t="s">
        <v>66</v>
      </c>
    </row>
    <row r="349" spans="1:5" x14ac:dyDescent="0.35">
      <c r="A349" t="s">
        <v>73</v>
      </c>
      <c r="B349" t="s">
        <v>73</v>
      </c>
      <c r="C349" t="s">
        <v>21</v>
      </c>
      <c r="D349">
        <v>78229</v>
      </c>
      <c r="E349" t="s">
        <v>62</v>
      </c>
    </row>
    <row r="350" spans="1:5" x14ac:dyDescent="0.35">
      <c r="A350" t="s">
        <v>73</v>
      </c>
      <c r="B350" t="s">
        <v>73</v>
      </c>
      <c r="C350" t="s">
        <v>21</v>
      </c>
      <c r="D350">
        <v>47476</v>
      </c>
      <c r="E350" t="s">
        <v>70</v>
      </c>
    </row>
    <row r="351" spans="1:5" x14ac:dyDescent="0.35">
      <c r="A351" t="s">
        <v>74</v>
      </c>
      <c r="B351" t="s">
        <v>74</v>
      </c>
      <c r="C351" t="s">
        <v>35</v>
      </c>
      <c r="D351">
        <v>1</v>
      </c>
      <c r="E351" t="s">
        <v>75</v>
      </c>
    </row>
    <row r="352" spans="1:5" x14ac:dyDescent="0.35">
      <c r="A352" t="s">
        <v>74</v>
      </c>
      <c r="B352" t="s">
        <v>74</v>
      </c>
      <c r="C352" t="s">
        <v>35</v>
      </c>
      <c r="D352">
        <v>1</v>
      </c>
      <c r="E352" t="s">
        <v>65</v>
      </c>
    </row>
    <row r="353" spans="1:5" x14ac:dyDescent="0.35">
      <c r="A353" t="s">
        <v>74</v>
      </c>
      <c r="B353" t="s">
        <v>74</v>
      </c>
      <c r="C353" t="s">
        <v>35</v>
      </c>
      <c r="D353">
        <v>1</v>
      </c>
      <c r="E353" t="s">
        <v>76</v>
      </c>
    </row>
    <row r="354" spans="1:5" x14ac:dyDescent="0.35">
      <c r="A354" t="s">
        <v>74</v>
      </c>
      <c r="B354" t="s">
        <v>74</v>
      </c>
      <c r="C354" t="s">
        <v>7</v>
      </c>
      <c r="D354">
        <v>18</v>
      </c>
      <c r="E354" t="s">
        <v>75</v>
      </c>
    </row>
    <row r="355" spans="1:5" x14ac:dyDescent="0.35">
      <c r="A355" t="s">
        <v>74</v>
      </c>
      <c r="B355" t="s">
        <v>74</v>
      </c>
      <c r="C355" t="s">
        <v>7</v>
      </c>
      <c r="D355">
        <v>54</v>
      </c>
      <c r="E355" t="s">
        <v>65</v>
      </c>
    </row>
    <row r="356" spans="1:5" x14ac:dyDescent="0.35">
      <c r="A356" t="s">
        <v>74</v>
      </c>
      <c r="B356" t="s">
        <v>74</v>
      </c>
      <c r="C356" t="s">
        <v>7</v>
      </c>
      <c r="D356">
        <v>45</v>
      </c>
      <c r="E356" t="s">
        <v>65</v>
      </c>
    </row>
    <row r="357" spans="1:5" x14ac:dyDescent="0.35">
      <c r="A357" t="s">
        <v>74</v>
      </c>
      <c r="B357" t="s">
        <v>74</v>
      </c>
      <c r="C357" t="s">
        <v>7</v>
      </c>
      <c r="D357">
        <v>33</v>
      </c>
      <c r="E357" t="s">
        <v>76</v>
      </c>
    </row>
    <row r="358" spans="1:5" x14ac:dyDescent="0.35">
      <c r="A358" t="s">
        <v>74</v>
      </c>
      <c r="B358" t="s">
        <v>74</v>
      </c>
      <c r="C358" t="s">
        <v>9</v>
      </c>
      <c r="D358">
        <v>22872</v>
      </c>
      <c r="E358" t="s">
        <v>77</v>
      </c>
    </row>
    <row r="359" spans="1:5" x14ac:dyDescent="0.35">
      <c r="A359" t="s">
        <v>74</v>
      </c>
      <c r="B359" t="s">
        <v>74</v>
      </c>
      <c r="C359" t="s">
        <v>9</v>
      </c>
      <c r="D359">
        <v>55447</v>
      </c>
      <c r="E359" t="s">
        <v>77</v>
      </c>
    </row>
    <row r="360" spans="1:5" x14ac:dyDescent="0.35">
      <c r="A360" t="s">
        <v>74</v>
      </c>
      <c r="B360" t="s">
        <v>74</v>
      </c>
      <c r="C360" t="s">
        <v>9</v>
      </c>
      <c r="D360">
        <v>21089</v>
      </c>
      <c r="E360" t="s">
        <v>77</v>
      </c>
    </row>
    <row r="361" spans="1:5" x14ac:dyDescent="0.35">
      <c r="A361" t="s">
        <v>74</v>
      </c>
      <c r="B361" t="s">
        <v>74</v>
      </c>
      <c r="C361" t="s">
        <v>9</v>
      </c>
      <c r="D361">
        <v>51125</v>
      </c>
      <c r="E361" t="s">
        <v>77</v>
      </c>
    </row>
    <row r="362" spans="1:5" x14ac:dyDescent="0.35">
      <c r="A362" t="s">
        <v>74</v>
      </c>
      <c r="B362" t="s">
        <v>74</v>
      </c>
      <c r="C362" t="s">
        <v>9</v>
      </c>
      <c r="D362">
        <v>30133</v>
      </c>
      <c r="E362" t="s">
        <v>75</v>
      </c>
    </row>
    <row r="363" spans="1:5" x14ac:dyDescent="0.35">
      <c r="A363" t="s">
        <v>74</v>
      </c>
      <c r="B363" t="s">
        <v>74</v>
      </c>
      <c r="C363" t="s">
        <v>9</v>
      </c>
      <c r="D363">
        <v>19600</v>
      </c>
      <c r="E363" t="s">
        <v>65</v>
      </c>
    </row>
    <row r="364" spans="1:5" x14ac:dyDescent="0.35">
      <c r="A364" t="s">
        <v>74</v>
      </c>
      <c r="B364" t="s">
        <v>74</v>
      </c>
      <c r="C364" t="s">
        <v>9</v>
      </c>
      <c r="D364">
        <v>30400</v>
      </c>
      <c r="E364" t="s">
        <v>65</v>
      </c>
    </row>
    <row r="365" spans="1:5" x14ac:dyDescent="0.35">
      <c r="A365" t="s">
        <v>74</v>
      </c>
      <c r="B365" t="s">
        <v>74</v>
      </c>
      <c r="C365" t="s">
        <v>9</v>
      </c>
      <c r="D365">
        <v>39590</v>
      </c>
      <c r="E365" t="s">
        <v>78</v>
      </c>
    </row>
    <row r="366" spans="1:5" x14ac:dyDescent="0.35">
      <c r="A366" t="s">
        <v>74</v>
      </c>
      <c r="B366" t="s">
        <v>74</v>
      </c>
      <c r="C366" t="s">
        <v>9</v>
      </c>
      <c r="D366">
        <v>61420</v>
      </c>
      <c r="E366" t="s">
        <v>78</v>
      </c>
    </row>
    <row r="367" spans="1:5" x14ac:dyDescent="0.35">
      <c r="A367" t="s">
        <v>74</v>
      </c>
      <c r="B367" t="s">
        <v>74</v>
      </c>
      <c r="C367" t="s">
        <v>11</v>
      </c>
      <c r="D367">
        <v>1345</v>
      </c>
      <c r="E367" t="s">
        <v>20</v>
      </c>
    </row>
    <row r="368" spans="1:5" x14ac:dyDescent="0.35">
      <c r="A368" t="s">
        <v>74</v>
      </c>
      <c r="B368" t="s">
        <v>74</v>
      </c>
      <c r="C368" t="s">
        <v>11</v>
      </c>
      <c r="D368">
        <v>726</v>
      </c>
      <c r="E368" t="s">
        <v>75</v>
      </c>
    </row>
    <row r="369" spans="1:5" x14ac:dyDescent="0.35">
      <c r="A369" t="s">
        <v>74</v>
      </c>
      <c r="B369" t="s">
        <v>74</v>
      </c>
      <c r="C369" t="s">
        <v>11</v>
      </c>
      <c r="D369">
        <v>907</v>
      </c>
      <c r="E369" t="s">
        <v>65</v>
      </c>
    </row>
    <row r="370" spans="1:5" x14ac:dyDescent="0.35">
      <c r="A370" t="s">
        <v>74</v>
      </c>
      <c r="B370" t="s">
        <v>74</v>
      </c>
      <c r="C370" t="s">
        <v>11</v>
      </c>
      <c r="D370">
        <v>2000</v>
      </c>
      <c r="E370" t="s">
        <v>65</v>
      </c>
    </row>
    <row r="371" spans="1:5" x14ac:dyDescent="0.35">
      <c r="A371" t="s">
        <v>74</v>
      </c>
      <c r="B371" t="s">
        <v>74</v>
      </c>
      <c r="C371" t="s">
        <v>11</v>
      </c>
      <c r="D371">
        <v>1481</v>
      </c>
      <c r="E371" t="s">
        <v>76</v>
      </c>
    </row>
    <row r="372" spans="1:5" x14ac:dyDescent="0.35">
      <c r="A372" t="s">
        <v>74</v>
      </c>
      <c r="B372" t="s">
        <v>74</v>
      </c>
      <c r="C372" t="s">
        <v>60</v>
      </c>
      <c r="D372">
        <v>467</v>
      </c>
      <c r="E372" t="s">
        <v>75</v>
      </c>
    </row>
    <row r="373" spans="1:5" x14ac:dyDescent="0.35">
      <c r="A373" t="s">
        <v>74</v>
      </c>
      <c r="B373" t="s">
        <v>74</v>
      </c>
      <c r="C373" t="s">
        <v>60</v>
      </c>
      <c r="D373">
        <v>209</v>
      </c>
      <c r="E373" t="s">
        <v>65</v>
      </c>
    </row>
    <row r="374" spans="1:5" x14ac:dyDescent="0.35">
      <c r="A374" t="s">
        <v>74</v>
      </c>
      <c r="B374" t="s">
        <v>74</v>
      </c>
      <c r="C374" t="s">
        <v>60</v>
      </c>
      <c r="D374">
        <v>400</v>
      </c>
      <c r="E374" t="s">
        <v>65</v>
      </c>
    </row>
    <row r="375" spans="1:5" x14ac:dyDescent="0.35">
      <c r="A375" t="s">
        <v>74</v>
      </c>
      <c r="B375" t="s">
        <v>74</v>
      </c>
      <c r="C375" t="s">
        <v>60</v>
      </c>
      <c r="D375">
        <v>296</v>
      </c>
      <c r="E375" t="s">
        <v>76</v>
      </c>
    </row>
    <row r="376" spans="1:5" x14ac:dyDescent="0.35">
      <c r="A376" t="s">
        <v>74</v>
      </c>
      <c r="B376" t="s">
        <v>74</v>
      </c>
      <c r="C376" t="s">
        <v>19</v>
      </c>
      <c r="D376">
        <v>300</v>
      </c>
      <c r="E376" t="s">
        <v>20</v>
      </c>
    </row>
    <row r="377" spans="1:5" x14ac:dyDescent="0.35">
      <c r="A377" t="s">
        <v>74</v>
      </c>
      <c r="B377" t="s">
        <v>74</v>
      </c>
      <c r="C377" t="s">
        <v>19</v>
      </c>
      <c r="D377">
        <v>484</v>
      </c>
      <c r="E377" t="s">
        <v>75</v>
      </c>
    </row>
    <row r="378" spans="1:5" x14ac:dyDescent="0.35">
      <c r="A378" t="s">
        <v>74</v>
      </c>
      <c r="B378" t="s">
        <v>74</v>
      </c>
      <c r="C378" t="s">
        <v>19</v>
      </c>
      <c r="D378">
        <v>49</v>
      </c>
      <c r="E378" t="s">
        <v>65</v>
      </c>
    </row>
    <row r="379" spans="1:5" x14ac:dyDescent="0.35">
      <c r="A379" t="s">
        <v>74</v>
      </c>
      <c r="B379" t="s">
        <v>74</v>
      </c>
      <c r="C379" t="s">
        <v>19</v>
      </c>
      <c r="D379">
        <v>100</v>
      </c>
      <c r="E379" t="s">
        <v>65</v>
      </c>
    </row>
    <row r="380" spans="1:5" x14ac:dyDescent="0.35">
      <c r="A380" t="s">
        <v>74</v>
      </c>
      <c r="B380" t="s">
        <v>74</v>
      </c>
      <c r="C380" t="s">
        <v>19</v>
      </c>
      <c r="D380">
        <v>74</v>
      </c>
      <c r="E380" t="s">
        <v>76</v>
      </c>
    </row>
    <row r="381" spans="1:5" x14ac:dyDescent="0.35">
      <c r="A381" t="s">
        <v>74</v>
      </c>
      <c r="B381" t="s">
        <v>74</v>
      </c>
      <c r="C381" t="s">
        <v>21</v>
      </c>
      <c r="D381">
        <v>44821</v>
      </c>
      <c r="E381" t="s">
        <v>77</v>
      </c>
    </row>
    <row r="382" spans="1:5" x14ac:dyDescent="0.35">
      <c r="A382" t="s">
        <v>74</v>
      </c>
      <c r="B382" t="s">
        <v>74</v>
      </c>
      <c r="C382" t="s">
        <v>21</v>
      </c>
      <c r="D382">
        <v>43206</v>
      </c>
      <c r="E382" t="s">
        <v>77</v>
      </c>
    </row>
    <row r="383" spans="1:5" x14ac:dyDescent="0.35">
      <c r="A383" t="s">
        <v>74</v>
      </c>
      <c r="B383" t="s">
        <v>74</v>
      </c>
      <c r="C383" t="s">
        <v>21</v>
      </c>
      <c r="D383">
        <v>36068</v>
      </c>
      <c r="E383" t="s">
        <v>75</v>
      </c>
    </row>
    <row r="384" spans="1:5" x14ac:dyDescent="0.35">
      <c r="A384" t="s">
        <v>74</v>
      </c>
      <c r="B384" t="s">
        <v>74</v>
      </c>
      <c r="C384" t="s">
        <v>21</v>
      </c>
      <c r="D384">
        <v>10000</v>
      </c>
      <c r="E384" t="s">
        <v>65</v>
      </c>
    </row>
    <row r="385" spans="1:5" x14ac:dyDescent="0.35">
      <c r="A385" t="s">
        <v>74</v>
      </c>
      <c r="B385" t="s">
        <v>74</v>
      </c>
      <c r="C385" t="s">
        <v>21</v>
      </c>
      <c r="D385">
        <v>7407</v>
      </c>
      <c r="E385" t="s">
        <v>76</v>
      </c>
    </row>
    <row r="386" spans="1:5" x14ac:dyDescent="0.35">
      <c r="A386" t="s">
        <v>74</v>
      </c>
      <c r="B386" t="s">
        <v>74</v>
      </c>
      <c r="C386" t="s">
        <v>21</v>
      </c>
      <c r="D386">
        <v>50400</v>
      </c>
      <c r="E386" t="s">
        <v>78</v>
      </c>
    </row>
    <row r="387" spans="1:5" x14ac:dyDescent="0.35">
      <c r="A387" t="s">
        <v>79</v>
      </c>
      <c r="B387" t="s">
        <v>79</v>
      </c>
      <c r="C387" t="s">
        <v>7</v>
      </c>
      <c r="D387">
        <v>52</v>
      </c>
      <c r="E387" t="s">
        <v>80</v>
      </c>
    </row>
    <row r="388" spans="1:5" x14ac:dyDescent="0.35">
      <c r="A388" t="s">
        <v>79</v>
      </c>
      <c r="B388" t="s">
        <v>79</v>
      </c>
      <c r="C388" t="s">
        <v>9</v>
      </c>
      <c r="D388">
        <v>1086216</v>
      </c>
      <c r="E388" t="s">
        <v>81</v>
      </c>
    </row>
    <row r="389" spans="1:5" x14ac:dyDescent="0.35">
      <c r="A389" t="s">
        <v>79</v>
      </c>
      <c r="B389" t="s">
        <v>79</v>
      </c>
      <c r="C389" t="s">
        <v>9</v>
      </c>
      <c r="D389">
        <v>594619</v>
      </c>
      <c r="E389" t="s">
        <v>81</v>
      </c>
    </row>
    <row r="390" spans="1:5" x14ac:dyDescent="0.35">
      <c r="A390" t="s">
        <v>79</v>
      </c>
      <c r="B390" t="s">
        <v>79</v>
      </c>
      <c r="C390" t="s">
        <v>9</v>
      </c>
      <c r="D390">
        <v>922560</v>
      </c>
      <c r="E390" t="s">
        <v>81</v>
      </c>
    </row>
    <row r="391" spans="1:5" x14ac:dyDescent="0.35">
      <c r="A391" t="s">
        <v>79</v>
      </c>
      <c r="B391" t="s">
        <v>79</v>
      </c>
      <c r="C391" t="s">
        <v>9</v>
      </c>
      <c r="D391">
        <v>1685280</v>
      </c>
      <c r="E391" t="s">
        <v>81</v>
      </c>
    </row>
    <row r="392" spans="1:5" x14ac:dyDescent="0.35">
      <c r="A392" t="s">
        <v>79</v>
      </c>
      <c r="B392" t="s">
        <v>79</v>
      </c>
      <c r="C392" t="s">
        <v>9</v>
      </c>
      <c r="D392">
        <v>1223040</v>
      </c>
      <c r="E392" t="s">
        <v>80</v>
      </c>
    </row>
    <row r="393" spans="1:5" x14ac:dyDescent="0.35">
      <c r="A393" t="s">
        <v>79</v>
      </c>
      <c r="B393" t="s">
        <v>79</v>
      </c>
      <c r="C393" t="s">
        <v>9</v>
      </c>
      <c r="D393">
        <v>788288</v>
      </c>
      <c r="E393" t="s">
        <v>80</v>
      </c>
    </row>
    <row r="394" spans="1:5" x14ac:dyDescent="0.35">
      <c r="A394" t="s">
        <v>79</v>
      </c>
      <c r="B394" t="s">
        <v>79</v>
      </c>
      <c r="C394" t="s">
        <v>9</v>
      </c>
      <c r="D394">
        <v>1068800</v>
      </c>
      <c r="E394" t="s">
        <v>82</v>
      </c>
    </row>
    <row r="395" spans="1:5" x14ac:dyDescent="0.35">
      <c r="A395" t="s">
        <v>79</v>
      </c>
      <c r="B395" t="s">
        <v>79</v>
      </c>
      <c r="C395" t="s">
        <v>9</v>
      </c>
      <c r="D395">
        <v>688875</v>
      </c>
      <c r="E395" t="s">
        <v>82</v>
      </c>
    </row>
    <row r="396" spans="1:5" x14ac:dyDescent="0.35">
      <c r="A396" t="s">
        <v>79</v>
      </c>
      <c r="B396" t="s">
        <v>79</v>
      </c>
      <c r="C396" t="s">
        <v>11</v>
      </c>
      <c r="D396">
        <v>2970</v>
      </c>
      <c r="E396" t="s">
        <v>81</v>
      </c>
    </row>
    <row r="397" spans="1:5" x14ac:dyDescent="0.35">
      <c r="A397" t="s">
        <v>79</v>
      </c>
      <c r="B397" t="s">
        <v>79</v>
      </c>
      <c r="C397" t="s">
        <v>11</v>
      </c>
      <c r="D397">
        <v>1502</v>
      </c>
      <c r="E397" t="s">
        <v>82</v>
      </c>
    </row>
    <row r="398" spans="1:5" x14ac:dyDescent="0.35">
      <c r="A398" t="s">
        <v>79</v>
      </c>
      <c r="B398" t="s">
        <v>79</v>
      </c>
      <c r="C398" t="s">
        <v>11</v>
      </c>
      <c r="D398">
        <v>1050</v>
      </c>
      <c r="E398" t="s">
        <v>20</v>
      </c>
    </row>
    <row r="399" spans="1:5" x14ac:dyDescent="0.35">
      <c r="A399" t="s">
        <v>79</v>
      </c>
      <c r="B399" t="s">
        <v>79</v>
      </c>
      <c r="C399" t="s">
        <v>11</v>
      </c>
      <c r="D399">
        <v>2970</v>
      </c>
      <c r="E399" t="s">
        <v>81</v>
      </c>
    </row>
    <row r="400" spans="1:5" x14ac:dyDescent="0.35">
      <c r="A400" t="s">
        <v>79</v>
      </c>
      <c r="B400" t="s">
        <v>79</v>
      </c>
      <c r="C400" t="s">
        <v>21</v>
      </c>
      <c r="D400">
        <v>78000</v>
      </c>
      <c r="E400" t="s">
        <v>81</v>
      </c>
    </row>
    <row r="401" spans="1:5" x14ac:dyDescent="0.35">
      <c r="A401" t="s">
        <v>79</v>
      </c>
      <c r="B401" t="s">
        <v>79</v>
      </c>
      <c r="C401" t="s">
        <v>21</v>
      </c>
      <c r="D401">
        <v>24800</v>
      </c>
      <c r="E401" t="s">
        <v>80</v>
      </c>
    </row>
    <row r="402" spans="1:5" x14ac:dyDescent="0.35">
      <c r="A402" t="s">
        <v>79</v>
      </c>
      <c r="B402" t="s">
        <v>79</v>
      </c>
      <c r="C402" t="s">
        <v>21</v>
      </c>
      <c r="D402">
        <v>54500</v>
      </c>
      <c r="E402" t="s">
        <v>82</v>
      </c>
    </row>
    <row r="403" spans="1:5" x14ac:dyDescent="0.35">
      <c r="A403" t="s">
        <v>79</v>
      </c>
      <c r="B403" t="s">
        <v>79</v>
      </c>
      <c r="C403" t="s">
        <v>21</v>
      </c>
      <c r="D403">
        <v>177000</v>
      </c>
      <c r="E403" t="s">
        <v>81</v>
      </c>
    </row>
    <row r="404" spans="1:5" x14ac:dyDescent="0.35">
      <c r="A404" t="s">
        <v>83</v>
      </c>
      <c r="B404" s="1" t="s">
        <v>83</v>
      </c>
      <c r="C404" t="s">
        <v>7</v>
      </c>
      <c r="D404">
        <v>2386</v>
      </c>
      <c r="E404" t="s">
        <v>84</v>
      </c>
    </row>
    <row r="405" spans="1:5" x14ac:dyDescent="0.35">
      <c r="A405" t="s">
        <v>83</v>
      </c>
      <c r="B405" s="1" t="s">
        <v>83</v>
      </c>
      <c r="C405" t="s">
        <v>7</v>
      </c>
      <c r="D405">
        <v>1600</v>
      </c>
      <c r="E405" t="s">
        <v>68</v>
      </c>
    </row>
    <row r="406" spans="1:5" x14ac:dyDescent="0.35">
      <c r="A406" t="s">
        <v>83</v>
      </c>
      <c r="B406" s="1" t="s">
        <v>83</v>
      </c>
      <c r="C406" t="s">
        <v>7</v>
      </c>
      <c r="D406">
        <v>45200</v>
      </c>
      <c r="E406" t="s">
        <v>68</v>
      </c>
    </row>
    <row r="407" spans="1:5" x14ac:dyDescent="0.35">
      <c r="A407" t="s">
        <v>83</v>
      </c>
      <c r="B407" s="1" t="s">
        <v>83</v>
      </c>
      <c r="C407" t="s">
        <v>7</v>
      </c>
      <c r="D407">
        <v>42600</v>
      </c>
      <c r="E407" t="s">
        <v>68</v>
      </c>
    </row>
    <row r="408" spans="1:5" x14ac:dyDescent="0.35">
      <c r="A408" t="s">
        <v>83</v>
      </c>
      <c r="B408" s="1" t="s">
        <v>83</v>
      </c>
      <c r="C408" t="s">
        <v>7</v>
      </c>
      <c r="D408">
        <v>10198</v>
      </c>
      <c r="E408" t="s">
        <v>85</v>
      </c>
    </row>
    <row r="409" spans="1:5" x14ac:dyDescent="0.35">
      <c r="A409" t="s">
        <v>83</v>
      </c>
      <c r="B409" s="1" t="s">
        <v>83</v>
      </c>
      <c r="C409" t="s">
        <v>7</v>
      </c>
      <c r="D409">
        <v>1448</v>
      </c>
      <c r="E409" t="s">
        <v>86</v>
      </c>
    </row>
    <row r="410" spans="1:5" x14ac:dyDescent="0.35">
      <c r="A410" t="s">
        <v>83</v>
      </c>
      <c r="B410" s="1" t="s">
        <v>83</v>
      </c>
      <c r="C410" t="s">
        <v>7</v>
      </c>
      <c r="D410">
        <v>9729</v>
      </c>
      <c r="E410" t="s">
        <v>87</v>
      </c>
    </row>
    <row r="411" spans="1:5" x14ac:dyDescent="0.35">
      <c r="A411" t="s">
        <v>83</v>
      </c>
      <c r="B411" s="1" t="s">
        <v>83</v>
      </c>
      <c r="C411" t="s">
        <v>9</v>
      </c>
      <c r="D411">
        <v>232000</v>
      </c>
      <c r="E411" t="s">
        <v>68</v>
      </c>
    </row>
    <row r="412" spans="1:5" x14ac:dyDescent="0.35">
      <c r="A412" t="s">
        <v>83</v>
      </c>
      <c r="B412" s="1" t="s">
        <v>83</v>
      </c>
      <c r="C412" t="s">
        <v>9</v>
      </c>
      <c r="D412">
        <v>76061</v>
      </c>
      <c r="E412" t="s">
        <v>84</v>
      </c>
    </row>
    <row r="413" spans="1:5" x14ac:dyDescent="0.35">
      <c r="A413" t="s">
        <v>83</v>
      </c>
      <c r="B413" s="1" t="s">
        <v>83</v>
      </c>
      <c r="C413" t="s">
        <v>9</v>
      </c>
      <c r="D413">
        <v>87400</v>
      </c>
      <c r="E413" t="s">
        <v>68</v>
      </c>
    </row>
    <row r="414" spans="1:5" x14ac:dyDescent="0.35">
      <c r="A414" t="s">
        <v>83</v>
      </c>
      <c r="B414" s="1" t="s">
        <v>83</v>
      </c>
      <c r="C414" t="s">
        <v>9</v>
      </c>
      <c r="D414">
        <v>988000</v>
      </c>
      <c r="E414" t="s">
        <v>68</v>
      </c>
    </row>
    <row r="415" spans="1:5" x14ac:dyDescent="0.35">
      <c r="A415" t="s">
        <v>83</v>
      </c>
      <c r="B415" s="1" t="s">
        <v>83</v>
      </c>
      <c r="C415" t="s">
        <v>9</v>
      </c>
      <c r="D415">
        <v>987000</v>
      </c>
      <c r="E415" t="s">
        <v>68</v>
      </c>
    </row>
    <row r="416" spans="1:5" x14ac:dyDescent="0.35">
      <c r="A416" t="s">
        <v>83</v>
      </c>
      <c r="B416" s="1" t="s">
        <v>83</v>
      </c>
      <c r="C416" t="s">
        <v>9</v>
      </c>
      <c r="D416">
        <v>311984</v>
      </c>
      <c r="E416" t="s">
        <v>85</v>
      </c>
    </row>
    <row r="417" spans="1:5" x14ac:dyDescent="0.35">
      <c r="A417" t="s">
        <v>83</v>
      </c>
      <c r="B417" s="1" t="s">
        <v>83</v>
      </c>
      <c r="C417" t="s">
        <v>9</v>
      </c>
      <c r="D417">
        <v>271666</v>
      </c>
      <c r="E417" t="s">
        <v>86</v>
      </c>
    </row>
    <row r="418" spans="1:5" x14ac:dyDescent="0.35">
      <c r="A418" t="s">
        <v>83</v>
      </c>
      <c r="B418" s="1" t="s">
        <v>83</v>
      </c>
      <c r="C418" t="s">
        <v>9</v>
      </c>
      <c r="D418">
        <v>196486</v>
      </c>
      <c r="E418" t="s">
        <v>87</v>
      </c>
    </row>
    <row r="419" spans="1:5" x14ac:dyDescent="0.35">
      <c r="A419" t="s">
        <v>83</v>
      </c>
      <c r="B419" s="1" t="s">
        <v>83</v>
      </c>
      <c r="C419" t="s">
        <v>11</v>
      </c>
      <c r="D419">
        <v>597</v>
      </c>
      <c r="E419" t="s">
        <v>84</v>
      </c>
    </row>
    <row r="420" spans="1:5" x14ac:dyDescent="0.35">
      <c r="A420" t="s">
        <v>83</v>
      </c>
      <c r="B420" s="1" t="s">
        <v>83</v>
      </c>
      <c r="C420" t="s">
        <v>11</v>
      </c>
      <c r="D420">
        <v>18885</v>
      </c>
      <c r="E420" t="s">
        <v>85</v>
      </c>
    </row>
    <row r="421" spans="1:5" x14ac:dyDescent="0.35">
      <c r="A421" t="s">
        <v>83</v>
      </c>
      <c r="B421" s="1" t="s">
        <v>83</v>
      </c>
      <c r="C421" t="s">
        <v>11</v>
      </c>
      <c r="D421">
        <v>2518</v>
      </c>
      <c r="E421" t="s">
        <v>86</v>
      </c>
    </row>
    <row r="422" spans="1:5" x14ac:dyDescent="0.35">
      <c r="A422" t="s">
        <v>83</v>
      </c>
      <c r="B422" s="1" t="s">
        <v>83</v>
      </c>
      <c r="C422" t="s">
        <v>21</v>
      </c>
      <c r="D422">
        <v>295000</v>
      </c>
      <c r="E422" t="s">
        <v>68</v>
      </c>
    </row>
    <row r="423" spans="1:5" x14ac:dyDescent="0.35">
      <c r="A423" t="s">
        <v>83</v>
      </c>
      <c r="B423" s="1" t="s">
        <v>83</v>
      </c>
      <c r="C423" t="s">
        <v>21</v>
      </c>
      <c r="D423">
        <v>140347</v>
      </c>
      <c r="E423" t="s">
        <v>84</v>
      </c>
    </row>
    <row r="424" spans="1:5" x14ac:dyDescent="0.35">
      <c r="A424" t="s">
        <v>83</v>
      </c>
      <c r="B424" s="1" t="s">
        <v>83</v>
      </c>
      <c r="C424" t="s">
        <v>21</v>
      </c>
      <c r="D424">
        <v>356000</v>
      </c>
      <c r="E424" t="s">
        <v>68</v>
      </c>
    </row>
    <row r="425" spans="1:5" x14ac:dyDescent="0.35">
      <c r="A425" t="s">
        <v>83</v>
      </c>
      <c r="B425" s="1" t="s">
        <v>83</v>
      </c>
      <c r="C425" t="s">
        <v>21</v>
      </c>
      <c r="D425">
        <v>1206000</v>
      </c>
      <c r="E425" t="s">
        <v>68</v>
      </c>
    </row>
    <row r="426" spans="1:5" x14ac:dyDescent="0.35">
      <c r="A426" t="s">
        <v>83</v>
      </c>
      <c r="B426" s="1" t="s">
        <v>83</v>
      </c>
      <c r="C426" t="s">
        <v>21</v>
      </c>
      <c r="D426">
        <v>1175000</v>
      </c>
      <c r="E426" t="s">
        <v>68</v>
      </c>
    </row>
    <row r="427" spans="1:5" x14ac:dyDescent="0.35">
      <c r="A427" t="s">
        <v>83</v>
      </c>
      <c r="B427" s="1" t="s">
        <v>83</v>
      </c>
      <c r="C427" t="s">
        <v>21</v>
      </c>
      <c r="D427">
        <v>124933</v>
      </c>
      <c r="E427" t="s">
        <v>85</v>
      </c>
    </row>
    <row r="428" spans="1:5" x14ac:dyDescent="0.35">
      <c r="A428" t="s">
        <v>83</v>
      </c>
      <c r="B428" s="1" t="s">
        <v>83</v>
      </c>
      <c r="C428" t="s">
        <v>21</v>
      </c>
      <c r="D428">
        <v>147420</v>
      </c>
      <c r="E428" t="s">
        <v>86</v>
      </c>
    </row>
    <row r="429" spans="1:5" x14ac:dyDescent="0.35">
      <c r="A429" t="s">
        <v>83</v>
      </c>
      <c r="B429" s="1" t="s">
        <v>83</v>
      </c>
      <c r="C429" t="s">
        <v>21</v>
      </c>
      <c r="D429">
        <v>912972</v>
      </c>
      <c r="E429" t="s">
        <v>87</v>
      </c>
    </row>
    <row r="430" spans="1:5" x14ac:dyDescent="0.35">
      <c r="A430" s="2" t="s">
        <v>26</v>
      </c>
      <c r="C430" s="2" t="s">
        <v>18</v>
      </c>
      <c r="D430" s="2">
        <v>186</v>
      </c>
      <c r="E430" s="2" t="s">
        <v>15</v>
      </c>
    </row>
    <row r="431" spans="1:5" x14ac:dyDescent="0.35">
      <c r="A431" s="2" t="s">
        <v>26</v>
      </c>
      <c r="B431" s="2"/>
      <c r="C431" s="2" t="s">
        <v>14</v>
      </c>
      <c r="D431" s="2">
        <v>12</v>
      </c>
      <c r="E431" s="2" t="s">
        <v>15</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5FF24-84C0-430E-86EF-ECC731147BB6}">
  <dimension ref="A1:N42"/>
  <sheetViews>
    <sheetView topLeftCell="A24" zoomScale="70" zoomScaleNormal="70" workbookViewId="0">
      <selection activeCell="E49" sqref="E49"/>
    </sheetView>
  </sheetViews>
  <sheetFormatPr defaultRowHeight="14.5" x14ac:dyDescent="0.35"/>
  <sheetData>
    <row r="1" spans="1:12" ht="18.5" thickBot="1" x14ac:dyDescent="0.4">
      <c r="A1" s="41" t="s">
        <v>297</v>
      </c>
      <c r="B1" s="7" t="s">
        <v>112</v>
      </c>
      <c r="C1" s="7" t="s">
        <v>113</v>
      </c>
      <c r="D1" s="7" t="s">
        <v>289</v>
      </c>
      <c r="E1" s="7" t="s">
        <v>298</v>
      </c>
      <c r="F1" s="7" t="s">
        <v>120</v>
      </c>
      <c r="G1" s="7" t="s">
        <v>299</v>
      </c>
      <c r="H1" s="7" t="s">
        <v>287</v>
      </c>
      <c r="I1" s="7" t="s">
        <v>116</v>
      </c>
      <c r="J1" s="7" t="s">
        <v>300</v>
      </c>
    </row>
    <row r="2" spans="1:12" ht="18" x14ac:dyDescent="0.35">
      <c r="A2" s="42" t="s">
        <v>313</v>
      </c>
      <c r="B2" s="43"/>
      <c r="C2" s="43">
        <v>0.19835</v>
      </c>
      <c r="D2" s="43">
        <v>5.1600000000000001E-5</v>
      </c>
      <c r="E2" s="43"/>
      <c r="F2" s="43"/>
      <c r="G2" s="43"/>
      <c r="H2" s="43">
        <v>3.8E-3</v>
      </c>
      <c r="I2" s="43"/>
      <c r="J2" s="43"/>
      <c r="L2" t="s">
        <v>317</v>
      </c>
    </row>
    <row r="3" spans="1:12" ht="27" x14ac:dyDescent="0.35">
      <c r="A3" s="42" t="s">
        <v>314</v>
      </c>
      <c r="B3" s="43"/>
      <c r="C3" s="43">
        <v>0.48104999999999998</v>
      </c>
      <c r="D3" s="43"/>
      <c r="E3" s="43"/>
      <c r="F3" s="43"/>
      <c r="G3" s="43"/>
      <c r="H3" s="43"/>
      <c r="I3" s="43"/>
      <c r="J3" s="43"/>
    </row>
    <row r="4" spans="1:12" ht="18" x14ac:dyDescent="0.35">
      <c r="A4" s="42" t="s">
        <v>315</v>
      </c>
      <c r="B4" s="43">
        <v>0.4</v>
      </c>
      <c r="C4" s="43">
        <v>0.4</v>
      </c>
      <c r="D4" s="43"/>
      <c r="E4" s="43"/>
      <c r="F4" s="43"/>
      <c r="G4" s="43">
        <v>0.2</v>
      </c>
      <c r="H4" s="43"/>
      <c r="I4" s="43">
        <v>0.6</v>
      </c>
      <c r="J4" s="43"/>
    </row>
    <row r="5" spans="1:12" ht="18.5" thickBot="1" x14ac:dyDescent="0.4">
      <c r="A5" s="7" t="s">
        <v>316</v>
      </c>
      <c r="B5" s="41"/>
      <c r="C5" s="41"/>
      <c r="D5" s="41"/>
      <c r="E5" s="41"/>
      <c r="F5" s="41"/>
      <c r="G5" s="41"/>
      <c r="H5" s="41"/>
      <c r="I5" s="41"/>
      <c r="J5" s="41">
        <v>1.4999999999999999E-4</v>
      </c>
    </row>
    <row r="9" spans="1:12" x14ac:dyDescent="0.35">
      <c r="A9" s="46" t="s">
        <v>359</v>
      </c>
    </row>
    <row r="11" spans="1:12" x14ac:dyDescent="0.35">
      <c r="A11" t="s">
        <v>360</v>
      </c>
    </row>
    <row r="12" spans="1:12" x14ac:dyDescent="0.35">
      <c r="A12" t="s">
        <v>361</v>
      </c>
      <c r="E12" t="s">
        <v>364</v>
      </c>
    </row>
    <row r="13" spans="1:12" x14ac:dyDescent="0.35">
      <c r="A13" t="s">
        <v>18</v>
      </c>
      <c r="B13">
        <v>0.25</v>
      </c>
      <c r="E13" t="s">
        <v>11</v>
      </c>
      <c r="F13">
        <v>11</v>
      </c>
    </row>
    <row r="14" spans="1:12" x14ac:dyDescent="0.35">
      <c r="A14" t="s">
        <v>18</v>
      </c>
      <c r="B14">
        <v>0.5</v>
      </c>
      <c r="E14" t="s">
        <v>11</v>
      </c>
      <c r="F14">
        <v>24</v>
      </c>
    </row>
    <row r="15" spans="1:12" x14ac:dyDescent="0.35">
      <c r="A15" t="s">
        <v>11</v>
      </c>
      <c r="B15">
        <v>3</v>
      </c>
    </row>
    <row r="16" spans="1:12" x14ac:dyDescent="0.35">
      <c r="A16" t="s">
        <v>11</v>
      </c>
      <c r="B16">
        <v>6</v>
      </c>
    </row>
    <row r="17" spans="1:14" x14ac:dyDescent="0.35">
      <c r="A17" t="s">
        <v>362</v>
      </c>
      <c r="B17">
        <v>0.9</v>
      </c>
    </row>
    <row r="18" spans="1:14" x14ac:dyDescent="0.35">
      <c r="A18" t="s">
        <v>362</v>
      </c>
      <c r="B18">
        <v>2</v>
      </c>
    </row>
    <row r="19" spans="1:14" x14ac:dyDescent="0.35">
      <c r="A19" t="s">
        <v>363</v>
      </c>
      <c r="B19">
        <v>0.01</v>
      </c>
    </row>
    <row r="20" spans="1:14" x14ac:dyDescent="0.35">
      <c r="A20" t="s">
        <v>363</v>
      </c>
      <c r="B20">
        <v>0.03</v>
      </c>
    </row>
    <row r="24" spans="1:14" ht="116.5" thickBot="1" x14ac:dyDescent="0.4">
      <c r="A24" s="51" t="s">
        <v>381</v>
      </c>
      <c r="I24" s="53" t="s">
        <v>388</v>
      </c>
      <c r="J24" s="53" t="s">
        <v>389</v>
      </c>
      <c r="K24" s="53" t="s">
        <v>390</v>
      </c>
      <c r="L24" s="53" t="s">
        <v>391</v>
      </c>
      <c r="M24" s="53" t="s">
        <v>392</v>
      </c>
      <c r="N24" s="53" t="s">
        <v>393</v>
      </c>
    </row>
    <row r="25" spans="1:14" ht="15" thickBot="1" x14ac:dyDescent="0.4">
      <c r="A25" s="50" t="s">
        <v>375</v>
      </c>
      <c r="B25" s="50" t="s">
        <v>376</v>
      </c>
      <c r="C25" s="50" t="s">
        <v>377</v>
      </c>
      <c r="D25" s="50" t="s">
        <v>378</v>
      </c>
      <c r="E25" s="50" t="s">
        <v>379</v>
      </c>
      <c r="F25" s="50" t="s">
        <v>380</v>
      </c>
      <c r="I25" s="49"/>
      <c r="J25" s="49"/>
      <c r="K25" s="49"/>
      <c r="L25" s="49"/>
      <c r="M25" s="49"/>
      <c r="N25" s="49"/>
    </row>
    <row r="26" spans="1:14" ht="19" x14ac:dyDescent="0.35">
      <c r="A26" s="47" t="s">
        <v>125</v>
      </c>
      <c r="B26" s="47">
        <v>1396.5</v>
      </c>
      <c r="C26" s="47">
        <v>756</v>
      </c>
      <c r="D26" s="47">
        <v>756</v>
      </c>
      <c r="E26" s="47">
        <v>759.1</v>
      </c>
      <c r="F26" s="47">
        <v>939</v>
      </c>
      <c r="I26" s="52" t="s">
        <v>382</v>
      </c>
      <c r="J26" s="52" t="s">
        <v>394</v>
      </c>
      <c r="K26" s="52">
        <v>0.31</v>
      </c>
      <c r="L26" s="52">
        <v>0.3</v>
      </c>
      <c r="M26" s="52">
        <v>0.31</v>
      </c>
      <c r="N26" s="52">
        <v>1</v>
      </c>
    </row>
    <row r="27" spans="1:14" x14ac:dyDescent="0.35">
      <c r="A27" s="47" t="s">
        <v>113</v>
      </c>
      <c r="B27" s="47">
        <v>807.2</v>
      </c>
      <c r="C27" s="47">
        <v>468</v>
      </c>
      <c r="D27" s="47">
        <v>468</v>
      </c>
      <c r="E27" s="47">
        <v>463</v>
      </c>
      <c r="F27" s="47">
        <v>543</v>
      </c>
      <c r="I27" s="52" t="s">
        <v>383</v>
      </c>
      <c r="J27" s="52">
        <v>0</v>
      </c>
      <c r="K27" s="52">
        <v>5</v>
      </c>
      <c r="L27" s="52">
        <v>5</v>
      </c>
      <c r="M27" s="52">
        <v>9.9</v>
      </c>
      <c r="N27" s="52">
        <v>20</v>
      </c>
    </row>
    <row r="28" spans="1:14" ht="19" x14ac:dyDescent="0.35">
      <c r="A28" s="47" t="s">
        <v>365</v>
      </c>
      <c r="B28" s="47">
        <v>0</v>
      </c>
      <c r="C28" s="47">
        <v>0</v>
      </c>
      <c r="D28" s="47">
        <v>0</v>
      </c>
      <c r="E28" s="47">
        <v>0</v>
      </c>
      <c r="F28" s="47">
        <v>486</v>
      </c>
      <c r="I28" s="52" t="s">
        <v>384</v>
      </c>
      <c r="J28" s="52">
        <v>0</v>
      </c>
      <c r="K28" s="52">
        <v>5</v>
      </c>
      <c r="L28" s="52">
        <v>5</v>
      </c>
      <c r="M28" s="52">
        <v>5</v>
      </c>
      <c r="N28" s="52">
        <v>11</v>
      </c>
    </row>
    <row r="29" spans="1:14" ht="19" x14ac:dyDescent="0.35">
      <c r="A29" s="47" t="s">
        <v>299</v>
      </c>
      <c r="B29" s="47">
        <v>96</v>
      </c>
      <c r="C29" s="47">
        <v>78</v>
      </c>
      <c r="D29" s="47">
        <v>66</v>
      </c>
      <c r="E29" s="47">
        <v>48</v>
      </c>
      <c r="F29" s="47">
        <v>61</v>
      </c>
      <c r="I29" s="52" t="s">
        <v>385</v>
      </c>
      <c r="J29" s="52">
        <v>18</v>
      </c>
      <c r="K29" s="52">
        <v>23</v>
      </c>
      <c r="L29" s="52">
        <v>23</v>
      </c>
      <c r="M29" s="52">
        <v>23</v>
      </c>
      <c r="N29" s="52">
        <v>40</v>
      </c>
    </row>
    <row r="30" spans="1:14" x14ac:dyDescent="0.35">
      <c r="A30" s="47" t="s">
        <v>131</v>
      </c>
      <c r="B30" s="47">
        <v>1422</v>
      </c>
      <c r="C30" s="47">
        <v>120</v>
      </c>
      <c r="D30" s="47">
        <v>60</v>
      </c>
      <c r="E30" s="47">
        <v>0</v>
      </c>
      <c r="F30" s="47">
        <v>0</v>
      </c>
      <c r="I30" s="52" t="s">
        <v>386</v>
      </c>
      <c r="J30" s="52">
        <v>5</v>
      </c>
      <c r="K30" s="52">
        <v>5</v>
      </c>
      <c r="L30" s="52">
        <v>5</v>
      </c>
      <c r="M30" s="52">
        <v>5</v>
      </c>
      <c r="N30" s="52">
        <v>5</v>
      </c>
    </row>
    <row r="31" spans="1:14" ht="28.5" x14ac:dyDescent="0.35">
      <c r="A31" s="47" t="s">
        <v>116</v>
      </c>
      <c r="B31" s="47">
        <v>0</v>
      </c>
      <c r="C31" s="47">
        <v>367</v>
      </c>
      <c r="D31" s="47">
        <v>451</v>
      </c>
      <c r="E31" s="47">
        <v>402</v>
      </c>
      <c r="F31" s="47">
        <v>0</v>
      </c>
      <c r="I31" s="52" t="s">
        <v>387</v>
      </c>
      <c r="J31" s="52">
        <v>23</v>
      </c>
      <c r="K31" s="52">
        <v>38.299999999999997</v>
      </c>
      <c r="L31" s="52">
        <v>38.299999999999997</v>
      </c>
      <c r="M31" s="52">
        <v>43.2</v>
      </c>
      <c r="N31" s="52">
        <v>77</v>
      </c>
    </row>
    <row r="32" spans="1:14" x14ac:dyDescent="0.35">
      <c r="A32" s="47" t="s">
        <v>112</v>
      </c>
      <c r="B32" s="47">
        <v>0</v>
      </c>
      <c r="C32" s="47">
        <v>120</v>
      </c>
      <c r="D32" s="47">
        <v>60</v>
      </c>
      <c r="E32" s="47">
        <v>63</v>
      </c>
      <c r="F32" s="47">
        <v>0</v>
      </c>
    </row>
    <row r="33" spans="1:14" x14ac:dyDescent="0.35">
      <c r="A33" s="47" t="s">
        <v>366</v>
      </c>
      <c r="B33" s="47">
        <v>0</v>
      </c>
      <c r="C33" s="47">
        <v>0</v>
      </c>
      <c r="D33" s="47">
        <v>0</v>
      </c>
      <c r="E33" s="47">
        <v>0</v>
      </c>
      <c r="F33" s="47">
        <v>270</v>
      </c>
    </row>
    <row r="34" spans="1:14" ht="114" x14ac:dyDescent="0.35">
      <c r="A34" s="47" t="s">
        <v>367</v>
      </c>
      <c r="B34" s="47">
        <v>865.8</v>
      </c>
      <c r="C34" s="47">
        <v>442</v>
      </c>
      <c r="D34" s="47">
        <v>442</v>
      </c>
      <c r="E34" s="47">
        <v>385</v>
      </c>
      <c r="F34" s="47">
        <v>524</v>
      </c>
      <c r="I34" s="54" t="s">
        <v>406</v>
      </c>
    </row>
    <row r="35" spans="1:14" ht="42.5" thickBot="1" x14ac:dyDescent="0.4">
      <c r="A35" s="47" t="s">
        <v>368</v>
      </c>
      <c r="B35" s="47">
        <v>1933.5</v>
      </c>
      <c r="C35" s="47">
        <v>915.8</v>
      </c>
      <c r="D35" s="47">
        <v>989.5</v>
      </c>
      <c r="E35" s="47">
        <v>1168.8</v>
      </c>
      <c r="F35" s="47">
        <v>1560.2</v>
      </c>
      <c r="I35" s="53" t="s">
        <v>2</v>
      </c>
      <c r="J35" s="53" t="s">
        <v>395</v>
      </c>
      <c r="K35" s="53" t="s">
        <v>396</v>
      </c>
      <c r="L35" s="53" t="s">
        <v>397</v>
      </c>
      <c r="M35" s="53" t="s">
        <v>398</v>
      </c>
      <c r="N35" s="49"/>
    </row>
    <row r="36" spans="1:14" x14ac:dyDescent="0.35">
      <c r="A36" s="48" t="s">
        <v>369</v>
      </c>
      <c r="B36" s="47">
        <v>829.03</v>
      </c>
      <c r="C36" s="47">
        <v>333.23</v>
      </c>
      <c r="D36" s="47">
        <v>307.58</v>
      </c>
      <c r="E36" s="47">
        <v>274.16000000000003</v>
      </c>
      <c r="F36" s="47">
        <v>556.96</v>
      </c>
      <c r="I36" s="203" t="s">
        <v>399</v>
      </c>
      <c r="J36" s="52" t="s">
        <v>113</v>
      </c>
      <c r="K36" s="52" t="s">
        <v>400</v>
      </c>
      <c r="L36" s="52" t="s">
        <v>401</v>
      </c>
      <c r="M36" s="52" t="s">
        <v>402</v>
      </c>
      <c r="N36" s="52">
        <v>120</v>
      </c>
    </row>
    <row r="37" spans="1:14" x14ac:dyDescent="0.35">
      <c r="A37" s="47" t="s">
        <v>370</v>
      </c>
      <c r="B37" s="47">
        <v>7350</v>
      </c>
      <c r="C37" s="47">
        <v>3600</v>
      </c>
      <c r="D37" s="47">
        <v>3600.1</v>
      </c>
      <c r="E37" s="47">
        <v>3563.1</v>
      </c>
      <c r="F37" s="47">
        <v>4940.1000000000004</v>
      </c>
      <c r="I37" s="204"/>
      <c r="J37" s="52" t="s">
        <v>365</v>
      </c>
      <c r="K37" s="52" t="s">
        <v>400</v>
      </c>
      <c r="L37" s="52">
        <v>0</v>
      </c>
      <c r="M37" s="52">
        <v>0</v>
      </c>
      <c r="N37" s="52">
        <v>180</v>
      </c>
    </row>
    <row r="38" spans="1:14" ht="29" x14ac:dyDescent="0.35">
      <c r="A38" s="47" t="s">
        <v>371</v>
      </c>
      <c r="B38" s="48" t="s">
        <v>372</v>
      </c>
      <c r="C38" s="48" t="s">
        <v>373</v>
      </c>
      <c r="D38" s="48" t="s">
        <v>373</v>
      </c>
      <c r="E38" s="48" t="s">
        <v>373</v>
      </c>
      <c r="F38" s="48" t="s">
        <v>374</v>
      </c>
      <c r="I38" s="204"/>
      <c r="J38" s="52" t="s">
        <v>9</v>
      </c>
      <c r="K38" s="52" t="s">
        <v>400</v>
      </c>
      <c r="L38" s="52">
        <v>0</v>
      </c>
      <c r="M38" s="52">
        <v>1200</v>
      </c>
      <c r="N38" s="52">
        <v>2400</v>
      </c>
    </row>
    <row r="39" spans="1:14" x14ac:dyDescent="0.35">
      <c r="I39" s="204"/>
      <c r="J39" s="52" t="s">
        <v>353</v>
      </c>
      <c r="K39" s="52" t="s">
        <v>400</v>
      </c>
      <c r="L39" s="52">
        <v>3.5</v>
      </c>
      <c r="M39" s="52">
        <v>2.14</v>
      </c>
      <c r="N39" s="52">
        <v>90</v>
      </c>
    </row>
    <row r="40" spans="1:14" x14ac:dyDescent="0.35">
      <c r="I40" s="204"/>
      <c r="J40" s="52" t="s">
        <v>350</v>
      </c>
      <c r="K40" s="52" t="s">
        <v>400</v>
      </c>
      <c r="L40" s="52">
        <v>7.5</v>
      </c>
      <c r="M40" s="52">
        <v>0</v>
      </c>
      <c r="N40" s="52">
        <v>0</v>
      </c>
    </row>
    <row r="41" spans="1:14" ht="19" x14ac:dyDescent="0.35">
      <c r="I41" s="204"/>
      <c r="J41" s="52" t="s">
        <v>403</v>
      </c>
      <c r="K41" s="52" t="s">
        <v>400</v>
      </c>
      <c r="L41" s="52">
        <v>0</v>
      </c>
      <c r="M41" s="52">
        <v>52.5</v>
      </c>
      <c r="N41" s="52">
        <v>380</v>
      </c>
    </row>
    <row r="42" spans="1:14" ht="29" customHeight="1" x14ac:dyDescent="0.35">
      <c r="I42" s="205" t="s">
        <v>404</v>
      </c>
      <c r="J42" s="205"/>
      <c r="K42" s="52" t="s">
        <v>405</v>
      </c>
      <c r="L42" s="52">
        <v>15</v>
      </c>
      <c r="M42" s="52">
        <v>10</v>
      </c>
      <c r="N42" s="52">
        <v>12</v>
      </c>
    </row>
  </sheetData>
  <mergeCells count="2">
    <mergeCell ref="I36:I41"/>
    <mergeCell ref="I42:J42"/>
  </mergeCells>
  <hyperlinks>
    <hyperlink ref="A9" r:id="rId1" xr:uid="{1A78FCEA-5A34-40A7-9595-C8D4CFCF6730}"/>
    <hyperlink ref="A36" r:id="rId2" location="tab4fna" display="https://pubs.rsc.org/en/content/articlehtml/2022/ee/d2ee00802e - tab4fna" xr:uid="{E60D3626-3AC5-4092-A835-F04E3A97EA43}"/>
    <hyperlink ref="B38" r:id="rId3" location="cit76" tooltip="Select to navigate to reference" display="https://pubs.rsc.org/en/content/articlehtml/2022/ee/d2ee00802e - cit76" xr:uid="{E61D9E93-9891-4878-AD73-6F89DCBA43AE}"/>
    <hyperlink ref="C38" r:id="rId4" location="cit75" tooltip="Select to navigate to reference" display="https://pubs.rsc.org/en/content/articlehtml/2022/ee/d2ee00802e - cit75" xr:uid="{4B1B1EEA-3BF5-4816-8328-081E087F5ACD}"/>
    <hyperlink ref="D38" r:id="rId5" location="cit75" tooltip=" A. E. Rodríguez, PROTAGONISMO DE LAS MATERIAS PRIMAS MINERALES EN EL DESARROLLO DEL VEHÍCULO ELÉCTRICO, https://dialnet.unirioja.es/servlet/articulo?codigo=6932916." display="https://pubs.rsc.org/en/content/articlehtml/2022/ee/d2ee00802e - cit75" xr:uid="{C586EC16-EA15-46BC-B2E9-92AD1A7754F8}"/>
    <hyperlink ref="E38" r:id="rId6" location="cit75" tooltip="Select to navigate to reference" display="https://pubs.rsc.org/en/content/articlehtml/2022/ee/d2ee00802e - cit75" xr:uid="{50296FC6-EC7F-49E0-A285-82B2029F1989}"/>
    <hyperlink ref="F38" r:id="rId7" location="cit75" tooltip=" A. E. Rodríguez, PROTAGONISMO DE LAS MATERIAS PRIMAS MINERALES EN EL DESARROLLO DEL VEHÍCULO ELÉCTRICO, https://dialnet.unirioja.es/servlet/articulo?codigo=6932916." display="https://pubs.rsc.org/en/content/articlehtml/2022/ee/d2ee00802e - cit75" xr:uid="{ECE0AEF6-3E52-4546-A251-F443F93BA578}"/>
    <hyperlink ref="I42" r:id="rId8" location="cit96" tooltip="Select to navigate to references" display="https://pubs.rsc.org/en/content/articlehtml/2022/ee/d2ee00802e - cit96" xr:uid="{1E709116-C15B-42A8-B833-DDFACF141C1D}"/>
  </hyperlinks>
  <pageMargins left="0.7" right="0.7" top="0.75" bottom="0.75" header="0.3" footer="0.3"/>
  <pageSetup orientation="portrait"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92A89-DD21-42AE-AB4C-E32E9B07EEEA}">
  <dimension ref="B2:CW54"/>
  <sheetViews>
    <sheetView workbookViewId="0">
      <selection activeCell="D13" sqref="D13"/>
    </sheetView>
  </sheetViews>
  <sheetFormatPr defaultRowHeight="14.5" x14ac:dyDescent="0.35"/>
  <cols>
    <col min="4" max="5" width="10.08984375" bestFit="1" customWidth="1"/>
  </cols>
  <sheetData>
    <row r="2" spans="2:101" x14ac:dyDescent="0.35">
      <c r="B2" s="46" t="s">
        <v>419</v>
      </c>
    </row>
    <row r="3" spans="2:101" ht="15" thickBot="1" x14ac:dyDescent="0.4">
      <c r="B3" s="55" t="s">
        <v>407</v>
      </c>
      <c r="C3" s="55" t="s">
        <v>408</v>
      </c>
      <c r="D3" s="55" t="s">
        <v>299</v>
      </c>
      <c r="E3" s="55" t="s">
        <v>116</v>
      </c>
      <c r="F3" s="55" t="s">
        <v>112</v>
      </c>
      <c r="G3" s="55" t="s">
        <v>131</v>
      </c>
      <c r="H3" s="55" t="s">
        <v>125</v>
      </c>
      <c r="I3" s="55" t="s">
        <v>113</v>
      </c>
      <c r="J3" s="55" t="s">
        <v>409</v>
      </c>
    </row>
    <row r="4" spans="2:101" x14ac:dyDescent="0.35">
      <c r="B4" s="209" t="s">
        <v>410</v>
      </c>
      <c r="C4" s="209"/>
      <c r="D4" s="209"/>
      <c r="E4" s="209"/>
      <c r="F4" s="209"/>
      <c r="G4" s="209"/>
      <c r="H4" s="209"/>
      <c r="I4" s="209"/>
      <c r="J4" s="209"/>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09"/>
      <c r="AV4" s="209"/>
      <c r="AW4" s="209"/>
      <c r="AX4" s="209"/>
      <c r="AY4" s="209"/>
      <c r="AZ4" s="209"/>
      <c r="BA4" s="209"/>
      <c r="BB4" s="209"/>
      <c r="BC4" s="209"/>
      <c r="BD4" s="209"/>
      <c r="BE4" s="209"/>
      <c r="BF4" s="209"/>
      <c r="BG4" s="209"/>
      <c r="BH4" s="209"/>
      <c r="BI4" s="209"/>
      <c r="BJ4" s="209"/>
      <c r="BK4" s="209"/>
      <c r="BL4" s="209"/>
      <c r="BM4" s="209"/>
      <c r="BN4" s="209"/>
      <c r="BO4" s="209"/>
      <c r="BP4" s="209"/>
      <c r="BQ4" s="209"/>
      <c r="BR4" s="209"/>
      <c r="BS4" s="209"/>
      <c r="BT4" s="209"/>
      <c r="BU4" s="209"/>
      <c r="BV4" s="209"/>
      <c r="BW4" s="209"/>
      <c r="BX4" s="209"/>
      <c r="BY4" s="209"/>
      <c r="BZ4" s="209"/>
      <c r="CA4" s="209"/>
      <c r="CB4" s="209"/>
      <c r="CC4" s="209"/>
      <c r="CD4" s="209"/>
      <c r="CE4" s="209"/>
      <c r="CF4" s="209"/>
      <c r="CG4" s="209"/>
      <c r="CH4" s="209"/>
      <c r="CI4" s="209"/>
      <c r="CJ4" s="209"/>
      <c r="CK4" s="209"/>
      <c r="CL4" s="209"/>
      <c r="CM4" s="209"/>
      <c r="CN4" s="209"/>
      <c r="CO4" s="209"/>
      <c r="CP4" s="209"/>
      <c r="CQ4" s="209"/>
      <c r="CR4" s="209"/>
      <c r="CS4" s="209"/>
      <c r="CT4" s="209"/>
      <c r="CU4" s="209"/>
      <c r="CV4" s="209"/>
      <c r="CW4" s="209"/>
    </row>
    <row r="5" spans="2:101" x14ac:dyDescent="0.35">
      <c r="B5" s="47" t="s">
        <v>411</v>
      </c>
      <c r="C5" s="47" t="s">
        <v>412</v>
      </c>
      <c r="D5" s="48">
        <v>52</v>
      </c>
      <c r="E5" s="47">
        <v>40</v>
      </c>
      <c r="F5" s="47">
        <v>130</v>
      </c>
      <c r="G5" s="47">
        <v>145</v>
      </c>
      <c r="H5" s="47">
        <v>1030</v>
      </c>
      <c r="I5" s="47" t="s">
        <v>413</v>
      </c>
      <c r="J5" s="47">
        <v>2100</v>
      </c>
      <c r="K5" s="47">
        <v>670</v>
      </c>
    </row>
    <row r="6" spans="2:101" x14ac:dyDescent="0.35">
      <c r="B6" s="47" t="s">
        <v>414</v>
      </c>
      <c r="C6" s="47" t="s">
        <v>412</v>
      </c>
      <c r="D6" s="48">
        <v>52</v>
      </c>
      <c r="E6" s="47">
        <v>14</v>
      </c>
      <c r="F6" s="47">
        <v>81</v>
      </c>
      <c r="G6" s="47">
        <v>7.2</v>
      </c>
      <c r="H6" s="47">
        <v>570</v>
      </c>
      <c r="I6" s="47" t="s">
        <v>415</v>
      </c>
      <c r="J6" s="47">
        <v>720</v>
      </c>
      <c r="K6" s="47">
        <v>21</v>
      </c>
    </row>
    <row r="7" spans="2:101" ht="42" x14ac:dyDescent="0.35">
      <c r="B7" s="47" t="s">
        <v>416</v>
      </c>
      <c r="C7" s="47" t="s">
        <v>417</v>
      </c>
      <c r="D7" s="48">
        <v>114</v>
      </c>
      <c r="E7" s="48" t="s">
        <v>418</v>
      </c>
      <c r="F7" s="47">
        <v>60</v>
      </c>
      <c r="G7" s="47">
        <v>32</v>
      </c>
      <c r="H7" s="47">
        <v>53</v>
      </c>
      <c r="I7" s="47">
        <v>56</v>
      </c>
      <c r="J7" s="47">
        <v>48</v>
      </c>
      <c r="K7" s="47">
        <v>0</v>
      </c>
    </row>
    <row r="9" spans="2:101" x14ac:dyDescent="0.35">
      <c r="B9" t="s">
        <v>432</v>
      </c>
    </row>
    <row r="10" spans="2:101" x14ac:dyDescent="0.35">
      <c r="B10" t="s">
        <v>431</v>
      </c>
    </row>
    <row r="11" spans="2:101" x14ac:dyDescent="0.35">
      <c r="C11" t="s">
        <v>429</v>
      </c>
      <c r="D11" t="s">
        <v>329</v>
      </c>
      <c r="E11" t="s">
        <v>60</v>
      </c>
      <c r="F11" t="s">
        <v>19</v>
      </c>
      <c r="G11" t="s">
        <v>409</v>
      </c>
    </row>
    <row r="12" spans="2:101" ht="15" x14ac:dyDescent="0.35">
      <c r="B12" s="57" t="s">
        <v>420</v>
      </c>
      <c r="C12" s="58" t="s">
        <v>421</v>
      </c>
      <c r="D12" s="58">
        <v>76</v>
      </c>
      <c r="E12" s="58">
        <v>100</v>
      </c>
      <c r="F12" s="58">
        <v>48</v>
      </c>
      <c r="G12" s="59">
        <v>100</v>
      </c>
    </row>
    <row r="13" spans="2:101" ht="15" customHeight="1" x14ac:dyDescent="0.35">
      <c r="B13" s="57" t="s">
        <v>422</v>
      </c>
      <c r="C13" s="60" t="s">
        <v>423</v>
      </c>
      <c r="D13" s="58">
        <v>700</v>
      </c>
      <c r="E13" s="58">
        <v>0</v>
      </c>
      <c r="F13" s="61">
        <v>18000</v>
      </c>
      <c r="G13" s="59">
        <v>0</v>
      </c>
      <c r="H13" s="210"/>
      <c r="I13" s="210"/>
      <c r="J13" s="210"/>
      <c r="K13" s="210"/>
      <c r="L13" s="210"/>
      <c r="M13" s="59"/>
      <c r="N13" s="56"/>
    </row>
    <row r="14" spans="2:101" ht="30" x14ac:dyDescent="0.35">
      <c r="B14" s="57" t="s">
        <v>424</v>
      </c>
      <c r="C14" s="61">
        <v>100000</v>
      </c>
      <c r="D14" s="61">
        <v>170000</v>
      </c>
      <c r="E14" s="61">
        <v>20000000</v>
      </c>
      <c r="F14" s="62">
        <v>2700000</v>
      </c>
      <c r="G14" s="63">
        <v>1000000</v>
      </c>
      <c r="H14" s="210"/>
      <c r="I14" s="210"/>
      <c r="J14" s="206"/>
      <c r="K14" s="206"/>
      <c r="L14" s="206"/>
      <c r="M14" s="59"/>
      <c r="N14" s="56"/>
    </row>
    <row r="15" spans="2:101" ht="15" x14ac:dyDescent="0.35">
      <c r="B15" s="57" t="s">
        <v>425</v>
      </c>
      <c r="C15" s="64">
        <v>1900</v>
      </c>
      <c r="D15" s="65">
        <v>4800</v>
      </c>
      <c r="E15" s="65">
        <v>1000</v>
      </c>
      <c r="F15" s="61">
        <v>25000</v>
      </c>
      <c r="G15" s="63">
        <v>8400</v>
      </c>
      <c r="H15" s="206"/>
      <c r="I15" s="206"/>
      <c r="J15" s="207"/>
      <c r="K15" s="207"/>
      <c r="L15" s="207"/>
      <c r="M15" s="63"/>
      <c r="N15" s="56"/>
    </row>
    <row r="16" spans="2:101" ht="15" customHeight="1" thickBot="1" x14ac:dyDescent="0.4">
      <c r="B16" s="57" t="s">
        <v>426</v>
      </c>
      <c r="C16" s="64">
        <v>2500</v>
      </c>
      <c r="D16" s="65">
        <v>9900</v>
      </c>
      <c r="E16" s="64">
        <v>460000</v>
      </c>
      <c r="F16" s="61">
        <v>110024</v>
      </c>
      <c r="G16" s="63">
        <v>53000</v>
      </c>
      <c r="H16" s="208"/>
      <c r="I16" s="208"/>
      <c r="J16" s="206"/>
      <c r="K16" s="206"/>
      <c r="L16" s="206"/>
      <c r="M16" s="63"/>
      <c r="N16" s="56"/>
    </row>
    <row r="17" spans="2:7" ht="30" x14ac:dyDescent="0.35">
      <c r="B17" s="57" t="s">
        <v>430</v>
      </c>
      <c r="C17" s="70">
        <v>750000</v>
      </c>
      <c r="D17" s="70">
        <v>69000</v>
      </c>
      <c r="E17" s="71">
        <v>0</v>
      </c>
      <c r="F17" s="70">
        <v>340000</v>
      </c>
      <c r="G17" s="69" t="s">
        <v>427</v>
      </c>
    </row>
    <row r="18" spans="2:7" ht="30.5" thickBot="1" x14ac:dyDescent="0.4">
      <c r="B18" s="57" t="s">
        <v>428</v>
      </c>
      <c r="C18" s="66">
        <v>22000000</v>
      </c>
      <c r="D18" s="67">
        <v>7600000</v>
      </c>
      <c r="E18" s="66">
        <v>1500000000</v>
      </c>
      <c r="F18" s="66">
        <v>95000000</v>
      </c>
      <c r="G18" s="68">
        <v>320000000</v>
      </c>
    </row>
    <row r="20" spans="2:7" x14ac:dyDescent="0.35">
      <c r="B20" t="s">
        <v>433</v>
      </c>
    </row>
    <row r="27" spans="2:7" ht="15" thickBot="1" x14ac:dyDescent="0.4"/>
    <row r="28" spans="2:7" ht="15" thickBot="1" x14ac:dyDescent="0.4">
      <c r="C28" s="72"/>
      <c r="D28" s="72"/>
      <c r="E28" s="72"/>
      <c r="F28" s="73"/>
    </row>
    <row r="29" spans="2:7" ht="15" thickBot="1" x14ac:dyDescent="0.4">
      <c r="C29" s="72"/>
      <c r="D29" s="73"/>
      <c r="E29" s="72"/>
      <c r="F29" s="73"/>
    </row>
    <row r="30" spans="2:7" ht="15" thickBot="1" x14ac:dyDescent="0.4">
      <c r="C30" s="72"/>
      <c r="D30" s="73"/>
      <c r="E30" s="73"/>
      <c r="F30" s="73"/>
    </row>
    <row r="31" spans="2:7" ht="15" thickBot="1" x14ac:dyDescent="0.4">
      <c r="C31" s="72"/>
      <c r="D31" s="73"/>
      <c r="E31" s="73"/>
      <c r="F31" s="73"/>
    </row>
    <row r="32" spans="2:7" ht="15" thickBot="1" x14ac:dyDescent="0.4">
      <c r="C32" s="72"/>
      <c r="D32" s="73"/>
      <c r="E32" s="72"/>
      <c r="F32" s="73"/>
    </row>
    <row r="33" spans="3:6" ht="15" thickBot="1" x14ac:dyDescent="0.4">
      <c r="C33" s="72"/>
      <c r="D33" s="73"/>
      <c r="E33" s="73"/>
      <c r="F33" s="73"/>
    </row>
    <row r="34" spans="3:6" ht="15" thickBot="1" x14ac:dyDescent="0.4">
      <c r="C34" s="72"/>
      <c r="D34" s="73"/>
      <c r="E34" s="72"/>
      <c r="F34" s="73"/>
    </row>
    <row r="35" spans="3:6" ht="15" thickBot="1" x14ac:dyDescent="0.4">
      <c r="C35" s="72"/>
      <c r="D35" s="73"/>
      <c r="E35" s="73"/>
      <c r="F35" s="73"/>
    </row>
    <row r="36" spans="3:6" ht="15" thickBot="1" x14ac:dyDescent="0.4">
      <c r="C36" s="72"/>
      <c r="D36" s="73"/>
      <c r="E36" s="73"/>
      <c r="F36" s="73"/>
    </row>
    <row r="37" spans="3:6" ht="15" thickBot="1" x14ac:dyDescent="0.4">
      <c r="C37" s="72"/>
      <c r="D37" s="73"/>
      <c r="E37" s="72"/>
      <c r="F37" s="73"/>
    </row>
    <row r="38" spans="3:6" ht="15" thickBot="1" x14ac:dyDescent="0.4">
      <c r="C38" s="72"/>
      <c r="D38" s="73"/>
      <c r="E38" s="73"/>
      <c r="F38" s="73"/>
    </row>
    <row r="39" spans="3:6" ht="15" thickBot="1" x14ac:dyDescent="0.4">
      <c r="C39" s="72"/>
      <c r="D39" s="73"/>
      <c r="E39" s="73"/>
      <c r="F39" s="73"/>
    </row>
    <row r="40" spans="3:6" ht="15" thickBot="1" x14ac:dyDescent="0.4">
      <c r="C40" s="72"/>
      <c r="D40" s="73"/>
      <c r="E40" s="73"/>
      <c r="F40" s="73"/>
    </row>
    <row r="41" spans="3:6" ht="15" thickBot="1" x14ac:dyDescent="0.4">
      <c r="C41" s="72"/>
      <c r="D41" s="73"/>
      <c r="E41" s="73"/>
      <c r="F41" s="73"/>
    </row>
    <row r="42" spans="3:6" ht="15" thickBot="1" x14ac:dyDescent="0.4">
      <c r="C42" s="72"/>
      <c r="D42" s="73"/>
      <c r="E42" s="73"/>
      <c r="F42" s="73"/>
    </row>
    <row r="43" spans="3:6" ht="15" thickBot="1" x14ac:dyDescent="0.4">
      <c r="C43" s="72"/>
      <c r="D43" s="73"/>
      <c r="E43" s="73"/>
      <c r="F43" s="73"/>
    </row>
    <row r="44" spans="3:6" ht="15" thickBot="1" x14ac:dyDescent="0.4">
      <c r="C44" s="72"/>
      <c r="D44" s="73"/>
      <c r="E44" s="73"/>
      <c r="F44" s="73"/>
    </row>
    <row r="45" spans="3:6" ht="15" thickBot="1" x14ac:dyDescent="0.4">
      <c r="C45" s="72"/>
      <c r="D45" s="73"/>
      <c r="E45" s="72"/>
      <c r="F45" s="73"/>
    </row>
    <row r="46" spans="3:6" ht="15" thickBot="1" x14ac:dyDescent="0.4">
      <c r="C46" s="72"/>
      <c r="D46" s="73"/>
      <c r="E46" s="72"/>
      <c r="F46" s="73"/>
    </row>
    <row r="47" spans="3:6" ht="15" thickBot="1" x14ac:dyDescent="0.4">
      <c r="C47" s="72"/>
      <c r="D47" s="73"/>
      <c r="E47" s="73"/>
      <c r="F47" s="73"/>
    </row>
    <row r="48" spans="3:6" ht="15" thickBot="1" x14ac:dyDescent="0.4">
      <c r="C48" s="72"/>
      <c r="D48" s="73"/>
      <c r="E48" s="72"/>
      <c r="F48" s="73"/>
    </row>
    <row r="49" spans="3:6" ht="15" thickBot="1" x14ac:dyDescent="0.4">
      <c r="C49" s="72"/>
      <c r="D49" s="73"/>
      <c r="E49" s="72"/>
      <c r="F49" s="73"/>
    </row>
    <row r="50" spans="3:6" ht="15" thickBot="1" x14ac:dyDescent="0.4">
      <c r="C50" s="72"/>
      <c r="D50" s="73"/>
      <c r="E50" s="72"/>
      <c r="F50" s="73"/>
    </row>
    <row r="51" spans="3:6" ht="15" thickBot="1" x14ac:dyDescent="0.4">
      <c r="C51" s="72"/>
      <c r="D51" s="73"/>
      <c r="E51" s="73"/>
      <c r="F51" s="73"/>
    </row>
    <row r="52" spans="3:6" ht="15" thickBot="1" x14ac:dyDescent="0.4">
      <c r="C52" s="72"/>
      <c r="D52" s="73"/>
      <c r="E52" s="73"/>
      <c r="F52" s="73"/>
    </row>
    <row r="53" spans="3:6" ht="15" thickBot="1" x14ac:dyDescent="0.4">
      <c r="C53" s="72"/>
      <c r="D53" s="73"/>
      <c r="E53" s="73"/>
      <c r="F53" s="73"/>
    </row>
    <row r="54" spans="3:6" ht="15" thickBot="1" x14ac:dyDescent="0.4">
      <c r="C54" s="72"/>
      <c r="D54" s="73"/>
      <c r="E54" s="72"/>
      <c r="F54" s="73"/>
    </row>
  </sheetData>
  <sortState xmlns:xlrd2="http://schemas.microsoft.com/office/spreadsheetml/2017/richdata2" ref="C29:F54">
    <sortCondition ref="C29:C54"/>
  </sortState>
  <mergeCells count="9">
    <mergeCell ref="H15:I15"/>
    <mergeCell ref="J15:L15"/>
    <mergeCell ref="H16:I16"/>
    <mergeCell ref="J16:L16"/>
    <mergeCell ref="B4:CW4"/>
    <mergeCell ref="H13:I13"/>
    <mergeCell ref="J13:L13"/>
    <mergeCell ref="H14:I14"/>
    <mergeCell ref="J14:L14"/>
  </mergeCells>
  <hyperlinks>
    <hyperlink ref="D5" r:id="rId1" location="cit52" tooltip="Select to navigate to references" display="https://pubs.rsc.org/en/content/articlehtml/2022/ee/d2ee00802e - cit52" xr:uid="{D10EF0AC-F0AA-4E75-B004-868E76B16495}"/>
    <hyperlink ref="D6" r:id="rId2" location="cit52" tooltip="Select to navigate to references" display="https://pubs.rsc.org/en/content/articlehtml/2022/ee/d2ee00802e - cit52" xr:uid="{1FFAA404-6531-46D8-B27F-B98517CE6F17}"/>
    <hyperlink ref="D7" r:id="rId3" location="cit114" tooltip="Select to navigate to references" display="https://pubs.rsc.org/en/content/articlehtml/2022/ee/d2ee00802e - cit114" xr:uid="{C92FD135-F537-494C-82AC-3D35C239CA99}"/>
    <hyperlink ref="E7" r:id="rId4" location="tab10fna" display="https://pubs.rsc.org/en/content/articlehtml/2022/ee/d2ee00802e - tab10fna" xr:uid="{0A683740-A266-4FCC-8AC4-7C81C13A7171}"/>
    <hyperlink ref="B2" r:id="rId5" xr:uid="{B1E0D114-9554-4661-99F8-80E88EEE02B1}"/>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E6E23-ECB1-442C-9525-BE90ED5BD8AE}">
  <dimension ref="A2:AK664"/>
  <sheetViews>
    <sheetView topLeftCell="A489" zoomScale="39" zoomScaleNormal="60" workbookViewId="0">
      <selection activeCell="H509" sqref="H509"/>
    </sheetView>
  </sheetViews>
  <sheetFormatPr defaultRowHeight="14.5" x14ac:dyDescent="0.35"/>
  <cols>
    <col min="2" max="2" width="35.08984375" customWidth="1"/>
    <col min="3" max="3" width="20.36328125" customWidth="1"/>
    <col min="5" max="5" width="33.26953125" customWidth="1"/>
    <col min="6" max="6" width="8.7265625" customWidth="1"/>
    <col min="7" max="7" width="17.453125" customWidth="1"/>
    <col min="8" max="8" width="8.7265625" customWidth="1"/>
    <col min="9" max="11" width="11.81640625" bestFit="1" customWidth="1"/>
    <col min="12" max="12" width="11.90625" bestFit="1" customWidth="1"/>
    <col min="13" max="16" width="11.81640625" bestFit="1" customWidth="1"/>
    <col min="17" max="17" width="8.7265625" customWidth="1"/>
    <col min="18" max="20" width="11.81640625" bestFit="1" customWidth="1"/>
    <col min="21" max="22" width="11.90625" bestFit="1" customWidth="1"/>
    <col min="23" max="23" width="11.81640625" bestFit="1" customWidth="1"/>
    <col min="24" max="24" width="7.453125" customWidth="1"/>
    <col min="25" max="25" width="12.7265625" customWidth="1"/>
    <col min="26" max="26" width="14.54296875" customWidth="1"/>
    <col min="27" max="28" width="11.81640625" bestFit="1" customWidth="1"/>
    <col min="29" max="30" width="16.90625" bestFit="1" customWidth="1"/>
    <col min="31" max="31" width="11.90625" bestFit="1" customWidth="1"/>
    <col min="32" max="32" width="9.54296875" customWidth="1"/>
    <col min="33" max="33" width="12.7265625" customWidth="1"/>
    <col min="35" max="35" width="10.453125" customWidth="1"/>
    <col min="36" max="36" width="9.54296875" customWidth="1"/>
    <col min="37" max="37" width="8.81640625" bestFit="1" customWidth="1"/>
    <col min="39" max="39" width="11.1796875" bestFit="1" customWidth="1"/>
  </cols>
  <sheetData>
    <row r="2" spans="1:7" x14ac:dyDescent="0.35">
      <c r="A2" t="s">
        <v>88</v>
      </c>
    </row>
    <row r="4" spans="1:7" ht="15" thickBot="1" x14ac:dyDescent="0.4"/>
    <row r="5" spans="1:7" ht="27.5" thickBot="1" x14ac:dyDescent="0.4">
      <c r="A5" s="8" t="s">
        <v>104</v>
      </c>
      <c r="B5" s="8" t="s">
        <v>105</v>
      </c>
      <c r="C5" s="8">
        <v>2005</v>
      </c>
      <c r="D5" s="8">
        <v>2008</v>
      </c>
      <c r="E5" s="8">
        <v>2017</v>
      </c>
    </row>
    <row r="6" spans="1:7" x14ac:dyDescent="0.35">
      <c r="A6" s="162" t="s">
        <v>89</v>
      </c>
      <c r="B6" s="4" t="s">
        <v>90</v>
      </c>
      <c r="C6" s="4">
        <v>737</v>
      </c>
      <c r="D6" s="4">
        <v>1014</v>
      </c>
      <c r="E6" s="4">
        <v>592</v>
      </c>
      <c r="G6" s="9"/>
    </row>
    <row r="7" spans="1:7" x14ac:dyDescent="0.35">
      <c r="A7" s="160"/>
      <c r="B7" s="3" t="s">
        <v>91</v>
      </c>
      <c r="C7" s="3">
        <v>0.11</v>
      </c>
      <c r="D7" s="3">
        <v>0.08</v>
      </c>
      <c r="E7" s="3">
        <v>0.13</v>
      </c>
      <c r="G7" s="9"/>
    </row>
    <row r="8" spans="1:7" ht="15" thickBot="1" x14ac:dyDescent="0.4">
      <c r="A8" s="160" t="s">
        <v>92</v>
      </c>
      <c r="B8" s="3" t="s">
        <v>90</v>
      </c>
      <c r="C8" s="3">
        <v>1780</v>
      </c>
      <c r="D8" s="3">
        <v>1493</v>
      </c>
      <c r="E8" s="3">
        <v>929</v>
      </c>
    </row>
    <row r="9" spans="1:7" ht="15" thickBot="1" x14ac:dyDescent="0.4">
      <c r="A9" s="160"/>
      <c r="B9" s="3" t="s">
        <v>91</v>
      </c>
      <c r="C9" s="3">
        <v>9.7000000000000003E-3</v>
      </c>
      <c r="D9" s="3">
        <v>4.1000000000000003E-3</v>
      </c>
      <c r="E9" s="3">
        <v>7.7999999999999996E-3</v>
      </c>
      <c r="G9" s="10"/>
    </row>
    <row r="10" spans="1:7" x14ac:dyDescent="0.35">
      <c r="A10" s="160" t="s">
        <v>93</v>
      </c>
      <c r="B10" s="3" t="s">
        <v>90</v>
      </c>
      <c r="C10" s="3">
        <v>141</v>
      </c>
      <c r="D10" s="3">
        <v>129</v>
      </c>
      <c r="E10" s="3">
        <v>122</v>
      </c>
    </row>
    <row r="11" spans="1:7" x14ac:dyDescent="0.35">
      <c r="A11" s="160"/>
      <c r="B11" s="3" t="s">
        <v>91</v>
      </c>
      <c r="C11" s="3">
        <v>0.55000000000000004</v>
      </c>
      <c r="D11" s="3">
        <v>0.33</v>
      </c>
      <c r="E11" s="3">
        <v>0.46</v>
      </c>
      <c r="G11" s="12"/>
    </row>
    <row r="12" spans="1:7" x14ac:dyDescent="0.35">
      <c r="A12" s="160" t="s">
        <v>94</v>
      </c>
      <c r="B12" s="3" t="s">
        <v>90</v>
      </c>
      <c r="C12" s="3">
        <v>877</v>
      </c>
      <c r="D12" s="3">
        <v>1112</v>
      </c>
      <c r="E12" s="3">
        <v>1109</v>
      </c>
    </row>
    <row r="13" spans="1:7" x14ac:dyDescent="0.35">
      <c r="A13" s="160"/>
      <c r="B13" s="3" t="s">
        <v>91</v>
      </c>
      <c r="C13" s="3">
        <v>0.02</v>
      </c>
      <c r="D13" s="3">
        <v>1.0800000000000001E-2</v>
      </c>
      <c r="E13" s="3">
        <v>1.3299999999999999E-2</v>
      </c>
    </row>
    <row r="14" spans="1:7" x14ac:dyDescent="0.35">
      <c r="A14" s="160" t="s">
        <v>95</v>
      </c>
      <c r="B14" s="3" t="s">
        <v>90</v>
      </c>
      <c r="C14" s="3">
        <v>2581</v>
      </c>
      <c r="D14" s="3">
        <v>3205</v>
      </c>
      <c r="E14" s="3">
        <v>2121</v>
      </c>
    </row>
    <row r="15" spans="1:7" x14ac:dyDescent="0.35">
      <c r="A15" s="160"/>
      <c r="B15" s="3" t="s">
        <v>91</v>
      </c>
      <c r="C15" s="3">
        <v>1.32E-2</v>
      </c>
      <c r="D15" s="3">
        <v>3.2299999999999998E-3</v>
      </c>
      <c r="E15" s="3">
        <v>5.1000000000000004E-3</v>
      </c>
    </row>
    <row r="16" spans="1:7" x14ac:dyDescent="0.35">
      <c r="A16" s="160" t="s">
        <v>96</v>
      </c>
      <c r="B16" s="3" t="s">
        <v>90</v>
      </c>
      <c r="C16" s="3">
        <v>5001</v>
      </c>
      <c r="D16" s="3">
        <v>8663</v>
      </c>
      <c r="E16" s="3">
        <v>6651</v>
      </c>
    </row>
    <row r="17" spans="1:6" x14ac:dyDescent="0.35">
      <c r="A17" s="160"/>
      <c r="B17" s="3" t="s">
        <v>91</v>
      </c>
      <c r="C17" s="3">
        <v>3.2799999999999999E-3</v>
      </c>
      <c r="D17" s="3">
        <v>2.1299999999999999E-3</v>
      </c>
      <c r="E17" s="3">
        <v>1.6999999999999999E-3</v>
      </c>
    </row>
    <row r="18" spans="1:6" x14ac:dyDescent="0.35">
      <c r="A18" s="160" t="s">
        <v>97</v>
      </c>
      <c r="B18" s="3" t="s">
        <v>90</v>
      </c>
      <c r="C18" s="3">
        <v>1873</v>
      </c>
      <c r="D18" s="3">
        <v>2024</v>
      </c>
      <c r="E18" s="3">
        <v>2120</v>
      </c>
    </row>
    <row r="19" spans="1:6" x14ac:dyDescent="0.35">
      <c r="A19" s="160"/>
      <c r="B19" s="3" t="s">
        <v>91</v>
      </c>
      <c r="C19" s="3">
        <v>4.1999999999999997E-3</v>
      </c>
      <c r="D19" s="3">
        <v>3.3E-3</v>
      </c>
      <c r="E19" s="3">
        <v>6.4999999999999997E-3</v>
      </c>
    </row>
    <row r="20" spans="1:6" x14ac:dyDescent="0.35">
      <c r="A20" s="160" t="s">
        <v>98</v>
      </c>
      <c r="B20" s="3" t="s">
        <v>99</v>
      </c>
      <c r="C20" s="3">
        <v>0.14699999999999999</v>
      </c>
      <c r="D20" s="3">
        <v>0.16700000000000001</v>
      </c>
      <c r="E20" s="3">
        <v>0.115</v>
      </c>
    </row>
    <row r="21" spans="1:6" x14ac:dyDescent="0.35">
      <c r="A21" s="160"/>
      <c r="B21" s="3" t="s">
        <v>100</v>
      </c>
      <c r="C21" s="3">
        <v>50.86</v>
      </c>
      <c r="D21" s="3">
        <v>50.43</v>
      </c>
      <c r="E21" s="3">
        <v>41.19</v>
      </c>
    </row>
    <row r="22" spans="1:6" x14ac:dyDescent="0.35">
      <c r="A22" s="160" t="s">
        <v>101</v>
      </c>
      <c r="B22" s="3" t="s">
        <v>102</v>
      </c>
      <c r="C22" s="3">
        <v>4.1000000000000002E-2</v>
      </c>
      <c r="D22" s="3">
        <v>6.7000000000000004E-2</v>
      </c>
      <c r="E22" s="3">
        <v>2.7E-2</v>
      </c>
    </row>
    <row r="23" spans="1:6" ht="15" thickBot="1" x14ac:dyDescent="0.4">
      <c r="A23" s="161"/>
      <c r="B23" s="6" t="s">
        <v>103</v>
      </c>
      <c r="C23" s="6">
        <v>21</v>
      </c>
      <c r="D23" s="6">
        <v>32</v>
      </c>
      <c r="E23" s="6">
        <v>24</v>
      </c>
    </row>
    <row r="25" spans="1:6" x14ac:dyDescent="0.35">
      <c r="A25" t="s">
        <v>2</v>
      </c>
      <c r="B25" s="3" t="s">
        <v>138</v>
      </c>
      <c r="C25" t="s">
        <v>337</v>
      </c>
      <c r="D25" t="s">
        <v>144</v>
      </c>
      <c r="F25" t="s">
        <v>166</v>
      </c>
    </row>
    <row r="26" spans="1:6" x14ac:dyDescent="0.35">
      <c r="A26" t="s">
        <v>106</v>
      </c>
      <c r="B26" s="3" t="s">
        <v>147</v>
      </c>
      <c r="C26" s="3">
        <v>3000</v>
      </c>
      <c r="D26" t="s">
        <v>357</v>
      </c>
      <c r="F26">
        <f>C26*1.10231</f>
        <v>3306.93</v>
      </c>
    </row>
    <row r="27" spans="1:6" x14ac:dyDescent="0.35">
      <c r="A27" t="s">
        <v>106</v>
      </c>
      <c r="B27" s="3" t="s">
        <v>147</v>
      </c>
      <c r="C27" s="3">
        <v>50</v>
      </c>
      <c r="D27" t="s">
        <v>37</v>
      </c>
      <c r="F27">
        <f t="shared" ref="F27:F90" si="0">C27*1.10231</f>
        <v>55.115499999999997</v>
      </c>
    </row>
    <row r="28" spans="1:6" x14ac:dyDescent="0.35">
      <c r="A28" t="s">
        <v>106</v>
      </c>
      <c r="B28" s="3" t="s">
        <v>147</v>
      </c>
      <c r="C28" s="3">
        <v>260</v>
      </c>
      <c r="D28" t="s">
        <v>37</v>
      </c>
      <c r="F28">
        <f t="shared" si="0"/>
        <v>286.60059999999999</v>
      </c>
    </row>
    <row r="29" spans="1:6" x14ac:dyDescent="0.35">
      <c r="A29" t="s">
        <v>106</v>
      </c>
      <c r="B29" s="3" t="s">
        <v>147</v>
      </c>
      <c r="C29" s="3">
        <v>3530</v>
      </c>
      <c r="D29" t="s">
        <v>37</v>
      </c>
      <c r="F29">
        <f t="shared" si="0"/>
        <v>3891.1542999999997</v>
      </c>
    </row>
    <row r="30" spans="1:6" x14ac:dyDescent="0.35">
      <c r="A30" t="s">
        <v>106</v>
      </c>
      <c r="B30" s="3" t="s">
        <v>147</v>
      </c>
      <c r="C30" s="3">
        <v>560</v>
      </c>
      <c r="D30" t="s">
        <v>145</v>
      </c>
      <c r="F30">
        <f t="shared" si="0"/>
        <v>617.29359999999997</v>
      </c>
    </row>
    <row r="31" spans="1:6" x14ac:dyDescent="0.35">
      <c r="A31" t="s">
        <v>106</v>
      </c>
      <c r="B31" s="3" t="s">
        <v>147</v>
      </c>
      <c r="C31" s="3">
        <v>830</v>
      </c>
      <c r="D31" t="s">
        <v>146</v>
      </c>
      <c r="F31">
        <f t="shared" si="0"/>
        <v>914.91729999999995</v>
      </c>
    </row>
    <row r="32" spans="1:6" x14ac:dyDescent="0.35">
      <c r="A32" t="s">
        <v>106</v>
      </c>
      <c r="B32" s="3" t="s">
        <v>148</v>
      </c>
      <c r="C32" s="3">
        <v>3000</v>
      </c>
      <c r="D32" t="s">
        <v>357</v>
      </c>
      <c r="F32">
        <f t="shared" si="0"/>
        <v>3306.93</v>
      </c>
    </row>
    <row r="33" spans="1:6" x14ac:dyDescent="0.35">
      <c r="A33" t="s">
        <v>106</v>
      </c>
      <c r="B33" s="3" t="s">
        <v>148</v>
      </c>
      <c r="C33" s="3">
        <v>260</v>
      </c>
      <c r="D33" t="s">
        <v>37</v>
      </c>
      <c r="F33">
        <f t="shared" si="0"/>
        <v>286.60059999999999</v>
      </c>
    </row>
    <row r="34" spans="1:6" x14ac:dyDescent="0.35">
      <c r="A34" t="s">
        <v>106</v>
      </c>
      <c r="B34" s="3" t="s">
        <v>148</v>
      </c>
      <c r="C34" s="3">
        <v>1060</v>
      </c>
      <c r="D34" t="s">
        <v>37</v>
      </c>
      <c r="F34">
        <f t="shared" si="0"/>
        <v>1168.4485999999999</v>
      </c>
    </row>
    <row r="35" spans="1:6" x14ac:dyDescent="0.35">
      <c r="A35" t="s">
        <v>106</v>
      </c>
      <c r="B35" s="3" t="s">
        <v>148</v>
      </c>
      <c r="C35" s="3">
        <v>3930</v>
      </c>
      <c r="D35" t="s">
        <v>37</v>
      </c>
      <c r="F35">
        <f t="shared" si="0"/>
        <v>4332.0782999999992</v>
      </c>
    </row>
    <row r="36" spans="1:6" x14ac:dyDescent="0.35">
      <c r="A36" t="s">
        <v>149</v>
      </c>
      <c r="B36" s="3" t="s">
        <v>150</v>
      </c>
      <c r="C36" s="3">
        <v>1</v>
      </c>
      <c r="D36" t="s">
        <v>137</v>
      </c>
      <c r="F36">
        <f t="shared" si="0"/>
        <v>1.1023099999999999</v>
      </c>
    </row>
    <row r="37" spans="1:6" x14ac:dyDescent="0.35">
      <c r="A37" t="s">
        <v>149</v>
      </c>
      <c r="B37" s="3" t="s">
        <v>147</v>
      </c>
      <c r="C37" s="3">
        <v>7</v>
      </c>
      <c r="D37" t="s">
        <v>137</v>
      </c>
      <c r="F37">
        <f t="shared" si="0"/>
        <v>7.7161699999999991</v>
      </c>
    </row>
    <row r="38" spans="1:6" x14ac:dyDescent="0.35">
      <c r="A38" t="s">
        <v>111</v>
      </c>
      <c r="B38" s="3" t="s">
        <v>147</v>
      </c>
      <c r="C38" s="3">
        <v>789</v>
      </c>
      <c r="D38" t="s">
        <v>137</v>
      </c>
      <c r="F38">
        <f t="shared" si="0"/>
        <v>869.72258999999997</v>
      </c>
    </row>
    <row r="39" spans="1:6" x14ac:dyDescent="0.35">
      <c r="A39" t="s">
        <v>111</v>
      </c>
      <c r="B39" s="3" t="s">
        <v>147</v>
      </c>
      <c r="C39" s="3">
        <v>902</v>
      </c>
      <c r="D39" t="s">
        <v>152</v>
      </c>
      <c r="F39">
        <f t="shared" si="0"/>
        <v>994.28361999999993</v>
      </c>
    </row>
    <row r="40" spans="1:6" x14ac:dyDescent="0.35">
      <c r="A40" t="s">
        <v>111</v>
      </c>
      <c r="B40" s="3" t="s">
        <v>147</v>
      </c>
      <c r="C40" s="3">
        <v>359</v>
      </c>
      <c r="D40" t="s">
        <v>153</v>
      </c>
      <c r="F40">
        <f t="shared" si="0"/>
        <v>395.72928999999999</v>
      </c>
    </row>
    <row r="41" spans="1:6" x14ac:dyDescent="0.35">
      <c r="A41" t="s">
        <v>111</v>
      </c>
      <c r="B41" s="3" t="s">
        <v>151</v>
      </c>
      <c r="C41" s="3">
        <v>450</v>
      </c>
      <c r="D41" t="s">
        <v>357</v>
      </c>
      <c r="F41">
        <f t="shared" si="0"/>
        <v>496.03949999999998</v>
      </c>
    </row>
    <row r="42" spans="1:6" x14ac:dyDescent="0.35">
      <c r="A42" t="s">
        <v>111</v>
      </c>
      <c r="B42" s="3" t="s">
        <v>151</v>
      </c>
      <c r="C42" s="3">
        <v>294</v>
      </c>
      <c r="D42" t="s">
        <v>153</v>
      </c>
      <c r="F42">
        <f t="shared" si="0"/>
        <v>324.07914</v>
      </c>
    </row>
    <row r="43" spans="1:6" x14ac:dyDescent="0.35">
      <c r="A43" t="s">
        <v>113</v>
      </c>
      <c r="B43" s="3" t="s">
        <v>150</v>
      </c>
      <c r="C43" s="3">
        <v>1143</v>
      </c>
      <c r="D43" t="s">
        <v>152</v>
      </c>
      <c r="F43">
        <f t="shared" si="0"/>
        <v>1259.9403299999999</v>
      </c>
    </row>
    <row r="44" spans="1:6" x14ac:dyDescent="0.35">
      <c r="A44" t="s">
        <v>113</v>
      </c>
      <c r="B44" s="3" t="s">
        <v>150</v>
      </c>
      <c r="C44" s="3">
        <v>3000</v>
      </c>
      <c r="D44" t="s">
        <v>137</v>
      </c>
      <c r="F44">
        <f t="shared" si="0"/>
        <v>3306.93</v>
      </c>
    </row>
    <row r="45" spans="1:6" x14ac:dyDescent="0.35">
      <c r="A45" t="s">
        <v>113</v>
      </c>
      <c r="B45" s="3" t="s">
        <v>150</v>
      </c>
      <c r="C45" s="3">
        <v>4000</v>
      </c>
      <c r="D45" t="s">
        <v>154</v>
      </c>
      <c r="F45">
        <f t="shared" si="0"/>
        <v>4409.24</v>
      </c>
    </row>
    <row r="46" spans="1:6" x14ac:dyDescent="0.35">
      <c r="A46" t="s">
        <v>113</v>
      </c>
      <c r="B46" s="3" t="s">
        <v>150</v>
      </c>
      <c r="C46" s="3">
        <v>2000</v>
      </c>
      <c r="D46" t="s">
        <v>155</v>
      </c>
      <c r="F46">
        <f t="shared" si="0"/>
        <v>2204.62</v>
      </c>
    </row>
    <row r="47" spans="1:6" x14ac:dyDescent="0.35">
      <c r="A47" t="s">
        <v>113</v>
      </c>
      <c r="B47" s="3" t="s">
        <v>150</v>
      </c>
      <c r="C47" s="3">
        <v>2000</v>
      </c>
      <c r="D47" t="s">
        <v>357</v>
      </c>
      <c r="F47">
        <f t="shared" si="0"/>
        <v>2204.62</v>
      </c>
    </row>
    <row r="48" spans="1:6" x14ac:dyDescent="0.35">
      <c r="A48" t="s">
        <v>113</v>
      </c>
      <c r="B48" s="3" t="s">
        <v>150</v>
      </c>
      <c r="C48" s="3">
        <v>2500</v>
      </c>
      <c r="D48" t="s">
        <v>10</v>
      </c>
      <c r="F48">
        <f t="shared" si="0"/>
        <v>2755.7749999999996</v>
      </c>
    </row>
    <row r="49" spans="1:6" x14ac:dyDescent="0.35">
      <c r="A49" t="s">
        <v>113</v>
      </c>
      <c r="B49" s="3" t="s">
        <v>150</v>
      </c>
      <c r="C49" s="3">
        <v>3000</v>
      </c>
      <c r="D49" t="s">
        <v>10</v>
      </c>
      <c r="F49">
        <f t="shared" si="0"/>
        <v>3306.93</v>
      </c>
    </row>
    <row r="50" spans="1:6" x14ac:dyDescent="0.35">
      <c r="A50" t="s">
        <v>113</v>
      </c>
      <c r="B50" s="3" t="s">
        <v>150</v>
      </c>
      <c r="C50" s="3">
        <v>1745</v>
      </c>
      <c r="D50" t="s">
        <v>31</v>
      </c>
      <c r="F50">
        <f t="shared" si="0"/>
        <v>1923.5309499999998</v>
      </c>
    </row>
    <row r="51" spans="1:6" x14ac:dyDescent="0.35">
      <c r="A51" t="s">
        <v>113</v>
      </c>
      <c r="B51" s="3" t="s">
        <v>150</v>
      </c>
      <c r="C51" s="3">
        <v>1200</v>
      </c>
      <c r="D51" t="s">
        <v>156</v>
      </c>
      <c r="F51">
        <f t="shared" si="0"/>
        <v>1322.7719999999999</v>
      </c>
    </row>
    <row r="52" spans="1:6" x14ac:dyDescent="0.35">
      <c r="A52" t="s">
        <v>113</v>
      </c>
      <c r="B52" s="3" t="s">
        <v>150</v>
      </c>
      <c r="C52" s="3">
        <v>5500</v>
      </c>
      <c r="D52" t="s">
        <v>156</v>
      </c>
      <c r="F52">
        <f t="shared" si="0"/>
        <v>6062.704999999999</v>
      </c>
    </row>
    <row r="53" spans="1:6" x14ac:dyDescent="0.35">
      <c r="A53" t="s">
        <v>113</v>
      </c>
      <c r="B53" s="3" t="s">
        <v>150</v>
      </c>
      <c r="C53" s="3">
        <v>4700</v>
      </c>
      <c r="D53" t="s">
        <v>157</v>
      </c>
      <c r="F53">
        <f t="shared" si="0"/>
        <v>5180.857</v>
      </c>
    </row>
    <row r="54" spans="1:6" x14ac:dyDescent="0.35">
      <c r="A54" t="s">
        <v>113</v>
      </c>
      <c r="B54" s="3" t="s">
        <v>150</v>
      </c>
      <c r="C54" s="3">
        <v>1750</v>
      </c>
      <c r="D54" t="s">
        <v>158</v>
      </c>
      <c r="F54">
        <f t="shared" si="0"/>
        <v>1929.0424999999998</v>
      </c>
    </row>
    <row r="55" spans="1:6" x14ac:dyDescent="0.35">
      <c r="A55" t="s">
        <v>113</v>
      </c>
      <c r="B55" s="3" t="s">
        <v>150</v>
      </c>
      <c r="C55" s="3">
        <v>1408</v>
      </c>
      <c r="D55" t="s">
        <v>146</v>
      </c>
      <c r="F55">
        <f t="shared" si="0"/>
        <v>1552.0524799999998</v>
      </c>
    </row>
    <row r="56" spans="1:6" x14ac:dyDescent="0.35">
      <c r="A56" t="s">
        <v>113</v>
      </c>
      <c r="B56" s="3" t="s">
        <v>150</v>
      </c>
      <c r="C56" s="3">
        <v>2700</v>
      </c>
      <c r="D56" t="s">
        <v>25</v>
      </c>
      <c r="F56">
        <f t="shared" si="0"/>
        <v>2976.2369999999996</v>
      </c>
    </row>
    <row r="57" spans="1:6" x14ac:dyDescent="0.35">
      <c r="A57" t="s">
        <v>113</v>
      </c>
      <c r="B57" s="3" t="s">
        <v>150</v>
      </c>
      <c r="C57" s="3">
        <v>2300</v>
      </c>
      <c r="D57" t="s">
        <v>159</v>
      </c>
      <c r="F57">
        <f t="shared" si="0"/>
        <v>2535.3129999999996</v>
      </c>
    </row>
    <row r="58" spans="1:6" x14ac:dyDescent="0.35">
      <c r="A58" t="s">
        <v>113</v>
      </c>
      <c r="B58" s="3" t="s">
        <v>150</v>
      </c>
      <c r="C58" s="3">
        <v>1012</v>
      </c>
      <c r="D58" t="s">
        <v>153</v>
      </c>
      <c r="F58">
        <f t="shared" si="0"/>
        <v>1115.5377199999998</v>
      </c>
    </row>
    <row r="59" spans="1:6" x14ac:dyDescent="0.35">
      <c r="A59" t="s">
        <v>113</v>
      </c>
      <c r="B59" s="3" t="s">
        <v>151</v>
      </c>
      <c r="C59" s="3">
        <v>20000</v>
      </c>
      <c r="D59" t="s">
        <v>357</v>
      </c>
      <c r="F59">
        <f t="shared" si="0"/>
        <v>22046.199999999997</v>
      </c>
    </row>
    <row r="60" spans="1:6" x14ac:dyDescent="0.35">
      <c r="A60" t="s">
        <v>113</v>
      </c>
      <c r="B60" s="3" t="s">
        <v>151</v>
      </c>
      <c r="C60">
        <v>11500</v>
      </c>
      <c r="D60" t="s">
        <v>25</v>
      </c>
      <c r="F60">
        <f t="shared" si="0"/>
        <v>12676.564999999999</v>
      </c>
    </row>
    <row r="61" spans="1:6" x14ac:dyDescent="0.35">
      <c r="A61" t="s">
        <v>113</v>
      </c>
      <c r="B61" s="3" t="s">
        <v>151</v>
      </c>
      <c r="C61">
        <v>4500</v>
      </c>
      <c r="D61" t="s">
        <v>159</v>
      </c>
      <c r="F61">
        <f t="shared" si="0"/>
        <v>4960.3949999999995</v>
      </c>
    </row>
    <row r="62" spans="1:6" x14ac:dyDescent="0.35">
      <c r="A62" t="s">
        <v>113</v>
      </c>
      <c r="B62" s="3" t="s">
        <v>151</v>
      </c>
      <c r="C62">
        <v>1484</v>
      </c>
      <c r="D62" t="s">
        <v>153</v>
      </c>
      <c r="F62">
        <f t="shared" si="0"/>
        <v>1635.8280399999999</v>
      </c>
    </row>
    <row r="63" spans="1:6" x14ac:dyDescent="0.35">
      <c r="A63" t="s">
        <v>14</v>
      </c>
      <c r="B63" s="3" t="s">
        <v>151</v>
      </c>
      <c r="C63">
        <v>3</v>
      </c>
      <c r="D63" t="s">
        <v>152</v>
      </c>
      <c r="F63">
        <f t="shared" si="0"/>
        <v>3.3069299999999995</v>
      </c>
    </row>
    <row r="64" spans="1:6" x14ac:dyDescent="0.35">
      <c r="A64" t="s">
        <v>14</v>
      </c>
      <c r="B64" s="3" t="s">
        <v>151</v>
      </c>
      <c r="C64">
        <v>25</v>
      </c>
      <c r="D64" t="s">
        <v>137</v>
      </c>
      <c r="F64">
        <f t="shared" si="0"/>
        <v>27.557749999999999</v>
      </c>
    </row>
    <row r="65" spans="1:6" x14ac:dyDescent="0.35">
      <c r="A65" t="s">
        <v>14</v>
      </c>
      <c r="B65" s="3" t="s">
        <v>151</v>
      </c>
      <c r="C65">
        <v>10</v>
      </c>
      <c r="D65" t="s">
        <v>160</v>
      </c>
      <c r="F65">
        <f t="shared" si="0"/>
        <v>11.023099999999999</v>
      </c>
    </row>
    <row r="66" spans="1:6" x14ac:dyDescent="0.35">
      <c r="A66" t="s">
        <v>14</v>
      </c>
      <c r="B66" s="3" t="s">
        <v>151</v>
      </c>
      <c r="C66">
        <v>24</v>
      </c>
      <c r="D66" t="s">
        <v>16</v>
      </c>
      <c r="F66">
        <f t="shared" si="0"/>
        <v>26.455439999999996</v>
      </c>
    </row>
    <row r="67" spans="1:6" x14ac:dyDescent="0.35">
      <c r="A67" t="s">
        <v>14</v>
      </c>
      <c r="B67" s="3" t="s">
        <v>151</v>
      </c>
      <c r="C67">
        <v>28</v>
      </c>
      <c r="D67" t="s">
        <v>16</v>
      </c>
      <c r="F67">
        <f t="shared" si="0"/>
        <v>30.864679999999996</v>
      </c>
    </row>
    <row r="68" spans="1:6" x14ac:dyDescent="0.35">
      <c r="A68" t="s">
        <v>14</v>
      </c>
      <c r="B68" s="3" t="s">
        <v>151</v>
      </c>
      <c r="C68">
        <v>10</v>
      </c>
      <c r="D68" t="s">
        <v>154</v>
      </c>
      <c r="F68">
        <f t="shared" si="0"/>
        <v>11.023099999999999</v>
      </c>
    </row>
    <row r="69" spans="1:6" x14ac:dyDescent="0.35">
      <c r="A69" t="s">
        <v>14</v>
      </c>
      <c r="B69" s="3" t="s">
        <v>151</v>
      </c>
      <c r="C69">
        <v>13</v>
      </c>
      <c r="D69" t="s">
        <v>154</v>
      </c>
      <c r="F69">
        <f t="shared" si="0"/>
        <v>14.330029999999999</v>
      </c>
    </row>
    <row r="70" spans="1:6" x14ac:dyDescent="0.35">
      <c r="A70" t="s">
        <v>14</v>
      </c>
      <c r="B70" s="3" t="s">
        <v>151</v>
      </c>
      <c r="C70">
        <v>14</v>
      </c>
      <c r="D70" t="s">
        <v>160</v>
      </c>
      <c r="F70">
        <f t="shared" si="0"/>
        <v>15.432339999999998</v>
      </c>
    </row>
    <row r="71" spans="1:6" x14ac:dyDescent="0.35">
      <c r="A71" t="s">
        <v>14</v>
      </c>
      <c r="B71" s="3" t="s">
        <v>151</v>
      </c>
      <c r="C71">
        <v>13</v>
      </c>
      <c r="D71" t="s">
        <v>157</v>
      </c>
      <c r="F71">
        <f t="shared" si="0"/>
        <v>14.330029999999999</v>
      </c>
    </row>
    <row r="72" spans="1:6" x14ac:dyDescent="0.35">
      <c r="A72" t="s">
        <v>14</v>
      </c>
      <c r="B72" s="3" t="s">
        <v>151</v>
      </c>
      <c r="C72">
        <v>13</v>
      </c>
      <c r="D72" t="s">
        <v>161</v>
      </c>
      <c r="F72">
        <f t="shared" si="0"/>
        <v>14.330029999999999</v>
      </c>
    </row>
    <row r="73" spans="1:6" x14ac:dyDescent="0.35">
      <c r="A73" t="s">
        <v>14</v>
      </c>
      <c r="B73" s="3" t="s">
        <v>151</v>
      </c>
      <c r="C73">
        <v>18</v>
      </c>
      <c r="D73" t="s">
        <v>141</v>
      </c>
      <c r="F73">
        <f t="shared" si="0"/>
        <v>19.841579999999997</v>
      </c>
    </row>
    <row r="74" spans="1:6" x14ac:dyDescent="0.35">
      <c r="A74" t="s">
        <v>14</v>
      </c>
      <c r="B74" s="3" t="s">
        <v>151</v>
      </c>
      <c r="C74">
        <v>22</v>
      </c>
      <c r="D74" t="s">
        <v>153</v>
      </c>
      <c r="F74">
        <f t="shared" si="0"/>
        <v>24.250819999999997</v>
      </c>
    </row>
    <row r="75" spans="1:6" x14ac:dyDescent="0.35">
      <c r="A75" t="s">
        <v>60</v>
      </c>
      <c r="B75" s="3" t="s">
        <v>162</v>
      </c>
      <c r="C75">
        <v>33</v>
      </c>
      <c r="D75" t="s">
        <v>137</v>
      </c>
      <c r="F75">
        <f t="shared" si="0"/>
        <v>36.37623</v>
      </c>
    </row>
    <row r="76" spans="1:6" x14ac:dyDescent="0.35">
      <c r="A76" t="s">
        <v>60</v>
      </c>
      <c r="B76" s="3" t="s">
        <v>162</v>
      </c>
      <c r="C76">
        <v>81</v>
      </c>
      <c r="D76" t="s">
        <v>152</v>
      </c>
      <c r="F76">
        <f t="shared" si="0"/>
        <v>89.287109999999998</v>
      </c>
    </row>
    <row r="77" spans="1:6" x14ac:dyDescent="0.35">
      <c r="A77" t="s">
        <v>115</v>
      </c>
      <c r="B77" s="3" t="s">
        <v>162</v>
      </c>
      <c r="C77">
        <v>116</v>
      </c>
      <c r="D77" t="s">
        <v>137</v>
      </c>
      <c r="F77">
        <f t="shared" si="0"/>
        <v>127.86795999999998</v>
      </c>
    </row>
    <row r="78" spans="1:6" x14ac:dyDescent="0.35">
      <c r="A78" t="s">
        <v>115</v>
      </c>
      <c r="B78" s="3" t="s">
        <v>162</v>
      </c>
      <c r="C78">
        <v>136</v>
      </c>
      <c r="D78" t="s">
        <v>152</v>
      </c>
      <c r="F78">
        <f t="shared" si="0"/>
        <v>149.91415999999998</v>
      </c>
    </row>
    <row r="79" spans="1:6" x14ac:dyDescent="0.35">
      <c r="A79" t="s">
        <v>115</v>
      </c>
      <c r="B79" s="3" t="s">
        <v>162</v>
      </c>
      <c r="C79">
        <v>753</v>
      </c>
      <c r="D79" t="s">
        <v>153</v>
      </c>
      <c r="F79">
        <f t="shared" si="0"/>
        <v>830.03942999999992</v>
      </c>
    </row>
    <row r="80" spans="1:6" x14ac:dyDescent="0.35">
      <c r="A80" t="s">
        <v>18</v>
      </c>
      <c r="B80" s="3" t="s">
        <v>151</v>
      </c>
      <c r="C80">
        <v>186</v>
      </c>
      <c r="D80" t="s">
        <v>137</v>
      </c>
      <c r="F80">
        <f t="shared" si="0"/>
        <v>205.02965999999998</v>
      </c>
    </row>
    <row r="81" spans="1:6" x14ac:dyDescent="0.35">
      <c r="A81" t="s">
        <v>18</v>
      </c>
      <c r="B81" s="3" t="s">
        <v>151</v>
      </c>
      <c r="C81">
        <v>203</v>
      </c>
      <c r="D81" t="s">
        <v>160</v>
      </c>
      <c r="F81">
        <f t="shared" si="0"/>
        <v>223.76892999999998</v>
      </c>
    </row>
    <row r="82" spans="1:6" x14ac:dyDescent="0.35">
      <c r="A82" t="s">
        <v>18</v>
      </c>
      <c r="B82" s="3" t="s">
        <v>151</v>
      </c>
      <c r="C82">
        <v>180</v>
      </c>
      <c r="D82" t="s">
        <v>16</v>
      </c>
      <c r="F82">
        <f t="shared" si="0"/>
        <v>198.41579999999999</v>
      </c>
    </row>
    <row r="83" spans="1:6" x14ac:dyDescent="0.35">
      <c r="A83" t="s">
        <v>18</v>
      </c>
      <c r="B83" s="3" t="s">
        <v>151</v>
      </c>
      <c r="C83">
        <v>41</v>
      </c>
      <c r="D83" t="s">
        <v>152</v>
      </c>
      <c r="F83">
        <f t="shared" si="0"/>
        <v>45.194709999999993</v>
      </c>
    </row>
    <row r="84" spans="1:6" x14ac:dyDescent="0.35">
      <c r="A84" t="s">
        <v>18</v>
      </c>
      <c r="B84" s="3" t="s">
        <v>151</v>
      </c>
      <c r="C84">
        <v>140</v>
      </c>
      <c r="D84" t="s">
        <v>154</v>
      </c>
      <c r="F84">
        <f t="shared" si="0"/>
        <v>154.32339999999999</v>
      </c>
    </row>
    <row r="85" spans="1:6" x14ac:dyDescent="0.35">
      <c r="A85" t="s">
        <v>18</v>
      </c>
      <c r="B85" s="3" t="s">
        <v>151</v>
      </c>
      <c r="C85">
        <v>187</v>
      </c>
      <c r="D85" t="s">
        <v>154</v>
      </c>
      <c r="F85">
        <f t="shared" si="0"/>
        <v>206.13197</v>
      </c>
    </row>
    <row r="86" spans="1:6" x14ac:dyDescent="0.35">
      <c r="A86" t="s">
        <v>18</v>
      </c>
      <c r="B86" s="3" t="s">
        <v>151</v>
      </c>
      <c r="C86">
        <v>40</v>
      </c>
      <c r="D86" t="s">
        <v>357</v>
      </c>
      <c r="F86">
        <f t="shared" si="0"/>
        <v>44.092399999999998</v>
      </c>
    </row>
    <row r="87" spans="1:6" x14ac:dyDescent="0.35">
      <c r="A87" t="s">
        <v>18</v>
      </c>
      <c r="B87" s="3" t="s">
        <v>151</v>
      </c>
      <c r="C87">
        <v>43</v>
      </c>
      <c r="D87" t="s">
        <v>10</v>
      </c>
      <c r="F87">
        <f t="shared" si="0"/>
        <v>47.399329999999999</v>
      </c>
    </row>
    <row r="88" spans="1:6" x14ac:dyDescent="0.35">
      <c r="A88" t="s">
        <v>18</v>
      </c>
      <c r="B88" s="3" t="s">
        <v>151</v>
      </c>
      <c r="C88">
        <v>166</v>
      </c>
      <c r="D88" t="s">
        <v>163</v>
      </c>
      <c r="F88">
        <f t="shared" si="0"/>
        <v>182.98345999999998</v>
      </c>
    </row>
    <row r="89" spans="1:6" x14ac:dyDescent="0.35">
      <c r="A89" t="s">
        <v>18</v>
      </c>
      <c r="B89" s="3" t="s">
        <v>151</v>
      </c>
      <c r="C89">
        <v>150</v>
      </c>
      <c r="D89" t="s">
        <v>160</v>
      </c>
      <c r="F89">
        <f t="shared" si="0"/>
        <v>165.34649999999999</v>
      </c>
    </row>
    <row r="90" spans="1:6" x14ac:dyDescent="0.35">
      <c r="A90" t="s">
        <v>18</v>
      </c>
      <c r="B90" s="3" t="s">
        <v>151</v>
      </c>
      <c r="C90">
        <v>200</v>
      </c>
      <c r="D90" t="s">
        <v>157</v>
      </c>
      <c r="F90">
        <f t="shared" si="0"/>
        <v>220.46199999999999</v>
      </c>
    </row>
    <row r="91" spans="1:6" x14ac:dyDescent="0.35">
      <c r="A91" t="s">
        <v>18</v>
      </c>
      <c r="B91" s="3" t="s">
        <v>151</v>
      </c>
      <c r="C91">
        <v>195</v>
      </c>
      <c r="D91" t="s">
        <v>161</v>
      </c>
      <c r="F91">
        <f t="shared" ref="F91:F123" si="1">C91*1.10231</f>
        <v>214.95044999999999</v>
      </c>
    </row>
    <row r="92" spans="1:6" x14ac:dyDescent="0.35">
      <c r="A92" t="s">
        <v>18</v>
      </c>
      <c r="B92" s="3" t="s">
        <v>151</v>
      </c>
      <c r="C92">
        <v>186</v>
      </c>
      <c r="D92" t="s">
        <v>141</v>
      </c>
      <c r="F92">
        <f t="shared" si="1"/>
        <v>205.02965999999998</v>
      </c>
    </row>
    <row r="93" spans="1:6" x14ac:dyDescent="0.35">
      <c r="A93" t="s">
        <v>18</v>
      </c>
      <c r="B93" s="3" t="s">
        <v>151</v>
      </c>
      <c r="C93">
        <v>151</v>
      </c>
      <c r="D93" t="s">
        <v>153</v>
      </c>
      <c r="F93">
        <f t="shared" si="1"/>
        <v>166.44880999999998</v>
      </c>
    </row>
    <row r="94" spans="1:6" x14ac:dyDescent="0.35">
      <c r="A94" t="s">
        <v>19</v>
      </c>
      <c r="B94" s="3" t="s">
        <v>162</v>
      </c>
      <c r="C94">
        <v>557</v>
      </c>
      <c r="D94" t="s">
        <v>137</v>
      </c>
      <c r="F94">
        <f t="shared" si="1"/>
        <v>613.98666999999989</v>
      </c>
    </row>
    <row r="95" spans="1:6" x14ac:dyDescent="0.35">
      <c r="A95" t="s">
        <v>19</v>
      </c>
      <c r="B95" s="3" t="s">
        <v>162</v>
      </c>
      <c r="C95">
        <v>663</v>
      </c>
      <c r="D95" t="s">
        <v>152</v>
      </c>
      <c r="F95">
        <f t="shared" si="1"/>
        <v>730.83152999999993</v>
      </c>
    </row>
    <row r="96" spans="1:6" x14ac:dyDescent="0.35">
      <c r="A96" t="s">
        <v>19</v>
      </c>
      <c r="B96" s="3" t="s">
        <v>162</v>
      </c>
      <c r="C96">
        <v>111</v>
      </c>
      <c r="D96" t="s">
        <v>140</v>
      </c>
      <c r="F96">
        <f t="shared" si="1"/>
        <v>122.35640999999998</v>
      </c>
    </row>
    <row r="97" spans="1:6" x14ac:dyDescent="0.35">
      <c r="A97" t="s">
        <v>19</v>
      </c>
      <c r="B97" s="3" t="s">
        <v>162</v>
      </c>
      <c r="C97">
        <v>377</v>
      </c>
      <c r="D97" t="s">
        <v>153</v>
      </c>
      <c r="F97">
        <f t="shared" si="1"/>
        <v>415.57086999999996</v>
      </c>
    </row>
    <row r="98" spans="1:6" x14ac:dyDescent="0.35">
      <c r="A98" t="s">
        <v>117</v>
      </c>
      <c r="B98" s="3" t="s">
        <v>162</v>
      </c>
      <c r="C98">
        <v>38</v>
      </c>
      <c r="D98" t="s">
        <v>153</v>
      </c>
      <c r="F98">
        <f t="shared" si="1"/>
        <v>41.887779999999999</v>
      </c>
    </row>
    <row r="99" spans="1:6" x14ac:dyDescent="0.35">
      <c r="A99" t="s">
        <v>164</v>
      </c>
      <c r="B99" s="3" t="s">
        <v>147</v>
      </c>
      <c r="C99">
        <v>4</v>
      </c>
      <c r="D99" t="s">
        <v>137</v>
      </c>
      <c r="F99">
        <f t="shared" si="1"/>
        <v>4.4092399999999996</v>
      </c>
    </row>
    <row r="100" spans="1:6" x14ac:dyDescent="0.35">
      <c r="A100" t="s">
        <v>164</v>
      </c>
      <c r="B100" s="3" t="s">
        <v>147</v>
      </c>
      <c r="C100">
        <v>1</v>
      </c>
      <c r="D100" t="s">
        <v>153</v>
      </c>
      <c r="F100">
        <f t="shared" si="1"/>
        <v>1.1023099999999999</v>
      </c>
    </row>
    <row r="101" spans="1:6" x14ac:dyDescent="0.35">
      <c r="A101" t="s">
        <v>164</v>
      </c>
      <c r="B101" s="3" t="s">
        <v>148</v>
      </c>
      <c r="C101">
        <v>35</v>
      </c>
      <c r="D101" t="s">
        <v>137</v>
      </c>
      <c r="F101">
        <f t="shared" si="1"/>
        <v>38.580849999999998</v>
      </c>
    </row>
    <row r="102" spans="1:6" x14ac:dyDescent="0.35">
      <c r="A102" t="s">
        <v>164</v>
      </c>
      <c r="B102" s="3" t="s">
        <v>148</v>
      </c>
      <c r="C102">
        <v>31</v>
      </c>
      <c r="D102" t="s">
        <v>153</v>
      </c>
      <c r="F102">
        <f t="shared" si="1"/>
        <v>34.171609999999994</v>
      </c>
    </row>
    <row r="103" spans="1:6" x14ac:dyDescent="0.35">
      <c r="A103" t="s">
        <v>21</v>
      </c>
      <c r="B103" s="3" t="s">
        <v>147</v>
      </c>
      <c r="C103">
        <v>103000</v>
      </c>
      <c r="D103" t="s">
        <v>137</v>
      </c>
      <c r="F103">
        <f t="shared" si="1"/>
        <v>113537.93</v>
      </c>
    </row>
    <row r="104" spans="1:6" x14ac:dyDescent="0.35">
      <c r="A104" t="s">
        <v>21</v>
      </c>
      <c r="B104" s="3" t="s">
        <v>147</v>
      </c>
      <c r="C104">
        <v>115000</v>
      </c>
      <c r="D104" t="s">
        <v>137</v>
      </c>
      <c r="F104">
        <f t="shared" si="1"/>
        <v>126765.65</v>
      </c>
    </row>
    <row r="105" spans="1:6" x14ac:dyDescent="0.35">
      <c r="A105" t="s">
        <v>21</v>
      </c>
      <c r="B105" s="3" t="s">
        <v>147</v>
      </c>
      <c r="C105">
        <v>140000</v>
      </c>
      <c r="D105" t="s">
        <v>155</v>
      </c>
      <c r="F105">
        <f t="shared" si="1"/>
        <v>154323.4</v>
      </c>
    </row>
    <row r="106" spans="1:6" x14ac:dyDescent="0.35">
      <c r="A106" t="s">
        <v>21</v>
      </c>
      <c r="B106" s="3" t="s">
        <v>147</v>
      </c>
      <c r="C106">
        <v>150000</v>
      </c>
      <c r="D106" t="s">
        <v>357</v>
      </c>
      <c r="F106">
        <f t="shared" si="1"/>
        <v>165346.49999999997</v>
      </c>
    </row>
    <row r="107" spans="1:6" x14ac:dyDescent="0.35">
      <c r="A107" t="s">
        <v>21</v>
      </c>
      <c r="B107" s="3" t="s">
        <v>147</v>
      </c>
      <c r="C107">
        <v>103000</v>
      </c>
      <c r="D107" t="s">
        <v>10</v>
      </c>
      <c r="F107">
        <f t="shared" si="1"/>
        <v>113537.93</v>
      </c>
    </row>
    <row r="108" spans="1:6" x14ac:dyDescent="0.35">
      <c r="A108" t="s">
        <v>21</v>
      </c>
      <c r="B108" s="3" t="s">
        <v>147</v>
      </c>
      <c r="C108">
        <v>115000</v>
      </c>
      <c r="D108" t="s">
        <v>10</v>
      </c>
      <c r="F108">
        <f t="shared" si="1"/>
        <v>126765.65</v>
      </c>
    </row>
    <row r="109" spans="1:6" x14ac:dyDescent="0.35">
      <c r="A109" t="s">
        <v>21</v>
      </c>
      <c r="B109" s="3" t="s">
        <v>147</v>
      </c>
      <c r="C109">
        <v>98000</v>
      </c>
      <c r="D109" t="s">
        <v>156</v>
      </c>
      <c r="F109">
        <f t="shared" si="1"/>
        <v>108026.37999999999</v>
      </c>
    </row>
    <row r="110" spans="1:6" x14ac:dyDescent="0.35">
      <c r="A110" t="s">
        <v>21</v>
      </c>
      <c r="B110" s="3" t="s">
        <v>147</v>
      </c>
      <c r="C110">
        <v>148000</v>
      </c>
      <c r="D110" t="s">
        <v>156</v>
      </c>
      <c r="F110">
        <f t="shared" si="1"/>
        <v>163141.87999999998</v>
      </c>
    </row>
    <row r="111" spans="1:6" x14ac:dyDescent="0.35">
      <c r="A111" t="s">
        <v>21</v>
      </c>
      <c r="B111" s="3" t="s">
        <v>147</v>
      </c>
      <c r="C111">
        <v>120000</v>
      </c>
      <c r="D111" t="s">
        <v>161</v>
      </c>
      <c r="F111">
        <f t="shared" si="1"/>
        <v>132277.19999999998</v>
      </c>
    </row>
    <row r="112" spans="1:6" x14ac:dyDescent="0.35">
      <c r="A112" t="s">
        <v>21</v>
      </c>
      <c r="B112" s="3" t="s">
        <v>147</v>
      </c>
      <c r="C112">
        <v>89840</v>
      </c>
      <c r="D112" t="s">
        <v>158</v>
      </c>
      <c r="F112">
        <f t="shared" si="1"/>
        <v>99031.530399999989</v>
      </c>
    </row>
    <row r="113" spans="1:6" x14ac:dyDescent="0.35">
      <c r="A113" t="s">
        <v>21</v>
      </c>
      <c r="B113" s="3" t="s">
        <v>147</v>
      </c>
      <c r="C113">
        <v>138000</v>
      </c>
      <c r="D113" t="s">
        <v>159</v>
      </c>
      <c r="F113">
        <f t="shared" si="1"/>
        <v>152118.78</v>
      </c>
    </row>
    <row r="114" spans="1:6" x14ac:dyDescent="0.35">
      <c r="A114" t="s">
        <v>21</v>
      </c>
      <c r="B114" s="3" t="s">
        <v>148</v>
      </c>
      <c r="C114">
        <v>350000</v>
      </c>
      <c r="D114" t="s">
        <v>357</v>
      </c>
      <c r="F114">
        <f t="shared" si="1"/>
        <v>385808.49999999994</v>
      </c>
    </row>
    <row r="115" spans="1:6" x14ac:dyDescent="0.35">
      <c r="A115" t="s">
        <v>21</v>
      </c>
      <c r="B115" s="3" t="s">
        <v>148</v>
      </c>
      <c r="C115">
        <v>317000</v>
      </c>
      <c r="D115" t="s">
        <v>159</v>
      </c>
      <c r="F115">
        <f t="shared" si="1"/>
        <v>349432.26999999996</v>
      </c>
    </row>
    <row r="116" spans="1:6" x14ac:dyDescent="0.35">
      <c r="A116" t="s">
        <v>165</v>
      </c>
      <c r="B116" s="3" t="s">
        <v>148</v>
      </c>
      <c r="C116">
        <v>1</v>
      </c>
      <c r="D116" t="s">
        <v>137</v>
      </c>
      <c r="F116">
        <f t="shared" si="1"/>
        <v>1.1023099999999999</v>
      </c>
    </row>
    <row r="117" spans="1:6" x14ac:dyDescent="0.35">
      <c r="A117" t="s">
        <v>165</v>
      </c>
      <c r="B117" s="3" t="s">
        <v>147</v>
      </c>
      <c r="C117">
        <v>7</v>
      </c>
      <c r="D117" t="s">
        <v>137</v>
      </c>
      <c r="F117">
        <f t="shared" si="1"/>
        <v>7.7161699999999991</v>
      </c>
    </row>
    <row r="118" spans="1:6" x14ac:dyDescent="0.35">
      <c r="A118" t="s">
        <v>165</v>
      </c>
      <c r="B118" s="3" t="s">
        <v>147</v>
      </c>
      <c r="C118">
        <v>6</v>
      </c>
      <c r="D118" t="s">
        <v>153</v>
      </c>
      <c r="F118">
        <f t="shared" si="1"/>
        <v>6.613859999999999</v>
      </c>
    </row>
    <row r="119" spans="1:6" x14ac:dyDescent="0.35">
      <c r="A119" t="s">
        <v>123</v>
      </c>
      <c r="B119" s="3" t="s">
        <v>162</v>
      </c>
      <c r="C119">
        <v>90</v>
      </c>
      <c r="D119" t="s">
        <v>153</v>
      </c>
      <c r="F119">
        <f t="shared" si="1"/>
        <v>99.207899999999995</v>
      </c>
    </row>
    <row r="120" spans="1:6" x14ac:dyDescent="0.35">
      <c r="A120" t="s">
        <v>118</v>
      </c>
      <c r="B120" s="3" t="s">
        <v>150</v>
      </c>
      <c r="C120">
        <v>90</v>
      </c>
      <c r="D120" t="s">
        <v>153</v>
      </c>
      <c r="F120">
        <f t="shared" si="1"/>
        <v>99.207899999999995</v>
      </c>
    </row>
    <row r="121" spans="1:6" x14ac:dyDescent="0.35">
      <c r="A121" t="s">
        <v>118</v>
      </c>
      <c r="B121" s="3" t="s">
        <v>151</v>
      </c>
      <c r="C121">
        <v>700</v>
      </c>
      <c r="D121" t="s">
        <v>153</v>
      </c>
      <c r="F121">
        <f t="shared" si="1"/>
        <v>771.61699999999996</v>
      </c>
    </row>
    <row r="122" spans="1:6" x14ac:dyDescent="0.35">
      <c r="A122" t="s">
        <v>126</v>
      </c>
      <c r="B122" s="3" t="s">
        <v>162</v>
      </c>
      <c r="C122">
        <v>5150</v>
      </c>
      <c r="D122" t="s">
        <v>137</v>
      </c>
      <c r="F122">
        <f t="shared" si="1"/>
        <v>5676.8964999999998</v>
      </c>
    </row>
    <row r="123" spans="1:6" x14ac:dyDescent="0.35">
      <c r="A123" t="s">
        <v>126</v>
      </c>
      <c r="B123" s="3" t="s">
        <v>162</v>
      </c>
      <c r="C123">
        <v>5750</v>
      </c>
      <c r="D123" t="s">
        <v>137</v>
      </c>
      <c r="F123">
        <f t="shared" si="1"/>
        <v>6338.2824999999993</v>
      </c>
    </row>
    <row r="124" spans="1:6" x14ac:dyDescent="0.35">
      <c r="B124" s="3"/>
    </row>
    <row r="126" spans="1:6" x14ac:dyDescent="0.35">
      <c r="A126" s="46" t="s">
        <v>167</v>
      </c>
    </row>
    <row r="127" spans="1:6" ht="15" thickBot="1" x14ac:dyDescent="0.4">
      <c r="A127" s="19" t="s">
        <v>223</v>
      </c>
    </row>
    <row r="128" spans="1:6" ht="15" thickBot="1" x14ac:dyDescent="0.4">
      <c r="A128" s="13" t="s">
        <v>169</v>
      </c>
      <c r="B128" s="31" t="s">
        <v>224</v>
      </c>
      <c r="C128" s="13" t="s">
        <v>225</v>
      </c>
      <c r="D128" s="13" t="s">
        <v>226</v>
      </c>
      <c r="E128" s="13" t="s">
        <v>227</v>
      </c>
      <c r="F128" s="13" t="s">
        <v>228</v>
      </c>
    </row>
    <row r="129" spans="1:8" ht="15" thickBot="1" x14ac:dyDescent="0.4">
      <c r="A129" s="15" t="s">
        <v>204</v>
      </c>
      <c r="B129" s="15" t="s">
        <v>229</v>
      </c>
      <c r="C129" s="15" t="s">
        <v>230</v>
      </c>
      <c r="D129" s="15" t="s">
        <v>231</v>
      </c>
      <c r="E129" s="15" t="s">
        <v>232</v>
      </c>
      <c r="F129" s="15" t="s">
        <v>233</v>
      </c>
      <c r="H129" t="s">
        <v>278</v>
      </c>
    </row>
    <row r="130" spans="1:8" ht="104" thickBot="1" x14ac:dyDescent="0.4">
      <c r="A130" s="15" t="s">
        <v>132</v>
      </c>
      <c r="B130" s="15" t="s">
        <v>234</v>
      </c>
      <c r="C130" s="15" t="s">
        <v>235</v>
      </c>
      <c r="D130" s="15" t="s">
        <v>236</v>
      </c>
      <c r="E130" s="15" t="s">
        <v>237</v>
      </c>
      <c r="F130" s="15" t="s">
        <v>238</v>
      </c>
      <c r="H130" s="14" t="s">
        <v>279</v>
      </c>
    </row>
    <row r="131" spans="1:8" ht="15" thickBot="1" x14ac:dyDescent="0.4">
      <c r="A131" s="15" t="s">
        <v>239</v>
      </c>
      <c r="B131" s="32" t="s">
        <v>240</v>
      </c>
      <c r="C131" s="15" t="s">
        <v>240</v>
      </c>
      <c r="D131" s="33" t="s">
        <v>240</v>
      </c>
      <c r="E131" s="33" t="s">
        <v>240</v>
      </c>
      <c r="F131" s="15" t="s">
        <v>240</v>
      </c>
    </row>
    <row r="132" spans="1:8" ht="35" thickBot="1" x14ac:dyDescent="0.4">
      <c r="A132" s="15" t="s">
        <v>241</v>
      </c>
      <c r="B132" s="33" t="s">
        <v>242</v>
      </c>
      <c r="C132" s="15" t="s">
        <v>243</v>
      </c>
      <c r="D132" s="33" t="s">
        <v>243</v>
      </c>
      <c r="E132" s="33" t="s">
        <v>244</v>
      </c>
      <c r="F132" s="15" t="s">
        <v>245</v>
      </c>
    </row>
    <row r="133" spans="1:8" ht="23.5" thickBot="1" x14ac:dyDescent="0.4">
      <c r="A133" s="15" t="s">
        <v>246</v>
      </c>
      <c r="B133" s="33" t="s">
        <v>247</v>
      </c>
      <c r="C133" s="33">
        <v>700</v>
      </c>
      <c r="D133" s="33">
        <v>500</v>
      </c>
      <c r="E133" s="33" t="s">
        <v>248</v>
      </c>
      <c r="F133" s="15" t="s">
        <v>249</v>
      </c>
    </row>
    <row r="134" spans="1:8" ht="15" thickBot="1" x14ac:dyDescent="0.4">
      <c r="A134" s="15" t="s">
        <v>250</v>
      </c>
      <c r="B134" s="32" t="s">
        <v>251</v>
      </c>
      <c r="C134" s="34">
        <v>0</v>
      </c>
      <c r="D134" s="34">
        <v>6</v>
      </c>
      <c r="E134" s="34">
        <v>1</v>
      </c>
      <c r="F134" s="34">
        <v>0</v>
      </c>
    </row>
    <row r="135" spans="1:8" ht="23.5" thickBot="1" x14ac:dyDescent="0.4">
      <c r="A135" s="15" t="s">
        <v>252</v>
      </c>
      <c r="B135" s="34" t="s">
        <v>253</v>
      </c>
      <c r="C135" s="33">
        <v>525</v>
      </c>
      <c r="D135" s="33">
        <v>525</v>
      </c>
      <c r="E135" s="33">
        <v>580</v>
      </c>
      <c r="F135" s="33">
        <v>470</v>
      </c>
    </row>
    <row r="136" spans="1:8" ht="23.5" thickBot="1" x14ac:dyDescent="0.4">
      <c r="A136" s="15" t="s">
        <v>254</v>
      </c>
      <c r="B136" s="33" t="s">
        <v>255</v>
      </c>
      <c r="C136" s="15" t="s">
        <v>256</v>
      </c>
      <c r="D136" s="33" t="s">
        <v>257</v>
      </c>
      <c r="E136" s="33">
        <v>950</v>
      </c>
      <c r="F136" s="15" t="s">
        <v>249</v>
      </c>
    </row>
    <row r="137" spans="1:8" ht="23.5" thickBot="1" x14ac:dyDescent="0.4">
      <c r="A137" s="15" t="s">
        <v>258</v>
      </c>
      <c r="B137" s="35">
        <v>44974</v>
      </c>
      <c r="C137" s="34">
        <v>6</v>
      </c>
      <c r="D137" s="33">
        <v>17</v>
      </c>
      <c r="E137" s="34">
        <v>6</v>
      </c>
      <c r="F137" s="34">
        <v>2</v>
      </c>
    </row>
    <row r="138" spans="1:8" ht="23.5" thickBot="1" x14ac:dyDescent="0.4">
      <c r="A138" s="15" t="s">
        <v>259</v>
      </c>
      <c r="B138" s="15" t="s">
        <v>260</v>
      </c>
      <c r="C138" s="15" t="s">
        <v>261</v>
      </c>
      <c r="D138" s="15" t="s">
        <v>261</v>
      </c>
      <c r="E138" s="15" t="s">
        <v>262</v>
      </c>
      <c r="F138" s="15" t="s">
        <v>263</v>
      </c>
    </row>
    <row r="139" spans="1:8" ht="23.5" thickBot="1" x14ac:dyDescent="0.4">
      <c r="A139" s="15" t="s">
        <v>264</v>
      </c>
      <c r="B139" s="34" t="s">
        <v>265</v>
      </c>
      <c r="C139" s="33">
        <v>790</v>
      </c>
      <c r="D139" s="33">
        <v>790</v>
      </c>
      <c r="E139" s="33">
        <v>800</v>
      </c>
      <c r="F139" s="33">
        <v>780</v>
      </c>
    </row>
    <row r="140" spans="1:8" ht="23.5" thickBot="1" x14ac:dyDescent="0.4">
      <c r="A140" s="15" t="s">
        <v>266</v>
      </c>
      <c r="B140" s="34" t="s">
        <v>267</v>
      </c>
      <c r="C140" s="33">
        <v>109</v>
      </c>
      <c r="D140" s="33">
        <v>109</v>
      </c>
      <c r="E140" s="33">
        <v>119</v>
      </c>
      <c r="F140" s="33">
        <v>99</v>
      </c>
    </row>
    <row r="141" spans="1:8" ht="23.5" thickBot="1" x14ac:dyDescent="0.4">
      <c r="A141" s="15" t="s">
        <v>268</v>
      </c>
      <c r="B141" s="34" t="s">
        <v>269</v>
      </c>
      <c r="C141" s="33">
        <v>28</v>
      </c>
      <c r="D141" s="33">
        <v>180</v>
      </c>
      <c r="E141" s="33">
        <v>51</v>
      </c>
      <c r="F141" s="33">
        <v>12</v>
      </c>
    </row>
    <row r="142" spans="1:8" ht="23.5" thickBot="1" x14ac:dyDescent="0.4">
      <c r="A142" s="15" t="s">
        <v>270</v>
      </c>
      <c r="B142" s="34" t="s">
        <v>271</v>
      </c>
      <c r="C142" s="33">
        <v>340</v>
      </c>
      <c r="D142" s="33">
        <v>240</v>
      </c>
      <c r="E142" s="33">
        <v>440</v>
      </c>
      <c r="F142" s="33">
        <v>430</v>
      </c>
    </row>
    <row r="143" spans="1:8" ht="23.5" thickBot="1" x14ac:dyDescent="0.4">
      <c r="A143" s="15" t="s">
        <v>272</v>
      </c>
      <c r="B143" s="32" t="s">
        <v>273</v>
      </c>
      <c r="C143" s="34">
        <v>9</v>
      </c>
      <c r="D143" s="33">
        <v>35</v>
      </c>
      <c r="E143" s="34">
        <v>4</v>
      </c>
      <c r="F143" s="34">
        <v>0</v>
      </c>
    </row>
    <row r="144" spans="1:8" ht="23.5" thickBot="1" x14ac:dyDescent="0.4">
      <c r="A144" s="15" t="s">
        <v>274</v>
      </c>
      <c r="B144" s="32" t="s">
        <v>275</v>
      </c>
      <c r="C144" s="34">
        <v>1</v>
      </c>
      <c r="D144" s="34">
        <v>7</v>
      </c>
      <c r="E144" s="34">
        <v>1</v>
      </c>
      <c r="F144" s="34">
        <v>0</v>
      </c>
    </row>
    <row r="145" spans="1:6" ht="15" thickBot="1" x14ac:dyDescent="0.4">
      <c r="A145" s="15" t="s">
        <v>276</v>
      </c>
      <c r="B145" s="32" t="s">
        <v>277</v>
      </c>
      <c r="C145" s="15" t="s">
        <v>277</v>
      </c>
      <c r="D145" s="33" t="s">
        <v>277</v>
      </c>
      <c r="E145" s="33" t="s">
        <v>277</v>
      </c>
      <c r="F145" s="15" t="s">
        <v>277</v>
      </c>
    </row>
    <row r="146" spans="1:6" x14ac:dyDescent="0.35">
      <c r="A146" s="28" t="s">
        <v>218</v>
      </c>
    </row>
    <row r="147" spans="1:6" x14ac:dyDescent="0.35">
      <c r="A147" t="s">
        <v>290</v>
      </c>
    </row>
    <row r="148" spans="1:6" ht="15" thickBot="1" x14ac:dyDescent="0.4">
      <c r="A148" s="36" t="s">
        <v>280</v>
      </c>
    </row>
    <row r="149" spans="1:6" ht="19.5" thickBot="1" x14ac:dyDescent="0.4">
      <c r="A149" s="38" t="s">
        <v>281</v>
      </c>
      <c r="B149" s="38" t="s">
        <v>282</v>
      </c>
      <c r="C149" s="38" t="s">
        <v>283</v>
      </c>
      <c r="D149" s="38" t="s">
        <v>4</v>
      </c>
    </row>
    <row r="150" spans="1:6" ht="58" x14ac:dyDescent="0.35">
      <c r="A150" s="37" t="s">
        <v>21</v>
      </c>
      <c r="B150" s="37">
        <v>132</v>
      </c>
      <c r="C150" s="37">
        <v>132</v>
      </c>
      <c r="D150" s="11" t="s">
        <v>284</v>
      </c>
    </row>
    <row r="151" spans="1:6" ht="58" x14ac:dyDescent="0.35">
      <c r="A151" s="37" t="s">
        <v>125</v>
      </c>
      <c r="B151" s="37">
        <v>0.37</v>
      </c>
      <c r="C151" s="37">
        <v>0.37</v>
      </c>
      <c r="D151" s="11" t="s">
        <v>284</v>
      </c>
    </row>
    <row r="152" spans="1:6" ht="58" x14ac:dyDescent="0.35">
      <c r="A152" s="37" t="s">
        <v>113</v>
      </c>
      <c r="B152" s="37">
        <v>2</v>
      </c>
      <c r="C152" s="37">
        <v>10</v>
      </c>
      <c r="D152" s="11" t="s">
        <v>284</v>
      </c>
    </row>
    <row r="153" spans="1:6" x14ac:dyDescent="0.35">
      <c r="A153" s="37" t="s">
        <v>116</v>
      </c>
      <c r="B153" s="37">
        <v>0.111</v>
      </c>
      <c r="C153" s="37">
        <v>0.111</v>
      </c>
      <c r="D153" s="37" t="s">
        <v>285</v>
      </c>
    </row>
    <row r="154" spans="1:6" ht="29" x14ac:dyDescent="0.35">
      <c r="A154" s="37" t="s">
        <v>121</v>
      </c>
      <c r="B154" s="37">
        <v>0</v>
      </c>
      <c r="C154" s="37">
        <f>6.72*1000</f>
        <v>6720</v>
      </c>
      <c r="D154" s="11" t="s">
        <v>286</v>
      </c>
    </row>
    <row r="155" spans="1:6" ht="29" x14ac:dyDescent="0.35">
      <c r="A155" s="37" t="s">
        <v>287</v>
      </c>
      <c r="B155" s="37">
        <v>0</v>
      </c>
      <c r="C155" s="37">
        <v>1240</v>
      </c>
      <c r="D155" s="11" t="s">
        <v>288</v>
      </c>
    </row>
    <row r="156" spans="1:6" ht="29.5" thickBot="1" x14ac:dyDescent="0.4">
      <c r="A156" s="39" t="s">
        <v>289</v>
      </c>
      <c r="B156" s="39">
        <v>0</v>
      </c>
      <c r="C156" s="39">
        <v>20.2</v>
      </c>
      <c r="D156" s="40" t="s">
        <v>288</v>
      </c>
    </row>
    <row r="160" spans="1:6" x14ac:dyDescent="0.35">
      <c r="A160" s="46" t="s">
        <v>317</v>
      </c>
    </row>
    <row r="161" spans="1:13" ht="18.5" thickBot="1" x14ac:dyDescent="0.4">
      <c r="A161" s="41" t="s">
        <v>297</v>
      </c>
      <c r="B161" s="7" t="s">
        <v>112</v>
      </c>
      <c r="C161" s="7" t="s">
        <v>113</v>
      </c>
      <c r="D161" s="7" t="s">
        <v>289</v>
      </c>
      <c r="E161" s="7" t="s">
        <v>298</v>
      </c>
      <c r="F161" s="7" t="s">
        <v>120</v>
      </c>
      <c r="G161" s="7" t="s">
        <v>299</v>
      </c>
      <c r="H161" s="7" t="s">
        <v>287</v>
      </c>
      <c r="I161" s="7" t="s">
        <v>116</v>
      </c>
      <c r="J161" s="7" t="s">
        <v>300</v>
      </c>
      <c r="K161" s="7" t="s">
        <v>142</v>
      </c>
      <c r="L161" s="7" t="s">
        <v>122</v>
      </c>
      <c r="M161" s="7" t="s">
        <v>143</v>
      </c>
    </row>
    <row r="162" spans="1:13" ht="18" x14ac:dyDescent="0.35">
      <c r="A162" s="42" t="s">
        <v>301</v>
      </c>
      <c r="B162" s="43">
        <v>7100000</v>
      </c>
      <c r="C162" s="43">
        <v>790000000</v>
      </c>
      <c r="D162" s="43">
        <v>55000</v>
      </c>
      <c r="E162" s="43">
        <v>5200</v>
      </c>
      <c r="F162" s="43">
        <v>47100</v>
      </c>
      <c r="G162" s="43">
        <v>16000000</v>
      </c>
      <c r="H162" s="43">
        <v>4100000</v>
      </c>
      <c r="I162" s="43">
        <v>74000000</v>
      </c>
      <c r="J162" s="43">
        <v>44100</v>
      </c>
      <c r="K162" s="43">
        <v>100000</v>
      </c>
      <c r="L162" s="43">
        <v>530000</v>
      </c>
      <c r="M162" s="43">
        <v>31000</v>
      </c>
    </row>
    <row r="163" spans="1:13" ht="18" x14ac:dyDescent="0.35">
      <c r="A163" s="42" t="s">
        <v>302</v>
      </c>
      <c r="B163" s="43">
        <v>110000</v>
      </c>
      <c r="C163" s="43">
        <v>19700000</v>
      </c>
      <c r="D163" s="43">
        <v>1350</v>
      </c>
      <c r="E163" s="43">
        <v>555</v>
      </c>
      <c r="F163" s="43">
        <v>720</v>
      </c>
      <c r="G163" s="43">
        <v>43000</v>
      </c>
      <c r="H163" s="43">
        <v>21000</v>
      </c>
      <c r="I163" s="43">
        <v>2100000</v>
      </c>
      <c r="J163" s="43">
        <v>200</v>
      </c>
      <c r="K163" s="43">
        <v>3300</v>
      </c>
      <c r="L163" s="43">
        <v>25000</v>
      </c>
      <c r="M163" s="43">
        <v>420</v>
      </c>
    </row>
    <row r="164" spans="1:13" ht="27" x14ac:dyDescent="0.35">
      <c r="A164" s="42" t="s">
        <v>303</v>
      </c>
      <c r="B164" s="44">
        <v>0.4</v>
      </c>
      <c r="C164" s="44">
        <v>0.6</v>
      </c>
      <c r="D164" s="44">
        <v>0.15</v>
      </c>
      <c r="E164" s="44">
        <v>0.15</v>
      </c>
      <c r="F164" s="44">
        <v>0.4</v>
      </c>
      <c r="G164" s="44">
        <v>0.1</v>
      </c>
      <c r="H164" s="44">
        <v>0.15</v>
      </c>
      <c r="I164" s="44">
        <v>0.6</v>
      </c>
      <c r="J164" s="44">
        <v>0.7</v>
      </c>
      <c r="K164" s="44">
        <v>0.05</v>
      </c>
      <c r="L164" s="44">
        <v>0.8</v>
      </c>
      <c r="M164" s="44">
        <v>0</v>
      </c>
    </row>
    <row r="165" spans="1:13" ht="27" x14ac:dyDescent="0.35">
      <c r="A165" s="42" t="s">
        <v>304</v>
      </c>
      <c r="B165" s="43"/>
      <c r="C165" s="43"/>
      <c r="D165" s="43"/>
      <c r="E165" s="43"/>
      <c r="F165" s="43"/>
      <c r="G165" s="43"/>
      <c r="H165" s="43"/>
      <c r="I165" s="43"/>
      <c r="J165" s="43"/>
      <c r="K165" s="43"/>
      <c r="L165" s="43"/>
      <c r="M165" s="43"/>
    </row>
    <row r="166" spans="1:13" ht="27" x14ac:dyDescent="0.35">
      <c r="A166" s="42" t="s">
        <v>305</v>
      </c>
      <c r="B166" s="43"/>
      <c r="C166" s="43">
        <v>4982</v>
      </c>
      <c r="D166" s="43"/>
      <c r="E166" s="43"/>
      <c r="F166" s="43"/>
      <c r="G166" s="43"/>
      <c r="H166" s="43"/>
      <c r="I166" s="43">
        <v>377</v>
      </c>
      <c r="J166" s="43"/>
      <c r="K166" s="43"/>
      <c r="L166" s="43"/>
      <c r="M166" s="43"/>
    </row>
    <row r="167" spans="1:13" ht="18" x14ac:dyDescent="0.35">
      <c r="A167" s="42" t="s">
        <v>306</v>
      </c>
      <c r="B167" s="43"/>
      <c r="C167" s="43">
        <v>4700</v>
      </c>
      <c r="D167" s="43">
        <v>13</v>
      </c>
      <c r="E167" s="43"/>
      <c r="F167" s="43"/>
      <c r="G167" s="43"/>
      <c r="H167" s="43">
        <v>200</v>
      </c>
      <c r="I167" s="43">
        <v>377</v>
      </c>
      <c r="J167" s="43"/>
      <c r="K167" s="43"/>
      <c r="L167" s="43"/>
      <c r="M167" s="43"/>
    </row>
    <row r="170" spans="1:13" x14ac:dyDescent="0.35">
      <c r="A170" s="42" t="s">
        <v>335</v>
      </c>
    </row>
    <row r="171" spans="1:13" x14ac:dyDescent="0.35">
      <c r="A171" s="42" t="s">
        <v>334</v>
      </c>
      <c r="B171" t="s">
        <v>336</v>
      </c>
    </row>
    <row r="172" spans="1:13" x14ac:dyDescent="0.35">
      <c r="A172" t="s">
        <v>14</v>
      </c>
      <c r="B172">
        <v>2.8</v>
      </c>
      <c r="C172">
        <f>B172*0.000984207</f>
        <v>2.7557795999999996E-3</v>
      </c>
      <c r="D172">
        <f>1000*C172</f>
        <v>2.7557795999999994</v>
      </c>
    </row>
    <row r="174" spans="1:13" x14ac:dyDescent="0.35">
      <c r="A174" t="s">
        <v>18</v>
      </c>
      <c r="B174">
        <v>40.6</v>
      </c>
      <c r="C174">
        <f t="shared" ref="C174:C179" si="2">B174*0.000984207</f>
        <v>3.9958804200000003E-2</v>
      </c>
      <c r="D174">
        <f t="shared" ref="D174:D179" si="3">1000*C174</f>
        <v>39.958804200000003</v>
      </c>
    </row>
    <row r="175" spans="1:13" x14ac:dyDescent="0.35">
      <c r="A175" t="s">
        <v>319</v>
      </c>
      <c r="B175">
        <v>136.6</v>
      </c>
      <c r="C175">
        <f t="shared" si="2"/>
        <v>0.1344426762</v>
      </c>
      <c r="D175">
        <f t="shared" si="3"/>
        <v>134.44267619999999</v>
      </c>
    </row>
    <row r="176" spans="1:13" x14ac:dyDescent="0.35">
      <c r="A176" t="s">
        <v>19</v>
      </c>
      <c r="B176">
        <v>663.4</v>
      </c>
      <c r="C176">
        <f t="shared" si="2"/>
        <v>0.65292292379999994</v>
      </c>
      <c r="D176">
        <f t="shared" si="3"/>
        <v>652.92292379999992</v>
      </c>
    </row>
    <row r="177" spans="1:4" x14ac:dyDescent="0.35">
      <c r="A177" t="s">
        <v>11</v>
      </c>
      <c r="B177">
        <v>1142.9000000000001</v>
      </c>
      <c r="C177">
        <f t="shared" si="2"/>
        <v>1.1248501802999999</v>
      </c>
      <c r="D177">
        <f t="shared" si="3"/>
        <v>1124.8501802999999</v>
      </c>
    </row>
    <row r="178" spans="1:4" x14ac:dyDescent="0.35">
      <c r="A178" t="s">
        <v>324</v>
      </c>
      <c r="B178">
        <v>902.4</v>
      </c>
      <c r="C178">
        <f t="shared" si="2"/>
        <v>0.88814839679999991</v>
      </c>
      <c r="D178">
        <f t="shared" si="3"/>
        <v>888.14839679999989</v>
      </c>
    </row>
    <row r="179" spans="1:4" x14ac:dyDescent="0.35">
      <c r="A179" t="s">
        <v>60</v>
      </c>
      <c r="B179">
        <v>80.5</v>
      </c>
      <c r="C179">
        <f t="shared" si="2"/>
        <v>7.9228663499999991E-2</v>
      </c>
      <c r="D179">
        <f t="shared" si="3"/>
        <v>79.228663499999996</v>
      </c>
    </row>
    <row r="193" spans="2:17" ht="15" thickBot="1" x14ac:dyDescent="0.4">
      <c r="B193" s="74" t="s">
        <v>436</v>
      </c>
    </row>
    <row r="194" spans="2:17" ht="35.5" thickTop="1" thickBot="1" x14ac:dyDescent="0.4">
      <c r="B194" s="75" t="s">
        <v>437</v>
      </c>
      <c r="C194" s="75" t="s">
        <v>202</v>
      </c>
      <c r="D194" s="75" t="s">
        <v>438</v>
      </c>
      <c r="E194" s="75" t="s">
        <v>439</v>
      </c>
      <c r="F194" s="75" t="s">
        <v>440</v>
      </c>
      <c r="G194" s="75" t="s">
        <v>441</v>
      </c>
      <c r="H194" s="76" t="s">
        <v>442</v>
      </c>
      <c r="I194" s="94" t="s">
        <v>481</v>
      </c>
      <c r="Q194" s="81"/>
    </row>
    <row r="195" spans="2:17" ht="46" x14ac:dyDescent="0.35">
      <c r="B195" s="77" t="s">
        <v>443</v>
      </c>
      <c r="C195" s="77" t="s">
        <v>444</v>
      </c>
      <c r="D195" s="78">
        <v>5133</v>
      </c>
      <c r="E195" s="79">
        <v>957</v>
      </c>
      <c r="F195" s="79">
        <v>0</v>
      </c>
      <c r="G195" s="80">
        <v>5</v>
      </c>
      <c r="H195" s="80">
        <v>44</v>
      </c>
      <c r="I195">
        <f>SUM(D195:H195)</f>
        <v>6139</v>
      </c>
    </row>
    <row r="196" spans="2:17" ht="92" x14ac:dyDescent="0.35">
      <c r="B196" s="81" t="s">
        <v>445</v>
      </c>
      <c r="C196" s="77" t="s">
        <v>444</v>
      </c>
      <c r="D196" s="78">
        <v>3524</v>
      </c>
      <c r="E196" s="79">
        <v>149</v>
      </c>
      <c r="F196" s="79">
        <v>0</v>
      </c>
      <c r="G196" s="80">
        <v>0</v>
      </c>
      <c r="H196" s="80">
        <v>20</v>
      </c>
      <c r="I196">
        <f>SUM(D196:H197)</f>
        <v>4309</v>
      </c>
    </row>
    <row r="197" spans="2:17" ht="57.5" x14ac:dyDescent="0.35">
      <c r="B197" s="81" t="s">
        <v>446</v>
      </c>
      <c r="C197" s="77" t="s">
        <v>444</v>
      </c>
      <c r="D197" s="78">
        <v>584</v>
      </c>
      <c r="E197" s="82">
        <v>3</v>
      </c>
      <c r="F197" s="79">
        <v>0</v>
      </c>
      <c r="G197" s="80">
        <v>5</v>
      </c>
      <c r="H197" s="80">
        <v>24</v>
      </c>
    </row>
    <row r="198" spans="2:17" ht="46" x14ac:dyDescent="0.35">
      <c r="B198" s="81" t="s">
        <v>447</v>
      </c>
      <c r="C198" s="77" t="s">
        <v>444</v>
      </c>
      <c r="D198" s="78">
        <v>1000</v>
      </c>
      <c r="E198" s="82">
        <v>0</v>
      </c>
      <c r="F198" s="79">
        <v>0</v>
      </c>
      <c r="G198" s="80">
        <v>0</v>
      </c>
      <c r="H198" s="80">
        <v>0</v>
      </c>
    </row>
    <row r="199" spans="2:17" ht="161" x14ac:dyDescent="0.35">
      <c r="B199" s="81" t="s">
        <v>448</v>
      </c>
      <c r="C199" s="77" t="s">
        <v>444</v>
      </c>
      <c r="D199" s="78">
        <v>24</v>
      </c>
      <c r="E199" s="79">
        <v>805</v>
      </c>
      <c r="F199" s="79">
        <v>0</v>
      </c>
      <c r="G199" s="80">
        <v>0</v>
      </c>
      <c r="H199" s="80">
        <v>0</v>
      </c>
    </row>
    <row r="200" spans="2:17" ht="69" x14ac:dyDescent="0.35">
      <c r="B200" s="77" t="s">
        <v>449</v>
      </c>
      <c r="C200" s="77" t="s">
        <v>444</v>
      </c>
      <c r="D200" s="78">
        <v>105</v>
      </c>
      <c r="E200" s="82">
        <v>0</v>
      </c>
      <c r="F200" s="79">
        <v>555</v>
      </c>
      <c r="G200" s="80">
        <v>0</v>
      </c>
      <c r="H200" s="80">
        <v>0</v>
      </c>
    </row>
    <row r="201" spans="2:17" ht="149.5" x14ac:dyDescent="0.35">
      <c r="B201" s="81" t="s">
        <v>450</v>
      </c>
      <c r="C201" s="77" t="s">
        <v>444</v>
      </c>
      <c r="D201" s="78">
        <v>105</v>
      </c>
      <c r="E201" s="82">
        <v>0</v>
      </c>
      <c r="F201" s="79">
        <v>555</v>
      </c>
      <c r="G201" s="80">
        <v>0</v>
      </c>
      <c r="H201" s="80">
        <v>0</v>
      </c>
      <c r="I201">
        <f>SUM(D201:H201)</f>
        <v>660</v>
      </c>
    </row>
    <row r="202" spans="2:17" ht="80.5" x14ac:dyDescent="0.35">
      <c r="B202" s="77" t="s">
        <v>451</v>
      </c>
      <c r="C202" s="77" t="s">
        <v>444</v>
      </c>
      <c r="D202" s="78">
        <v>42</v>
      </c>
      <c r="E202" s="82">
        <v>1</v>
      </c>
      <c r="F202" s="79">
        <v>110</v>
      </c>
      <c r="G202" s="80">
        <v>2</v>
      </c>
      <c r="H202" s="80">
        <v>11</v>
      </c>
    </row>
    <row r="203" spans="2:17" ht="34.5" x14ac:dyDescent="0.35">
      <c r="B203" s="81" t="s">
        <v>113</v>
      </c>
      <c r="C203" s="77" t="s">
        <v>444</v>
      </c>
      <c r="D203" s="78">
        <v>42</v>
      </c>
      <c r="E203" s="82">
        <v>1</v>
      </c>
      <c r="F203" s="79">
        <v>110</v>
      </c>
      <c r="G203" s="80">
        <v>2</v>
      </c>
      <c r="H203" s="80">
        <v>11</v>
      </c>
      <c r="I203">
        <f>SUM(D203:H203)</f>
        <v>166</v>
      </c>
    </row>
    <row r="204" spans="2:17" ht="69" x14ac:dyDescent="0.35">
      <c r="B204" s="81" t="s">
        <v>452</v>
      </c>
      <c r="C204" s="77" t="s">
        <v>444</v>
      </c>
      <c r="D204" s="79">
        <v>0</v>
      </c>
      <c r="E204" s="82">
        <v>0</v>
      </c>
      <c r="F204" s="79">
        <v>0</v>
      </c>
      <c r="G204" s="80">
        <v>0</v>
      </c>
      <c r="H204" s="80">
        <v>0</v>
      </c>
    </row>
    <row r="205" spans="2:17" ht="34.5" x14ac:dyDescent="0.35">
      <c r="B205" s="77" t="s">
        <v>453</v>
      </c>
      <c r="C205" s="77" t="s">
        <v>444</v>
      </c>
      <c r="D205" s="78">
        <v>261</v>
      </c>
      <c r="E205" s="82">
        <v>3</v>
      </c>
      <c r="F205" s="78">
        <v>1015</v>
      </c>
      <c r="G205" s="80">
        <v>0</v>
      </c>
      <c r="H205" s="80">
        <v>0</v>
      </c>
      <c r="I205">
        <f>SUM(D205:H205)</f>
        <v>1279</v>
      </c>
    </row>
    <row r="206" spans="2:17" ht="69" x14ac:dyDescent="0.35">
      <c r="B206" s="81" t="s">
        <v>454</v>
      </c>
      <c r="C206" s="77" t="s">
        <v>444</v>
      </c>
      <c r="D206" s="78">
        <v>56</v>
      </c>
      <c r="E206" s="82">
        <v>3</v>
      </c>
      <c r="F206" s="79">
        <v>848</v>
      </c>
      <c r="G206" s="80">
        <v>0</v>
      </c>
      <c r="H206" s="80">
        <v>0</v>
      </c>
    </row>
    <row r="207" spans="2:17" ht="103.5" x14ac:dyDescent="0.35">
      <c r="B207" s="81" t="s">
        <v>455</v>
      </c>
      <c r="C207" s="77" t="s">
        <v>444</v>
      </c>
      <c r="D207" s="79">
        <v>3</v>
      </c>
      <c r="E207" s="82">
        <v>0</v>
      </c>
      <c r="F207" s="79">
        <v>0</v>
      </c>
      <c r="G207" s="80">
        <v>0</v>
      </c>
      <c r="H207" s="80">
        <v>0</v>
      </c>
    </row>
    <row r="208" spans="2:17" ht="149.5" x14ac:dyDescent="0.35">
      <c r="B208" s="81" t="s">
        <v>456</v>
      </c>
      <c r="C208" s="77" t="s">
        <v>444</v>
      </c>
      <c r="D208" s="79">
        <v>6</v>
      </c>
      <c r="E208" s="82">
        <v>0</v>
      </c>
      <c r="F208" s="79">
        <v>0</v>
      </c>
      <c r="G208" s="80">
        <v>0</v>
      </c>
      <c r="H208" s="80">
        <v>0</v>
      </c>
    </row>
    <row r="209" spans="2:10" ht="46.5" thickBot="1" x14ac:dyDescent="0.4">
      <c r="B209" s="83" t="s">
        <v>457</v>
      </c>
      <c r="C209" s="84" t="s">
        <v>444</v>
      </c>
      <c r="D209" s="85">
        <v>73</v>
      </c>
      <c r="E209" s="86">
        <v>0</v>
      </c>
      <c r="F209" s="87">
        <v>167</v>
      </c>
      <c r="G209" s="88">
        <v>0</v>
      </c>
      <c r="H209" s="88">
        <v>0</v>
      </c>
    </row>
    <row r="210" spans="2:10" x14ac:dyDescent="0.35">
      <c r="C210" s="89" t="s">
        <v>458</v>
      </c>
      <c r="D210" s="89" t="s">
        <v>459</v>
      </c>
      <c r="E210" s="89">
        <v>123</v>
      </c>
      <c r="F210" s="89">
        <v>0</v>
      </c>
      <c r="G210" s="89">
        <v>0</v>
      </c>
      <c r="H210" s="89">
        <v>0</v>
      </c>
      <c r="I210" s="89">
        <v>0</v>
      </c>
    </row>
    <row r="211" spans="2:10" x14ac:dyDescent="0.35">
      <c r="B211" s="89" t="s">
        <v>460</v>
      </c>
      <c r="C211" s="89" t="s">
        <v>459</v>
      </c>
      <c r="D211" s="89">
        <v>7</v>
      </c>
      <c r="E211" s="89">
        <v>0</v>
      </c>
      <c r="F211" s="89">
        <v>0</v>
      </c>
      <c r="G211" s="89">
        <v>0</v>
      </c>
      <c r="H211" s="89">
        <v>0</v>
      </c>
    </row>
    <row r="212" spans="2:10" x14ac:dyDescent="0.35">
      <c r="C212" s="89" t="s">
        <v>461</v>
      </c>
      <c r="D212" s="89" t="s">
        <v>459</v>
      </c>
      <c r="E212" s="89">
        <v>7</v>
      </c>
      <c r="F212" s="89">
        <v>0</v>
      </c>
      <c r="G212" s="89">
        <v>0</v>
      </c>
      <c r="H212" s="89">
        <v>0</v>
      </c>
      <c r="I212" s="89">
        <v>0</v>
      </c>
    </row>
    <row r="213" spans="2:10" x14ac:dyDescent="0.35">
      <c r="C213" s="89" t="s">
        <v>462</v>
      </c>
      <c r="D213" s="89" t="s">
        <v>459</v>
      </c>
      <c r="E213" s="89">
        <v>0</v>
      </c>
      <c r="F213" s="89">
        <v>0</v>
      </c>
      <c r="G213" s="89">
        <v>0</v>
      </c>
      <c r="H213" s="89">
        <v>0</v>
      </c>
      <c r="I213" s="89">
        <v>0</v>
      </c>
    </row>
    <row r="214" spans="2:10" x14ac:dyDescent="0.35">
      <c r="B214" s="89" t="s">
        <v>463</v>
      </c>
      <c r="C214" s="89" t="s">
        <v>459</v>
      </c>
      <c r="D214" s="89">
        <v>530</v>
      </c>
      <c r="E214" s="89">
        <v>18772</v>
      </c>
      <c r="F214" s="89">
        <v>1</v>
      </c>
      <c r="G214" s="89">
        <v>0</v>
      </c>
      <c r="H214" s="89">
        <v>1</v>
      </c>
    </row>
    <row r="215" spans="2:10" x14ac:dyDescent="0.35">
      <c r="C215" s="89" t="s">
        <v>464</v>
      </c>
      <c r="D215" s="89" t="s">
        <v>459</v>
      </c>
      <c r="E215" s="89">
        <v>52</v>
      </c>
      <c r="F215" s="89">
        <v>0</v>
      </c>
      <c r="G215" s="89">
        <v>0</v>
      </c>
      <c r="H215" s="89">
        <v>0</v>
      </c>
      <c r="I215" s="89">
        <v>1</v>
      </c>
    </row>
    <row r="216" spans="2:10" x14ac:dyDescent="0.35">
      <c r="C216" s="89" t="s">
        <v>465</v>
      </c>
      <c r="D216" s="89" t="s">
        <v>459</v>
      </c>
      <c r="E216" s="89">
        <v>477</v>
      </c>
      <c r="F216" s="89">
        <v>0</v>
      </c>
      <c r="G216" s="89">
        <v>1</v>
      </c>
      <c r="H216" s="89">
        <v>0</v>
      </c>
      <c r="I216" s="89">
        <v>1</v>
      </c>
      <c r="J216">
        <f>SUM(E216:H216)</f>
        <v>478</v>
      </c>
    </row>
    <row r="217" spans="2:10" x14ac:dyDescent="0.35">
      <c r="C217" s="89"/>
    </row>
    <row r="218" spans="2:10" x14ac:dyDescent="0.35">
      <c r="C218" s="89" t="s">
        <v>466</v>
      </c>
      <c r="D218" s="89" t="s">
        <v>459</v>
      </c>
      <c r="E218" s="89">
        <v>0</v>
      </c>
      <c r="F218" s="89">
        <v>0</v>
      </c>
      <c r="G218" s="89">
        <v>0</v>
      </c>
      <c r="H218" s="89">
        <v>0</v>
      </c>
      <c r="I218" s="89">
        <v>0</v>
      </c>
    </row>
    <row r="219" spans="2:10" x14ac:dyDescent="0.35">
      <c r="C219" s="89" t="s">
        <v>204</v>
      </c>
      <c r="D219" s="89" t="s">
        <v>459</v>
      </c>
      <c r="E219" s="89">
        <v>0</v>
      </c>
      <c r="F219" s="89">
        <v>18772</v>
      </c>
      <c r="G219" s="89">
        <v>0</v>
      </c>
      <c r="H219" s="89">
        <v>0</v>
      </c>
      <c r="I219" s="89">
        <v>0</v>
      </c>
      <c r="J219" s="89">
        <v>18772</v>
      </c>
    </row>
    <row r="220" spans="2:10" x14ac:dyDescent="0.35">
      <c r="C220" s="89" t="s">
        <v>467</v>
      </c>
      <c r="D220" s="89" t="s">
        <v>468</v>
      </c>
      <c r="E220" s="89">
        <v>183</v>
      </c>
      <c r="F220" s="89">
        <v>0</v>
      </c>
      <c r="G220" s="89">
        <v>0</v>
      </c>
      <c r="H220" s="89">
        <v>43</v>
      </c>
      <c r="I220" s="89">
        <v>0</v>
      </c>
    </row>
    <row r="221" spans="2:10" x14ac:dyDescent="0.35">
      <c r="B221" s="89" t="s">
        <v>469</v>
      </c>
      <c r="C221" s="89" t="s">
        <v>459</v>
      </c>
      <c r="D221" s="89">
        <v>60</v>
      </c>
      <c r="E221" s="89">
        <v>0</v>
      </c>
      <c r="F221" s="89">
        <v>0</v>
      </c>
      <c r="G221" s="89">
        <v>0</v>
      </c>
      <c r="H221" s="89">
        <v>0</v>
      </c>
    </row>
    <row r="222" spans="2:10" x14ac:dyDescent="0.35">
      <c r="C222" s="89" t="s">
        <v>470</v>
      </c>
      <c r="D222" s="89" t="s">
        <v>459</v>
      </c>
      <c r="E222" s="89">
        <v>11</v>
      </c>
      <c r="F222" s="89">
        <v>0</v>
      </c>
      <c r="G222" s="89">
        <v>0</v>
      </c>
      <c r="H222" s="89">
        <v>0</v>
      </c>
      <c r="I222" s="89">
        <v>0</v>
      </c>
    </row>
    <row r="223" spans="2:10" x14ac:dyDescent="0.35">
      <c r="C223" s="89" t="s">
        <v>471</v>
      </c>
      <c r="D223" s="89" t="s">
        <v>459</v>
      </c>
      <c r="E223" s="89">
        <v>40</v>
      </c>
      <c r="F223" s="89">
        <v>0</v>
      </c>
      <c r="G223" s="89">
        <v>0</v>
      </c>
      <c r="H223" s="89">
        <v>0</v>
      </c>
      <c r="I223" s="89">
        <v>0</v>
      </c>
    </row>
    <row r="224" spans="2:10" x14ac:dyDescent="0.35">
      <c r="C224" s="89" t="s">
        <v>472</v>
      </c>
      <c r="D224" s="89" t="s">
        <v>459</v>
      </c>
      <c r="E224" s="89">
        <v>9</v>
      </c>
      <c r="F224" s="89">
        <v>0</v>
      </c>
      <c r="G224" s="89">
        <v>0</v>
      </c>
      <c r="H224" s="89">
        <v>0</v>
      </c>
      <c r="I224" s="89">
        <v>0</v>
      </c>
    </row>
    <row r="225" spans="2:9" x14ac:dyDescent="0.35">
      <c r="B225" s="89" t="s">
        <v>473</v>
      </c>
      <c r="C225" s="89" t="s">
        <v>459</v>
      </c>
      <c r="D225" s="89">
        <v>22</v>
      </c>
      <c r="E225" s="89">
        <v>0</v>
      </c>
      <c r="F225" s="89">
        <v>0</v>
      </c>
      <c r="G225" s="89">
        <v>0</v>
      </c>
      <c r="H225" s="89">
        <v>19</v>
      </c>
    </row>
    <row r="226" spans="2:9" x14ac:dyDescent="0.35">
      <c r="C226" s="89" t="s">
        <v>474</v>
      </c>
      <c r="D226" s="89" t="s">
        <v>459</v>
      </c>
      <c r="E226" s="89">
        <v>17</v>
      </c>
      <c r="F226" s="89">
        <v>0</v>
      </c>
      <c r="G226" s="89">
        <v>0</v>
      </c>
      <c r="H226" s="89">
        <v>0</v>
      </c>
      <c r="I226" s="89">
        <v>19</v>
      </c>
    </row>
    <row r="227" spans="2:9" ht="15" thickBot="1" x14ac:dyDescent="0.4">
      <c r="B227" s="89"/>
    </row>
    <row r="228" spans="2:9" ht="15" thickTop="1" x14ac:dyDescent="0.35">
      <c r="B228" s="90" t="s">
        <v>475</v>
      </c>
      <c r="C228" s="91" t="s">
        <v>444</v>
      </c>
      <c r="D228" s="92">
        <v>4</v>
      </c>
      <c r="E228" s="92">
        <v>0</v>
      </c>
      <c r="F228" s="92">
        <v>0</v>
      </c>
      <c r="G228" s="91">
        <v>0</v>
      </c>
      <c r="H228" s="93">
        <v>0</v>
      </c>
    </row>
    <row r="229" spans="2:9" ht="32.5" customHeight="1" x14ac:dyDescent="0.35">
      <c r="B229" s="81" t="s">
        <v>476</v>
      </c>
      <c r="C229" s="77" t="s">
        <v>444</v>
      </c>
      <c r="D229" s="78">
        <v>2</v>
      </c>
      <c r="E229" s="78">
        <v>0</v>
      </c>
      <c r="F229" s="78">
        <v>0</v>
      </c>
      <c r="G229" s="77">
        <v>0</v>
      </c>
      <c r="H229" s="80">
        <v>0</v>
      </c>
    </row>
    <row r="230" spans="2:9" ht="15" thickBot="1" x14ac:dyDescent="0.4">
      <c r="B230" s="84" t="s">
        <v>477</v>
      </c>
      <c r="C230" s="84" t="s">
        <v>444</v>
      </c>
      <c r="D230" s="84">
        <v>30</v>
      </c>
      <c r="E230" s="85">
        <v>0</v>
      </c>
      <c r="F230" s="85">
        <v>0</v>
      </c>
      <c r="G230" s="84">
        <v>0</v>
      </c>
      <c r="H230" s="88">
        <v>0</v>
      </c>
    </row>
    <row r="231" spans="2:9" x14ac:dyDescent="0.35">
      <c r="B231" s="77" t="s">
        <v>478</v>
      </c>
      <c r="C231" s="77" t="s">
        <v>444</v>
      </c>
      <c r="D231" s="77">
        <v>6193</v>
      </c>
      <c r="E231" s="77">
        <v>19733</v>
      </c>
      <c r="F231" s="77">
        <v>1682</v>
      </c>
      <c r="G231" s="77">
        <v>7</v>
      </c>
      <c r="H231" s="80">
        <v>75</v>
      </c>
    </row>
    <row r="232" spans="2:9" x14ac:dyDescent="0.35">
      <c r="B232" s="77" t="s">
        <v>479</v>
      </c>
      <c r="C232" s="77" t="s">
        <v>444</v>
      </c>
      <c r="D232" s="77">
        <v>25</v>
      </c>
      <c r="E232" s="78">
        <v>25</v>
      </c>
      <c r="F232" s="78">
        <v>1</v>
      </c>
      <c r="G232" s="77">
        <v>7</v>
      </c>
      <c r="H232" s="80">
        <v>1</v>
      </c>
    </row>
    <row r="233" spans="2:9" ht="15" thickBot="1" x14ac:dyDescent="0.4">
      <c r="B233" s="84" t="s">
        <v>480</v>
      </c>
      <c r="C233" s="84" t="s">
        <v>444</v>
      </c>
      <c r="D233" s="84">
        <v>248</v>
      </c>
      <c r="E233" s="84">
        <v>789</v>
      </c>
      <c r="F233" s="84">
        <v>1682</v>
      </c>
      <c r="G233" s="84">
        <v>1</v>
      </c>
      <c r="H233" s="88">
        <v>75</v>
      </c>
    </row>
    <row r="241" spans="2:6" x14ac:dyDescent="0.35">
      <c r="B241" t="s">
        <v>26</v>
      </c>
      <c r="C241" t="s">
        <v>27</v>
      </c>
      <c r="D241" t="s">
        <v>7</v>
      </c>
      <c r="E241">
        <v>1000</v>
      </c>
      <c r="F241" t="s">
        <v>28</v>
      </c>
    </row>
    <row r="242" spans="2:6" x14ac:dyDescent="0.35">
      <c r="B242" t="s">
        <v>26</v>
      </c>
      <c r="C242" t="s">
        <v>27</v>
      </c>
      <c r="D242" t="s">
        <v>7</v>
      </c>
      <c r="E242">
        <v>898</v>
      </c>
      <c r="F242" t="s">
        <v>28</v>
      </c>
    </row>
    <row r="243" spans="2:6" x14ac:dyDescent="0.35">
      <c r="B243" t="s">
        <v>26</v>
      </c>
      <c r="C243" t="s">
        <v>29</v>
      </c>
      <c r="D243" t="s">
        <v>7</v>
      </c>
      <c r="E243">
        <v>898</v>
      </c>
      <c r="F243" t="s">
        <v>28</v>
      </c>
    </row>
    <row r="244" spans="2:6" x14ac:dyDescent="0.35">
      <c r="B244" t="s">
        <v>26</v>
      </c>
      <c r="C244" t="s">
        <v>29</v>
      </c>
      <c r="D244" t="s">
        <v>7</v>
      </c>
      <c r="E244">
        <v>556</v>
      </c>
      <c r="F244" t="s">
        <v>28</v>
      </c>
    </row>
    <row r="245" spans="2:6" x14ac:dyDescent="0.35">
      <c r="B245" t="s">
        <v>26</v>
      </c>
      <c r="C245" t="s">
        <v>27</v>
      </c>
      <c r="D245" t="s">
        <v>11</v>
      </c>
      <c r="E245">
        <v>1650</v>
      </c>
      <c r="F245" s="1" t="s">
        <v>28</v>
      </c>
    </row>
    <row r="246" spans="2:6" x14ac:dyDescent="0.35">
      <c r="B246" t="s">
        <v>26</v>
      </c>
      <c r="C246" t="s">
        <v>27</v>
      </c>
      <c r="D246" t="s">
        <v>11</v>
      </c>
      <c r="E246">
        <v>5218</v>
      </c>
      <c r="F246" t="s">
        <v>28</v>
      </c>
    </row>
    <row r="247" spans="2:6" x14ac:dyDescent="0.35">
      <c r="B247" t="s">
        <v>26</v>
      </c>
      <c r="C247" s="1" t="s">
        <v>29</v>
      </c>
      <c r="D247" t="s">
        <v>11</v>
      </c>
      <c r="E247">
        <v>5218</v>
      </c>
      <c r="F247" t="s">
        <v>28</v>
      </c>
    </row>
    <row r="248" spans="2:6" x14ac:dyDescent="0.35">
      <c r="B248" t="s">
        <v>26</v>
      </c>
      <c r="C248" t="s">
        <v>29</v>
      </c>
      <c r="D248" t="s">
        <v>11</v>
      </c>
      <c r="E248">
        <v>9601</v>
      </c>
      <c r="F248" t="s">
        <v>28</v>
      </c>
    </row>
    <row r="249" spans="2:6" x14ac:dyDescent="0.35">
      <c r="B249" t="s">
        <v>26</v>
      </c>
      <c r="C249" s="1" t="s">
        <v>27</v>
      </c>
      <c r="D249" t="s">
        <v>17</v>
      </c>
      <c r="E249">
        <v>5823</v>
      </c>
      <c r="F249" t="s">
        <v>28</v>
      </c>
    </row>
    <row r="250" spans="2:6" x14ac:dyDescent="0.35">
      <c r="B250" t="s">
        <v>26</v>
      </c>
      <c r="C250" t="s">
        <v>29</v>
      </c>
      <c r="D250" t="s">
        <v>17</v>
      </c>
      <c r="E250">
        <v>5833</v>
      </c>
      <c r="F250" t="s">
        <v>28</v>
      </c>
    </row>
    <row r="251" spans="2:6" x14ac:dyDescent="0.35">
      <c r="B251" t="s">
        <v>26</v>
      </c>
      <c r="C251" t="s">
        <v>27</v>
      </c>
      <c r="D251" t="s">
        <v>17</v>
      </c>
      <c r="E251">
        <v>5833</v>
      </c>
      <c r="F251" t="s">
        <v>28</v>
      </c>
    </row>
    <row r="252" spans="2:6" x14ac:dyDescent="0.35">
      <c r="B252" t="s">
        <v>26</v>
      </c>
      <c r="C252" s="1" t="s">
        <v>27</v>
      </c>
      <c r="D252" t="s">
        <v>17</v>
      </c>
      <c r="E252">
        <v>10551</v>
      </c>
      <c r="F252" t="s">
        <v>28</v>
      </c>
    </row>
    <row r="253" spans="2:6" x14ac:dyDescent="0.35">
      <c r="B253" t="s">
        <v>26</v>
      </c>
      <c r="C253" t="s">
        <v>27</v>
      </c>
      <c r="D253" t="s">
        <v>21</v>
      </c>
      <c r="E253">
        <v>147576</v>
      </c>
      <c r="F253" t="s">
        <v>28</v>
      </c>
    </row>
    <row r="254" spans="2:6" x14ac:dyDescent="0.35">
      <c r="B254" t="s">
        <v>26</v>
      </c>
      <c r="C254" t="s">
        <v>27</v>
      </c>
      <c r="D254" t="s">
        <v>21</v>
      </c>
      <c r="E254">
        <v>803094</v>
      </c>
      <c r="F254" t="s">
        <v>28</v>
      </c>
    </row>
    <row r="255" spans="2:6" x14ac:dyDescent="0.35">
      <c r="B255" t="s">
        <v>26</v>
      </c>
      <c r="C255" t="s">
        <v>29</v>
      </c>
      <c r="D255" t="s">
        <v>21</v>
      </c>
      <c r="E255">
        <v>917224</v>
      </c>
      <c r="F255" t="s">
        <v>28</v>
      </c>
    </row>
    <row r="256" spans="2:6" x14ac:dyDescent="0.35">
      <c r="B256" t="s">
        <v>26</v>
      </c>
      <c r="C256" t="s">
        <v>29</v>
      </c>
      <c r="D256" t="s">
        <v>21</v>
      </c>
      <c r="E256">
        <v>530417</v>
      </c>
      <c r="F256" t="s">
        <v>28</v>
      </c>
    </row>
    <row r="257" spans="2:6" x14ac:dyDescent="0.35">
      <c r="B257" t="s">
        <v>32</v>
      </c>
      <c r="C257" t="s">
        <v>27</v>
      </c>
      <c r="D257" t="s">
        <v>7</v>
      </c>
      <c r="E257">
        <v>1000</v>
      </c>
      <c r="F257" t="s">
        <v>28</v>
      </c>
    </row>
    <row r="258" spans="2:6" x14ac:dyDescent="0.35">
      <c r="B258" t="s">
        <v>32</v>
      </c>
      <c r="C258" t="s">
        <v>27</v>
      </c>
      <c r="D258" t="s">
        <v>7</v>
      </c>
      <c r="E258">
        <v>898</v>
      </c>
      <c r="F258" t="s">
        <v>28</v>
      </c>
    </row>
    <row r="259" spans="2:6" x14ac:dyDescent="0.35">
      <c r="B259" t="s">
        <v>32</v>
      </c>
      <c r="C259" t="s">
        <v>29</v>
      </c>
      <c r="D259" t="s">
        <v>7</v>
      </c>
      <c r="E259">
        <v>898</v>
      </c>
      <c r="F259" t="s">
        <v>28</v>
      </c>
    </row>
    <row r="260" spans="2:6" x14ac:dyDescent="0.35">
      <c r="B260" t="s">
        <v>32</v>
      </c>
      <c r="C260" t="s">
        <v>29</v>
      </c>
      <c r="D260" t="s">
        <v>7</v>
      </c>
      <c r="E260">
        <v>556</v>
      </c>
      <c r="F260" t="s">
        <v>28</v>
      </c>
    </row>
    <row r="261" spans="2:6" x14ac:dyDescent="0.35">
      <c r="B261" t="s">
        <v>32</v>
      </c>
      <c r="C261" s="1" t="s">
        <v>27</v>
      </c>
      <c r="D261" t="s">
        <v>11</v>
      </c>
      <c r="E261">
        <v>1650</v>
      </c>
      <c r="F261" t="s">
        <v>28</v>
      </c>
    </row>
    <row r="262" spans="2:6" x14ac:dyDescent="0.35">
      <c r="B262" t="s">
        <v>32</v>
      </c>
      <c r="C262" s="1" t="s">
        <v>27</v>
      </c>
      <c r="D262" t="s">
        <v>11</v>
      </c>
      <c r="E262">
        <v>5218</v>
      </c>
      <c r="F262" t="s">
        <v>28</v>
      </c>
    </row>
    <row r="263" spans="2:6" x14ac:dyDescent="0.35">
      <c r="B263" t="s">
        <v>32</v>
      </c>
      <c r="C263" s="1" t="s">
        <v>29</v>
      </c>
      <c r="D263" t="s">
        <v>11</v>
      </c>
      <c r="E263">
        <v>5218</v>
      </c>
      <c r="F263" t="s">
        <v>28</v>
      </c>
    </row>
    <row r="264" spans="2:6" x14ac:dyDescent="0.35">
      <c r="B264" t="s">
        <v>32</v>
      </c>
      <c r="C264" s="1" t="s">
        <v>29</v>
      </c>
      <c r="D264" t="s">
        <v>11</v>
      </c>
      <c r="E264">
        <v>9601</v>
      </c>
      <c r="F264" t="s">
        <v>28</v>
      </c>
    </row>
    <row r="265" spans="2:6" x14ac:dyDescent="0.35">
      <c r="B265" t="s">
        <v>32</v>
      </c>
      <c r="C265" t="s">
        <v>27</v>
      </c>
      <c r="D265" t="s">
        <v>17</v>
      </c>
      <c r="E265">
        <v>5823</v>
      </c>
      <c r="F265" t="s">
        <v>28</v>
      </c>
    </row>
    <row r="266" spans="2:6" x14ac:dyDescent="0.35">
      <c r="B266" t="s">
        <v>32</v>
      </c>
      <c r="C266" t="s">
        <v>27</v>
      </c>
      <c r="D266" t="s">
        <v>17</v>
      </c>
      <c r="E266">
        <v>5833</v>
      </c>
      <c r="F266" t="s">
        <v>28</v>
      </c>
    </row>
    <row r="267" spans="2:6" x14ac:dyDescent="0.35">
      <c r="B267" t="s">
        <v>32</v>
      </c>
      <c r="C267" t="s">
        <v>29</v>
      </c>
      <c r="D267" t="s">
        <v>17</v>
      </c>
      <c r="E267">
        <v>5833</v>
      </c>
      <c r="F267" t="s">
        <v>28</v>
      </c>
    </row>
    <row r="268" spans="2:6" x14ac:dyDescent="0.35">
      <c r="B268" t="s">
        <v>32</v>
      </c>
      <c r="C268" t="s">
        <v>29</v>
      </c>
      <c r="D268" t="s">
        <v>17</v>
      </c>
      <c r="E268">
        <v>10551</v>
      </c>
      <c r="F268" t="s">
        <v>28</v>
      </c>
    </row>
    <row r="269" spans="2:6" x14ac:dyDescent="0.35">
      <c r="B269" t="s">
        <v>32</v>
      </c>
      <c r="C269" t="s">
        <v>27</v>
      </c>
      <c r="D269" t="s">
        <v>21</v>
      </c>
      <c r="E269">
        <v>147576</v>
      </c>
      <c r="F269" t="s">
        <v>28</v>
      </c>
    </row>
    <row r="270" spans="2:6" x14ac:dyDescent="0.35">
      <c r="B270" t="s">
        <v>32</v>
      </c>
      <c r="C270" t="s">
        <v>27</v>
      </c>
      <c r="D270" t="s">
        <v>21</v>
      </c>
      <c r="E270">
        <v>803094</v>
      </c>
      <c r="F270" t="s">
        <v>28</v>
      </c>
    </row>
    <row r="271" spans="2:6" x14ac:dyDescent="0.35">
      <c r="B271" t="s">
        <v>32</v>
      </c>
      <c r="C271" t="s">
        <v>29</v>
      </c>
      <c r="D271" t="s">
        <v>21</v>
      </c>
      <c r="E271">
        <v>917224</v>
      </c>
      <c r="F271" t="s">
        <v>28</v>
      </c>
    </row>
    <row r="272" spans="2:6" x14ac:dyDescent="0.35">
      <c r="B272" t="s">
        <v>32</v>
      </c>
      <c r="C272" t="s">
        <v>29</v>
      </c>
      <c r="D272" t="s">
        <v>21</v>
      </c>
      <c r="E272">
        <v>530417</v>
      </c>
      <c r="F272" t="s">
        <v>28</v>
      </c>
    </row>
    <row r="276" spans="2:9" x14ac:dyDescent="0.35">
      <c r="B276" s="107" t="s">
        <v>671</v>
      </c>
      <c r="C276" s="107"/>
      <c r="D276" s="107"/>
      <c r="E276" s="107"/>
      <c r="F276" s="107"/>
      <c r="G276" s="107"/>
      <c r="H276" s="107"/>
      <c r="I276" s="107"/>
    </row>
    <row r="277" spans="2:9" x14ac:dyDescent="0.35">
      <c r="B277" s="107" t="s">
        <v>672</v>
      </c>
      <c r="C277" s="107"/>
      <c r="D277" s="107"/>
      <c r="E277" s="107"/>
      <c r="F277" s="107"/>
      <c r="G277" s="107"/>
      <c r="H277" s="107"/>
      <c r="I277" s="107"/>
    </row>
    <row r="278" spans="2:9" x14ac:dyDescent="0.35">
      <c r="B278" s="112" t="s">
        <v>673</v>
      </c>
    </row>
    <row r="279" spans="2:9" x14ac:dyDescent="0.35">
      <c r="B279" s="109" t="s">
        <v>674</v>
      </c>
    </row>
    <row r="280" spans="2:9" x14ac:dyDescent="0.35">
      <c r="B280" s="109" t="s">
        <v>675</v>
      </c>
      <c r="C280" s="109" t="s">
        <v>676</v>
      </c>
      <c r="D280" s="109" t="s">
        <v>677</v>
      </c>
      <c r="E280" s="109" t="s">
        <v>600</v>
      </c>
      <c r="F280" s="109" t="s">
        <v>678</v>
      </c>
      <c r="G280" s="109" t="s">
        <v>679</v>
      </c>
    </row>
    <row r="281" spans="2:9" x14ac:dyDescent="0.35">
      <c r="B281" s="109" t="s">
        <v>680</v>
      </c>
      <c r="C281" s="109">
        <f>349240+13331+20688</f>
        <v>383259</v>
      </c>
      <c r="D281" s="109">
        <f>1488186+8000+131000</f>
        <v>1627186</v>
      </c>
      <c r="E281" s="109" t="s">
        <v>681</v>
      </c>
      <c r="F281" s="109">
        <f t="shared" ref="F281:F285" si="4">C281*(1000/2)+D281</f>
        <v>193256686</v>
      </c>
      <c r="G281" s="111">
        <f t="shared" ref="G281:G285" si="5">F281/1000</f>
        <v>193256.68599999999</v>
      </c>
    </row>
    <row r="282" spans="2:9" x14ac:dyDescent="0.35">
      <c r="B282" s="109" t="s">
        <v>11</v>
      </c>
      <c r="C282" s="109">
        <v>2958</v>
      </c>
      <c r="D282" s="109">
        <v>858237</v>
      </c>
      <c r="F282" s="109">
        <f t="shared" si="4"/>
        <v>2337237</v>
      </c>
      <c r="G282" s="111">
        <f t="shared" si="5"/>
        <v>2337.2370000000001</v>
      </c>
    </row>
    <row r="283" spans="2:9" x14ac:dyDescent="0.35">
      <c r="B283" s="109" t="s">
        <v>106</v>
      </c>
      <c r="C283" s="109">
        <v>3545</v>
      </c>
      <c r="D283" s="109">
        <v>364450</v>
      </c>
      <c r="F283" s="109">
        <f t="shared" si="4"/>
        <v>2136950</v>
      </c>
      <c r="G283" s="111">
        <f t="shared" si="5"/>
        <v>2136.9499999999998</v>
      </c>
    </row>
    <row r="284" spans="2:9" x14ac:dyDescent="0.35">
      <c r="B284" s="109" t="s">
        <v>168</v>
      </c>
      <c r="C284" s="109">
        <v>0</v>
      </c>
      <c r="D284" s="109">
        <v>1375000</v>
      </c>
      <c r="F284" s="109">
        <f t="shared" si="4"/>
        <v>1375000</v>
      </c>
      <c r="G284" s="111">
        <f t="shared" si="5"/>
        <v>1375</v>
      </c>
    </row>
    <row r="285" spans="2:9" x14ac:dyDescent="0.35">
      <c r="B285" s="109" t="s">
        <v>682</v>
      </c>
      <c r="C285" s="109">
        <v>21842</v>
      </c>
      <c r="F285" s="109">
        <f t="shared" si="4"/>
        <v>10921000</v>
      </c>
      <c r="G285" s="111">
        <f t="shared" si="5"/>
        <v>10921</v>
      </c>
    </row>
    <row r="287" spans="2:9" x14ac:dyDescent="0.35">
      <c r="B287" s="109" t="s">
        <v>584</v>
      </c>
      <c r="C287" s="109" t="s">
        <v>585</v>
      </c>
    </row>
    <row r="288" spans="2:9" x14ac:dyDescent="0.35">
      <c r="B288" s="109" t="s">
        <v>586</v>
      </c>
      <c r="C288" s="109">
        <f>G284/1.6</f>
        <v>859.375</v>
      </c>
    </row>
    <row r="289" spans="2:4" x14ac:dyDescent="0.35">
      <c r="B289" s="109" t="s">
        <v>587</v>
      </c>
      <c r="C289" s="109">
        <f>G284/2.5</f>
        <v>550</v>
      </c>
    </row>
    <row r="291" spans="2:4" x14ac:dyDescent="0.35">
      <c r="C291" s="109" t="s">
        <v>588</v>
      </c>
      <c r="D291" s="109" t="s">
        <v>589</v>
      </c>
    </row>
    <row r="292" spans="2:4" x14ac:dyDescent="0.35">
      <c r="B292" s="109" t="s">
        <v>590</v>
      </c>
      <c r="C292" s="109">
        <f>C288*165</f>
        <v>141796.875</v>
      </c>
      <c r="D292" s="111">
        <f t="shared" ref="D292:D293" si="6">C292/1000</f>
        <v>141.796875</v>
      </c>
    </row>
    <row r="293" spans="2:4" x14ac:dyDescent="0.35">
      <c r="B293" s="109" t="s">
        <v>591</v>
      </c>
      <c r="C293" s="109">
        <f>C289*400</f>
        <v>220000</v>
      </c>
      <c r="D293" s="111">
        <f t="shared" si="6"/>
        <v>220</v>
      </c>
    </row>
    <row r="333" spans="5:5" x14ac:dyDescent="0.35">
      <c r="E333" t="s">
        <v>484</v>
      </c>
    </row>
    <row r="334" spans="5:5" x14ac:dyDescent="0.35">
      <c r="E334" t="s">
        <v>488</v>
      </c>
    </row>
    <row r="335" spans="5:5" x14ac:dyDescent="0.35">
      <c r="E335" t="s">
        <v>487</v>
      </c>
    </row>
    <row r="336" spans="5:5" x14ac:dyDescent="0.35">
      <c r="E336" t="s">
        <v>489</v>
      </c>
    </row>
    <row r="337" spans="4:5" x14ac:dyDescent="0.35">
      <c r="D337" t="s">
        <v>497</v>
      </c>
      <c r="E337" t="s">
        <v>492</v>
      </c>
    </row>
    <row r="338" spans="4:5" x14ac:dyDescent="0.35">
      <c r="D338" t="s">
        <v>147</v>
      </c>
      <c r="E338" t="s">
        <v>493</v>
      </c>
    </row>
    <row r="339" spans="4:5" x14ac:dyDescent="0.35">
      <c r="D339" t="s">
        <v>147</v>
      </c>
      <c r="E339" t="s">
        <v>499</v>
      </c>
    </row>
    <row r="340" spans="4:5" x14ac:dyDescent="0.35">
      <c r="D340" t="s">
        <v>501</v>
      </c>
      <c r="E340" t="s">
        <v>500</v>
      </c>
    </row>
    <row r="341" spans="4:5" x14ac:dyDescent="0.35">
      <c r="D341" t="s">
        <v>147</v>
      </c>
      <c r="E341" t="s">
        <v>504</v>
      </c>
    </row>
    <row r="342" spans="4:5" x14ac:dyDescent="0.35">
      <c r="D342" t="s">
        <v>147</v>
      </c>
      <c r="E342" t="s">
        <v>506</v>
      </c>
    </row>
    <row r="343" spans="4:5" x14ac:dyDescent="0.35">
      <c r="E343" t="s">
        <v>508</v>
      </c>
    </row>
    <row r="344" spans="4:5" x14ac:dyDescent="0.35">
      <c r="E344" t="s">
        <v>510</v>
      </c>
    </row>
    <row r="345" spans="4:5" x14ac:dyDescent="0.35">
      <c r="E345" t="s">
        <v>511</v>
      </c>
    </row>
    <row r="346" spans="4:5" x14ac:dyDescent="0.35">
      <c r="E346" t="s">
        <v>510</v>
      </c>
    </row>
    <row r="347" spans="4:5" x14ac:dyDescent="0.35">
      <c r="E347" t="s">
        <v>513</v>
      </c>
    </row>
    <row r="348" spans="4:5" x14ac:dyDescent="0.35">
      <c r="E348" t="s">
        <v>514</v>
      </c>
    </row>
    <row r="349" spans="4:5" x14ac:dyDescent="0.35">
      <c r="E349" t="s">
        <v>516</v>
      </c>
    </row>
    <row r="351" spans="4:5" x14ac:dyDescent="0.35">
      <c r="E351" t="s">
        <v>482</v>
      </c>
    </row>
    <row r="353" spans="5:29" x14ac:dyDescent="0.35">
      <c r="E353" t="s">
        <v>435</v>
      </c>
      <c r="F353" t="s">
        <v>496</v>
      </c>
      <c r="G353" t="s">
        <v>483</v>
      </c>
      <c r="H353" t="s">
        <v>490</v>
      </c>
      <c r="I353" t="s">
        <v>503</v>
      </c>
      <c r="J353" t="s">
        <v>491</v>
      </c>
      <c r="K353" t="s">
        <v>494</v>
      </c>
      <c r="L353" t="s">
        <v>498</v>
      </c>
      <c r="M353" t="s">
        <v>502</v>
      </c>
      <c r="N353" t="s">
        <v>505</v>
      </c>
      <c r="O353" t="s">
        <v>507</v>
      </c>
      <c r="P353" t="s">
        <v>509</v>
      </c>
      <c r="Q353" t="s">
        <v>503</v>
      </c>
      <c r="R353" t="s">
        <v>512</v>
      </c>
      <c r="S353" t="s">
        <v>503</v>
      </c>
      <c r="T353" t="s">
        <v>434</v>
      </c>
      <c r="U353" t="s">
        <v>434</v>
      </c>
      <c r="V353" t="s">
        <v>515</v>
      </c>
    </row>
    <row r="354" spans="5:29" x14ac:dyDescent="0.35">
      <c r="E354" t="s">
        <v>495</v>
      </c>
      <c r="F354">
        <v>50</v>
      </c>
      <c r="G354">
        <v>50</v>
      </c>
      <c r="H354">
        <v>100</v>
      </c>
      <c r="I354">
        <v>100</v>
      </c>
      <c r="J354">
        <v>100</v>
      </c>
      <c r="K354">
        <v>50</v>
      </c>
      <c r="L354">
        <v>50</v>
      </c>
      <c r="M354">
        <v>90</v>
      </c>
      <c r="N354">
        <v>100</v>
      </c>
      <c r="O354">
        <v>100</v>
      </c>
      <c r="P354">
        <v>100</v>
      </c>
      <c r="Q354">
        <v>100</v>
      </c>
      <c r="R354">
        <v>100</v>
      </c>
      <c r="S354">
        <v>100</v>
      </c>
      <c r="T354">
        <v>100</v>
      </c>
      <c r="U354">
        <v>100</v>
      </c>
      <c r="V354">
        <v>100</v>
      </c>
    </row>
    <row r="355" spans="5:29" x14ac:dyDescent="0.35">
      <c r="E355" s="77" t="s">
        <v>486</v>
      </c>
      <c r="F355">
        <v>2</v>
      </c>
      <c r="G355">
        <v>2</v>
      </c>
      <c r="H355">
        <v>3.3</v>
      </c>
      <c r="I355">
        <v>4.2</v>
      </c>
      <c r="J355">
        <v>3.45</v>
      </c>
      <c r="K355">
        <v>2</v>
      </c>
      <c r="L355">
        <v>2</v>
      </c>
      <c r="M355">
        <v>3</v>
      </c>
      <c r="N355">
        <v>3.45</v>
      </c>
      <c r="O355">
        <v>3.45</v>
      </c>
      <c r="P355">
        <v>3.45</v>
      </c>
      <c r="Q355">
        <v>3.45</v>
      </c>
      <c r="R355">
        <v>4.2</v>
      </c>
      <c r="S355">
        <v>4.2</v>
      </c>
      <c r="T355">
        <v>4.2</v>
      </c>
      <c r="U355">
        <v>6</v>
      </c>
      <c r="V355">
        <v>6.2</v>
      </c>
    </row>
    <row r="356" spans="5:29" x14ac:dyDescent="0.35">
      <c r="E356" s="77" t="s">
        <v>21</v>
      </c>
      <c r="F356">
        <v>5138</v>
      </c>
      <c r="G356">
        <v>5680</v>
      </c>
      <c r="H356">
        <v>8240</v>
      </c>
      <c r="I356">
        <v>12331</v>
      </c>
      <c r="J356">
        <v>11692</v>
      </c>
      <c r="K356">
        <v>5360</v>
      </c>
      <c r="L356">
        <v>7440</v>
      </c>
      <c r="M356">
        <v>7440</v>
      </c>
      <c r="N356">
        <v>8822</v>
      </c>
      <c r="O356">
        <v>11558</v>
      </c>
      <c r="P356">
        <v>14351</v>
      </c>
      <c r="Q356">
        <v>16729</v>
      </c>
      <c r="R356">
        <v>9320</v>
      </c>
      <c r="S356">
        <v>12293</v>
      </c>
      <c r="T356">
        <v>15313</v>
      </c>
      <c r="U356">
        <v>11959</v>
      </c>
      <c r="V356">
        <v>11595</v>
      </c>
    </row>
    <row r="357" spans="5:29" x14ac:dyDescent="0.35">
      <c r="E357" s="81" t="s">
        <v>450</v>
      </c>
      <c r="F357">
        <v>660</v>
      </c>
      <c r="G357">
        <v>254</v>
      </c>
      <c r="H357">
        <v>283</v>
      </c>
      <c r="I357">
        <v>323</v>
      </c>
      <c r="J357">
        <v>296</v>
      </c>
      <c r="K357">
        <v>248</v>
      </c>
      <c r="L357">
        <v>236</v>
      </c>
      <c r="M357">
        <v>291</v>
      </c>
      <c r="N357">
        <v>296</v>
      </c>
      <c r="O357">
        <v>326</v>
      </c>
      <c r="P357">
        <v>371</v>
      </c>
      <c r="Q357">
        <v>387</v>
      </c>
      <c r="R357">
        <v>307</v>
      </c>
      <c r="S357">
        <v>323</v>
      </c>
      <c r="T357">
        <v>331</v>
      </c>
      <c r="U357">
        <v>78</v>
      </c>
      <c r="V357">
        <v>73</v>
      </c>
    </row>
    <row r="358" spans="5:29" x14ac:dyDescent="0.35">
      <c r="E358" s="81" t="s">
        <v>485</v>
      </c>
      <c r="F358">
        <v>0</v>
      </c>
      <c r="G358">
        <v>2</v>
      </c>
      <c r="H358">
        <v>1</v>
      </c>
      <c r="I358">
        <v>0</v>
      </c>
      <c r="J358">
        <v>2</v>
      </c>
      <c r="K358">
        <v>2</v>
      </c>
      <c r="L358">
        <v>0</v>
      </c>
      <c r="M358">
        <v>0</v>
      </c>
      <c r="N358">
        <v>2</v>
      </c>
      <c r="O358">
        <v>2</v>
      </c>
      <c r="P358">
        <v>3</v>
      </c>
      <c r="Q358">
        <v>2</v>
      </c>
      <c r="R358">
        <v>0</v>
      </c>
      <c r="S358">
        <v>0</v>
      </c>
      <c r="T358">
        <v>0</v>
      </c>
      <c r="U358">
        <v>0</v>
      </c>
      <c r="V358">
        <v>0</v>
      </c>
    </row>
    <row r="359" spans="5:29" x14ac:dyDescent="0.35">
      <c r="E359" s="81" t="s">
        <v>113</v>
      </c>
      <c r="F359">
        <v>166</v>
      </c>
      <c r="G359">
        <v>85</v>
      </c>
      <c r="H359">
        <v>114</v>
      </c>
      <c r="I359">
        <v>134</v>
      </c>
      <c r="J359">
        <v>146</v>
      </c>
      <c r="K359">
        <v>83</v>
      </c>
      <c r="L359">
        <v>104</v>
      </c>
      <c r="M359">
        <v>196</v>
      </c>
      <c r="N359">
        <v>148</v>
      </c>
      <c r="O359">
        <v>144</v>
      </c>
      <c r="P359">
        <v>145</v>
      </c>
      <c r="Q359">
        <v>149</v>
      </c>
      <c r="R359">
        <v>134</v>
      </c>
      <c r="S359">
        <v>134</v>
      </c>
      <c r="T359">
        <v>140</v>
      </c>
      <c r="U359">
        <v>120</v>
      </c>
      <c r="V359">
        <v>115</v>
      </c>
    </row>
    <row r="360" spans="5:29" x14ac:dyDescent="0.35">
      <c r="E360" s="77" t="s">
        <v>453</v>
      </c>
      <c r="F360">
        <v>1279</v>
      </c>
      <c r="G360">
        <v>681</v>
      </c>
      <c r="H360">
        <v>898</v>
      </c>
      <c r="I360">
        <v>720</v>
      </c>
      <c r="J360">
        <v>861</v>
      </c>
      <c r="K360">
        <v>552</v>
      </c>
      <c r="L360">
        <v>564</v>
      </c>
      <c r="M360">
        <v>423</v>
      </c>
      <c r="N360">
        <v>841</v>
      </c>
      <c r="O360">
        <v>877</v>
      </c>
      <c r="P360">
        <v>908</v>
      </c>
      <c r="Q360">
        <v>995</v>
      </c>
      <c r="R360">
        <v>793</v>
      </c>
      <c r="S360">
        <v>720</v>
      </c>
      <c r="T360">
        <v>795</v>
      </c>
      <c r="U360">
        <v>821</v>
      </c>
      <c r="V360">
        <v>629</v>
      </c>
    </row>
    <row r="361" spans="5:29" x14ac:dyDescent="0.35">
      <c r="E361" s="89" t="s">
        <v>465</v>
      </c>
      <c r="F361">
        <v>478</v>
      </c>
      <c r="G361">
        <v>370</v>
      </c>
      <c r="H361">
        <v>720</v>
      </c>
      <c r="I361">
        <v>755</v>
      </c>
      <c r="J361">
        <v>754</v>
      </c>
      <c r="K361">
        <v>449</v>
      </c>
      <c r="L361">
        <v>362</v>
      </c>
      <c r="M361">
        <v>340</v>
      </c>
      <c r="N361">
        <v>746</v>
      </c>
      <c r="O361">
        <v>829</v>
      </c>
      <c r="P361">
        <v>739</v>
      </c>
      <c r="Q361">
        <v>677</v>
      </c>
      <c r="R361">
        <v>685</v>
      </c>
      <c r="S361">
        <v>755</v>
      </c>
      <c r="T361">
        <v>937</v>
      </c>
      <c r="U361">
        <v>684</v>
      </c>
      <c r="V361">
        <v>728</v>
      </c>
    </row>
    <row r="362" spans="5:29" x14ac:dyDescent="0.35">
      <c r="E362" s="89" t="s">
        <v>168</v>
      </c>
      <c r="F362" s="89">
        <v>18772</v>
      </c>
      <c r="G362">
        <v>22836</v>
      </c>
      <c r="H362">
        <v>24259</v>
      </c>
      <c r="I362">
        <v>35739</v>
      </c>
      <c r="J362">
        <v>40457</v>
      </c>
      <c r="K362">
        <v>20067</v>
      </c>
      <c r="L362">
        <v>22807</v>
      </c>
      <c r="M362">
        <v>29600</v>
      </c>
      <c r="N362">
        <v>29917</v>
      </c>
      <c r="O362">
        <v>39635</v>
      </c>
      <c r="P362">
        <v>39682</v>
      </c>
      <c r="Q362">
        <v>53962</v>
      </c>
      <c r="R362">
        <v>29650</v>
      </c>
      <c r="S362">
        <v>35739</v>
      </c>
      <c r="T362">
        <v>48359</v>
      </c>
      <c r="U362">
        <v>36966</v>
      </c>
      <c r="V362">
        <v>39257</v>
      </c>
    </row>
    <row r="363" spans="5:29" x14ac:dyDescent="0.35">
      <c r="E363" t="s">
        <v>126</v>
      </c>
      <c r="F363">
        <v>0</v>
      </c>
      <c r="G363">
        <v>0</v>
      </c>
      <c r="H363">
        <v>0</v>
      </c>
      <c r="I363">
        <v>0</v>
      </c>
      <c r="J363">
        <v>0</v>
      </c>
      <c r="K363">
        <v>0</v>
      </c>
      <c r="L363">
        <v>0</v>
      </c>
      <c r="M363">
        <v>7</v>
      </c>
      <c r="N363">
        <v>0</v>
      </c>
      <c r="O363">
        <v>0</v>
      </c>
      <c r="P363">
        <v>0</v>
      </c>
      <c r="Q363">
        <v>0</v>
      </c>
      <c r="R363">
        <v>0</v>
      </c>
      <c r="S363">
        <v>0</v>
      </c>
      <c r="T363">
        <v>0</v>
      </c>
      <c r="U363">
        <v>0</v>
      </c>
      <c r="V363">
        <v>0</v>
      </c>
    </row>
    <row r="366" spans="5:29" x14ac:dyDescent="0.35">
      <c r="E366" t="s">
        <v>524</v>
      </c>
    </row>
    <row r="367" spans="5:29" x14ac:dyDescent="0.35">
      <c r="E367" t="s">
        <v>435</v>
      </c>
      <c r="F367" t="s">
        <v>496</v>
      </c>
      <c r="G367" t="s">
        <v>483</v>
      </c>
      <c r="H367" t="s">
        <v>490</v>
      </c>
      <c r="I367" t="s">
        <v>503</v>
      </c>
      <c r="J367" t="s">
        <v>491</v>
      </c>
      <c r="K367" t="s">
        <v>494</v>
      </c>
      <c r="L367" t="s">
        <v>498</v>
      </c>
      <c r="M367" t="s">
        <v>502</v>
      </c>
      <c r="N367" t="s">
        <v>505</v>
      </c>
      <c r="O367" t="s">
        <v>507</v>
      </c>
      <c r="P367" t="s">
        <v>509</v>
      </c>
      <c r="Q367" t="s">
        <v>503</v>
      </c>
      <c r="R367" t="s">
        <v>512</v>
      </c>
      <c r="S367" t="s">
        <v>503</v>
      </c>
      <c r="T367" t="s">
        <v>434</v>
      </c>
      <c r="U367" t="s">
        <v>434</v>
      </c>
      <c r="V367" t="s">
        <v>515</v>
      </c>
      <c r="W367" t="s">
        <v>517</v>
      </c>
      <c r="X367" t="s">
        <v>518</v>
      </c>
      <c r="Y367" t="s">
        <v>519</v>
      </c>
      <c r="Z367" t="s">
        <v>520</v>
      </c>
      <c r="AA367" t="s">
        <v>521</v>
      </c>
      <c r="AB367" t="s">
        <v>522</v>
      </c>
      <c r="AC367" t="s">
        <v>523</v>
      </c>
    </row>
    <row r="368" spans="5:29" x14ac:dyDescent="0.35">
      <c r="E368" t="s">
        <v>495</v>
      </c>
      <c r="F368">
        <v>50</v>
      </c>
      <c r="G368">
        <v>50</v>
      </c>
      <c r="H368">
        <v>100</v>
      </c>
      <c r="I368">
        <v>100</v>
      </c>
      <c r="J368">
        <v>100</v>
      </c>
      <c r="K368">
        <v>50</v>
      </c>
      <c r="L368">
        <v>50</v>
      </c>
      <c r="M368">
        <v>90</v>
      </c>
      <c r="N368">
        <v>100</v>
      </c>
      <c r="O368">
        <v>100</v>
      </c>
      <c r="P368">
        <v>100</v>
      </c>
      <c r="Q368">
        <v>100</v>
      </c>
      <c r="R368">
        <v>100</v>
      </c>
      <c r="S368">
        <v>100</v>
      </c>
      <c r="T368">
        <v>100</v>
      </c>
      <c r="U368">
        <v>100</v>
      </c>
      <c r="V368">
        <v>100</v>
      </c>
    </row>
    <row r="369" spans="5:37" x14ac:dyDescent="0.35">
      <c r="E369" s="77" t="s">
        <v>486</v>
      </c>
      <c r="F369">
        <v>2</v>
      </c>
      <c r="G369">
        <v>2</v>
      </c>
      <c r="H369">
        <v>3.3</v>
      </c>
      <c r="I369">
        <v>4.2</v>
      </c>
      <c r="J369">
        <v>3.45</v>
      </c>
      <c r="K369">
        <v>2</v>
      </c>
      <c r="L369">
        <v>2</v>
      </c>
      <c r="M369">
        <v>3</v>
      </c>
      <c r="N369">
        <v>3.45</v>
      </c>
      <c r="O369">
        <v>3.45</v>
      </c>
      <c r="P369">
        <v>3.45</v>
      </c>
      <c r="Q369">
        <v>3.45</v>
      </c>
      <c r="R369">
        <v>4.2</v>
      </c>
      <c r="S369">
        <v>4.2</v>
      </c>
      <c r="T369">
        <v>4.2</v>
      </c>
      <c r="U369">
        <v>6</v>
      </c>
      <c r="V369">
        <v>6.2</v>
      </c>
    </row>
    <row r="370" spans="5:37" x14ac:dyDescent="0.35">
      <c r="E370" s="77" t="s">
        <v>21</v>
      </c>
      <c r="F370">
        <f t="shared" ref="F370:G377" si="7">F356/50</f>
        <v>102.76</v>
      </c>
      <c r="G370">
        <f t="shared" si="7"/>
        <v>113.6</v>
      </c>
      <c r="H370">
        <f t="shared" ref="H370:J377" si="8">H356/100</f>
        <v>82.4</v>
      </c>
      <c r="I370">
        <f t="shared" si="8"/>
        <v>123.31</v>
      </c>
      <c r="J370">
        <f t="shared" si="8"/>
        <v>116.92</v>
      </c>
      <c r="K370">
        <f t="shared" ref="K370:L377" si="9">K356/50</f>
        <v>107.2</v>
      </c>
      <c r="L370">
        <f t="shared" si="9"/>
        <v>148.80000000000001</v>
      </c>
      <c r="M370">
        <f t="shared" ref="M370:M377" si="10">M356/90</f>
        <v>82.666666666666671</v>
      </c>
      <c r="N370">
        <f t="shared" ref="N370:V370" si="11">N356/100</f>
        <v>88.22</v>
      </c>
      <c r="O370">
        <f t="shared" si="11"/>
        <v>115.58</v>
      </c>
      <c r="P370">
        <f t="shared" si="11"/>
        <v>143.51</v>
      </c>
      <c r="Q370">
        <f t="shared" si="11"/>
        <v>167.29</v>
      </c>
      <c r="R370">
        <f t="shared" si="11"/>
        <v>93.2</v>
      </c>
      <c r="S370">
        <f t="shared" si="11"/>
        <v>122.93</v>
      </c>
      <c r="T370">
        <f t="shared" si="11"/>
        <v>153.13</v>
      </c>
      <c r="U370">
        <f t="shared" si="11"/>
        <v>119.59</v>
      </c>
      <c r="V370">
        <f t="shared" si="11"/>
        <v>115.95</v>
      </c>
      <c r="W370">
        <f>MIN(F370:V370)</f>
        <v>82.4</v>
      </c>
      <c r="X370">
        <f>MAX(E370:V370)</f>
        <v>167.29</v>
      </c>
      <c r="Y370">
        <f>_xlfn.STDEV.P(F370:V370)</f>
        <v>23.899939760781972</v>
      </c>
      <c r="Z370">
        <f>_xlfn.QUARTILE.EXC(F370:V370,1)</f>
        <v>97.98</v>
      </c>
      <c r="AA370">
        <f>_xlfn.QUARTILE.EXC(F370:V370,3)</f>
        <v>133.41</v>
      </c>
      <c r="AB370">
        <f>MEDIAN(F370:V370)</f>
        <v>115.95</v>
      </c>
      <c r="AC370">
        <f>AVERAGE(F370:V370)</f>
        <v>117.47392156862746</v>
      </c>
    </row>
    <row r="371" spans="5:37" x14ac:dyDescent="0.35">
      <c r="E371" s="81" t="s">
        <v>450</v>
      </c>
      <c r="F371">
        <f t="shared" si="7"/>
        <v>13.2</v>
      </c>
      <c r="G371">
        <f t="shared" si="7"/>
        <v>5.08</v>
      </c>
      <c r="H371">
        <f t="shared" si="8"/>
        <v>2.83</v>
      </c>
      <c r="I371">
        <f t="shared" si="8"/>
        <v>3.23</v>
      </c>
      <c r="J371">
        <f t="shared" si="8"/>
        <v>2.96</v>
      </c>
      <c r="K371">
        <f t="shared" si="9"/>
        <v>4.96</v>
      </c>
      <c r="L371">
        <f t="shared" si="9"/>
        <v>4.72</v>
      </c>
      <c r="M371">
        <f t="shared" si="10"/>
        <v>3.2333333333333334</v>
      </c>
      <c r="N371">
        <f t="shared" ref="N371:V371" si="12">N357/100</f>
        <v>2.96</v>
      </c>
      <c r="O371">
        <f t="shared" si="12"/>
        <v>3.26</v>
      </c>
      <c r="P371">
        <f t="shared" si="12"/>
        <v>3.71</v>
      </c>
      <c r="Q371">
        <f t="shared" si="12"/>
        <v>3.87</v>
      </c>
      <c r="R371">
        <f t="shared" si="12"/>
        <v>3.07</v>
      </c>
      <c r="S371">
        <f t="shared" si="12"/>
        <v>3.23</v>
      </c>
      <c r="T371">
        <f t="shared" si="12"/>
        <v>3.31</v>
      </c>
      <c r="U371">
        <f t="shared" si="12"/>
        <v>0.78</v>
      </c>
      <c r="V371">
        <f t="shared" si="12"/>
        <v>0.73</v>
      </c>
      <c r="W371">
        <f t="shared" ref="W371:W377" si="13">MIN(F371:V371)</f>
        <v>0.73</v>
      </c>
      <c r="X371">
        <f t="shared" ref="X371:X377" si="14">MAX(E371:V371)</f>
        <v>13.2</v>
      </c>
      <c r="Y371">
        <f t="shared" ref="Y371:Y377" si="15">_xlfn.STDEV.P(F371:V371)</f>
        <v>2.602256702589993</v>
      </c>
      <c r="Z371">
        <f t="shared" ref="Z371:Z377" si="16">_xlfn.QUARTILE.EXC(F371:V371,1)</f>
        <v>2.96</v>
      </c>
      <c r="AA371">
        <f t="shared" ref="AA371:AA377" si="17">_xlfn.QUARTILE.EXC(F371:V371,3)</f>
        <v>4.2949999999999999</v>
      </c>
      <c r="AB371">
        <f t="shared" ref="AB371:AB377" si="18">MEDIAN(F371:V371)</f>
        <v>3.2333333333333334</v>
      </c>
      <c r="AC371">
        <f t="shared" ref="AC371:AC377" si="19">AVERAGE(F371:V371)</f>
        <v>3.8313725490196076</v>
      </c>
    </row>
    <row r="372" spans="5:37" x14ac:dyDescent="0.35">
      <c r="E372" s="81" t="s">
        <v>485</v>
      </c>
      <c r="F372">
        <f t="shared" si="7"/>
        <v>0</v>
      </c>
      <c r="G372">
        <f t="shared" si="7"/>
        <v>0.04</v>
      </c>
      <c r="H372">
        <f t="shared" si="8"/>
        <v>0.01</v>
      </c>
      <c r="I372">
        <f t="shared" si="8"/>
        <v>0</v>
      </c>
      <c r="J372">
        <f t="shared" si="8"/>
        <v>0.02</v>
      </c>
      <c r="K372">
        <f t="shared" si="9"/>
        <v>0.04</v>
      </c>
      <c r="L372">
        <f t="shared" si="9"/>
        <v>0</v>
      </c>
      <c r="M372">
        <f t="shared" si="10"/>
        <v>0</v>
      </c>
      <c r="N372">
        <f t="shared" ref="N372:V372" si="20">N358/100</f>
        <v>0.02</v>
      </c>
      <c r="O372">
        <f t="shared" si="20"/>
        <v>0.02</v>
      </c>
      <c r="P372">
        <f t="shared" si="20"/>
        <v>0.03</v>
      </c>
      <c r="Q372">
        <f t="shared" si="20"/>
        <v>0.02</v>
      </c>
      <c r="R372">
        <f t="shared" si="20"/>
        <v>0</v>
      </c>
      <c r="S372">
        <f t="shared" si="20"/>
        <v>0</v>
      </c>
      <c r="T372">
        <f t="shared" si="20"/>
        <v>0</v>
      </c>
      <c r="U372">
        <f t="shared" si="20"/>
        <v>0</v>
      </c>
      <c r="V372">
        <f t="shared" si="20"/>
        <v>0</v>
      </c>
      <c r="W372">
        <f t="shared" si="13"/>
        <v>0</v>
      </c>
      <c r="X372">
        <f t="shared" si="14"/>
        <v>0.04</v>
      </c>
      <c r="Y372">
        <f t="shared" si="15"/>
        <v>1.4239668749306125E-2</v>
      </c>
      <c r="Z372">
        <f t="shared" si="16"/>
        <v>0</v>
      </c>
      <c r="AA372">
        <f t="shared" si="17"/>
        <v>0.02</v>
      </c>
      <c r="AB372">
        <f t="shared" si="18"/>
        <v>0</v>
      </c>
      <c r="AC372">
        <f t="shared" si="19"/>
        <v>1.1764705882352941E-2</v>
      </c>
    </row>
    <row r="373" spans="5:37" x14ac:dyDescent="0.35">
      <c r="E373" s="81" t="s">
        <v>113</v>
      </c>
      <c r="F373">
        <f t="shared" si="7"/>
        <v>3.32</v>
      </c>
      <c r="G373">
        <f t="shared" si="7"/>
        <v>1.7</v>
      </c>
      <c r="H373">
        <f t="shared" si="8"/>
        <v>1.1399999999999999</v>
      </c>
      <c r="I373">
        <f t="shared" si="8"/>
        <v>1.34</v>
      </c>
      <c r="J373">
        <f t="shared" si="8"/>
        <v>1.46</v>
      </c>
      <c r="K373">
        <f t="shared" si="9"/>
        <v>1.66</v>
      </c>
      <c r="L373">
        <f t="shared" si="9"/>
        <v>2.08</v>
      </c>
      <c r="M373">
        <f t="shared" si="10"/>
        <v>2.1777777777777776</v>
      </c>
      <c r="N373">
        <f t="shared" ref="N373:V373" si="21">N359/100</f>
        <v>1.48</v>
      </c>
      <c r="O373">
        <f t="shared" si="21"/>
        <v>1.44</v>
      </c>
      <c r="P373">
        <f t="shared" si="21"/>
        <v>1.45</v>
      </c>
      <c r="Q373">
        <f t="shared" si="21"/>
        <v>1.49</v>
      </c>
      <c r="R373">
        <f t="shared" si="21"/>
        <v>1.34</v>
      </c>
      <c r="S373">
        <f t="shared" si="21"/>
        <v>1.34</v>
      </c>
      <c r="T373">
        <f t="shared" si="21"/>
        <v>1.4</v>
      </c>
      <c r="U373">
        <f t="shared" si="21"/>
        <v>1.2</v>
      </c>
      <c r="V373">
        <f t="shared" si="21"/>
        <v>1.1499999999999999</v>
      </c>
      <c r="W373">
        <f t="shared" si="13"/>
        <v>1.1399999999999999</v>
      </c>
      <c r="X373">
        <f t="shared" si="14"/>
        <v>3.32</v>
      </c>
      <c r="Y373">
        <f t="shared" si="15"/>
        <v>0.51147227431576159</v>
      </c>
      <c r="Z373">
        <f t="shared" si="16"/>
        <v>1.34</v>
      </c>
      <c r="AA373">
        <f t="shared" si="17"/>
        <v>1.68</v>
      </c>
      <c r="AB373">
        <f t="shared" si="18"/>
        <v>1.45</v>
      </c>
      <c r="AC373">
        <f t="shared" si="19"/>
        <v>1.5981045751633984</v>
      </c>
    </row>
    <row r="374" spans="5:37" x14ac:dyDescent="0.35">
      <c r="E374" s="77" t="s">
        <v>453</v>
      </c>
      <c r="F374">
        <f t="shared" si="7"/>
        <v>25.58</v>
      </c>
      <c r="G374">
        <f t="shared" si="7"/>
        <v>13.62</v>
      </c>
      <c r="H374">
        <f t="shared" si="8"/>
        <v>8.98</v>
      </c>
      <c r="I374">
        <f t="shared" si="8"/>
        <v>7.2</v>
      </c>
      <c r="J374">
        <f t="shared" si="8"/>
        <v>8.61</v>
      </c>
      <c r="K374">
        <f t="shared" si="9"/>
        <v>11.04</v>
      </c>
      <c r="L374">
        <f t="shared" si="9"/>
        <v>11.28</v>
      </c>
      <c r="M374">
        <f t="shared" si="10"/>
        <v>4.7</v>
      </c>
      <c r="N374">
        <f t="shared" ref="N374:V374" si="22">N360/100</f>
        <v>8.41</v>
      </c>
      <c r="O374">
        <f t="shared" si="22"/>
        <v>8.77</v>
      </c>
      <c r="P374">
        <f t="shared" si="22"/>
        <v>9.08</v>
      </c>
      <c r="Q374">
        <f t="shared" si="22"/>
        <v>9.9499999999999993</v>
      </c>
      <c r="R374">
        <f t="shared" si="22"/>
        <v>7.93</v>
      </c>
      <c r="S374">
        <f t="shared" si="22"/>
        <v>7.2</v>
      </c>
      <c r="T374">
        <f t="shared" si="22"/>
        <v>7.95</v>
      </c>
      <c r="U374">
        <f t="shared" si="22"/>
        <v>8.2100000000000009</v>
      </c>
      <c r="V374">
        <f t="shared" si="22"/>
        <v>6.29</v>
      </c>
      <c r="W374">
        <f t="shared" si="13"/>
        <v>4.7</v>
      </c>
      <c r="X374">
        <f t="shared" si="14"/>
        <v>25.58</v>
      </c>
      <c r="Y374">
        <f t="shared" si="15"/>
        <v>4.4328865364435766</v>
      </c>
      <c r="Z374">
        <f t="shared" si="16"/>
        <v>7.5649999999999995</v>
      </c>
      <c r="AA374">
        <f t="shared" si="17"/>
        <v>10.494999999999999</v>
      </c>
      <c r="AB374">
        <f t="shared" si="18"/>
        <v>8.61</v>
      </c>
      <c r="AC374">
        <f t="shared" si="19"/>
        <v>9.6941176470588228</v>
      </c>
    </row>
    <row r="375" spans="5:37" x14ac:dyDescent="0.35">
      <c r="E375" s="89" t="s">
        <v>465</v>
      </c>
      <c r="F375">
        <f t="shared" si="7"/>
        <v>9.56</v>
      </c>
      <c r="G375">
        <f t="shared" si="7"/>
        <v>7.4</v>
      </c>
      <c r="H375">
        <f t="shared" si="8"/>
        <v>7.2</v>
      </c>
      <c r="I375">
        <f t="shared" si="8"/>
        <v>7.55</v>
      </c>
      <c r="J375">
        <f t="shared" si="8"/>
        <v>7.54</v>
      </c>
      <c r="K375">
        <f t="shared" si="9"/>
        <v>8.98</v>
      </c>
      <c r="L375">
        <f t="shared" si="9"/>
        <v>7.24</v>
      </c>
      <c r="M375">
        <f t="shared" si="10"/>
        <v>3.7777777777777777</v>
      </c>
      <c r="N375">
        <f t="shared" ref="N375:V375" si="23">N361/100</f>
        <v>7.46</v>
      </c>
      <c r="O375">
        <f t="shared" si="23"/>
        <v>8.2899999999999991</v>
      </c>
      <c r="P375">
        <f t="shared" si="23"/>
        <v>7.39</v>
      </c>
      <c r="Q375">
        <f t="shared" si="23"/>
        <v>6.77</v>
      </c>
      <c r="R375">
        <f t="shared" si="23"/>
        <v>6.85</v>
      </c>
      <c r="S375">
        <f t="shared" si="23"/>
        <v>7.55</v>
      </c>
      <c r="T375">
        <f t="shared" si="23"/>
        <v>9.3699999999999992</v>
      </c>
      <c r="U375">
        <f t="shared" si="23"/>
        <v>6.84</v>
      </c>
      <c r="V375">
        <f t="shared" si="23"/>
        <v>7.28</v>
      </c>
      <c r="W375">
        <f t="shared" si="13"/>
        <v>3.7777777777777777</v>
      </c>
      <c r="X375">
        <f t="shared" si="14"/>
        <v>9.56</v>
      </c>
      <c r="Y375">
        <f t="shared" si="15"/>
        <v>1.2372932642371821</v>
      </c>
      <c r="Z375">
        <f t="shared" si="16"/>
        <v>7.0250000000000004</v>
      </c>
      <c r="AA375">
        <f t="shared" si="17"/>
        <v>7.92</v>
      </c>
      <c r="AB375">
        <f t="shared" si="18"/>
        <v>7.4</v>
      </c>
      <c r="AC375">
        <f t="shared" si="19"/>
        <v>7.4733986928104565</v>
      </c>
    </row>
    <row r="376" spans="5:37" x14ac:dyDescent="0.35">
      <c r="E376" s="89" t="s">
        <v>168</v>
      </c>
      <c r="F376">
        <f t="shared" si="7"/>
        <v>375.44</v>
      </c>
      <c r="G376">
        <f t="shared" si="7"/>
        <v>456.72</v>
      </c>
      <c r="H376">
        <f t="shared" si="8"/>
        <v>242.59</v>
      </c>
      <c r="I376">
        <f t="shared" si="8"/>
        <v>357.39</v>
      </c>
      <c r="J376">
        <f t="shared" si="8"/>
        <v>404.57</v>
      </c>
      <c r="K376">
        <f t="shared" si="9"/>
        <v>401.34</v>
      </c>
      <c r="L376">
        <f t="shared" si="9"/>
        <v>456.14</v>
      </c>
      <c r="M376">
        <f t="shared" si="10"/>
        <v>328.88888888888891</v>
      </c>
      <c r="N376">
        <f t="shared" ref="N376:V376" si="24">N362/100</f>
        <v>299.17</v>
      </c>
      <c r="O376">
        <f t="shared" si="24"/>
        <v>396.35</v>
      </c>
      <c r="P376">
        <f t="shared" si="24"/>
        <v>396.82</v>
      </c>
      <c r="Q376">
        <f t="shared" si="24"/>
        <v>539.62</v>
      </c>
      <c r="R376">
        <f t="shared" si="24"/>
        <v>296.5</v>
      </c>
      <c r="S376">
        <f t="shared" si="24"/>
        <v>357.39</v>
      </c>
      <c r="T376">
        <f t="shared" si="24"/>
        <v>483.59</v>
      </c>
      <c r="U376">
        <f t="shared" si="24"/>
        <v>369.66</v>
      </c>
      <c r="V376">
        <f t="shared" si="24"/>
        <v>392.57</v>
      </c>
      <c r="W376">
        <f t="shared" si="13"/>
        <v>242.59</v>
      </c>
      <c r="X376">
        <f t="shared" si="14"/>
        <v>539.62</v>
      </c>
      <c r="Y376">
        <f t="shared" si="15"/>
        <v>70.827735242461557</v>
      </c>
      <c r="Z376">
        <f t="shared" si="16"/>
        <v>343.13944444444445</v>
      </c>
      <c r="AA376">
        <f t="shared" si="17"/>
        <v>430.35500000000002</v>
      </c>
      <c r="AB376">
        <f t="shared" si="18"/>
        <v>392.57</v>
      </c>
      <c r="AC376">
        <f t="shared" si="19"/>
        <v>385.57346405228753</v>
      </c>
    </row>
    <row r="377" spans="5:37" x14ac:dyDescent="0.35">
      <c r="E377" t="s">
        <v>126</v>
      </c>
      <c r="F377">
        <f t="shared" si="7"/>
        <v>0</v>
      </c>
      <c r="G377">
        <f t="shared" si="7"/>
        <v>0</v>
      </c>
      <c r="H377">
        <f t="shared" si="8"/>
        <v>0</v>
      </c>
      <c r="I377">
        <f t="shared" si="8"/>
        <v>0</v>
      </c>
      <c r="J377">
        <f t="shared" si="8"/>
        <v>0</v>
      </c>
      <c r="K377">
        <f t="shared" si="9"/>
        <v>0</v>
      </c>
      <c r="L377">
        <f t="shared" si="9"/>
        <v>0</v>
      </c>
      <c r="M377">
        <f t="shared" si="10"/>
        <v>7.7777777777777779E-2</v>
      </c>
      <c r="N377">
        <f t="shared" ref="N377:V377" si="25">N363/100</f>
        <v>0</v>
      </c>
      <c r="O377">
        <f t="shared" si="25"/>
        <v>0</v>
      </c>
      <c r="P377">
        <f t="shared" si="25"/>
        <v>0</v>
      </c>
      <c r="Q377">
        <f t="shared" si="25"/>
        <v>0</v>
      </c>
      <c r="R377">
        <f t="shared" si="25"/>
        <v>0</v>
      </c>
      <c r="S377">
        <f t="shared" si="25"/>
        <v>0</v>
      </c>
      <c r="T377">
        <f t="shared" si="25"/>
        <v>0</v>
      </c>
      <c r="U377">
        <f t="shared" si="25"/>
        <v>0</v>
      </c>
      <c r="V377">
        <f t="shared" si="25"/>
        <v>0</v>
      </c>
      <c r="W377">
        <f t="shared" si="13"/>
        <v>0</v>
      </c>
      <c r="X377">
        <f t="shared" si="14"/>
        <v>7.7777777777777779E-2</v>
      </c>
      <c r="Y377">
        <f t="shared" si="15"/>
        <v>1.8300653594771243E-2</v>
      </c>
      <c r="Z377">
        <f t="shared" si="16"/>
        <v>0</v>
      </c>
      <c r="AA377">
        <f t="shared" si="17"/>
        <v>0</v>
      </c>
      <c r="AB377">
        <f t="shared" si="18"/>
        <v>0</v>
      </c>
      <c r="AC377">
        <f t="shared" si="19"/>
        <v>4.5751633986928107E-3</v>
      </c>
    </row>
    <row r="379" spans="5:37" x14ac:dyDescent="0.35">
      <c r="AK379" s="94"/>
    </row>
    <row r="380" spans="5:37" x14ac:dyDescent="0.35">
      <c r="E380" t="s">
        <v>525</v>
      </c>
    </row>
    <row r="381" spans="5:37" x14ac:dyDescent="0.35">
      <c r="E381" t="s">
        <v>435</v>
      </c>
      <c r="F381" t="s">
        <v>496</v>
      </c>
      <c r="G381" t="s">
        <v>483</v>
      </c>
      <c r="H381" t="s">
        <v>490</v>
      </c>
      <c r="I381" t="s">
        <v>503</v>
      </c>
      <c r="J381" t="s">
        <v>491</v>
      </c>
      <c r="K381" t="s">
        <v>494</v>
      </c>
      <c r="L381" t="s">
        <v>498</v>
      </c>
      <c r="M381" t="s">
        <v>502</v>
      </c>
      <c r="N381" t="s">
        <v>505</v>
      </c>
      <c r="O381" t="s">
        <v>507</v>
      </c>
      <c r="P381" t="s">
        <v>509</v>
      </c>
      <c r="Q381" t="s">
        <v>503</v>
      </c>
      <c r="R381" t="s">
        <v>512</v>
      </c>
      <c r="S381" t="s">
        <v>503</v>
      </c>
      <c r="T381" t="s">
        <v>434</v>
      </c>
      <c r="U381" t="s">
        <v>434</v>
      </c>
      <c r="V381" t="s">
        <v>515</v>
      </c>
      <c r="W381" t="s">
        <v>517</v>
      </c>
      <c r="X381" t="s">
        <v>518</v>
      </c>
      <c r="Y381" t="s">
        <v>519</v>
      </c>
      <c r="Z381" t="s">
        <v>520</v>
      </c>
      <c r="AA381" t="s">
        <v>521</v>
      </c>
      <c r="AB381" t="s">
        <v>522</v>
      </c>
      <c r="AC381" t="s">
        <v>523</v>
      </c>
    </row>
    <row r="382" spans="5:37" x14ac:dyDescent="0.35">
      <c r="E382" t="s">
        <v>495</v>
      </c>
      <c r="F382">
        <v>50</v>
      </c>
      <c r="G382">
        <v>50</v>
      </c>
      <c r="H382">
        <v>100</v>
      </c>
      <c r="I382">
        <v>100</v>
      </c>
      <c r="J382">
        <v>100</v>
      </c>
      <c r="K382">
        <v>50</v>
      </c>
      <c r="L382">
        <v>50</v>
      </c>
      <c r="M382">
        <v>90</v>
      </c>
      <c r="N382">
        <v>100</v>
      </c>
      <c r="O382">
        <v>100</v>
      </c>
      <c r="P382">
        <v>100</v>
      </c>
      <c r="Q382">
        <v>100</v>
      </c>
      <c r="R382">
        <v>100</v>
      </c>
      <c r="S382">
        <v>100</v>
      </c>
      <c r="T382">
        <v>100</v>
      </c>
      <c r="U382">
        <v>100</v>
      </c>
      <c r="V382">
        <v>100</v>
      </c>
    </row>
    <row r="383" spans="5:37" x14ac:dyDescent="0.35">
      <c r="E383" s="77" t="s">
        <v>545</v>
      </c>
      <c r="F383">
        <v>2</v>
      </c>
      <c r="G383">
        <v>2</v>
      </c>
      <c r="H383">
        <v>3.3</v>
      </c>
      <c r="I383">
        <v>4.2</v>
      </c>
      <c r="J383">
        <v>3.45</v>
      </c>
      <c r="K383">
        <v>2</v>
      </c>
      <c r="L383">
        <v>2</v>
      </c>
      <c r="M383">
        <v>3</v>
      </c>
      <c r="N383">
        <v>3.45</v>
      </c>
      <c r="O383">
        <v>3.45</v>
      </c>
      <c r="P383">
        <v>3.45</v>
      </c>
      <c r="Q383">
        <v>3.45</v>
      </c>
      <c r="R383">
        <v>4.2</v>
      </c>
      <c r="S383">
        <v>4.2</v>
      </c>
      <c r="T383">
        <v>4.2</v>
      </c>
      <c r="U383">
        <v>6</v>
      </c>
      <c r="V383">
        <v>6.2</v>
      </c>
    </row>
    <row r="384" spans="5:37" x14ac:dyDescent="0.35">
      <c r="E384" s="77" t="s">
        <v>21</v>
      </c>
      <c r="F384">
        <f>1000*1.10231*F370</f>
        <v>113273.3756</v>
      </c>
      <c r="G384">
        <f t="shared" ref="G384:U384" si="26">1000*1.10231*G370</f>
        <v>125222.41599999998</v>
      </c>
      <c r="H384">
        <f t="shared" si="26"/>
        <v>90830.343999999997</v>
      </c>
      <c r="I384">
        <f t="shared" si="26"/>
        <v>135925.8461</v>
      </c>
      <c r="J384">
        <f t="shared" si="26"/>
        <v>128882.0852</v>
      </c>
      <c r="K384">
        <f t="shared" si="26"/>
        <v>118167.632</v>
      </c>
      <c r="L384">
        <f t="shared" si="26"/>
        <v>164023.728</v>
      </c>
      <c r="M384">
        <f t="shared" si="26"/>
        <v>91124.293333333335</v>
      </c>
      <c r="N384">
        <f t="shared" si="26"/>
        <v>97245.788199999995</v>
      </c>
      <c r="O384">
        <f t="shared" si="26"/>
        <v>127404.9898</v>
      </c>
      <c r="P384">
        <f t="shared" si="26"/>
        <v>158192.50809999998</v>
      </c>
      <c r="Q384">
        <f t="shared" si="26"/>
        <v>184405.43989999997</v>
      </c>
      <c r="R384">
        <f t="shared" si="26"/>
        <v>102735.292</v>
      </c>
      <c r="S384">
        <f t="shared" si="26"/>
        <v>135506.96830000001</v>
      </c>
      <c r="T384">
        <f t="shared" si="26"/>
        <v>168796.7303</v>
      </c>
      <c r="U384">
        <f t="shared" si="26"/>
        <v>131825.25289999999</v>
      </c>
      <c r="V384">
        <f>1000*1.10231*V370</f>
        <v>127812.84449999999</v>
      </c>
      <c r="W384">
        <f>MIN(F384:V384)</f>
        <v>90830.343999999997</v>
      </c>
      <c r="X384">
        <f>MAX(E384:V384)</f>
        <v>184405.43989999997</v>
      </c>
      <c r="Y384">
        <f>_xlfn.STDEV.P(F384:V384)</f>
        <v>26345.142597707698</v>
      </c>
      <c r="Z384">
        <f>_xlfn.QUARTILE.EXC(F384:V384,1)</f>
        <v>108004.33379999999</v>
      </c>
      <c r="AA384">
        <f>_xlfn.QUARTILE.EXC(F384:V384,3)</f>
        <v>147059.17709999997</v>
      </c>
      <c r="AB384">
        <f>MEDIAN(F384:V384)</f>
        <v>127812.84449999999</v>
      </c>
      <c r="AC384">
        <f>AVERAGE(F384:V384)</f>
        <v>129492.67848431371</v>
      </c>
      <c r="AD384" t="s">
        <v>21</v>
      </c>
    </row>
    <row r="385" spans="5:31" x14ac:dyDescent="0.35">
      <c r="E385" s="81" t="s">
        <v>450</v>
      </c>
      <c r="F385">
        <f t="shared" ref="F385:V385" si="27">1000*1.10231*F371</f>
        <v>14550.491999999998</v>
      </c>
      <c r="G385">
        <f t="shared" si="27"/>
        <v>5599.7348000000002</v>
      </c>
      <c r="H385">
        <f t="shared" si="27"/>
        <v>3119.5373</v>
      </c>
      <c r="I385">
        <f t="shared" si="27"/>
        <v>3560.4612999999999</v>
      </c>
      <c r="J385">
        <f t="shared" si="27"/>
        <v>3262.8375999999998</v>
      </c>
      <c r="K385">
        <f t="shared" si="27"/>
        <v>5467.4575999999997</v>
      </c>
      <c r="L385">
        <f t="shared" si="27"/>
        <v>5202.9031999999997</v>
      </c>
      <c r="M385">
        <f t="shared" si="27"/>
        <v>3564.1356666666666</v>
      </c>
      <c r="N385">
        <f t="shared" si="27"/>
        <v>3262.8375999999998</v>
      </c>
      <c r="O385">
        <f t="shared" si="27"/>
        <v>3593.5305999999996</v>
      </c>
      <c r="P385">
        <f t="shared" si="27"/>
        <v>4089.5700999999999</v>
      </c>
      <c r="Q385">
        <f t="shared" si="27"/>
        <v>4265.9396999999999</v>
      </c>
      <c r="R385">
        <f t="shared" si="27"/>
        <v>3384.0916999999995</v>
      </c>
      <c r="S385">
        <f t="shared" si="27"/>
        <v>3560.4612999999999</v>
      </c>
      <c r="T385">
        <f t="shared" si="27"/>
        <v>3648.6460999999999</v>
      </c>
      <c r="U385">
        <f t="shared" si="27"/>
        <v>859.80179999999996</v>
      </c>
      <c r="V385">
        <f t="shared" si="27"/>
        <v>804.68629999999996</v>
      </c>
      <c r="W385">
        <f t="shared" ref="W385:W391" si="28">MIN(F385:V385)</f>
        <v>804.68629999999996</v>
      </c>
      <c r="X385">
        <f t="shared" ref="X385:X391" si="29">MAX(E385:V385)</f>
        <v>14550.491999999998</v>
      </c>
      <c r="Y385">
        <f t="shared" ref="Y385:Y391" si="30">_xlfn.STDEV.P(F385:V385)</f>
        <v>2868.4935858319773</v>
      </c>
      <c r="Z385">
        <f t="shared" ref="Z385:Z391" si="31">_xlfn.QUARTILE.EXC(F385:V385,1)</f>
        <v>3262.8375999999998</v>
      </c>
      <c r="AA385">
        <f t="shared" ref="AA385:AA391" si="32">_xlfn.QUARTILE.EXC(F385:V385,3)</f>
        <v>4734.4214499999998</v>
      </c>
      <c r="AB385">
        <f t="shared" ref="AB385:AB391" si="33">MEDIAN(F385:V385)</f>
        <v>3564.1356666666666</v>
      </c>
      <c r="AC385">
        <f t="shared" ref="AC385:AC391" si="34">AVERAGE(F385:V385)</f>
        <v>4223.3602745098033</v>
      </c>
      <c r="AD385" t="s">
        <v>7</v>
      </c>
    </row>
    <row r="386" spans="5:31" x14ac:dyDescent="0.35">
      <c r="E386" s="81" t="s">
        <v>485</v>
      </c>
      <c r="F386">
        <f t="shared" ref="F386:V386" si="35">1000*1.10231*F372</f>
        <v>0</v>
      </c>
      <c r="G386">
        <f t="shared" si="35"/>
        <v>44.092399999999998</v>
      </c>
      <c r="H386">
        <f t="shared" si="35"/>
        <v>11.023099999999999</v>
      </c>
      <c r="I386">
        <f t="shared" si="35"/>
        <v>0</v>
      </c>
      <c r="J386">
        <f t="shared" si="35"/>
        <v>22.046199999999999</v>
      </c>
      <c r="K386">
        <f t="shared" si="35"/>
        <v>44.092399999999998</v>
      </c>
      <c r="L386">
        <f t="shared" si="35"/>
        <v>0</v>
      </c>
      <c r="M386">
        <f t="shared" si="35"/>
        <v>0</v>
      </c>
      <c r="N386">
        <f t="shared" si="35"/>
        <v>22.046199999999999</v>
      </c>
      <c r="O386">
        <f t="shared" si="35"/>
        <v>22.046199999999999</v>
      </c>
      <c r="P386">
        <f t="shared" si="35"/>
        <v>33.069299999999998</v>
      </c>
      <c r="Q386">
        <f t="shared" si="35"/>
        <v>22.046199999999999</v>
      </c>
      <c r="R386">
        <f t="shared" si="35"/>
        <v>0</v>
      </c>
      <c r="S386">
        <f t="shared" si="35"/>
        <v>0</v>
      </c>
      <c r="T386">
        <f t="shared" si="35"/>
        <v>0</v>
      </c>
      <c r="U386">
        <f t="shared" si="35"/>
        <v>0</v>
      </c>
      <c r="V386">
        <f t="shared" si="35"/>
        <v>0</v>
      </c>
      <c r="W386">
        <f t="shared" si="28"/>
        <v>0</v>
      </c>
      <c r="X386">
        <f t="shared" si="29"/>
        <v>44.092399999999998</v>
      </c>
      <c r="Y386">
        <f t="shared" si="30"/>
        <v>15.696529259047635</v>
      </c>
      <c r="Z386">
        <f t="shared" si="31"/>
        <v>0</v>
      </c>
      <c r="AA386">
        <f t="shared" si="32"/>
        <v>22.046199999999999</v>
      </c>
      <c r="AB386">
        <f t="shared" si="33"/>
        <v>0</v>
      </c>
      <c r="AC386">
        <f t="shared" si="34"/>
        <v>12.96835294117647</v>
      </c>
      <c r="AD386" t="s">
        <v>485</v>
      </c>
    </row>
    <row r="387" spans="5:31" x14ac:dyDescent="0.35">
      <c r="E387" s="81" t="s">
        <v>113</v>
      </c>
      <c r="F387">
        <f t="shared" ref="F387:V387" si="36">1000*1.10231*F373</f>
        <v>3659.6691999999998</v>
      </c>
      <c r="G387">
        <f t="shared" si="36"/>
        <v>1873.9269999999999</v>
      </c>
      <c r="H387">
        <f t="shared" si="36"/>
        <v>1256.6333999999999</v>
      </c>
      <c r="I387">
        <f t="shared" si="36"/>
        <v>1477.0953999999999</v>
      </c>
      <c r="J387">
        <f t="shared" si="36"/>
        <v>1609.3725999999999</v>
      </c>
      <c r="K387">
        <f t="shared" si="36"/>
        <v>1829.8345999999999</v>
      </c>
      <c r="L387">
        <f t="shared" si="36"/>
        <v>2292.8047999999999</v>
      </c>
      <c r="M387">
        <f t="shared" si="36"/>
        <v>2400.5862222222217</v>
      </c>
      <c r="N387">
        <f t="shared" si="36"/>
        <v>1631.4187999999999</v>
      </c>
      <c r="O387">
        <f t="shared" si="36"/>
        <v>1587.3263999999999</v>
      </c>
      <c r="P387">
        <f t="shared" si="36"/>
        <v>1598.3494999999998</v>
      </c>
      <c r="Q387">
        <f t="shared" si="36"/>
        <v>1642.4418999999998</v>
      </c>
      <c r="R387">
        <f t="shared" si="36"/>
        <v>1477.0953999999999</v>
      </c>
      <c r="S387">
        <f t="shared" si="36"/>
        <v>1477.0953999999999</v>
      </c>
      <c r="T387">
        <f t="shared" si="36"/>
        <v>1543.2339999999999</v>
      </c>
      <c r="U387">
        <f t="shared" si="36"/>
        <v>1322.7719999999999</v>
      </c>
      <c r="V387">
        <f t="shared" si="36"/>
        <v>1267.6564999999998</v>
      </c>
      <c r="W387">
        <f t="shared" si="28"/>
        <v>1256.6333999999999</v>
      </c>
      <c r="X387">
        <f t="shared" si="29"/>
        <v>3659.6691999999998</v>
      </c>
      <c r="Y387">
        <f t="shared" si="30"/>
        <v>563.80100270100741</v>
      </c>
      <c r="Z387">
        <f t="shared" si="31"/>
        <v>1477.0953999999999</v>
      </c>
      <c r="AA387">
        <f t="shared" si="32"/>
        <v>1851.8807999999999</v>
      </c>
      <c r="AB387">
        <f t="shared" si="33"/>
        <v>1598.3494999999998</v>
      </c>
      <c r="AC387">
        <f t="shared" si="34"/>
        <v>1761.6066542483659</v>
      </c>
      <c r="AD387" t="s">
        <v>113</v>
      </c>
    </row>
    <row r="388" spans="5:31" x14ac:dyDescent="0.35">
      <c r="E388" s="77" t="s">
        <v>453</v>
      </c>
      <c r="F388">
        <f t="shared" ref="F388:V388" si="37">1000*1.10231*F374</f>
        <v>28197.089799999998</v>
      </c>
      <c r="G388">
        <f t="shared" si="37"/>
        <v>15013.462199999998</v>
      </c>
      <c r="H388">
        <f t="shared" si="37"/>
        <v>9898.7438000000002</v>
      </c>
      <c r="I388">
        <f t="shared" si="37"/>
        <v>7936.6319999999996</v>
      </c>
      <c r="J388">
        <f t="shared" si="37"/>
        <v>9490.8890999999985</v>
      </c>
      <c r="K388">
        <f t="shared" si="37"/>
        <v>12169.502399999998</v>
      </c>
      <c r="L388">
        <f t="shared" si="37"/>
        <v>12434.056799999998</v>
      </c>
      <c r="M388">
        <f t="shared" si="37"/>
        <v>5180.857</v>
      </c>
      <c r="N388">
        <f t="shared" si="37"/>
        <v>9270.427099999999</v>
      </c>
      <c r="O388">
        <f t="shared" si="37"/>
        <v>9667.2586999999985</v>
      </c>
      <c r="P388">
        <f t="shared" si="37"/>
        <v>10008.9748</v>
      </c>
      <c r="Q388">
        <f t="shared" si="37"/>
        <v>10967.984499999999</v>
      </c>
      <c r="R388">
        <f t="shared" si="37"/>
        <v>8741.318299999999</v>
      </c>
      <c r="S388">
        <f t="shared" si="37"/>
        <v>7936.6319999999996</v>
      </c>
      <c r="T388">
        <f t="shared" si="37"/>
        <v>8763.3644999999997</v>
      </c>
      <c r="U388">
        <f t="shared" si="37"/>
        <v>9049.9651000000013</v>
      </c>
      <c r="V388">
        <f t="shared" si="37"/>
        <v>6933.5298999999995</v>
      </c>
      <c r="W388">
        <f t="shared" si="28"/>
        <v>5180.857</v>
      </c>
      <c r="X388">
        <f t="shared" si="29"/>
        <v>28197.089799999998</v>
      </c>
      <c r="Y388">
        <f t="shared" si="30"/>
        <v>4886.415157987115</v>
      </c>
      <c r="Z388">
        <f t="shared" si="31"/>
        <v>8338.9751499999984</v>
      </c>
      <c r="AA388">
        <f t="shared" si="32"/>
        <v>11568.743449999998</v>
      </c>
      <c r="AB388">
        <f t="shared" si="33"/>
        <v>9490.8890999999985</v>
      </c>
      <c r="AC388">
        <f t="shared" si="34"/>
        <v>10685.92282352941</v>
      </c>
      <c r="AD388" t="s">
        <v>567</v>
      </c>
    </row>
    <row r="389" spans="5:31" x14ac:dyDescent="0.35">
      <c r="E389" s="89" t="s">
        <v>465</v>
      </c>
      <c r="F389">
        <f t="shared" ref="F389:V389" si="38">1000*1.10231*F375</f>
        <v>10538.0836</v>
      </c>
      <c r="G389">
        <f t="shared" si="38"/>
        <v>8157.0940000000001</v>
      </c>
      <c r="H389">
        <f t="shared" si="38"/>
        <v>7936.6319999999996</v>
      </c>
      <c r="I389">
        <f t="shared" si="38"/>
        <v>8322.4404999999988</v>
      </c>
      <c r="J389">
        <f t="shared" si="38"/>
        <v>8311.4174000000003</v>
      </c>
      <c r="K389">
        <f t="shared" si="38"/>
        <v>9898.7438000000002</v>
      </c>
      <c r="L389">
        <f t="shared" si="38"/>
        <v>7980.7244000000001</v>
      </c>
      <c r="M389">
        <f t="shared" si="38"/>
        <v>4164.2822222222221</v>
      </c>
      <c r="N389">
        <f t="shared" si="38"/>
        <v>8223.2325999999994</v>
      </c>
      <c r="O389">
        <f t="shared" si="38"/>
        <v>9138.1498999999985</v>
      </c>
      <c r="P389">
        <f t="shared" si="38"/>
        <v>8146.0708999999988</v>
      </c>
      <c r="Q389">
        <f t="shared" si="38"/>
        <v>7462.6386999999995</v>
      </c>
      <c r="R389">
        <f t="shared" si="38"/>
        <v>7550.8234999999995</v>
      </c>
      <c r="S389">
        <f t="shared" si="38"/>
        <v>8322.4404999999988</v>
      </c>
      <c r="T389">
        <f t="shared" si="38"/>
        <v>10328.644699999999</v>
      </c>
      <c r="U389">
        <f t="shared" si="38"/>
        <v>7539.8003999999992</v>
      </c>
      <c r="V389">
        <f t="shared" si="38"/>
        <v>8024.8167999999996</v>
      </c>
      <c r="W389">
        <f t="shared" si="28"/>
        <v>4164.2822222222221</v>
      </c>
      <c r="X389">
        <f t="shared" si="29"/>
        <v>10538.0836</v>
      </c>
      <c r="Y389">
        <f t="shared" si="30"/>
        <v>1363.8807381012853</v>
      </c>
      <c r="Z389">
        <f t="shared" si="31"/>
        <v>7743.72775</v>
      </c>
      <c r="AA389">
        <f t="shared" si="32"/>
        <v>8730.2951999999987</v>
      </c>
      <c r="AB389">
        <f t="shared" si="33"/>
        <v>8157.0940000000001</v>
      </c>
      <c r="AC389">
        <f t="shared" si="34"/>
        <v>8238.002113071896</v>
      </c>
      <c r="AD389" t="s">
        <v>568</v>
      </c>
    </row>
    <row r="390" spans="5:31" x14ac:dyDescent="0.35">
      <c r="E390" s="89" t="s">
        <v>168</v>
      </c>
      <c r="F390">
        <f t="shared" ref="F390:V390" si="39">1000*1.10231*F376</f>
        <v>413851.26639999996</v>
      </c>
      <c r="G390">
        <f t="shared" si="39"/>
        <v>503447.0232</v>
      </c>
      <c r="H390">
        <f t="shared" si="39"/>
        <v>267409.38289999997</v>
      </c>
      <c r="I390">
        <f t="shared" si="39"/>
        <v>393954.57089999999</v>
      </c>
      <c r="J390">
        <f t="shared" si="39"/>
        <v>445961.55669999996</v>
      </c>
      <c r="K390">
        <f t="shared" si="39"/>
        <v>442401.09539999993</v>
      </c>
      <c r="L390">
        <f t="shared" si="39"/>
        <v>502807.68339999998</v>
      </c>
      <c r="M390">
        <f t="shared" si="39"/>
        <v>362537.51111111115</v>
      </c>
      <c r="N390">
        <f t="shared" si="39"/>
        <v>329778.08270000003</v>
      </c>
      <c r="O390">
        <f t="shared" si="39"/>
        <v>436900.56849999999</v>
      </c>
      <c r="P390">
        <f t="shared" si="39"/>
        <v>437418.65419999999</v>
      </c>
      <c r="Q390">
        <f t="shared" si="39"/>
        <v>594828.52220000001</v>
      </c>
      <c r="R390">
        <f t="shared" si="39"/>
        <v>326834.91499999998</v>
      </c>
      <c r="S390">
        <f t="shared" si="39"/>
        <v>393954.57089999999</v>
      </c>
      <c r="T390">
        <f t="shared" si="39"/>
        <v>533066.09289999993</v>
      </c>
      <c r="U390">
        <f t="shared" si="39"/>
        <v>407479.91460000002</v>
      </c>
      <c r="V390">
        <f t="shared" si="39"/>
        <v>432733.83669999999</v>
      </c>
      <c r="W390">
        <f t="shared" si="28"/>
        <v>267409.38289999997</v>
      </c>
      <c r="X390">
        <f t="shared" si="29"/>
        <v>594828.52220000001</v>
      </c>
      <c r="Y390">
        <f t="shared" si="30"/>
        <v>78074.120835117996</v>
      </c>
      <c r="Z390">
        <f t="shared" si="31"/>
        <v>378246.04100555554</v>
      </c>
      <c r="AA390">
        <f t="shared" si="32"/>
        <v>474384.62004999997</v>
      </c>
      <c r="AB390">
        <f t="shared" si="33"/>
        <v>432733.83669999999</v>
      </c>
      <c r="AC390">
        <f t="shared" si="34"/>
        <v>425021.48515947704</v>
      </c>
      <c r="AD390" t="s">
        <v>168</v>
      </c>
    </row>
    <row r="391" spans="5:31" x14ac:dyDescent="0.35">
      <c r="E391" t="s">
        <v>126</v>
      </c>
      <c r="F391">
        <f t="shared" ref="F391:V391" si="40">1000*1.10231*F377</f>
        <v>0</v>
      </c>
      <c r="G391">
        <f t="shared" si="40"/>
        <v>0</v>
      </c>
      <c r="H391">
        <f t="shared" si="40"/>
        <v>0</v>
      </c>
      <c r="I391">
        <f t="shared" si="40"/>
        <v>0</v>
      </c>
      <c r="J391">
        <f t="shared" si="40"/>
        <v>0</v>
      </c>
      <c r="K391">
        <f t="shared" si="40"/>
        <v>0</v>
      </c>
      <c r="L391">
        <f t="shared" si="40"/>
        <v>0</v>
      </c>
      <c r="M391">
        <f t="shared" si="40"/>
        <v>85.73522222222222</v>
      </c>
      <c r="N391">
        <f t="shared" si="40"/>
        <v>0</v>
      </c>
      <c r="O391">
        <f t="shared" si="40"/>
        <v>0</v>
      </c>
      <c r="P391">
        <f t="shared" si="40"/>
        <v>0</v>
      </c>
      <c r="Q391">
        <f t="shared" si="40"/>
        <v>0</v>
      </c>
      <c r="R391">
        <f t="shared" si="40"/>
        <v>0</v>
      </c>
      <c r="S391">
        <f t="shared" si="40"/>
        <v>0</v>
      </c>
      <c r="T391">
        <f t="shared" si="40"/>
        <v>0</v>
      </c>
      <c r="U391">
        <f t="shared" si="40"/>
        <v>0</v>
      </c>
      <c r="V391">
        <f t="shared" si="40"/>
        <v>0</v>
      </c>
      <c r="W391">
        <f t="shared" si="28"/>
        <v>0</v>
      </c>
      <c r="X391">
        <f t="shared" si="29"/>
        <v>85.73522222222222</v>
      </c>
      <c r="Y391">
        <f t="shared" si="30"/>
        <v>20.172993464052286</v>
      </c>
      <c r="Z391">
        <f t="shared" si="31"/>
        <v>0</v>
      </c>
      <c r="AA391">
        <f t="shared" si="32"/>
        <v>0</v>
      </c>
      <c r="AB391">
        <f t="shared" si="33"/>
        <v>0</v>
      </c>
      <c r="AC391">
        <f t="shared" si="34"/>
        <v>5.0432483660130716</v>
      </c>
      <c r="AD391" t="s">
        <v>126</v>
      </c>
    </row>
    <row r="393" spans="5:31" x14ac:dyDescent="0.35">
      <c r="E393" s="138" t="s">
        <v>669</v>
      </c>
      <c r="F393" s="138"/>
      <c r="G393" s="138"/>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c r="AD393" s="138"/>
      <c r="AE393" s="138"/>
    </row>
    <row r="394" spans="5:31" x14ac:dyDescent="0.35">
      <c r="E394" s="138" t="s">
        <v>435</v>
      </c>
      <c r="F394" s="138" t="s">
        <v>496</v>
      </c>
      <c r="G394" s="138" t="s">
        <v>483</v>
      </c>
      <c r="H394" s="138" t="s">
        <v>490</v>
      </c>
      <c r="I394" s="138" t="s">
        <v>503</v>
      </c>
      <c r="J394" s="138" t="s">
        <v>491</v>
      </c>
      <c r="K394" s="138" t="s">
        <v>494</v>
      </c>
      <c r="L394" s="138" t="s">
        <v>498</v>
      </c>
      <c r="M394" s="138" t="s">
        <v>502</v>
      </c>
      <c r="N394" s="138" t="s">
        <v>505</v>
      </c>
      <c r="O394" s="138" t="s">
        <v>507</v>
      </c>
      <c r="P394" s="138" t="s">
        <v>509</v>
      </c>
      <c r="Q394" s="138" t="s">
        <v>503</v>
      </c>
      <c r="R394" s="138" t="s">
        <v>512</v>
      </c>
      <c r="S394" s="138" t="s">
        <v>503</v>
      </c>
      <c r="T394" s="138" t="s">
        <v>434</v>
      </c>
      <c r="U394" s="138" t="s">
        <v>434</v>
      </c>
      <c r="V394" s="138" t="s">
        <v>515</v>
      </c>
      <c r="W394" s="138" t="s">
        <v>517</v>
      </c>
      <c r="X394" s="138" t="s">
        <v>518</v>
      </c>
      <c r="Y394" s="138" t="s">
        <v>519</v>
      </c>
      <c r="Z394" s="138" t="s">
        <v>520</v>
      </c>
      <c r="AA394" s="138" t="s">
        <v>521</v>
      </c>
      <c r="AB394" s="138" t="s">
        <v>522</v>
      </c>
      <c r="AC394" s="138" t="s">
        <v>523</v>
      </c>
      <c r="AD394" s="138"/>
      <c r="AE394" s="138"/>
    </row>
    <row r="395" spans="5:31" x14ac:dyDescent="0.35">
      <c r="E395" s="138" t="s">
        <v>495</v>
      </c>
      <c r="F395" s="138">
        <v>50</v>
      </c>
      <c r="G395" s="138">
        <v>50</v>
      </c>
      <c r="H395" s="138">
        <v>100</v>
      </c>
      <c r="I395" s="138">
        <v>100</v>
      </c>
      <c r="J395" s="138">
        <v>100</v>
      </c>
      <c r="K395" s="138">
        <v>50</v>
      </c>
      <c r="L395" s="138">
        <v>50</v>
      </c>
      <c r="M395" s="138">
        <v>90</v>
      </c>
      <c r="N395" s="138">
        <v>100</v>
      </c>
      <c r="O395" s="138">
        <v>100</v>
      </c>
      <c r="P395" s="138">
        <v>100</v>
      </c>
      <c r="Q395" s="138">
        <v>100</v>
      </c>
      <c r="R395" s="138">
        <v>100</v>
      </c>
      <c r="S395" s="138">
        <v>100</v>
      </c>
      <c r="T395" s="138">
        <v>100</v>
      </c>
      <c r="U395" s="138">
        <v>100</v>
      </c>
      <c r="V395" s="138">
        <v>100</v>
      </c>
      <c r="W395" s="138"/>
      <c r="X395" s="138"/>
      <c r="Y395" s="138"/>
      <c r="Z395" s="138"/>
      <c r="AA395" s="138"/>
      <c r="AB395" s="138"/>
      <c r="AC395" s="138"/>
      <c r="AD395" s="138"/>
      <c r="AE395" s="138"/>
    </row>
    <row r="396" spans="5:31" x14ac:dyDescent="0.35">
      <c r="E396" s="94" t="s">
        <v>545</v>
      </c>
      <c r="F396" s="138">
        <v>2</v>
      </c>
      <c r="G396" s="138">
        <v>2</v>
      </c>
      <c r="H396" s="138">
        <v>3.3</v>
      </c>
      <c r="I396" s="138">
        <v>4.2</v>
      </c>
      <c r="J396" s="138">
        <v>3.45</v>
      </c>
      <c r="K396" s="138">
        <v>2</v>
      </c>
      <c r="L396" s="138">
        <v>2</v>
      </c>
      <c r="M396" s="138">
        <v>3</v>
      </c>
      <c r="N396" s="138">
        <v>3.45</v>
      </c>
      <c r="O396" s="138">
        <v>3.45</v>
      </c>
      <c r="P396" s="138">
        <v>3.45</v>
      </c>
      <c r="Q396" s="138">
        <v>3.45</v>
      </c>
      <c r="R396" s="138">
        <v>4.2</v>
      </c>
      <c r="S396" s="138">
        <v>4.2</v>
      </c>
      <c r="T396" s="138">
        <v>4.2</v>
      </c>
      <c r="U396" s="138">
        <v>6</v>
      </c>
      <c r="V396" s="138">
        <v>6.2</v>
      </c>
      <c r="W396" s="138"/>
      <c r="X396" s="138"/>
      <c r="Y396" s="138"/>
      <c r="Z396" s="138"/>
      <c r="AA396" s="138"/>
      <c r="AB396" s="138"/>
      <c r="AC396" s="138"/>
      <c r="AD396" s="138"/>
      <c r="AE396" s="138"/>
    </row>
    <row r="397" spans="5:31" ht="49" customHeight="1" x14ac:dyDescent="0.35">
      <c r="E397" s="94" t="s">
        <v>21</v>
      </c>
      <c r="F397" s="138">
        <v>102759.907243686</v>
      </c>
      <c r="G397" s="138">
        <v>113599.89745895998</v>
      </c>
      <c r="H397" s="138">
        <v>82399.925621639995</v>
      </c>
      <c r="I397" s="138">
        <v>123309.8886942285</v>
      </c>
      <c r="J397" s="138">
        <v>116919.894462162</v>
      </c>
      <c r="K397" s="138">
        <v>107199.90323592001</v>
      </c>
      <c r="L397" s="138">
        <v>148799.86568568001</v>
      </c>
      <c r="M397" s="138">
        <v>82666.592047600003</v>
      </c>
      <c r="N397" s="138">
        <v>88219.920368217005</v>
      </c>
      <c r="O397" s="138">
        <v>115579.89567171299</v>
      </c>
      <c r="P397" s="138">
        <v>143509.87046069847</v>
      </c>
      <c r="Q397" s="138">
        <v>167289.84899568147</v>
      </c>
      <c r="R397" s="138">
        <v>93199.91587302</v>
      </c>
      <c r="S397" s="138">
        <v>122929.88903723551</v>
      </c>
      <c r="T397" s="138">
        <v>153129.86177720549</v>
      </c>
      <c r="U397" s="138">
        <v>119589.89205208649</v>
      </c>
      <c r="V397" s="138">
        <v>115949.89533773249</v>
      </c>
      <c r="W397" s="138">
        <v>82399.925621639995</v>
      </c>
      <c r="X397" s="138">
        <v>167289.84899568147</v>
      </c>
      <c r="Y397" s="138">
        <v>23899.918187501549</v>
      </c>
      <c r="Z397" s="138">
        <v>97979.911558352993</v>
      </c>
      <c r="AA397" s="138">
        <v>133409.87957746349</v>
      </c>
      <c r="AB397" s="138">
        <v>115949.89533773249</v>
      </c>
      <c r="AC397" s="138">
        <v>117473.81553079213</v>
      </c>
      <c r="AD397" s="138" t="s">
        <v>21</v>
      </c>
      <c r="AE397" s="138"/>
    </row>
    <row r="398" spans="5:31" ht="56.5" customHeight="1" x14ac:dyDescent="0.35">
      <c r="E398" s="140" t="s">
        <v>450</v>
      </c>
      <c r="F398" s="138">
        <v>13199.988085019999</v>
      </c>
      <c r="G398" s="138">
        <v>5079.9954145380007</v>
      </c>
      <c r="H398" s="138">
        <v>2829.9974455004999</v>
      </c>
      <c r="I398" s="138">
        <v>3229.9970844405002</v>
      </c>
      <c r="J398" s="138">
        <v>2959.9973281560001</v>
      </c>
      <c r="K398" s="138">
        <v>4959.9955228560002</v>
      </c>
      <c r="L398" s="138">
        <v>4719.9957394920002</v>
      </c>
      <c r="M398" s="138">
        <v>3233.3304147650001</v>
      </c>
      <c r="N398" s="138">
        <v>2959.9973281560001</v>
      </c>
      <c r="O398" s="138">
        <v>3259.9970573609999</v>
      </c>
      <c r="P398" s="138">
        <v>3709.9966511685002</v>
      </c>
      <c r="Q398" s="138">
        <v>3869.9965067445</v>
      </c>
      <c r="R398" s="138">
        <v>3069.9972288644994</v>
      </c>
      <c r="S398" s="138">
        <v>3229.9970844405002</v>
      </c>
      <c r="T398" s="138">
        <v>3309.9970122284999</v>
      </c>
      <c r="U398" s="138">
        <v>779.99929593299998</v>
      </c>
      <c r="V398" s="138">
        <v>729.99934106549995</v>
      </c>
      <c r="W398" s="138">
        <v>729.99934106549995</v>
      </c>
      <c r="X398" s="138">
        <v>13199.988085019999</v>
      </c>
      <c r="Y398" s="138">
        <v>2602.2543536629814</v>
      </c>
      <c r="Z398" s="138">
        <v>2959.9973281560001</v>
      </c>
      <c r="AA398" s="138">
        <v>4294.9961231182497</v>
      </c>
      <c r="AB398" s="138">
        <v>3233.3304147650001</v>
      </c>
      <c r="AC398" s="138">
        <v>3831.3690906311763</v>
      </c>
      <c r="AD398" s="138" t="s">
        <v>7</v>
      </c>
      <c r="AE398" s="138"/>
    </row>
    <row r="399" spans="5:31" x14ac:dyDescent="0.35">
      <c r="E399" s="140" t="s">
        <v>485</v>
      </c>
      <c r="F399" s="138">
        <v>0</v>
      </c>
      <c r="G399" s="138">
        <v>39.999963893999997</v>
      </c>
      <c r="H399" s="138">
        <v>9.9999909734999992</v>
      </c>
      <c r="I399" s="138">
        <v>0</v>
      </c>
      <c r="J399" s="138">
        <v>19.999981946999998</v>
      </c>
      <c r="K399" s="138">
        <v>39.999963893999997</v>
      </c>
      <c r="L399" s="138">
        <v>0</v>
      </c>
      <c r="M399" s="138">
        <v>0</v>
      </c>
      <c r="N399" s="138">
        <v>19.999981946999998</v>
      </c>
      <c r="O399" s="138">
        <v>19.999981946999998</v>
      </c>
      <c r="P399" s="138">
        <v>29.999972920499999</v>
      </c>
      <c r="Q399" s="138">
        <v>19.999981946999998</v>
      </c>
      <c r="R399" s="138">
        <v>0</v>
      </c>
      <c r="S399" s="138">
        <v>0</v>
      </c>
      <c r="T399" s="138">
        <v>0</v>
      </c>
      <c r="U399" s="138">
        <v>0</v>
      </c>
      <c r="V399" s="138">
        <v>0</v>
      </c>
      <c r="W399" s="138">
        <v>0</v>
      </c>
      <c r="X399" s="138">
        <v>39.999963893999997</v>
      </c>
      <c r="Y399" s="138">
        <v>14.239655895869127</v>
      </c>
      <c r="Z399" s="138">
        <v>0</v>
      </c>
      <c r="AA399" s="138">
        <v>19.999981946999998</v>
      </c>
      <c r="AB399" s="138">
        <v>0</v>
      </c>
      <c r="AC399" s="138">
        <v>11.764695262941176</v>
      </c>
      <c r="AD399" s="138" t="s">
        <v>485</v>
      </c>
      <c r="AE399" s="138"/>
    </row>
    <row r="400" spans="5:31" x14ac:dyDescent="0.35">
      <c r="E400" s="140" t="s">
        <v>113</v>
      </c>
      <c r="F400" s="138">
        <v>3319.9970032020001</v>
      </c>
      <c r="G400" s="138">
        <v>1699.9984654949999</v>
      </c>
      <c r="H400" s="138">
        <v>1139.998970979</v>
      </c>
      <c r="I400" s="138">
        <v>1339.9987904489999</v>
      </c>
      <c r="J400" s="138">
        <v>1459.9986821309999</v>
      </c>
      <c r="K400" s="138">
        <v>1659.998501601</v>
      </c>
      <c r="L400" s="138">
        <v>2079.9981224879998</v>
      </c>
      <c r="M400" s="138">
        <v>2177.7758120066665</v>
      </c>
      <c r="N400" s="138">
        <v>1479.998664078</v>
      </c>
      <c r="O400" s="138">
        <v>1439.998700184</v>
      </c>
      <c r="P400" s="138">
        <v>1449.9986911574999</v>
      </c>
      <c r="Q400" s="138">
        <v>1489.9986550514998</v>
      </c>
      <c r="R400" s="138">
        <v>1339.9987904489999</v>
      </c>
      <c r="S400" s="138">
        <v>1339.9987904489999</v>
      </c>
      <c r="T400" s="138">
        <v>1399.9987362899999</v>
      </c>
      <c r="U400" s="138">
        <v>1199.99891682</v>
      </c>
      <c r="V400" s="138">
        <v>1149.9989619524999</v>
      </c>
      <c r="W400" s="138">
        <v>1139.998970979</v>
      </c>
      <c r="X400" s="138">
        <v>3319.9970032020001</v>
      </c>
      <c r="Y400" s="138">
        <v>511.47181263531343</v>
      </c>
      <c r="Z400" s="138">
        <v>1339.9987904489999</v>
      </c>
      <c r="AA400" s="138">
        <v>1679.998483548</v>
      </c>
      <c r="AB400" s="138">
        <v>1449.9986911574999</v>
      </c>
      <c r="AC400" s="138">
        <v>1598.1031326343038</v>
      </c>
      <c r="AD400" s="138" t="s">
        <v>113</v>
      </c>
      <c r="AE400" s="138"/>
    </row>
    <row r="401" spans="5:31" x14ac:dyDescent="0.35">
      <c r="E401" s="94" t="s">
        <v>453</v>
      </c>
      <c r="F401" s="138">
        <v>25579.976910212998</v>
      </c>
      <c r="G401" s="138">
        <v>13619.987705906999</v>
      </c>
      <c r="H401" s="138">
        <v>8979.9918942029999</v>
      </c>
      <c r="I401" s="138">
        <v>7199.9935009199999</v>
      </c>
      <c r="J401" s="138">
        <v>8609.9922281834988</v>
      </c>
      <c r="K401" s="138">
        <v>11039.990034743998</v>
      </c>
      <c r="L401" s="138">
        <v>11279.989818107999</v>
      </c>
      <c r="M401" s="138">
        <v>4699.9957575449998</v>
      </c>
      <c r="N401" s="138">
        <v>8409.9924087134987</v>
      </c>
      <c r="O401" s="138">
        <v>8769.9920837594982</v>
      </c>
      <c r="P401" s="138">
        <v>9079.9918039380009</v>
      </c>
      <c r="Q401" s="138">
        <v>9949.9910186324996</v>
      </c>
      <c r="R401" s="138">
        <v>7929.9928419854996</v>
      </c>
      <c r="S401" s="138">
        <v>7199.9935009199999</v>
      </c>
      <c r="T401" s="138">
        <v>7949.9928239325</v>
      </c>
      <c r="U401" s="138">
        <v>8209.9925892435022</v>
      </c>
      <c r="V401" s="138">
        <v>6289.9943223314995</v>
      </c>
      <c r="W401" s="138">
        <v>4699.9957575449998</v>
      </c>
      <c r="X401" s="138">
        <v>25579.976910212998</v>
      </c>
      <c r="Y401" s="138">
        <v>4432.8825350985344</v>
      </c>
      <c r="Z401" s="138">
        <v>7564.9931714527502</v>
      </c>
      <c r="AA401" s="138">
        <v>10494.990526688249</v>
      </c>
      <c r="AB401" s="138">
        <v>8609.9922281834988</v>
      </c>
      <c r="AC401" s="138">
        <v>9694.1088966635307</v>
      </c>
      <c r="AD401" s="138" t="s">
        <v>567</v>
      </c>
      <c r="AE401" s="138"/>
    </row>
    <row r="402" spans="5:31" x14ac:dyDescent="0.35">
      <c r="E402" s="141" t="s">
        <v>465</v>
      </c>
      <c r="F402" s="138">
        <v>9559.9913706660009</v>
      </c>
      <c r="G402" s="138">
        <v>7399.99332039</v>
      </c>
      <c r="H402" s="138">
        <v>7199.9935009199999</v>
      </c>
      <c r="I402" s="138">
        <v>7549.9931849924988</v>
      </c>
      <c r="J402" s="138">
        <v>7539.9931940190008</v>
      </c>
      <c r="K402" s="138">
        <v>8979.9918942029999</v>
      </c>
      <c r="L402" s="138">
        <v>7239.9934648140006</v>
      </c>
      <c r="M402" s="138">
        <v>3777.7743677666667</v>
      </c>
      <c r="N402" s="138">
        <v>7459.9932662309993</v>
      </c>
      <c r="O402" s="138">
        <v>8289.9925170314982</v>
      </c>
      <c r="P402" s="138">
        <v>7389.9933294164994</v>
      </c>
      <c r="Q402" s="138">
        <v>6769.9938890594995</v>
      </c>
      <c r="R402" s="138">
        <v>6849.9938168475001</v>
      </c>
      <c r="S402" s="138">
        <v>7549.9931849924988</v>
      </c>
      <c r="T402" s="138">
        <v>9369.9915421694986</v>
      </c>
      <c r="U402" s="138">
        <v>6839.9938258739994</v>
      </c>
      <c r="V402" s="138">
        <v>7279.9934287079996</v>
      </c>
      <c r="W402" s="138">
        <v>3777.7743677666667</v>
      </c>
      <c r="X402" s="138">
        <v>9559.9913706660009</v>
      </c>
      <c r="Y402" s="138">
        <v>1237.2921473944086</v>
      </c>
      <c r="Z402" s="138">
        <v>7024.99365888375</v>
      </c>
      <c r="AA402" s="138">
        <v>7919.9928510119989</v>
      </c>
      <c r="AB402" s="138">
        <v>7399.99332039</v>
      </c>
      <c r="AC402" s="138">
        <v>7473.3919469471266</v>
      </c>
      <c r="AD402" s="138" t="s">
        <v>568</v>
      </c>
      <c r="AE402" s="138"/>
    </row>
    <row r="403" spans="5:31" x14ac:dyDescent="0.35">
      <c r="E403" s="141" t="s">
        <v>168</v>
      </c>
      <c r="F403" s="138">
        <v>375439.66110908397</v>
      </c>
      <c r="G403" s="138">
        <v>456719.58774169203</v>
      </c>
      <c r="H403" s="138">
        <v>242589.78102613648</v>
      </c>
      <c r="I403" s="138">
        <v>357389.67740191647</v>
      </c>
      <c r="J403" s="138">
        <v>404569.63481488946</v>
      </c>
      <c r="K403" s="138">
        <v>401339.63773044897</v>
      </c>
      <c r="L403" s="138">
        <v>456139.58826522902</v>
      </c>
      <c r="M403" s="138">
        <v>328888.59201733337</v>
      </c>
      <c r="N403" s="138">
        <v>299169.72995419952</v>
      </c>
      <c r="O403" s="138">
        <v>396349.6422346725</v>
      </c>
      <c r="P403" s="138">
        <v>396819.64181042701</v>
      </c>
      <c r="Q403" s="138">
        <v>539619.51291200705</v>
      </c>
      <c r="R403" s="138">
        <v>296499.73236427497</v>
      </c>
      <c r="S403" s="138">
        <v>357389.67740191647</v>
      </c>
      <c r="T403" s="138">
        <v>483589.56348748645</v>
      </c>
      <c r="U403" s="138">
        <v>369659.666326401</v>
      </c>
      <c r="V403" s="138">
        <v>392569.64564668952</v>
      </c>
      <c r="W403" s="138">
        <v>242589.78102613648</v>
      </c>
      <c r="X403" s="138">
        <v>539619.51291200705</v>
      </c>
      <c r="Y403" s="138">
        <v>70827.671309806479</v>
      </c>
      <c r="Z403" s="138">
        <v>343139.13470962492</v>
      </c>
      <c r="AA403" s="138">
        <v>430354.61154005921</v>
      </c>
      <c r="AB403" s="138">
        <v>392569.64564668952</v>
      </c>
      <c r="AC403" s="138">
        <v>385573.11601440021</v>
      </c>
      <c r="AD403" s="138" t="s">
        <v>168</v>
      </c>
      <c r="AE403" s="138"/>
    </row>
    <row r="404" spans="5:31" x14ac:dyDescent="0.35">
      <c r="E404" s="138" t="s">
        <v>126</v>
      </c>
      <c r="F404" s="138">
        <v>0</v>
      </c>
      <c r="G404" s="138">
        <v>0</v>
      </c>
      <c r="H404" s="138">
        <v>0</v>
      </c>
      <c r="I404" s="138">
        <v>0</v>
      </c>
      <c r="J404" s="138">
        <v>0</v>
      </c>
      <c r="K404" s="138">
        <v>0</v>
      </c>
      <c r="L404" s="138">
        <v>0</v>
      </c>
      <c r="M404" s="138">
        <v>77.777707571666667</v>
      </c>
      <c r="N404" s="138">
        <v>0</v>
      </c>
      <c r="O404" s="138">
        <v>0</v>
      </c>
      <c r="P404" s="138">
        <v>0</v>
      </c>
      <c r="Q404" s="138">
        <v>0</v>
      </c>
      <c r="R404" s="138">
        <v>0</v>
      </c>
      <c r="S404" s="138">
        <v>0</v>
      </c>
      <c r="T404" s="138">
        <v>0</v>
      </c>
      <c r="U404" s="138">
        <v>0</v>
      </c>
      <c r="V404" s="138">
        <v>0</v>
      </c>
      <c r="W404" s="138">
        <v>0</v>
      </c>
      <c r="X404" s="138">
        <v>77.777707571666667</v>
      </c>
      <c r="Y404" s="138">
        <v>18.300637075686275</v>
      </c>
      <c r="Z404" s="138">
        <v>0</v>
      </c>
      <c r="AA404" s="138">
        <v>0</v>
      </c>
      <c r="AB404" s="138">
        <v>0</v>
      </c>
      <c r="AC404" s="138">
        <v>4.5751592689215688</v>
      </c>
      <c r="AD404" s="138" t="s">
        <v>126</v>
      </c>
      <c r="AE404" s="138"/>
    </row>
    <row r="405" spans="5:31" x14ac:dyDescent="0.35">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c r="AD405" s="138"/>
      <c r="AE405" s="138"/>
    </row>
    <row r="407" spans="5:31" x14ac:dyDescent="0.35">
      <c r="K407" t="s">
        <v>546</v>
      </c>
    </row>
    <row r="408" spans="5:31" ht="15" thickBot="1" x14ac:dyDescent="0.4">
      <c r="E408" t="s">
        <v>547</v>
      </c>
      <c r="X408" t="s">
        <v>566</v>
      </c>
    </row>
    <row r="409" spans="5:31" ht="145.5" thickBot="1" x14ac:dyDescent="0.4">
      <c r="E409" s="166" t="s">
        <v>2</v>
      </c>
      <c r="F409" s="168" t="s">
        <v>526</v>
      </c>
      <c r="G409" s="169"/>
      <c r="H409" s="170" t="s">
        <v>527</v>
      </c>
      <c r="K409" s="11" t="s">
        <v>554</v>
      </c>
      <c r="O409" s="11" t="s">
        <v>563</v>
      </c>
      <c r="U409" t="s">
        <v>564</v>
      </c>
      <c r="X409" t="s">
        <v>565</v>
      </c>
      <c r="AB409" s="138" t="s">
        <v>670</v>
      </c>
      <c r="AC409" s="138"/>
      <c r="AD409" s="138"/>
    </row>
    <row r="410" spans="5:31" ht="50" thickBot="1" x14ac:dyDescent="0.4">
      <c r="E410" s="167"/>
      <c r="F410" s="95" t="s">
        <v>528</v>
      </c>
      <c r="G410" s="95" t="s">
        <v>529</v>
      </c>
      <c r="H410" s="171"/>
      <c r="K410" s="102" t="s">
        <v>2</v>
      </c>
      <c r="L410" s="103" t="s">
        <v>526</v>
      </c>
      <c r="M410" s="103" t="s">
        <v>527</v>
      </c>
      <c r="O410" s="102" t="s">
        <v>555</v>
      </c>
      <c r="P410" s="103" t="s">
        <v>2</v>
      </c>
      <c r="Q410" s="103" t="s">
        <v>526</v>
      </c>
      <c r="R410" s="103" t="s">
        <v>527</v>
      </c>
      <c r="U410" t="s">
        <v>528</v>
      </c>
      <c r="V410" t="s">
        <v>529</v>
      </c>
      <c r="Y410" t="s">
        <v>528</v>
      </c>
      <c r="Z410" t="s">
        <v>529</v>
      </c>
      <c r="AB410" s="138"/>
      <c r="AC410" s="138" t="s">
        <v>528</v>
      </c>
      <c r="AD410" s="138" t="s">
        <v>529</v>
      </c>
    </row>
    <row r="411" spans="5:31" ht="50" thickBot="1" x14ac:dyDescent="0.4">
      <c r="E411" s="99" t="s">
        <v>530</v>
      </c>
      <c r="F411" s="96">
        <v>3345</v>
      </c>
      <c r="G411" s="96">
        <v>3345</v>
      </c>
      <c r="H411" s="96" t="s">
        <v>531</v>
      </c>
      <c r="K411" s="99" t="s">
        <v>530</v>
      </c>
      <c r="L411" s="98">
        <v>21805</v>
      </c>
      <c r="M411" s="96" t="s">
        <v>531</v>
      </c>
      <c r="O411" s="163" t="s">
        <v>556</v>
      </c>
      <c r="P411" s="96" t="s">
        <v>113</v>
      </c>
      <c r="Q411" s="104">
        <v>538</v>
      </c>
      <c r="R411" s="96" t="s">
        <v>113</v>
      </c>
      <c r="T411" t="s">
        <v>21</v>
      </c>
      <c r="U411" s="97">
        <f>F411+F412+L411+L412+Q414+Q417</f>
        <v>250222</v>
      </c>
      <c r="V411" s="97">
        <f>G411+G412+L411+L412+Q417+Q414</f>
        <v>250262</v>
      </c>
      <c r="X411" t="s">
        <v>21</v>
      </c>
      <c r="Y411" s="97">
        <f>0.00110231*U411*1000</f>
        <v>275822.21282000002</v>
      </c>
      <c r="Z411" s="97">
        <f>0.00110231*V411*1000</f>
        <v>275866.30522000004</v>
      </c>
      <c r="AB411" s="138" t="s">
        <v>21</v>
      </c>
      <c r="AC411" s="139">
        <v>250221.77413711173</v>
      </c>
      <c r="AD411" s="139">
        <v>250261.77410100575</v>
      </c>
    </row>
    <row r="412" spans="5:31" ht="66.5" thickBot="1" x14ac:dyDescent="0.4">
      <c r="E412" s="99" t="s">
        <v>532</v>
      </c>
      <c r="F412" s="96">
        <v>6818</v>
      </c>
      <c r="G412" s="96">
        <v>6858</v>
      </c>
      <c r="H412" s="96" t="s">
        <v>533</v>
      </c>
      <c r="K412" s="99" t="s">
        <v>532</v>
      </c>
      <c r="L412" s="98">
        <v>15538</v>
      </c>
      <c r="M412" s="96" t="s">
        <v>533</v>
      </c>
      <c r="O412" s="164"/>
      <c r="P412" s="96" t="s">
        <v>7</v>
      </c>
      <c r="Q412" s="104">
        <v>2714</v>
      </c>
      <c r="R412" s="96" t="s">
        <v>535</v>
      </c>
      <c r="T412" t="s">
        <v>7</v>
      </c>
      <c r="U412">
        <f>F415+L415+Q412+Q415</f>
        <v>4036.1</v>
      </c>
      <c r="V412">
        <v>4036.1</v>
      </c>
      <c r="X412" t="s">
        <v>7</v>
      </c>
      <c r="Y412" s="97">
        <f t="shared" ref="Y412:Z416" si="41">0.00110231*U412*1000</f>
        <v>4449.0333909999999</v>
      </c>
      <c r="Z412" s="97">
        <f t="shared" si="41"/>
        <v>4449.0333909999999</v>
      </c>
      <c r="AB412" s="138" t="s">
        <v>7</v>
      </c>
      <c r="AC412" s="139">
        <v>4036.0963568143352</v>
      </c>
      <c r="AD412" s="139">
        <v>4036.0963568143352</v>
      </c>
    </row>
    <row r="413" spans="5:31" ht="66.5" thickBot="1" x14ac:dyDescent="0.4">
      <c r="E413" s="99" t="s">
        <v>534</v>
      </c>
      <c r="F413" s="96">
        <v>9446</v>
      </c>
      <c r="G413" s="96">
        <v>9446</v>
      </c>
      <c r="H413" s="96" t="s">
        <v>447</v>
      </c>
      <c r="K413" s="99" t="s">
        <v>534</v>
      </c>
      <c r="L413" s="98">
        <v>23638</v>
      </c>
      <c r="M413" s="96" t="s">
        <v>447</v>
      </c>
      <c r="O413" s="172"/>
      <c r="P413" s="96" t="s">
        <v>536</v>
      </c>
      <c r="Q413" s="104">
        <v>2944</v>
      </c>
      <c r="R413" s="96" t="s">
        <v>537</v>
      </c>
      <c r="T413" t="s">
        <v>113</v>
      </c>
      <c r="U413">
        <f>F414+L423+Q411+L414</f>
        <v>2392.4</v>
      </c>
      <c r="V413">
        <f>G414+L423+L414+Q411</f>
        <v>2394.8000000000002</v>
      </c>
      <c r="X413" t="s">
        <v>113</v>
      </c>
      <c r="Y413" s="97">
        <f t="shared" si="41"/>
        <v>2637.166444</v>
      </c>
      <c r="Z413" s="97">
        <f t="shared" si="41"/>
        <v>2639.8119880000004</v>
      </c>
      <c r="AB413" s="138" t="s">
        <v>113</v>
      </c>
      <c r="AC413" s="139">
        <v>2392.3978405001399</v>
      </c>
      <c r="AD413" s="139">
        <v>2394.7978383337804</v>
      </c>
    </row>
    <row r="414" spans="5:31" ht="33.5" thickBot="1" x14ac:dyDescent="0.4">
      <c r="E414" s="99" t="s">
        <v>113</v>
      </c>
      <c r="F414" s="96">
        <v>51.4</v>
      </c>
      <c r="G414" s="96">
        <v>53.8</v>
      </c>
      <c r="H414" s="96" t="s">
        <v>113</v>
      </c>
      <c r="K414" s="99" t="s">
        <v>113</v>
      </c>
      <c r="L414" s="96">
        <v>523</v>
      </c>
      <c r="M414" s="96" t="s">
        <v>113</v>
      </c>
      <c r="O414" s="163" t="s">
        <v>557</v>
      </c>
      <c r="P414" s="96" t="s">
        <v>530</v>
      </c>
      <c r="Q414" s="105">
        <v>188179</v>
      </c>
      <c r="R414" s="96" t="s">
        <v>531</v>
      </c>
      <c r="T414" t="s">
        <v>536</v>
      </c>
      <c r="U414">
        <f>F416+L417+Q413</f>
        <v>3807</v>
      </c>
      <c r="V414">
        <f>G416+L417+Q413</f>
        <v>3839</v>
      </c>
      <c r="X414" t="s">
        <v>536</v>
      </c>
      <c r="Y414" s="97">
        <f t="shared" si="41"/>
        <v>4196.4941699999999</v>
      </c>
      <c r="Z414" s="97">
        <f t="shared" si="41"/>
        <v>4231.7680900000005</v>
      </c>
      <c r="AB414" s="138" t="s">
        <v>536</v>
      </c>
      <c r="AC414" s="139">
        <v>3806.9965636114498</v>
      </c>
      <c r="AD414" s="139">
        <v>3838.9965347266507</v>
      </c>
    </row>
    <row r="415" spans="5:31" ht="66.5" thickBot="1" x14ac:dyDescent="0.4">
      <c r="E415" s="99" t="s">
        <v>7</v>
      </c>
      <c r="F415" s="96">
        <v>50.1</v>
      </c>
      <c r="G415" s="96">
        <v>50.1</v>
      </c>
      <c r="H415" s="96" t="s">
        <v>535</v>
      </c>
      <c r="K415" s="99" t="s">
        <v>7</v>
      </c>
      <c r="L415" s="96">
        <v>1035</v>
      </c>
      <c r="M415" s="96" t="s">
        <v>535</v>
      </c>
      <c r="O415" s="164"/>
      <c r="P415" s="96" t="s">
        <v>7</v>
      </c>
      <c r="Q415" s="104">
        <v>237</v>
      </c>
      <c r="R415" s="96" t="s">
        <v>535</v>
      </c>
      <c r="T415" t="s">
        <v>17</v>
      </c>
      <c r="U415" s="97">
        <f>F417</f>
        <v>11207</v>
      </c>
      <c r="V415" s="97">
        <v>11748</v>
      </c>
      <c r="X415" t="s">
        <v>17</v>
      </c>
      <c r="Y415" s="97">
        <f t="shared" si="41"/>
        <v>12353.588170000001</v>
      </c>
      <c r="Z415" s="97">
        <f t="shared" si="41"/>
        <v>12949.937879999999</v>
      </c>
      <c r="AB415" s="138" t="s">
        <v>17</v>
      </c>
      <c r="AC415" s="139">
        <v>11206.98988400145</v>
      </c>
      <c r="AD415" s="139">
        <v>11748.041999999999</v>
      </c>
    </row>
    <row r="416" spans="5:31" ht="116" thickBot="1" x14ac:dyDescent="0.4">
      <c r="E416" s="99" t="s">
        <v>536</v>
      </c>
      <c r="F416" s="96">
        <v>718</v>
      </c>
      <c r="G416" s="96">
        <v>750</v>
      </c>
      <c r="H416" s="96" t="s">
        <v>537</v>
      </c>
      <c r="K416" s="99" t="s">
        <v>339</v>
      </c>
      <c r="L416" s="96">
        <v>38</v>
      </c>
      <c r="M416" s="96" t="s">
        <v>339</v>
      </c>
      <c r="O416" s="172"/>
      <c r="P416" s="96" t="s">
        <v>558</v>
      </c>
      <c r="Q416" s="104">
        <v>580</v>
      </c>
      <c r="R416" s="96" t="s">
        <v>542</v>
      </c>
      <c r="T416" t="s">
        <v>168</v>
      </c>
      <c r="U416">
        <v>1116000</v>
      </c>
      <c r="V416">
        <v>1116000</v>
      </c>
      <c r="X416" t="s">
        <v>168</v>
      </c>
      <c r="Y416" s="97">
        <f>0.00110231*U416*1000</f>
        <v>1230177.96</v>
      </c>
      <c r="Z416" s="97">
        <f t="shared" si="41"/>
        <v>1230177.96</v>
      </c>
      <c r="AB416" s="138" t="s">
        <v>168</v>
      </c>
      <c r="AC416" s="139">
        <v>1115998.9926426001</v>
      </c>
      <c r="AD416" s="139">
        <v>1115998.9926426001</v>
      </c>
    </row>
    <row r="417" spans="2:28" ht="149" thickBot="1" x14ac:dyDescent="0.4">
      <c r="E417" s="99" t="s">
        <v>17</v>
      </c>
      <c r="F417" s="98">
        <v>11207</v>
      </c>
      <c r="G417" s="98">
        <v>11748</v>
      </c>
      <c r="H417" s="96" t="s">
        <v>538</v>
      </c>
      <c r="K417" s="99" t="s">
        <v>536</v>
      </c>
      <c r="L417" s="96">
        <v>145</v>
      </c>
      <c r="M417" s="96" t="s">
        <v>537</v>
      </c>
      <c r="O417" s="163" t="s">
        <v>559</v>
      </c>
      <c r="P417" s="96" t="s">
        <v>530</v>
      </c>
      <c r="Q417" s="105">
        <v>14537</v>
      </c>
      <c r="R417" s="96" t="s">
        <v>531</v>
      </c>
      <c r="AB417" s="138" t="s">
        <v>168</v>
      </c>
    </row>
    <row r="418" spans="2:28" ht="149" thickBot="1" x14ac:dyDescent="0.4">
      <c r="E418" s="99" t="s">
        <v>539</v>
      </c>
      <c r="F418" s="96">
        <v>2755</v>
      </c>
      <c r="G418" s="96">
        <v>2888</v>
      </c>
      <c r="H418" s="96" t="s">
        <v>538</v>
      </c>
      <c r="K418" s="99" t="s">
        <v>17</v>
      </c>
      <c r="L418" s="96">
        <v>10.5</v>
      </c>
      <c r="M418" s="96" t="s">
        <v>538</v>
      </c>
      <c r="O418" s="164"/>
      <c r="P418" s="96" t="s">
        <v>560</v>
      </c>
      <c r="Q418" s="105">
        <v>44000</v>
      </c>
      <c r="R418" s="96" t="s">
        <v>561</v>
      </c>
    </row>
    <row r="419" spans="2:28" ht="149" thickBot="1" x14ac:dyDescent="0.4">
      <c r="E419" s="99" t="s">
        <v>540</v>
      </c>
      <c r="F419" s="96">
        <v>186</v>
      </c>
      <c r="G419" s="96">
        <v>186</v>
      </c>
      <c r="H419" s="96" t="s">
        <v>538</v>
      </c>
      <c r="K419" s="99" t="s">
        <v>548</v>
      </c>
      <c r="L419" s="96">
        <v>1716</v>
      </c>
      <c r="M419" s="96" t="s">
        <v>538</v>
      </c>
      <c r="O419" s="165"/>
      <c r="P419" s="101" t="s">
        <v>168</v>
      </c>
      <c r="Q419" s="106">
        <v>1116000</v>
      </c>
      <c r="R419" s="101" t="s">
        <v>562</v>
      </c>
    </row>
    <row r="420" spans="2:28" ht="116" thickBot="1" x14ac:dyDescent="0.4">
      <c r="E420" s="99" t="s">
        <v>541</v>
      </c>
      <c r="F420" s="96">
        <v>629</v>
      </c>
      <c r="G420" s="96">
        <v>659</v>
      </c>
      <c r="H420" s="96" t="s">
        <v>542</v>
      </c>
      <c r="K420" s="99" t="s">
        <v>541</v>
      </c>
      <c r="L420" s="96">
        <v>74</v>
      </c>
      <c r="M420" s="96" t="s">
        <v>542</v>
      </c>
    </row>
    <row r="421" spans="2:28" ht="66.5" thickBot="1" x14ac:dyDescent="0.4">
      <c r="E421" s="100" t="s">
        <v>543</v>
      </c>
      <c r="F421" s="101">
        <v>1361</v>
      </c>
      <c r="G421" s="101">
        <v>1426</v>
      </c>
      <c r="H421" s="101" t="s">
        <v>544</v>
      </c>
      <c r="K421" s="99" t="s">
        <v>549</v>
      </c>
      <c r="L421" s="96">
        <v>905</v>
      </c>
      <c r="M421" s="96" t="s">
        <v>550</v>
      </c>
    </row>
    <row r="422" spans="2:28" ht="33.5" thickBot="1" x14ac:dyDescent="0.4">
      <c r="K422" s="99" t="s">
        <v>551</v>
      </c>
      <c r="L422" s="96">
        <v>628</v>
      </c>
      <c r="M422" s="96" t="s">
        <v>552</v>
      </c>
    </row>
    <row r="423" spans="2:28" ht="17" thickBot="1" x14ac:dyDescent="0.4">
      <c r="K423" s="100" t="s">
        <v>553</v>
      </c>
      <c r="L423" s="101">
        <v>1280</v>
      </c>
      <c r="M423" s="101" t="s">
        <v>113</v>
      </c>
    </row>
    <row r="425" spans="2:28" x14ac:dyDescent="0.35">
      <c r="B425" t="s">
        <v>569</v>
      </c>
    </row>
    <row r="426" spans="2:28" x14ac:dyDescent="0.35">
      <c r="B426" t="s">
        <v>570</v>
      </c>
    </row>
    <row r="434" spans="2:6" x14ac:dyDescent="0.35">
      <c r="C434" s="46"/>
    </row>
    <row r="435" spans="2:6" ht="43.5" x14ac:dyDescent="0.35">
      <c r="B435" s="11" t="s">
        <v>695</v>
      </c>
    </row>
    <row r="436" spans="2:6" ht="15" thickBot="1" x14ac:dyDescent="0.4">
      <c r="B436" t="s">
        <v>694</v>
      </c>
    </row>
    <row r="437" spans="2:6" ht="15" thickBot="1" x14ac:dyDescent="0.4">
      <c r="B437" s="8" t="s">
        <v>2</v>
      </c>
      <c r="C437" s="8" t="s">
        <v>683</v>
      </c>
      <c r="D437" s="8" t="s">
        <v>395</v>
      </c>
      <c r="E437" s="8"/>
      <c r="F437" s="8"/>
    </row>
    <row r="438" spans="2:6" x14ac:dyDescent="0.35">
      <c r="B438" s="43" t="s">
        <v>684</v>
      </c>
      <c r="C438" s="142">
        <v>1410000</v>
      </c>
      <c r="D438" s="43" t="s">
        <v>685</v>
      </c>
      <c r="E438" s="142">
        <f>C438/5</f>
        <v>282000</v>
      </c>
      <c r="F438" s="43"/>
    </row>
    <row r="439" spans="2:6" x14ac:dyDescent="0.35">
      <c r="B439" s="11" t="s">
        <v>686</v>
      </c>
      <c r="C439" s="142">
        <v>5250</v>
      </c>
      <c r="D439" s="43" t="s">
        <v>685</v>
      </c>
      <c r="E439" s="142">
        <f t="shared" ref="E439:E454" si="42">C439/5</f>
        <v>1050</v>
      </c>
      <c r="F439" s="43" t="s">
        <v>21</v>
      </c>
    </row>
    <row r="440" spans="2:6" x14ac:dyDescent="0.35">
      <c r="B440" s="43" t="s">
        <v>687</v>
      </c>
      <c r="C440" s="142">
        <v>3230000</v>
      </c>
      <c r="D440" s="43" t="s">
        <v>685</v>
      </c>
      <c r="E440" s="142">
        <f t="shared" si="42"/>
        <v>646000</v>
      </c>
      <c r="F440" s="43"/>
    </row>
    <row r="441" spans="2:6" x14ac:dyDescent="0.35">
      <c r="B441" s="43" t="s">
        <v>113</v>
      </c>
      <c r="C441" s="142">
        <v>58500</v>
      </c>
      <c r="D441" s="43" t="s">
        <v>685</v>
      </c>
      <c r="E441" s="142">
        <f t="shared" si="42"/>
        <v>11700</v>
      </c>
      <c r="F441" s="43" t="s">
        <v>113</v>
      </c>
    </row>
    <row r="442" spans="2:6" x14ac:dyDescent="0.35">
      <c r="B442" s="43" t="s">
        <v>552</v>
      </c>
      <c r="C442" s="142">
        <v>75100</v>
      </c>
      <c r="D442" s="43" t="s">
        <v>685</v>
      </c>
      <c r="E442" s="142">
        <f t="shared" si="42"/>
        <v>15020</v>
      </c>
      <c r="F442" s="43"/>
    </row>
    <row r="443" spans="2:6" x14ac:dyDescent="0.35">
      <c r="B443" s="43" t="s">
        <v>7</v>
      </c>
      <c r="C443" s="142">
        <v>2250</v>
      </c>
      <c r="D443" s="43" t="s">
        <v>685</v>
      </c>
      <c r="E443" s="142">
        <f t="shared" si="42"/>
        <v>450</v>
      </c>
      <c r="F443" s="43" t="s">
        <v>7</v>
      </c>
    </row>
    <row r="444" spans="2:6" x14ac:dyDescent="0.35">
      <c r="B444" s="43"/>
      <c r="C444" s="142"/>
      <c r="D444" s="43"/>
      <c r="E444" s="142">
        <f t="shared" si="42"/>
        <v>0</v>
      </c>
      <c r="F444" s="43"/>
    </row>
    <row r="445" spans="2:6" x14ac:dyDescent="0.35">
      <c r="B445" s="43"/>
      <c r="C445" s="142"/>
      <c r="D445" s="43"/>
      <c r="E445" s="142">
        <f t="shared" si="42"/>
        <v>0</v>
      </c>
      <c r="F445" s="43"/>
    </row>
    <row r="446" spans="2:6" x14ac:dyDescent="0.35">
      <c r="B446" s="43" t="s">
        <v>121</v>
      </c>
      <c r="C446" s="142">
        <v>12900</v>
      </c>
      <c r="D446" s="43" t="s">
        <v>685</v>
      </c>
      <c r="E446" s="142">
        <f t="shared" si="42"/>
        <v>2580</v>
      </c>
      <c r="F446" s="43" t="s">
        <v>121</v>
      </c>
    </row>
    <row r="447" spans="2:6" x14ac:dyDescent="0.35">
      <c r="B447" s="43" t="s">
        <v>688</v>
      </c>
      <c r="C447" s="142">
        <v>14500</v>
      </c>
      <c r="D447" s="43" t="s">
        <v>685</v>
      </c>
      <c r="E447" s="142">
        <f t="shared" si="42"/>
        <v>2900</v>
      </c>
      <c r="F447" s="43"/>
    </row>
    <row r="448" spans="2:6" x14ac:dyDescent="0.35">
      <c r="B448" s="43" t="s">
        <v>447</v>
      </c>
      <c r="C448" s="142">
        <v>69100</v>
      </c>
      <c r="D448" s="43" t="s">
        <v>685</v>
      </c>
      <c r="E448" s="142">
        <f t="shared" si="42"/>
        <v>13820</v>
      </c>
      <c r="F448" s="43"/>
    </row>
    <row r="449" spans="2:6" x14ac:dyDescent="0.35">
      <c r="B449" s="43" t="s">
        <v>689</v>
      </c>
      <c r="C449" s="142">
        <v>9220</v>
      </c>
      <c r="D449" s="43" t="s">
        <v>685</v>
      </c>
      <c r="E449" s="142">
        <f t="shared" si="42"/>
        <v>1844</v>
      </c>
      <c r="F449" s="43"/>
    </row>
    <row r="450" spans="2:6" x14ac:dyDescent="0.35">
      <c r="B450" s="11" t="s">
        <v>690</v>
      </c>
      <c r="C450" s="142">
        <v>4750</v>
      </c>
      <c r="D450" s="43" t="s">
        <v>685</v>
      </c>
      <c r="E450" s="142">
        <f t="shared" si="42"/>
        <v>950</v>
      </c>
      <c r="F450" s="43"/>
    </row>
    <row r="451" spans="2:6" x14ac:dyDescent="0.35">
      <c r="B451" s="11" t="s">
        <v>691</v>
      </c>
      <c r="C451" s="142">
        <v>1440</v>
      </c>
      <c r="D451" s="43" t="s">
        <v>685</v>
      </c>
      <c r="E451" s="142">
        <f t="shared" si="42"/>
        <v>288</v>
      </c>
      <c r="F451" s="43"/>
    </row>
    <row r="452" spans="2:6" x14ac:dyDescent="0.35">
      <c r="B452" s="11" t="s">
        <v>692</v>
      </c>
      <c r="C452" s="142">
        <v>360</v>
      </c>
      <c r="D452" s="43" t="s">
        <v>685</v>
      </c>
      <c r="E452" s="142">
        <f t="shared" si="42"/>
        <v>72</v>
      </c>
      <c r="F452" s="43"/>
    </row>
    <row r="453" spans="2:6" x14ac:dyDescent="0.35">
      <c r="B453" s="43" t="s">
        <v>355</v>
      </c>
      <c r="C453" s="142">
        <v>263</v>
      </c>
      <c r="D453" s="43" t="s">
        <v>685</v>
      </c>
      <c r="E453" s="142">
        <f t="shared" si="42"/>
        <v>52.6</v>
      </c>
      <c r="F453" s="43"/>
    </row>
    <row r="454" spans="2:6" x14ac:dyDescent="0.35">
      <c r="B454" s="11" t="s">
        <v>693</v>
      </c>
      <c r="C454" s="142">
        <v>53.9</v>
      </c>
      <c r="D454" s="43" t="s">
        <v>685</v>
      </c>
      <c r="E454" s="142">
        <f t="shared" si="42"/>
        <v>10.78</v>
      </c>
      <c r="F454" s="43"/>
    </row>
    <row r="455" spans="2:6" x14ac:dyDescent="0.35">
      <c r="B455" s="43" t="s">
        <v>123</v>
      </c>
      <c r="C455" s="142">
        <v>1.31</v>
      </c>
      <c r="D455" s="43" t="s">
        <v>685</v>
      </c>
      <c r="E455" s="142">
        <f>C455/5</f>
        <v>0.26200000000000001</v>
      </c>
      <c r="F455" s="43" t="s">
        <v>123</v>
      </c>
    </row>
    <row r="456" spans="2:6" x14ac:dyDescent="0.35">
      <c r="B456" s="159"/>
      <c r="C456" s="159"/>
      <c r="D456" s="159"/>
      <c r="E456" s="159"/>
      <c r="F456" s="159"/>
    </row>
    <row r="457" spans="2:6" x14ac:dyDescent="0.35">
      <c r="B457" s="158"/>
      <c r="C457" s="158"/>
      <c r="D457" s="158"/>
      <c r="E457" s="158"/>
      <c r="F457" s="158"/>
    </row>
    <row r="458" spans="2:6" x14ac:dyDescent="0.35">
      <c r="B458" s="43"/>
      <c r="C458" s="142"/>
      <c r="D458" s="43"/>
      <c r="E458" s="43"/>
      <c r="F458" s="43"/>
    </row>
    <row r="459" spans="2:6" x14ac:dyDescent="0.35">
      <c r="B459" s="43"/>
      <c r="C459" s="142"/>
      <c r="D459" s="43"/>
      <c r="E459" s="43"/>
      <c r="F459" s="43"/>
    </row>
    <row r="460" spans="2:6" x14ac:dyDescent="0.35">
      <c r="B460" s="43"/>
      <c r="C460" s="142"/>
      <c r="D460" s="43"/>
      <c r="E460" s="43"/>
      <c r="F460" s="43"/>
    </row>
    <row r="461" spans="2:6" x14ac:dyDescent="0.35">
      <c r="B461" s="43"/>
      <c r="C461" s="142"/>
      <c r="D461" s="43"/>
      <c r="E461" s="43"/>
      <c r="F461" s="43"/>
    </row>
    <row r="462" spans="2:6" x14ac:dyDescent="0.35">
      <c r="B462" s="43"/>
      <c r="C462" s="142"/>
      <c r="D462" s="43"/>
      <c r="E462" s="43"/>
      <c r="F462" s="43"/>
    </row>
    <row r="463" spans="2:6" x14ac:dyDescent="0.35">
      <c r="B463" s="159"/>
      <c r="C463" s="159"/>
      <c r="D463" s="159"/>
      <c r="E463" s="159"/>
      <c r="F463" s="159"/>
    </row>
    <row r="464" spans="2:6" x14ac:dyDescent="0.35">
      <c r="B464" s="158"/>
      <c r="C464" s="158"/>
      <c r="D464" s="158"/>
      <c r="E464" s="158"/>
      <c r="F464" s="158"/>
    </row>
    <row r="465" spans="2:32" x14ac:dyDescent="0.35">
      <c r="B465" s="43"/>
      <c r="C465" s="142"/>
      <c r="D465" s="43"/>
      <c r="E465" s="43"/>
      <c r="F465" s="43"/>
    </row>
    <row r="466" spans="2:32" x14ac:dyDescent="0.35">
      <c r="B466" s="43"/>
      <c r="C466" s="142"/>
      <c r="D466" s="43"/>
      <c r="E466" s="43"/>
      <c r="F466" s="43"/>
    </row>
    <row r="467" spans="2:32" x14ac:dyDescent="0.35">
      <c r="B467" s="43"/>
      <c r="C467" s="142"/>
      <c r="D467" s="43"/>
      <c r="E467" s="43"/>
      <c r="F467" s="43"/>
    </row>
    <row r="468" spans="2:32" x14ac:dyDescent="0.35">
      <c r="B468" s="43"/>
      <c r="C468" s="142"/>
      <c r="D468" s="43"/>
      <c r="E468" s="43"/>
      <c r="F468" s="43"/>
      <c r="AD468" s="138"/>
      <c r="AE468" s="138"/>
      <c r="AF468" s="138"/>
    </row>
    <row r="469" spans="2:32" x14ac:dyDescent="0.35">
      <c r="B469" s="159"/>
      <c r="C469" s="159"/>
      <c r="D469" s="159"/>
      <c r="E469" s="159"/>
      <c r="F469" s="159"/>
      <c r="AD469" s="138"/>
      <c r="AE469" s="138"/>
      <c r="AF469" s="138"/>
    </row>
    <row r="470" spans="2:32" x14ac:dyDescent="0.35">
      <c r="B470" s="158"/>
      <c r="C470" s="158"/>
      <c r="D470" s="158"/>
      <c r="E470" s="158"/>
      <c r="F470" s="158"/>
      <c r="AD470" s="138"/>
      <c r="AE470" s="139"/>
      <c r="AF470" s="139"/>
    </row>
    <row r="471" spans="2:32" x14ac:dyDescent="0.35">
      <c r="B471" s="43"/>
      <c r="C471" s="142"/>
      <c r="D471" s="43"/>
      <c r="E471" s="43"/>
      <c r="F471" s="43"/>
      <c r="AD471" s="138"/>
      <c r="AE471" s="139"/>
      <c r="AF471" s="139"/>
    </row>
    <row r="472" spans="2:32" x14ac:dyDescent="0.35">
      <c r="B472" s="43"/>
      <c r="C472" s="142"/>
      <c r="D472" s="43"/>
      <c r="E472" s="43"/>
      <c r="F472" s="43"/>
      <c r="AD472" s="138"/>
      <c r="AE472" s="139"/>
      <c r="AF472" s="139"/>
    </row>
    <row r="473" spans="2:32" x14ac:dyDescent="0.35">
      <c r="B473" s="43"/>
      <c r="C473" s="142"/>
      <c r="D473" s="43"/>
      <c r="E473" s="43"/>
      <c r="F473" s="43"/>
      <c r="AD473" s="138"/>
      <c r="AE473" s="139"/>
      <c r="AF473" s="139"/>
    </row>
    <row r="474" spans="2:32" x14ac:dyDescent="0.35">
      <c r="B474" s="43"/>
      <c r="C474" s="142"/>
      <c r="D474" s="43"/>
      <c r="E474" s="43"/>
      <c r="F474" s="43"/>
      <c r="AD474" s="138"/>
      <c r="AE474" s="139"/>
      <c r="AF474" s="139"/>
    </row>
    <row r="475" spans="2:32" x14ac:dyDescent="0.35">
      <c r="B475" s="43"/>
      <c r="C475" s="142"/>
      <c r="D475" s="43"/>
      <c r="E475" s="43"/>
      <c r="F475" s="43"/>
      <c r="AD475" s="138"/>
      <c r="AE475" s="139"/>
      <c r="AF475" s="139"/>
    </row>
    <row r="476" spans="2:32" x14ac:dyDescent="0.35">
      <c r="B476" s="43"/>
      <c r="C476" s="142"/>
      <c r="D476" s="43"/>
      <c r="E476" s="43"/>
      <c r="F476" s="43"/>
    </row>
    <row r="477" spans="2:32" x14ac:dyDescent="0.35">
      <c r="B477" s="159"/>
      <c r="C477" s="159"/>
      <c r="D477" s="159"/>
      <c r="E477" s="159"/>
      <c r="F477" s="159"/>
    </row>
    <row r="478" spans="2:32" x14ac:dyDescent="0.35">
      <c r="B478" s="158"/>
      <c r="C478" s="158"/>
      <c r="D478" s="158"/>
      <c r="E478" s="158"/>
      <c r="F478" s="158"/>
    </row>
    <row r="479" spans="2:32" x14ac:dyDescent="0.35">
      <c r="B479" s="43"/>
      <c r="C479" s="142"/>
      <c r="D479" s="43"/>
      <c r="E479" s="43"/>
      <c r="F479" s="43"/>
    </row>
    <row r="480" spans="2:32" x14ac:dyDescent="0.35">
      <c r="B480" s="43"/>
      <c r="C480" s="142"/>
      <c r="D480" s="43"/>
      <c r="E480" s="43"/>
      <c r="F480" s="43"/>
    </row>
    <row r="481" spans="2:7" x14ac:dyDescent="0.35">
      <c r="B481" s="43"/>
      <c r="C481" s="142"/>
      <c r="D481" s="43"/>
      <c r="E481" s="43"/>
      <c r="F481" s="43"/>
    </row>
    <row r="482" spans="2:7" ht="15" thickBot="1" x14ac:dyDescent="0.4">
      <c r="B482" s="41"/>
      <c r="C482" s="41"/>
      <c r="D482" s="41"/>
      <c r="E482" s="41"/>
      <c r="F482" s="41"/>
    </row>
    <row r="485" spans="2:7" x14ac:dyDescent="0.35">
      <c r="B485" s="143" t="s">
        <v>696</v>
      </c>
    </row>
    <row r="486" spans="2:7" ht="15" thickBot="1" x14ac:dyDescent="0.4">
      <c r="B486" s="46" t="s">
        <v>708</v>
      </c>
    </row>
    <row r="487" spans="2:7" x14ac:dyDescent="0.35">
      <c r="B487" s="144" t="s">
        <v>697</v>
      </c>
      <c r="C487" s="145" t="s">
        <v>698</v>
      </c>
    </row>
    <row r="488" spans="2:7" x14ac:dyDescent="0.35">
      <c r="B488" s="146" t="s">
        <v>699</v>
      </c>
      <c r="C488" s="147"/>
    </row>
    <row r="489" spans="2:7" x14ac:dyDescent="0.35">
      <c r="B489" s="148" t="s">
        <v>21</v>
      </c>
      <c r="C489" s="147">
        <v>10234</v>
      </c>
      <c r="D489">
        <f>1000*(C489/24)</f>
        <v>426416.66666666669</v>
      </c>
      <c r="F489" t="s">
        <v>21</v>
      </c>
      <c r="G489">
        <v>426416.66666666669</v>
      </c>
    </row>
    <row r="490" spans="2:7" x14ac:dyDescent="0.35">
      <c r="B490" s="148" t="s">
        <v>365</v>
      </c>
      <c r="C490" s="147">
        <v>636</v>
      </c>
      <c r="D490">
        <f t="shared" ref="D490:D500" si="43">1000*(C490/24)</f>
        <v>26500</v>
      </c>
      <c r="F490" t="s">
        <v>17</v>
      </c>
      <c r="G490">
        <v>13625</v>
      </c>
    </row>
    <row r="491" spans="2:7" x14ac:dyDescent="0.35">
      <c r="B491" s="148" t="s">
        <v>17</v>
      </c>
      <c r="C491" s="147">
        <v>327</v>
      </c>
      <c r="D491">
        <f t="shared" si="43"/>
        <v>13625</v>
      </c>
      <c r="F491" t="s">
        <v>7</v>
      </c>
      <c r="G491">
        <v>11916.666666666666</v>
      </c>
    </row>
    <row r="492" spans="2:7" x14ac:dyDescent="0.35">
      <c r="B492" s="148" t="s">
        <v>7</v>
      </c>
      <c r="C492" s="147">
        <v>286</v>
      </c>
      <c r="D492">
        <f t="shared" si="43"/>
        <v>11916.666666666666</v>
      </c>
      <c r="F492" t="s">
        <v>113</v>
      </c>
      <c r="G492">
        <v>5708.333333333333</v>
      </c>
    </row>
    <row r="493" spans="2:7" x14ac:dyDescent="0.35">
      <c r="B493" s="148" t="s">
        <v>639</v>
      </c>
      <c r="C493" s="147">
        <v>272</v>
      </c>
      <c r="D493">
        <f t="shared" si="43"/>
        <v>11333.333333333334</v>
      </c>
      <c r="F493" t="s">
        <v>121</v>
      </c>
      <c r="G493">
        <v>4916.666666666667</v>
      </c>
    </row>
    <row r="494" spans="2:7" x14ac:dyDescent="0.35">
      <c r="B494" s="148" t="s">
        <v>700</v>
      </c>
      <c r="C494" s="147">
        <v>171</v>
      </c>
      <c r="D494">
        <f t="shared" si="43"/>
        <v>7125</v>
      </c>
      <c r="F494" t="s">
        <v>126</v>
      </c>
      <c r="G494">
        <v>666.66666666666663</v>
      </c>
    </row>
    <row r="495" spans="2:7" x14ac:dyDescent="0.35">
      <c r="B495" s="148" t="s">
        <v>113</v>
      </c>
      <c r="C495" s="147">
        <v>137</v>
      </c>
      <c r="D495">
        <f t="shared" si="43"/>
        <v>5708.333333333333</v>
      </c>
    </row>
    <row r="496" spans="2:7" x14ac:dyDescent="0.35">
      <c r="B496" s="148" t="s">
        <v>121</v>
      </c>
      <c r="C496" s="147">
        <v>118</v>
      </c>
      <c r="D496">
        <f t="shared" si="43"/>
        <v>4916.666666666667</v>
      </c>
    </row>
    <row r="497" spans="2:4" x14ac:dyDescent="0.35">
      <c r="B497" s="148" t="s">
        <v>701</v>
      </c>
      <c r="C497" s="147">
        <v>29</v>
      </c>
      <c r="D497">
        <f t="shared" si="43"/>
        <v>1208.3333333333333</v>
      </c>
    </row>
    <row r="498" spans="2:4" x14ac:dyDescent="0.35">
      <c r="B498" s="148" t="s">
        <v>702</v>
      </c>
      <c r="C498" s="147">
        <v>19</v>
      </c>
      <c r="D498">
        <f t="shared" si="43"/>
        <v>791.66666666666663</v>
      </c>
    </row>
    <row r="499" spans="2:4" x14ac:dyDescent="0.35">
      <c r="B499" s="148" t="s">
        <v>126</v>
      </c>
      <c r="C499" s="147">
        <v>16</v>
      </c>
      <c r="D499">
        <f t="shared" si="43"/>
        <v>666.66666666666663</v>
      </c>
    </row>
    <row r="500" spans="2:4" x14ac:dyDescent="0.35">
      <c r="B500" s="148" t="s">
        <v>703</v>
      </c>
      <c r="C500" s="147">
        <v>4.8</v>
      </c>
      <c r="D500">
        <f t="shared" si="43"/>
        <v>199.99999999999997</v>
      </c>
    </row>
    <row r="501" spans="2:4" x14ac:dyDescent="0.35">
      <c r="B501" s="146" t="s">
        <v>704</v>
      </c>
      <c r="C501" s="147"/>
    </row>
    <row r="502" spans="2:4" x14ac:dyDescent="0.35">
      <c r="B502" s="148" t="s">
        <v>705</v>
      </c>
      <c r="C502" s="147">
        <v>750</v>
      </c>
    </row>
    <row r="503" spans="2:4" x14ac:dyDescent="0.35">
      <c r="B503" s="148" t="s">
        <v>706</v>
      </c>
      <c r="C503" s="147">
        <v>2872</v>
      </c>
    </row>
    <row r="504" spans="2:4" ht="15" thickBot="1" x14ac:dyDescent="0.4">
      <c r="B504" s="149" t="s">
        <v>707</v>
      </c>
      <c r="C504" s="150">
        <v>272</v>
      </c>
    </row>
    <row r="515" spans="2:7" x14ac:dyDescent="0.35">
      <c r="B515" s="137" t="s">
        <v>709</v>
      </c>
      <c r="C515" s="137"/>
      <c r="D515" s="151" t="s">
        <v>21</v>
      </c>
      <c r="E515" s="152">
        <v>102759.907243686</v>
      </c>
      <c r="F515" s="137" t="s">
        <v>710</v>
      </c>
      <c r="G515" s="137"/>
    </row>
    <row r="516" spans="2:7" x14ac:dyDescent="0.35">
      <c r="B516" s="137" t="s">
        <v>709</v>
      </c>
      <c r="C516" s="137"/>
      <c r="D516" s="151" t="s">
        <v>21</v>
      </c>
      <c r="E516" s="152">
        <v>113599.89745895998</v>
      </c>
      <c r="F516" s="137" t="s">
        <v>710</v>
      </c>
      <c r="G516" s="137"/>
    </row>
    <row r="517" spans="2:7" x14ac:dyDescent="0.35">
      <c r="B517" s="137" t="s">
        <v>709</v>
      </c>
      <c r="C517" s="137"/>
      <c r="D517" s="151" t="s">
        <v>21</v>
      </c>
      <c r="E517" s="152">
        <v>82399.925621639995</v>
      </c>
      <c r="F517" s="137" t="s">
        <v>710</v>
      </c>
      <c r="G517" s="137"/>
    </row>
    <row r="518" spans="2:7" x14ac:dyDescent="0.35">
      <c r="B518" s="137" t="s">
        <v>709</v>
      </c>
      <c r="C518" s="137"/>
      <c r="D518" s="151" t="s">
        <v>21</v>
      </c>
      <c r="E518" s="152">
        <v>123309.8886942285</v>
      </c>
      <c r="F518" s="137" t="s">
        <v>710</v>
      </c>
      <c r="G518" s="137"/>
    </row>
    <row r="519" spans="2:7" x14ac:dyDescent="0.35">
      <c r="B519" s="137" t="s">
        <v>709</v>
      </c>
      <c r="C519" s="137"/>
      <c r="D519" s="151" t="s">
        <v>21</v>
      </c>
      <c r="E519" s="152">
        <v>116919.894462162</v>
      </c>
      <c r="F519" s="137" t="s">
        <v>710</v>
      </c>
      <c r="G519" s="137"/>
    </row>
    <row r="520" spans="2:7" x14ac:dyDescent="0.35">
      <c r="B520" s="137" t="s">
        <v>709</v>
      </c>
      <c r="C520" s="137"/>
      <c r="D520" s="151" t="s">
        <v>21</v>
      </c>
      <c r="E520" s="152">
        <v>107199.90323592001</v>
      </c>
      <c r="F520" s="137" t="s">
        <v>710</v>
      </c>
      <c r="G520" s="137"/>
    </row>
    <row r="521" spans="2:7" x14ac:dyDescent="0.35">
      <c r="B521" s="137" t="s">
        <v>709</v>
      </c>
      <c r="C521" s="137"/>
      <c r="D521" s="151" t="s">
        <v>21</v>
      </c>
      <c r="E521" s="152">
        <v>148799.86568568001</v>
      </c>
      <c r="F521" s="137" t="s">
        <v>710</v>
      </c>
      <c r="G521" s="137"/>
    </row>
    <row r="522" spans="2:7" x14ac:dyDescent="0.35">
      <c r="B522" s="137" t="s">
        <v>709</v>
      </c>
      <c r="C522" s="137"/>
      <c r="D522" s="151" t="s">
        <v>21</v>
      </c>
      <c r="E522" s="152">
        <v>82666.592047600003</v>
      </c>
      <c r="F522" s="137" t="s">
        <v>710</v>
      </c>
      <c r="G522" s="137"/>
    </row>
    <row r="523" spans="2:7" x14ac:dyDescent="0.35">
      <c r="B523" s="137" t="s">
        <v>709</v>
      </c>
      <c r="C523" s="137"/>
      <c r="D523" s="151" t="s">
        <v>21</v>
      </c>
      <c r="E523" s="152">
        <v>88219.920368217005</v>
      </c>
      <c r="F523" s="137" t="s">
        <v>710</v>
      </c>
      <c r="G523" s="137"/>
    </row>
    <row r="524" spans="2:7" x14ac:dyDescent="0.35">
      <c r="B524" s="137" t="s">
        <v>709</v>
      </c>
      <c r="C524" s="137"/>
      <c r="D524" s="151" t="s">
        <v>21</v>
      </c>
      <c r="E524" s="152">
        <v>115579.89567171299</v>
      </c>
      <c r="F524" s="137" t="s">
        <v>710</v>
      </c>
      <c r="G524" s="137"/>
    </row>
    <row r="525" spans="2:7" x14ac:dyDescent="0.35">
      <c r="B525" s="137" t="s">
        <v>709</v>
      </c>
      <c r="C525" s="137"/>
      <c r="D525" s="151" t="s">
        <v>21</v>
      </c>
      <c r="E525" s="152">
        <v>143509.87046069847</v>
      </c>
      <c r="F525" s="137" t="s">
        <v>710</v>
      </c>
      <c r="G525" s="137"/>
    </row>
    <row r="526" spans="2:7" x14ac:dyDescent="0.35">
      <c r="B526" s="137" t="s">
        <v>709</v>
      </c>
      <c r="C526" s="137"/>
      <c r="D526" s="151" t="s">
        <v>21</v>
      </c>
      <c r="E526" s="152">
        <v>167289.84899568147</v>
      </c>
      <c r="F526" s="137" t="s">
        <v>710</v>
      </c>
      <c r="G526" s="137"/>
    </row>
    <row r="527" spans="2:7" x14ac:dyDescent="0.35">
      <c r="B527" s="137" t="s">
        <v>709</v>
      </c>
      <c r="C527" s="137"/>
      <c r="D527" s="151" t="s">
        <v>21</v>
      </c>
      <c r="E527" s="152">
        <v>93199.91587302</v>
      </c>
      <c r="F527" s="137" t="s">
        <v>710</v>
      </c>
      <c r="G527" s="137"/>
    </row>
    <row r="528" spans="2:7" x14ac:dyDescent="0.35">
      <c r="B528" s="137" t="s">
        <v>709</v>
      </c>
      <c r="C528" s="137"/>
      <c r="D528" s="151" t="s">
        <v>21</v>
      </c>
      <c r="E528" s="152">
        <v>122929.88903723551</v>
      </c>
      <c r="F528" s="137" t="s">
        <v>710</v>
      </c>
      <c r="G528" s="137"/>
    </row>
    <row r="529" spans="2:7" x14ac:dyDescent="0.35">
      <c r="B529" s="137" t="s">
        <v>709</v>
      </c>
      <c r="C529" s="137"/>
      <c r="D529" s="151" t="s">
        <v>21</v>
      </c>
      <c r="E529" s="152">
        <v>153129.86177720549</v>
      </c>
      <c r="F529" s="137" t="s">
        <v>710</v>
      </c>
      <c r="G529" s="137"/>
    </row>
    <row r="530" spans="2:7" x14ac:dyDescent="0.35">
      <c r="B530" s="137" t="s">
        <v>709</v>
      </c>
      <c r="C530" s="137"/>
      <c r="D530" s="151" t="s">
        <v>21</v>
      </c>
      <c r="E530" s="152">
        <v>119589.89205208649</v>
      </c>
      <c r="F530" s="137" t="s">
        <v>710</v>
      </c>
      <c r="G530" s="137"/>
    </row>
    <row r="531" spans="2:7" x14ac:dyDescent="0.35">
      <c r="B531" s="137" t="s">
        <v>709</v>
      </c>
      <c r="C531" s="137"/>
      <c r="D531" s="151" t="s">
        <v>21</v>
      </c>
      <c r="E531" s="152">
        <v>115949.89533773249</v>
      </c>
      <c r="F531" s="137" t="s">
        <v>710</v>
      </c>
      <c r="G531" s="137"/>
    </row>
    <row r="532" spans="2:7" x14ac:dyDescent="0.35">
      <c r="B532" s="137" t="s">
        <v>709</v>
      </c>
      <c r="C532" s="137"/>
      <c r="D532" s="151" t="s">
        <v>113</v>
      </c>
      <c r="E532" s="137">
        <v>3319.9970032020001</v>
      </c>
      <c r="F532" s="137" t="s">
        <v>710</v>
      </c>
      <c r="G532" s="137"/>
    </row>
    <row r="533" spans="2:7" x14ac:dyDescent="0.35">
      <c r="B533" s="137" t="s">
        <v>709</v>
      </c>
      <c r="C533" s="153"/>
      <c r="D533" s="151" t="s">
        <v>113</v>
      </c>
      <c r="E533" s="137">
        <v>1739.998429389</v>
      </c>
      <c r="F533" s="137" t="s">
        <v>710</v>
      </c>
      <c r="G533" s="137"/>
    </row>
    <row r="534" spans="2:7" x14ac:dyDescent="0.35">
      <c r="B534" s="137" t="s">
        <v>709</v>
      </c>
      <c r="C534" s="152"/>
      <c r="D534" s="151" t="s">
        <v>113</v>
      </c>
      <c r="E534" s="137">
        <v>1149.9989619524999</v>
      </c>
      <c r="F534" s="137" t="s">
        <v>710</v>
      </c>
      <c r="G534" s="137"/>
    </row>
    <row r="535" spans="2:7" x14ac:dyDescent="0.35">
      <c r="B535" s="137" t="s">
        <v>709</v>
      </c>
      <c r="C535" s="152"/>
      <c r="D535" s="151" t="s">
        <v>113</v>
      </c>
      <c r="E535" s="137">
        <v>1339.9987904489999</v>
      </c>
      <c r="F535" s="137" t="s">
        <v>710</v>
      </c>
      <c r="G535" s="137"/>
    </row>
    <row r="536" spans="2:7" x14ac:dyDescent="0.35">
      <c r="B536" s="137" t="s">
        <v>709</v>
      </c>
      <c r="C536" s="152"/>
      <c r="D536" s="151" t="s">
        <v>113</v>
      </c>
      <c r="E536" s="137">
        <v>1479.9986640779998</v>
      </c>
      <c r="F536" s="137" t="s">
        <v>710</v>
      </c>
      <c r="G536" s="137"/>
    </row>
    <row r="537" spans="2:7" x14ac:dyDescent="0.35">
      <c r="B537" s="137" t="s">
        <v>709</v>
      </c>
      <c r="C537" s="152"/>
      <c r="D537" s="151" t="s">
        <v>113</v>
      </c>
      <c r="E537" s="137">
        <v>1699.9984654950001</v>
      </c>
      <c r="F537" s="137" t="s">
        <v>710</v>
      </c>
      <c r="G537" s="137"/>
    </row>
    <row r="538" spans="2:7" x14ac:dyDescent="0.35">
      <c r="B538" s="137" t="s">
        <v>709</v>
      </c>
      <c r="C538" s="152"/>
      <c r="D538" s="151" t="s">
        <v>113</v>
      </c>
      <c r="E538" s="137">
        <v>2079.9981224879998</v>
      </c>
      <c r="F538" s="137" t="s">
        <v>710</v>
      </c>
      <c r="G538" s="137"/>
    </row>
    <row r="539" spans="2:7" x14ac:dyDescent="0.35">
      <c r="B539" s="137" t="s">
        <v>709</v>
      </c>
      <c r="C539" s="152"/>
      <c r="D539" s="151" t="s">
        <v>113</v>
      </c>
      <c r="E539" s="137">
        <v>2177.7758120066665</v>
      </c>
      <c r="F539" s="137" t="s">
        <v>710</v>
      </c>
      <c r="G539" s="137"/>
    </row>
    <row r="540" spans="2:7" x14ac:dyDescent="0.35">
      <c r="B540" s="137" t="s">
        <v>709</v>
      </c>
      <c r="C540" s="152"/>
      <c r="D540" s="151" t="s">
        <v>113</v>
      </c>
      <c r="E540" s="137">
        <v>1499.998646025</v>
      </c>
      <c r="F540" s="137" t="s">
        <v>710</v>
      </c>
      <c r="G540" s="137"/>
    </row>
    <row r="541" spans="2:7" x14ac:dyDescent="0.35">
      <c r="B541" s="137" t="s">
        <v>709</v>
      </c>
      <c r="C541" s="152"/>
      <c r="D541" s="151" t="s">
        <v>113</v>
      </c>
      <c r="E541" s="137">
        <v>1459.9986821309999</v>
      </c>
      <c r="F541" s="137" t="s">
        <v>710</v>
      </c>
      <c r="G541" s="137"/>
    </row>
    <row r="542" spans="2:7" x14ac:dyDescent="0.35">
      <c r="B542" s="137" t="s">
        <v>709</v>
      </c>
      <c r="C542" s="152"/>
      <c r="D542" s="151" t="s">
        <v>113</v>
      </c>
      <c r="E542" s="137">
        <v>1479.9986640779998</v>
      </c>
      <c r="F542" s="137" t="s">
        <v>710</v>
      </c>
      <c r="G542" s="137"/>
    </row>
    <row r="543" spans="2:7" x14ac:dyDescent="0.35">
      <c r="B543" s="137" t="s">
        <v>709</v>
      </c>
      <c r="C543" s="152"/>
      <c r="D543" s="151" t="s">
        <v>113</v>
      </c>
      <c r="E543" s="137">
        <v>1509.9986369984997</v>
      </c>
      <c r="F543" s="137" t="s">
        <v>710</v>
      </c>
      <c r="G543" s="137"/>
    </row>
    <row r="544" spans="2:7" x14ac:dyDescent="0.35">
      <c r="B544" s="137" t="s">
        <v>709</v>
      </c>
      <c r="C544" s="152"/>
      <c r="D544" s="151" t="s">
        <v>113</v>
      </c>
      <c r="E544" s="137">
        <v>1339.9987904489999</v>
      </c>
      <c r="F544" s="137" t="s">
        <v>710</v>
      </c>
      <c r="G544" s="137"/>
    </row>
    <row r="545" spans="2:7" x14ac:dyDescent="0.35">
      <c r="B545" s="137" t="s">
        <v>709</v>
      </c>
      <c r="C545" s="152"/>
      <c r="D545" s="151" t="s">
        <v>113</v>
      </c>
      <c r="E545" s="137">
        <v>1339.9987904489999</v>
      </c>
      <c r="F545" s="137" t="s">
        <v>710</v>
      </c>
      <c r="G545" s="137"/>
    </row>
    <row r="546" spans="2:7" x14ac:dyDescent="0.35">
      <c r="B546" s="137" t="s">
        <v>709</v>
      </c>
      <c r="C546" s="152"/>
      <c r="D546" s="151" t="s">
        <v>113</v>
      </c>
      <c r="E546" s="137">
        <v>1399.9987362899999</v>
      </c>
      <c r="F546" s="137" t="s">
        <v>710</v>
      </c>
      <c r="G546" s="137"/>
    </row>
    <row r="547" spans="2:7" x14ac:dyDescent="0.35">
      <c r="B547" s="137" t="s">
        <v>709</v>
      </c>
      <c r="C547" s="152"/>
      <c r="D547" s="151" t="s">
        <v>113</v>
      </c>
      <c r="E547" s="137">
        <v>1199.99891682</v>
      </c>
      <c r="F547" s="137" t="s">
        <v>710</v>
      </c>
      <c r="G547" s="137"/>
    </row>
    <row r="548" spans="2:7" x14ac:dyDescent="0.35">
      <c r="B548" s="137" t="s">
        <v>709</v>
      </c>
      <c r="C548" s="152"/>
      <c r="D548" s="151" t="s">
        <v>113</v>
      </c>
      <c r="E548" s="137">
        <v>1149.9989619524999</v>
      </c>
      <c r="F548" s="137" t="s">
        <v>710</v>
      </c>
      <c r="G548" s="137"/>
    </row>
    <row r="549" spans="2:7" x14ac:dyDescent="0.35">
      <c r="B549" s="137" t="s">
        <v>709</v>
      </c>
      <c r="C549" s="152"/>
      <c r="D549" s="151" t="s">
        <v>41</v>
      </c>
      <c r="E549" s="152">
        <v>9559.9913706660009</v>
      </c>
      <c r="F549" s="137" t="s">
        <v>710</v>
      </c>
      <c r="G549" s="137"/>
    </row>
    <row r="550" spans="2:7" x14ac:dyDescent="0.35">
      <c r="B550" s="137" t="s">
        <v>709</v>
      </c>
      <c r="C550" s="152"/>
      <c r="D550" s="151" t="s">
        <v>41</v>
      </c>
      <c r="E550" s="152">
        <v>7399.99332039</v>
      </c>
      <c r="F550" s="137" t="s">
        <v>710</v>
      </c>
      <c r="G550" s="137"/>
    </row>
    <row r="551" spans="2:7" x14ac:dyDescent="0.35">
      <c r="B551" s="137" t="s">
        <v>709</v>
      </c>
      <c r="C551" s="137"/>
      <c r="D551" s="151" t="s">
        <v>41</v>
      </c>
      <c r="E551" s="152">
        <v>7199.9935009199999</v>
      </c>
      <c r="F551" s="137" t="s">
        <v>710</v>
      </c>
      <c r="G551" s="137"/>
    </row>
    <row r="552" spans="2:7" x14ac:dyDescent="0.35">
      <c r="B552" s="137" t="s">
        <v>709</v>
      </c>
      <c r="C552" s="137"/>
      <c r="D552" s="151" t="s">
        <v>41</v>
      </c>
      <c r="E552" s="152">
        <v>7549.9931849924988</v>
      </c>
      <c r="F552" s="137" t="s">
        <v>710</v>
      </c>
      <c r="G552" s="137"/>
    </row>
    <row r="553" spans="2:7" x14ac:dyDescent="0.35">
      <c r="B553" s="137" t="s">
        <v>709</v>
      </c>
      <c r="C553" s="137"/>
      <c r="D553" s="151" t="s">
        <v>41</v>
      </c>
      <c r="E553" s="152">
        <v>7539.9931940190008</v>
      </c>
      <c r="F553" s="137" t="s">
        <v>710</v>
      </c>
      <c r="G553" s="137"/>
    </row>
    <row r="554" spans="2:7" x14ac:dyDescent="0.35">
      <c r="B554" s="137" t="s">
        <v>709</v>
      </c>
      <c r="C554" s="137"/>
      <c r="D554" s="151" t="s">
        <v>41</v>
      </c>
      <c r="E554" s="152">
        <v>8979.9918942029999</v>
      </c>
      <c r="F554" s="137" t="s">
        <v>710</v>
      </c>
      <c r="G554" s="137"/>
    </row>
    <row r="555" spans="2:7" x14ac:dyDescent="0.35">
      <c r="B555" s="137" t="s">
        <v>709</v>
      </c>
      <c r="C555" s="137"/>
      <c r="D555" s="151" t="s">
        <v>41</v>
      </c>
      <c r="E555" s="152">
        <v>7239.9934648140006</v>
      </c>
      <c r="F555" s="137" t="s">
        <v>710</v>
      </c>
      <c r="G555" s="137"/>
    </row>
    <row r="556" spans="2:7" x14ac:dyDescent="0.35">
      <c r="B556" s="137" t="s">
        <v>709</v>
      </c>
      <c r="C556" s="137"/>
      <c r="D556" s="151" t="s">
        <v>41</v>
      </c>
      <c r="E556" s="152">
        <v>3777.7743677666667</v>
      </c>
      <c r="F556" s="137" t="s">
        <v>710</v>
      </c>
      <c r="G556" s="137"/>
    </row>
    <row r="557" spans="2:7" x14ac:dyDescent="0.35">
      <c r="B557" s="137" t="s">
        <v>709</v>
      </c>
      <c r="C557" s="137"/>
      <c r="D557" s="151" t="s">
        <v>41</v>
      </c>
      <c r="E557" s="152">
        <v>7459.9932662309993</v>
      </c>
      <c r="F557" s="137" t="s">
        <v>710</v>
      </c>
      <c r="G557" s="137"/>
    </row>
    <row r="558" spans="2:7" x14ac:dyDescent="0.35">
      <c r="B558" s="137" t="s">
        <v>709</v>
      </c>
      <c r="C558" s="137"/>
      <c r="D558" s="151" t="s">
        <v>41</v>
      </c>
      <c r="E558" s="152">
        <v>8289.9925170314982</v>
      </c>
      <c r="F558" s="137" t="s">
        <v>710</v>
      </c>
      <c r="G558" s="137"/>
    </row>
    <row r="559" spans="2:7" x14ac:dyDescent="0.35">
      <c r="B559" s="137" t="s">
        <v>709</v>
      </c>
      <c r="C559" s="137"/>
      <c r="D559" s="151" t="s">
        <v>41</v>
      </c>
      <c r="E559" s="152">
        <v>7389.9933294164994</v>
      </c>
      <c r="F559" s="137" t="s">
        <v>710</v>
      </c>
      <c r="G559" s="137"/>
    </row>
    <row r="560" spans="2:7" x14ac:dyDescent="0.35">
      <c r="B560" s="137" t="s">
        <v>709</v>
      </c>
      <c r="C560" s="137"/>
      <c r="D560" s="151" t="s">
        <v>41</v>
      </c>
      <c r="E560" s="152">
        <v>6769.9938890594995</v>
      </c>
      <c r="F560" s="137" t="s">
        <v>710</v>
      </c>
      <c r="G560" s="137"/>
    </row>
    <row r="561" spans="2:7" x14ac:dyDescent="0.35">
      <c r="B561" s="137" t="s">
        <v>709</v>
      </c>
      <c r="C561" s="137"/>
      <c r="D561" s="151" t="s">
        <v>41</v>
      </c>
      <c r="E561" s="152">
        <v>6849.9938168475001</v>
      </c>
      <c r="F561" s="137" t="s">
        <v>710</v>
      </c>
      <c r="G561" s="137"/>
    </row>
    <row r="562" spans="2:7" x14ac:dyDescent="0.35">
      <c r="B562" s="137" t="s">
        <v>709</v>
      </c>
      <c r="C562" s="137"/>
      <c r="D562" s="151" t="s">
        <v>41</v>
      </c>
      <c r="E562" s="152">
        <v>7549.9931849924988</v>
      </c>
      <c r="F562" s="137" t="s">
        <v>710</v>
      </c>
      <c r="G562" s="137"/>
    </row>
    <row r="563" spans="2:7" x14ac:dyDescent="0.35">
      <c r="B563" s="137" t="s">
        <v>709</v>
      </c>
      <c r="C563" s="137"/>
      <c r="D563" s="151" t="s">
        <v>41</v>
      </c>
      <c r="E563" s="152">
        <v>9369.9915421694986</v>
      </c>
      <c r="F563" s="137" t="s">
        <v>710</v>
      </c>
      <c r="G563" s="137"/>
    </row>
    <row r="564" spans="2:7" x14ac:dyDescent="0.35">
      <c r="B564" s="137" t="s">
        <v>709</v>
      </c>
      <c r="C564" s="137"/>
      <c r="D564" s="151" t="s">
        <v>41</v>
      </c>
      <c r="E564" s="152">
        <v>6839.9938258739994</v>
      </c>
      <c r="F564" s="137" t="s">
        <v>710</v>
      </c>
      <c r="G564" s="137"/>
    </row>
    <row r="565" spans="2:7" x14ac:dyDescent="0.35">
      <c r="B565" s="137" t="s">
        <v>709</v>
      </c>
      <c r="C565" s="137"/>
      <c r="D565" s="151" t="s">
        <v>41</v>
      </c>
      <c r="E565" s="152">
        <v>7279.9934287079996</v>
      </c>
      <c r="F565" s="137" t="s">
        <v>710</v>
      </c>
      <c r="G565" s="137"/>
    </row>
    <row r="566" spans="2:7" x14ac:dyDescent="0.35">
      <c r="B566" s="137" t="s">
        <v>709</v>
      </c>
      <c r="C566" s="137"/>
      <c r="D566" s="151" t="s">
        <v>9</v>
      </c>
      <c r="E566" s="137">
        <v>38717.215051874278</v>
      </c>
      <c r="F566" s="137" t="s">
        <v>710</v>
      </c>
      <c r="G566" s="137"/>
    </row>
    <row r="567" spans="2:7" x14ac:dyDescent="0.35">
      <c r="B567" s="137" t="s">
        <v>709</v>
      </c>
      <c r="C567" s="137"/>
      <c r="D567" s="151" t="s">
        <v>9</v>
      </c>
      <c r="E567" s="137">
        <v>47099.207485861989</v>
      </c>
      <c r="F567" s="137" t="s">
        <v>710</v>
      </c>
      <c r="G567" s="137"/>
    </row>
    <row r="568" spans="2:7" x14ac:dyDescent="0.35">
      <c r="B568" s="137" t="s">
        <v>709</v>
      </c>
      <c r="C568" s="137"/>
      <c r="D568" s="151" t="s">
        <v>9</v>
      </c>
      <c r="E568" s="137">
        <v>25017.071168320319</v>
      </c>
      <c r="F568" s="137" t="s">
        <v>710</v>
      </c>
      <c r="G568" s="137"/>
    </row>
    <row r="569" spans="2:7" x14ac:dyDescent="0.35">
      <c r="B569" s="137" t="s">
        <v>709</v>
      </c>
      <c r="C569" s="137"/>
      <c r="D569" s="151" t="s">
        <v>9</v>
      </c>
      <c r="E569" s="137">
        <v>36855.810482072637</v>
      </c>
      <c r="F569" s="137" t="s">
        <v>710</v>
      </c>
      <c r="G569" s="137"/>
    </row>
    <row r="570" spans="2:7" x14ac:dyDescent="0.35">
      <c r="B570" s="137" t="s">
        <v>709</v>
      </c>
      <c r="C570" s="137"/>
      <c r="D570" s="151" t="s">
        <v>9</v>
      </c>
      <c r="E570" s="137">
        <v>41721.24359028547</v>
      </c>
      <c r="F570" s="137" t="s">
        <v>710</v>
      </c>
      <c r="G570" s="137"/>
    </row>
    <row r="571" spans="2:7" x14ac:dyDescent="0.35">
      <c r="B571" s="137" t="s">
        <v>709</v>
      </c>
      <c r="C571" s="137"/>
      <c r="D571" s="151" t="s">
        <v>9</v>
      </c>
      <c r="E571" s="137">
        <v>41388.150140952552</v>
      </c>
      <c r="F571" s="137" t="s">
        <v>710</v>
      </c>
      <c r="G571" s="137"/>
    </row>
    <row r="572" spans="2:7" x14ac:dyDescent="0.35">
      <c r="B572" s="137" t="s">
        <v>709</v>
      </c>
      <c r="C572" s="137"/>
      <c r="D572" s="151" t="s">
        <v>9</v>
      </c>
      <c r="E572" s="137">
        <v>47039.395039851741</v>
      </c>
      <c r="F572" s="137" t="s">
        <v>710</v>
      </c>
      <c r="G572" s="137"/>
    </row>
    <row r="573" spans="2:7" x14ac:dyDescent="0.35">
      <c r="B573" s="137" t="s">
        <v>709</v>
      </c>
      <c r="C573" s="137"/>
      <c r="D573" s="151" t="s">
        <v>9</v>
      </c>
      <c r="E573" s="137">
        <v>33916.6360517875</v>
      </c>
      <c r="F573" s="137" t="s">
        <v>710</v>
      </c>
      <c r="G573" s="137"/>
    </row>
    <row r="574" spans="2:7" x14ac:dyDescent="0.35">
      <c r="B574" s="137" t="s">
        <v>709</v>
      </c>
      <c r="C574" s="137"/>
      <c r="D574" s="151" t="s">
        <v>9</v>
      </c>
      <c r="E574" s="137">
        <v>30851.878401526825</v>
      </c>
      <c r="F574" s="137" t="s">
        <v>710</v>
      </c>
      <c r="G574" s="137"/>
    </row>
    <row r="575" spans="2:7" x14ac:dyDescent="0.35">
      <c r="B575" s="137" t="s">
        <v>709</v>
      </c>
      <c r="C575" s="137"/>
      <c r="D575" s="151" t="s">
        <v>9</v>
      </c>
      <c r="E575" s="137">
        <v>40873.556855450603</v>
      </c>
      <c r="F575" s="137" t="s">
        <v>710</v>
      </c>
      <c r="G575" s="137"/>
    </row>
    <row r="576" spans="2:7" x14ac:dyDescent="0.35">
      <c r="B576" s="137" t="s">
        <v>709</v>
      </c>
      <c r="C576" s="137"/>
      <c r="D576" s="151" t="s">
        <v>9</v>
      </c>
      <c r="E576" s="137">
        <v>40922.025561700284</v>
      </c>
      <c r="F576" s="137" t="s">
        <v>710</v>
      </c>
      <c r="G576" s="137"/>
    </row>
    <row r="577" spans="2:7" x14ac:dyDescent="0.35">
      <c r="B577" s="137" t="s">
        <v>709</v>
      </c>
      <c r="C577" s="137"/>
      <c r="D577" s="151" t="s">
        <v>9</v>
      </c>
      <c r="E577" s="137">
        <v>55648.262269050727</v>
      </c>
      <c r="F577" s="137" t="s">
        <v>710</v>
      </c>
      <c r="G577" s="137"/>
    </row>
    <row r="578" spans="2:7" x14ac:dyDescent="0.35">
      <c r="B578" s="137" t="s">
        <v>709</v>
      </c>
      <c r="C578" s="137"/>
      <c r="D578" s="151" t="s">
        <v>9</v>
      </c>
      <c r="E578" s="137">
        <v>30576.534900065853</v>
      </c>
      <c r="F578" s="137" t="s">
        <v>710</v>
      </c>
      <c r="G578" s="137"/>
    </row>
    <row r="579" spans="2:7" x14ac:dyDescent="0.35">
      <c r="B579" s="137" t="s">
        <v>709</v>
      </c>
      <c r="C579" s="137"/>
      <c r="D579" s="151" t="s">
        <v>9</v>
      </c>
      <c r="E579" s="137">
        <v>36855.810482072637</v>
      </c>
      <c r="F579" s="137" t="s">
        <v>710</v>
      </c>
      <c r="G579" s="137"/>
    </row>
    <row r="580" spans="2:7" x14ac:dyDescent="0.35">
      <c r="B580" s="137" t="s">
        <v>709</v>
      </c>
      <c r="C580" s="137"/>
      <c r="D580" s="151" t="s">
        <v>9</v>
      </c>
      <c r="E580" s="137">
        <v>49870.17373464704</v>
      </c>
      <c r="F580" s="137" t="s">
        <v>710</v>
      </c>
      <c r="G580" s="137"/>
    </row>
    <row r="581" spans="2:7" x14ac:dyDescent="0.35">
      <c r="B581" s="137" t="s">
        <v>709</v>
      </c>
      <c r="C581" s="137"/>
      <c r="D581" s="151" t="s">
        <v>9</v>
      </c>
      <c r="E581" s="137">
        <v>38121.153089910098</v>
      </c>
      <c r="F581" s="137" t="s">
        <v>710</v>
      </c>
      <c r="G581" s="137"/>
    </row>
    <row r="582" spans="2:7" x14ac:dyDescent="0.35">
      <c r="B582" s="137" t="s">
        <v>709</v>
      </c>
      <c r="C582" s="137"/>
      <c r="D582" s="151" t="s">
        <v>9</v>
      </c>
      <c r="E582" s="137">
        <v>40483.744707314858</v>
      </c>
      <c r="F582" s="137" t="s">
        <v>710</v>
      </c>
      <c r="G582" s="137"/>
    </row>
    <row r="583" spans="2:7" x14ac:dyDescent="0.35">
      <c r="B583" s="137" t="s">
        <v>709</v>
      </c>
      <c r="C583" s="137"/>
      <c r="D583" s="151" t="s">
        <v>9</v>
      </c>
      <c r="E583" s="137">
        <v>60070.34577745344</v>
      </c>
      <c r="F583" s="137" t="s">
        <v>710</v>
      </c>
      <c r="G583" s="137"/>
    </row>
    <row r="584" spans="2:7" x14ac:dyDescent="0.35">
      <c r="B584" s="137" t="s">
        <v>709</v>
      </c>
      <c r="C584" s="137"/>
      <c r="D584" s="151" t="s">
        <v>9</v>
      </c>
      <c r="E584" s="137">
        <v>73075.134038670716</v>
      </c>
      <c r="F584" s="137" t="s">
        <v>710</v>
      </c>
      <c r="G584" s="137"/>
    </row>
    <row r="585" spans="2:7" x14ac:dyDescent="0.35">
      <c r="B585" s="137" t="s">
        <v>709</v>
      </c>
      <c r="C585" s="137"/>
      <c r="D585" s="151" t="s">
        <v>9</v>
      </c>
      <c r="E585" s="137">
        <v>38814.364964181841</v>
      </c>
      <c r="F585" s="137" t="s">
        <v>710</v>
      </c>
      <c r="G585" s="137"/>
    </row>
    <row r="586" spans="2:7" x14ac:dyDescent="0.35">
      <c r="B586" s="137" t="s">
        <v>709</v>
      </c>
      <c r="C586" s="137"/>
      <c r="D586" s="151" t="s">
        <v>9</v>
      </c>
      <c r="E586" s="137">
        <v>57182.348384306642</v>
      </c>
      <c r="F586" s="137" t="s">
        <v>710</v>
      </c>
      <c r="G586" s="137"/>
    </row>
    <row r="587" spans="2:7" x14ac:dyDescent="0.35">
      <c r="B587" s="137" t="s">
        <v>709</v>
      </c>
      <c r="C587" s="137"/>
      <c r="D587" s="151" t="s">
        <v>9</v>
      </c>
      <c r="E587" s="137">
        <v>64731.141570382315</v>
      </c>
      <c r="F587" s="137" t="s">
        <v>710</v>
      </c>
      <c r="G587" s="137"/>
    </row>
    <row r="588" spans="2:7" x14ac:dyDescent="0.35">
      <c r="B588" s="137" t="s">
        <v>709</v>
      </c>
      <c r="C588" s="137"/>
      <c r="D588" s="151" t="s">
        <v>9</v>
      </c>
      <c r="E588" s="137">
        <v>64214.342036871836</v>
      </c>
      <c r="F588" s="137" t="s">
        <v>710</v>
      </c>
      <c r="G588" s="137"/>
    </row>
    <row r="589" spans="2:7" x14ac:dyDescent="0.35">
      <c r="B589" s="137" t="s">
        <v>709</v>
      </c>
      <c r="C589" s="137"/>
      <c r="D589" s="151" t="s">
        <v>9</v>
      </c>
      <c r="E589" s="137">
        <v>72982.334122436645</v>
      </c>
      <c r="F589" s="137" t="s">
        <v>710</v>
      </c>
      <c r="G589" s="137"/>
    </row>
    <row r="590" spans="2:7" x14ac:dyDescent="0.35">
      <c r="B590" s="137" t="s">
        <v>709</v>
      </c>
      <c r="C590" s="137"/>
      <c r="D590" s="151" t="s">
        <v>9</v>
      </c>
      <c r="E590" s="137">
        <v>52622.174722773336</v>
      </c>
      <c r="F590" s="137" t="s">
        <v>710</v>
      </c>
      <c r="G590" s="137"/>
    </row>
    <row r="591" spans="2:7" x14ac:dyDescent="0.35">
      <c r="B591" s="137" t="s">
        <v>709</v>
      </c>
      <c r="C591" s="137"/>
      <c r="D591" s="151" t="s">
        <v>9</v>
      </c>
      <c r="E591" s="137">
        <v>47867.156792671922</v>
      </c>
      <c r="F591" s="137" t="s">
        <v>710</v>
      </c>
      <c r="G591" s="137"/>
    </row>
    <row r="592" spans="2:7" x14ac:dyDescent="0.35">
      <c r="B592" s="137" t="s">
        <v>709</v>
      </c>
      <c r="C592" s="137"/>
      <c r="D592" s="151" t="s">
        <v>9</v>
      </c>
      <c r="E592" s="137">
        <v>63415.9427575476</v>
      </c>
      <c r="F592" s="137" t="s">
        <v>710</v>
      </c>
      <c r="G592" s="137"/>
    </row>
    <row r="593" spans="2:7" x14ac:dyDescent="0.35">
      <c r="B593" s="137" t="s">
        <v>709</v>
      </c>
      <c r="C593" s="137"/>
      <c r="D593" s="151" t="s">
        <v>9</v>
      </c>
      <c r="E593" s="137">
        <v>63491.142689668319</v>
      </c>
      <c r="F593" s="137" t="s">
        <v>710</v>
      </c>
      <c r="G593" s="137"/>
    </row>
    <row r="594" spans="2:7" x14ac:dyDescent="0.35">
      <c r="B594" s="137" t="s">
        <v>709</v>
      </c>
      <c r="C594" s="137"/>
      <c r="D594" s="151" t="s">
        <v>9</v>
      </c>
      <c r="E594" s="137">
        <v>86339.122065921125</v>
      </c>
      <c r="F594" s="137" t="s">
        <v>710</v>
      </c>
      <c r="G594" s="137"/>
    </row>
    <row r="595" spans="2:7" x14ac:dyDescent="0.35">
      <c r="B595" s="137" t="s">
        <v>709</v>
      </c>
      <c r="C595" s="137"/>
      <c r="D595" s="151" t="s">
        <v>9</v>
      </c>
      <c r="E595" s="137">
        <v>47439.957178283999</v>
      </c>
      <c r="F595" s="137" t="s">
        <v>710</v>
      </c>
      <c r="G595" s="137"/>
    </row>
    <row r="596" spans="2:7" x14ac:dyDescent="0.35">
      <c r="B596" s="137" t="s">
        <v>709</v>
      </c>
      <c r="C596" s="137"/>
      <c r="D596" s="151" t="s">
        <v>9</v>
      </c>
      <c r="E596" s="137">
        <v>57182.348384306642</v>
      </c>
      <c r="F596" s="137" t="s">
        <v>710</v>
      </c>
      <c r="G596" s="137"/>
    </row>
    <row r="597" spans="2:7" x14ac:dyDescent="0.35">
      <c r="B597" s="137" t="s">
        <v>709</v>
      </c>
      <c r="C597" s="137"/>
      <c r="D597" s="151" t="s">
        <v>9</v>
      </c>
      <c r="E597" s="137">
        <v>77374.330157997829</v>
      </c>
      <c r="F597" s="137" t="s">
        <v>710</v>
      </c>
      <c r="G597" s="137"/>
    </row>
    <row r="598" spans="2:7" x14ac:dyDescent="0.35">
      <c r="B598" s="137" t="s">
        <v>709</v>
      </c>
      <c r="C598" s="137"/>
      <c r="D598" s="151" t="s">
        <v>9</v>
      </c>
      <c r="E598" s="137">
        <v>59145.546612224156</v>
      </c>
      <c r="F598" s="137" t="s">
        <v>710</v>
      </c>
      <c r="G598" s="137"/>
    </row>
    <row r="599" spans="2:7" x14ac:dyDescent="0.35">
      <c r="B599" s="137" t="s">
        <v>709</v>
      </c>
      <c r="C599" s="137"/>
      <c r="D599" s="151" t="s">
        <v>9</v>
      </c>
      <c r="E599" s="137">
        <v>62811.14330347033</v>
      </c>
      <c r="F599" s="137" t="s">
        <v>710</v>
      </c>
      <c r="G599" s="137"/>
    </row>
    <row r="600" spans="2:7" x14ac:dyDescent="0.35">
      <c r="B600" s="137" t="s">
        <v>709</v>
      </c>
      <c r="C600" s="137"/>
      <c r="D600" s="151" t="s">
        <v>21</v>
      </c>
      <c r="E600" s="154">
        <v>250221.77413711173</v>
      </c>
      <c r="F600" s="137" t="s">
        <v>713</v>
      </c>
      <c r="G600" s="137"/>
    </row>
    <row r="601" spans="2:7" x14ac:dyDescent="0.35">
      <c r="B601" s="137" t="s">
        <v>709</v>
      </c>
      <c r="C601" s="137"/>
      <c r="D601" s="151" t="s">
        <v>21</v>
      </c>
      <c r="E601" s="154">
        <v>250261.77410100575</v>
      </c>
      <c r="F601" s="137" t="s">
        <v>714</v>
      </c>
      <c r="G601" s="137"/>
    </row>
    <row r="602" spans="2:7" ht="23" x14ac:dyDescent="0.35">
      <c r="B602" s="137" t="s">
        <v>709</v>
      </c>
      <c r="C602" s="137"/>
      <c r="D602" s="151" t="s">
        <v>7</v>
      </c>
      <c r="E602" s="137">
        <v>4036</v>
      </c>
      <c r="F602" s="137" t="s">
        <v>715</v>
      </c>
      <c r="G602" s="137"/>
    </row>
    <row r="603" spans="2:7" ht="23" x14ac:dyDescent="0.35">
      <c r="B603" s="137" t="s">
        <v>709</v>
      </c>
      <c r="C603" s="137"/>
      <c r="D603" s="151" t="s">
        <v>7</v>
      </c>
      <c r="E603" s="137">
        <v>4036</v>
      </c>
      <c r="F603" s="137" t="s">
        <v>716</v>
      </c>
      <c r="G603" s="137"/>
    </row>
    <row r="604" spans="2:7" x14ac:dyDescent="0.35">
      <c r="B604" s="137" t="s">
        <v>709</v>
      </c>
      <c r="C604" s="137"/>
      <c r="D604" s="151" t="s">
        <v>113</v>
      </c>
      <c r="E604" s="137">
        <v>2392</v>
      </c>
      <c r="F604" s="137" t="s">
        <v>712</v>
      </c>
      <c r="G604" s="137"/>
    </row>
    <row r="605" spans="2:7" x14ac:dyDescent="0.35">
      <c r="B605" s="137" t="s">
        <v>709</v>
      </c>
      <c r="C605" s="137"/>
      <c r="D605" s="151" t="s">
        <v>113</v>
      </c>
      <c r="E605" s="137">
        <v>2395</v>
      </c>
      <c r="F605" s="137" t="s">
        <v>717</v>
      </c>
      <c r="G605" s="137"/>
    </row>
    <row r="606" spans="2:7" ht="23" x14ac:dyDescent="0.35">
      <c r="B606" s="137" t="s">
        <v>709</v>
      </c>
      <c r="C606" s="137"/>
      <c r="D606" s="151" t="s">
        <v>711</v>
      </c>
      <c r="E606" s="137">
        <v>11207</v>
      </c>
      <c r="F606" s="137" t="s">
        <v>718</v>
      </c>
      <c r="G606" s="137"/>
    </row>
    <row r="607" spans="2:7" ht="23" x14ac:dyDescent="0.35">
      <c r="B607" s="137" t="s">
        <v>709</v>
      </c>
      <c r="C607" s="137"/>
      <c r="D607" s="151" t="s">
        <v>711</v>
      </c>
      <c r="E607" s="155">
        <v>11748</v>
      </c>
      <c r="F607" s="137" t="s">
        <v>719</v>
      </c>
      <c r="G607" s="137"/>
    </row>
    <row r="608" spans="2:7" x14ac:dyDescent="0.35">
      <c r="B608" s="137" t="s">
        <v>709</v>
      </c>
      <c r="C608" s="137"/>
      <c r="D608" s="151" t="s">
        <v>168</v>
      </c>
      <c r="E608" s="137">
        <v>115087.39611626812</v>
      </c>
      <c r="F608" s="137" t="s">
        <v>720</v>
      </c>
      <c r="G608" s="137"/>
    </row>
    <row r="609" spans="2:7" x14ac:dyDescent="0.35">
      <c r="B609" s="137" t="s">
        <v>709</v>
      </c>
      <c r="C609" s="137"/>
      <c r="D609" s="151" t="s">
        <v>168</v>
      </c>
      <c r="E609" s="137">
        <v>178559.838822816</v>
      </c>
      <c r="F609" s="137" t="s">
        <v>721</v>
      </c>
      <c r="G609" s="137"/>
    </row>
    <row r="610" spans="2:7" x14ac:dyDescent="0.35">
      <c r="B610" s="137" t="s">
        <v>722</v>
      </c>
      <c r="C610" s="137"/>
      <c r="D610" s="137" t="s">
        <v>21</v>
      </c>
      <c r="E610" s="137">
        <v>1050</v>
      </c>
      <c r="F610" s="137" t="s">
        <v>723</v>
      </c>
      <c r="G610" s="137"/>
    </row>
    <row r="611" spans="2:7" x14ac:dyDescent="0.35">
      <c r="B611" s="137" t="s">
        <v>722</v>
      </c>
      <c r="C611" s="137"/>
      <c r="D611" s="137" t="s">
        <v>113</v>
      </c>
      <c r="E611" s="137">
        <v>11700</v>
      </c>
      <c r="F611" s="137" t="s">
        <v>723</v>
      </c>
      <c r="G611" s="137"/>
    </row>
    <row r="612" spans="2:7" x14ac:dyDescent="0.35">
      <c r="B612" s="137" t="s">
        <v>722</v>
      </c>
      <c r="C612" s="137"/>
      <c r="D612" s="137" t="s">
        <v>7</v>
      </c>
      <c r="E612" s="137">
        <v>450</v>
      </c>
      <c r="F612" s="137" t="s">
        <v>723</v>
      </c>
      <c r="G612" s="137"/>
    </row>
    <row r="613" spans="2:7" x14ac:dyDescent="0.35">
      <c r="B613" s="137" t="s">
        <v>722</v>
      </c>
      <c r="C613" s="137"/>
      <c r="D613" s="137" t="s">
        <v>121</v>
      </c>
      <c r="E613" s="156">
        <v>2580</v>
      </c>
      <c r="F613" s="137" t="s">
        <v>723</v>
      </c>
      <c r="G613" s="137"/>
    </row>
    <row r="614" spans="2:7" x14ac:dyDescent="0.35">
      <c r="B614" s="137" t="s">
        <v>722</v>
      </c>
      <c r="C614" s="137"/>
      <c r="D614" s="137" t="s">
        <v>123</v>
      </c>
      <c r="E614" s="137">
        <v>0.26200000000000001</v>
      </c>
      <c r="F614" s="137" t="s">
        <v>723</v>
      </c>
      <c r="G614" s="137"/>
    </row>
    <row r="615" spans="2:7" x14ac:dyDescent="0.35">
      <c r="B615" s="137" t="s">
        <v>722</v>
      </c>
      <c r="C615" s="137"/>
      <c r="D615" s="137" t="s">
        <v>21</v>
      </c>
      <c r="E615" s="137">
        <v>426416.66666666669</v>
      </c>
      <c r="F615" s="137" t="s">
        <v>724</v>
      </c>
      <c r="G615" s="137"/>
    </row>
    <row r="616" spans="2:7" x14ac:dyDescent="0.35">
      <c r="B616" s="137" t="s">
        <v>722</v>
      </c>
      <c r="C616" s="137"/>
      <c r="D616" s="137" t="s">
        <v>17</v>
      </c>
      <c r="E616" s="137">
        <v>13625</v>
      </c>
      <c r="F616" s="137" t="s">
        <v>724</v>
      </c>
      <c r="G616" s="137"/>
    </row>
    <row r="617" spans="2:7" x14ac:dyDescent="0.35">
      <c r="B617" s="137" t="s">
        <v>722</v>
      </c>
      <c r="C617" s="137"/>
      <c r="D617" s="137" t="s">
        <v>7</v>
      </c>
      <c r="E617" s="137">
        <v>11916.666666666666</v>
      </c>
      <c r="F617" s="137" t="s">
        <v>724</v>
      </c>
      <c r="G617" s="137"/>
    </row>
    <row r="618" spans="2:7" x14ac:dyDescent="0.35">
      <c r="B618" s="137" t="s">
        <v>722</v>
      </c>
      <c r="C618" s="137"/>
      <c r="D618" s="137" t="s">
        <v>113</v>
      </c>
      <c r="E618" s="137">
        <v>5708.333333333333</v>
      </c>
      <c r="F618" s="137" t="s">
        <v>724</v>
      </c>
      <c r="G618" s="137"/>
    </row>
    <row r="619" spans="2:7" x14ac:dyDescent="0.35">
      <c r="B619" s="137" t="s">
        <v>722</v>
      </c>
      <c r="C619" s="137"/>
      <c r="D619" s="137" t="s">
        <v>121</v>
      </c>
      <c r="E619" s="137">
        <v>4916.666666666667</v>
      </c>
      <c r="F619" s="137" t="s">
        <v>724</v>
      </c>
      <c r="G619" s="137"/>
    </row>
    <row r="620" spans="2:7" x14ac:dyDescent="0.35">
      <c r="B620" s="137" t="s">
        <v>722</v>
      </c>
      <c r="C620" s="137"/>
      <c r="D620" s="137" t="s">
        <v>126</v>
      </c>
      <c r="E620" s="137">
        <v>666.66666666666663</v>
      </c>
      <c r="F620" s="137" t="s">
        <v>724</v>
      </c>
      <c r="G620" s="137"/>
    </row>
    <row r="621" spans="2:7" x14ac:dyDescent="0.35">
      <c r="B621" s="137" t="s">
        <v>26</v>
      </c>
      <c r="C621" s="137" t="s">
        <v>27</v>
      </c>
      <c r="D621" s="137" t="s">
        <v>7</v>
      </c>
      <c r="E621" s="137">
        <v>2140</v>
      </c>
      <c r="F621" s="137" t="s">
        <v>30</v>
      </c>
      <c r="G621" s="137"/>
    </row>
    <row r="622" spans="2:7" x14ac:dyDescent="0.35">
      <c r="B622" s="137" t="s">
        <v>26</v>
      </c>
      <c r="C622" s="137" t="s">
        <v>27</v>
      </c>
      <c r="D622" s="137" t="s">
        <v>9</v>
      </c>
      <c r="E622" s="137">
        <v>142</v>
      </c>
      <c r="F622" s="137" t="s">
        <v>30</v>
      </c>
      <c r="G622" s="137"/>
    </row>
    <row r="623" spans="2:7" x14ac:dyDescent="0.35">
      <c r="B623" s="137" t="s">
        <v>26</v>
      </c>
      <c r="C623" s="137" t="s">
        <v>27</v>
      </c>
      <c r="D623" s="137" t="s">
        <v>9</v>
      </c>
      <c r="E623" s="137">
        <v>220</v>
      </c>
      <c r="F623" s="137" t="s">
        <v>30</v>
      </c>
      <c r="G623" s="137"/>
    </row>
    <row r="624" spans="2:7" x14ac:dyDescent="0.35">
      <c r="B624" s="137" t="s">
        <v>26</v>
      </c>
      <c r="C624" s="137" t="s">
        <v>27</v>
      </c>
      <c r="D624" s="137" t="s">
        <v>11</v>
      </c>
      <c r="E624" s="137">
        <v>2337</v>
      </c>
      <c r="F624" s="137" t="s">
        <v>30</v>
      </c>
      <c r="G624" s="137"/>
    </row>
    <row r="625" spans="2:7" x14ac:dyDescent="0.35">
      <c r="B625" s="137" t="s">
        <v>26</v>
      </c>
      <c r="C625" s="137" t="s">
        <v>27</v>
      </c>
      <c r="D625" s="137" t="s">
        <v>17</v>
      </c>
      <c r="E625" s="137">
        <v>10921</v>
      </c>
      <c r="F625" s="137" t="s">
        <v>30</v>
      </c>
      <c r="G625" s="137"/>
    </row>
    <row r="626" spans="2:7" x14ac:dyDescent="0.35">
      <c r="B626" s="137" t="s">
        <v>26</v>
      </c>
      <c r="C626" s="137" t="s">
        <v>27</v>
      </c>
      <c r="D626" s="137" t="s">
        <v>21</v>
      </c>
      <c r="E626" s="137">
        <v>193257</v>
      </c>
      <c r="F626" s="137" t="s">
        <v>30</v>
      </c>
      <c r="G626" s="137"/>
    </row>
    <row r="627" spans="2:7" x14ac:dyDescent="0.35">
      <c r="B627" s="137" t="s">
        <v>32</v>
      </c>
      <c r="C627" s="137" t="s">
        <v>27</v>
      </c>
      <c r="D627" s="137" t="s">
        <v>7</v>
      </c>
      <c r="E627" s="137">
        <v>2140</v>
      </c>
      <c r="F627" s="137" t="s">
        <v>30</v>
      </c>
      <c r="G627" s="137"/>
    </row>
    <row r="628" spans="2:7" x14ac:dyDescent="0.35">
      <c r="B628" s="137" t="s">
        <v>32</v>
      </c>
      <c r="C628" s="137" t="s">
        <v>27</v>
      </c>
      <c r="D628" s="137" t="s">
        <v>9</v>
      </c>
      <c r="E628" s="137">
        <v>142</v>
      </c>
      <c r="F628" s="137" t="s">
        <v>30</v>
      </c>
      <c r="G628" s="137"/>
    </row>
    <row r="629" spans="2:7" x14ac:dyDescent="0.35">
      <c r="B629" s="137" t="s">
        <v>32</v>
      </c>
      <c r="C629" s="137" t="s">
        <v>27</v>
      </c>
      <c r="D629" s="137" t="s">
        <v>9</v>
      </c>
      <c r="E629" s="137">
        <v>220</v>
      </c>
      <c r="F629" s="137" t="s">
        <v>30</v>
      </c>
      <c r="G629" s="137"/>
    </row>
    <row r="630" spans="2:7" x14ac:dyDescent="0.35">
      <c r="B630" s="137" t="s">
        <v>32</v>
      </c>
      <c r="C630" s="137" t="s">
        <v>27</v>
      </c>
      <c r="D630" s="137" t="s">
        <v>11</v>
      </c>
      <c r="E630" s="137">
        <v>2337</v>
      </c>
      <c r="F630" s="137" t="s">
        <v>30</v>
      </c>
      <c r="G630" s="137"/>
    </row>
    <row r="631" spans="2:7" x14ac:dyDescent="0.35">
      <c r="B631" s="137" t="s">
        <v>32</v>
      </c>
      <c r="C631" s="137" t="s">
        <v>27</v>
      </c>
      <c r="D631" s="137" t="s">
        <v>17</v>
      </c>
      <c r="E631" s="137">
        <v>10921</v>
      </c>
      <c r="F631" s="137" t="s">
        <v>30</v>
      </c>
      <c r="G631" s="137"/>
    </row>
    <row r="632" spans="2:7" x14ac:dyDescent="0.35">
      <c r="B632" s="137" t="s">
        <v>32</v>
      </c>
      <c r="C632" s="137" t="s">
        <v>27</v>
      </c>
      <c r="D632" s="137" t="s">
        <v>21</v>
      </c>
      <c r="E632" s="137">
        <v>193257</v>
      </c>
      <c r="F632" s="137" t="s">
        <v>30</v>
      </c>
      <c r="G632" s="137"/>
    </row>
    <row r="633" spans="2:7" x14ac:dyDescent="0.35">
      <c r="B633" s="137"/>
      <c r="C633" s="137" t="s">
        <v>27</v>
      </c>
      <c r="D633" s="137" t="s">
        <v>7</v>
      </c>
      <c r="E633" s="137">
        <v>1000</v>
      </c>
      <c r="F633" s="137" t="s">
        <v>28</v>
      </c>
      <c r="G633" s="137"/>
    </row>
    <row r="634" spans="2:7" x14ac:dyDescent="0.35">
      <c r="B634" s="137"/>
      <c r="C634" s="137" t="s">
        <v>27</v>
      </c>
      <c r="D634" s="137" t="s">
        <v>7</v>
      </c>
      <c r="E634" s="137">
        <v>898</v>
      </c>
      <c r="F634" s="137" t="s">
        <v>28</v>
      </c>
      <c r="G634" s="137"/>
    </row>
    <row r="635" spans="2:7" x14ac:dyDescent="0.35">
      <c r="B635" s="137"/>
      <c r="C635" s="137" t="s">
        <v>29</v>
      </c>
      <c r="D635" s="137" t="s">
        <v>7</v>
      </c>
      <c r="E635" s="137">
        <v>898</v>
      </c>
      <c r="F635" s="137" t="s">
        <v>28</v>
      </c>
      <c r="G635" s="137"/>
    </row>
    <row r="636" spans="2:7" x14ac:dyDescent="0.35">
      <c r="B636" s="137"/>
      <c r="C636" s="137" t="s">
        <v>29</v>
      </c>
      <c r="D636" s="137" t="s">
        <v>7</v>
      </c>
      <c r="E636" s="137">
        <v>556</v>
      </c>
      <c r="F636" s="137" t="s">
        <v>28</v>
      </c>
      <c r="G636" s="137"/>
    </row>
    <row r="637" spans="2:7" x14ac:dyDescent="0.35">
      <c r="B637" s="137"/>
      <c r="C637" s="137" t="s">
        <v>27</v>
      </c>
      <c r="D637" s="137" t="s">
        <v>11</v>
      </c>
      <c r="E637" s="137">
        <v>1650</v>
      </c>
      <c r="F637" s="157" t="s">
        <v>28</v>
      </c>
      <c r="G637" s="137"/>
    </row>
    <row r="638" spans="2:7" x14ac:dyDescent="0.35">
      <c r="B638" s="137"/>
      <c r="C638" s="137" t="s">
        <v>27</v>
      </c>
      <c r="D638" s="137" t="s">
        <v>11</v>
      </c>
      <c r="E638" s="137">
        <v>5218</v>
      </c>
      <c r="F638" s="137" t="s">
        <v>28</v>
      </c>
      <c r="G638" s="137"/>
    </row>
    <row r="639" spans="2:7" x14ac:dyDescent="0.35">
      <c r="B639" s="137"/>
      <c r="C639" s="157" t="s">
        <v>29</v>
      </c>
      <c r="D639" s="137" t="s">
        <v>11</v>
      </c>
      <c r="E639" s="137">
        <v>5218</v>
      </c>
      <c r="F639" s="137" t="s">
        <v>28</v>
      </c>
      <c r="G639" s="137"/>
    </row>
    <row r="640" spans="2:7" x14ac:dyDescent="0.35">
      <c r="B640" s="137"/>
      <c r="C640" s="137" t="s">
        <v>29</v>
      </c>
      <c r="D640" s="137" t="s">
        <v>11</v>
      </c>
      <c r="E640" s="137">
        <v>9601</v>
      </c>
      <c r="F640" s="137" t="s">
        <v>28</v>
      </c>
      <c r="G640" s="137"/>
    </row>
    <row r="641" spans="2:7" x14ac:dyDescent="0.35">
      <c r="B641" s="137"/>
      <c r="C641" s="157" t="s">
        <v>27</v>
      </c>
      <c r="D641" s="137" t="s">
        <v>17</v>
      </c>
      <c r="E641" s="137">
        <v>5823</v>
      </c>
      <c r="F641" s="137" t="s">
        <v>28</v>
      </c>
      <c r="G641" s="137"/>
    </row>
    <row r="642" spans="2:7" x14ac:dyDescent="0.35">
      <c r="B642" s="137"/>
      <c r="C642" s="137" t="s">
        <v>29</v>
      </c>
      <c r="D642" s="137" t="s">
        <v>17</v>
      </c>
      <c r="E642" s="137">
        <v>5833</v>
      </c>
      <c r="F642" s="137" t="s">
        <v>28</v>
      </c>
      <c r="G642" s="137"/>
    </row>
    <row r="643" spans="2:7" x14ac:dyDescent="0.35">
      <c r="B643" s="137"/>
      <c r="C643" s="137" t="s">
        <v>27</v>
      </c>
      <c r="D643" s="137" t="s">
        <v>17</v>
      </c>
      <c r="E643" s="137">
        <v>5833</v>
      </c>
      <c r="F643" s="137" t="s">
        <v>28</v>
      </c>
      <c r="G643" s="137"/>
    </row>
    <row r="644" spans="2:7" x14ac:dyDescent="0.35">
      <c r="B644" s="137"/>
      <c r="C644" s="157" t="s">
        <v>27</v>
      </c>
      <c r="D644" s="137" t="s">
        <v>17</v>
      </c>
      <c r="E644" s="137">
        <v>10551</v>
      </c>
      <c r="F644" s="137" t="s">
        <v>28</v>
      </c>
      <c r="G644" s="137"/>
    </row>
    <row r="645" spans="2:7" x14ac:dyDescent="0.35">
      <c r="B645" s="137"/>
      <c r="C645" s="137" t="s">
        <v>27</v>
      </c>
      <c r="D645" s="137" t="s">
        <v>21</v>
      </c>
      <c r="E645" s="137">
        <v>147576</v>
      </c>
      <c r="F645" s="137" t="s">
        <v>28</v>
      </c>
      <c r="G645" s="137"/>
    </row>
    <row r="646" spans="2:7" x14ac:dyDescent="0.35">
      <c r="B646" s="137"/>
      <c r="C646" s="137" t="s">
        <v>27</v>
      </c>
      <c r="D646" s="137" t="s">
        <v>21</v>
      </c>
      <c r="E646" s="137">
        <v>803094</v>
      </c>
      <c r="F646" s="137" t="s">
        <v>28</v>
      </c>
      <c r="G646" s="137"/>
    </row>
    <row r="647" spans="2:7" x14ac:dyDescent="0.35">
      <c r="B647" s="137"/>
      <c r="C647" s="137" t="s">
        <v>29</v>
      </c>
      <c r="D647" s="137" t="s">
        <v>21</v>
      </c>
      <c r="E647" s="137">
        <v>917224</v>
      </c>
      <c r="F647" s="137" t="s">
        <v>28</v>
      </c>
      <c r="G647" s="137"/>
    </row>
    <row r="648" spans="2:7" x14ac:dyDescent="0.35">
      <c r="B648" s="137"/>
      <c r="C648" s="137" t="s">
        <v>29</v>
      </c>
      <c r="D648" s="137" t="s">
        <v>21</v>
      </c>
      <c r="E648" s="137">
        <v>530417</v>
      </c>
      <c r="F648" s="137" t="s">
        <v>28</v>
      </c>
      <c r="G648" s="137"/>
    </row>
    <row r="649" spans="2:7" x14ac:dyDescent="0.35">
      <c r="B649" s="137"/>
      <c r="C649" s="137" t="s">
        <v>27</v>
      </c>
      <c r="D649" s="137" t="s">
        <v>7</v>
      </c>
      <c r="E649" s="137">
        <v>1000</v>
      </c>
      <c r="F649" s="137" t="s">
        <v>28</v>
      </c>
      <c r="G649" s="137"/>
    </row>
    <row r="650" spans="2:7" x14ac:dyDescent="0.35">
      <c r="B650" s="137"/>
      <c r="C650" s="137" t="s">
        <v>27</v>
      </c>
      <c r="D650" s="137" t="s">
        <v>7</v>
      </c>
      <c r="E650" s="137">
        <v>898</v>
      </c>
      <c r="F650" s="137" t="s">
        <v>28</v>
      </c>
      <c r="G650" s="137"/>
    </row>
    <row r="651" spans="2:7" x14ac:dyDescent="0.35">
      <c r="B651" s="137"/>
      <c r="C651" s="137" t="s">
        <v>29</v>
      </c>
      <c r="D651" s="137" t="s">
        <v>7</v>
      </c>
      <c r="E651" s="137">
        <v>898</v>
      </c>
      <c r="F651" s="137" t="s">
        <v>28</v>
      </c>
      <c r="G651" s="137"/>
    </row>
    <row r="652" spans="2:7" x14ac:dyDescent="0.35">
      <c r="B652" s="137"/>
      <c r="C652" s="137" t="s">
        <v>29</v>
      </c>
      <c r="D652" s="137" t="s">
        <v>7</v>
      </c>
      <c r="E652" s="137">
        <v>556</v>
      </c>
      <c r="F652" s="137" t="s">
        <v>28</v>
      </c>
      <c r="G652" s="137"/>
    </row>
    <row r="653" spans="2:7" x14ac:dyDescent="0.35">
      <c r="B653" s="137"/>
      <c r="C653" s="157" t="s">
        <v>27</v>
      </c>
      <c r="D653" s="137" t="s">
        <v>11</v>
      </c>
      <c r="E653" s="137">
        <v>1650</v>
      </c>
      <c r="F653" s="137" t="s">
        <v>28</v>
      </c>
      <c r="G653" s="137"/>
    </row>
    <row r="654" spans="2:7" x14ac:dyDescent="0.35">
      <c r="B654" s="137"/>
      <c r="C654" s="157" t="s">
        <v>27</v>
      </c>
      <c r="D654" s="137" t="s">
        <v>11</v>
      </c>
      <c r="E654" s="137">
        <v>5218</v>
      </c>
      <c r="F654" s="137" t="s">
        <v>28</v>
      </c>
      <c r="G654" s="137"/>
    </row>
    <row r="655" spans="2:7" x14ac:dyDescent="0.35">
      <c r="B655" s="137"/>
      <c r="C655" s="157" t="s">
        <v>29</v>
      </c>
      <c r="D655" s="137" t="s">
        <v>11</v>
      </c>
      <c r="E655" s="137">
        <v>5218</v>
      </c>
      <c r="F655" s="137" t="s">
        <v>28</v>
      </c>
      <c r="G655" s="137"/>
    </row>
    <row r="656" spans="2:7" x14ac:dyDescent="0.35">
      <c r="B656" s="137"/>
      <c r="C656" s="157" t="s">
        <v>29</v>
      </c>
      <c r="D656" s="137" t="s">
        <v>11</v>
      </c>
      <c r="E656" s="137">
        <v>9601</v>
      </c>
      <c r="F656" s="137" t="s">
        <v>28</v>
      </c>
      <c r="G656" s="137"/>
    </row>
    <row r="657" spans="2:7" x14ac:dyDescent="0.35">
      <c r="B657" s="137"/>
      <c r="C657" s="137" t="s">
        <v>27</v>
      </c>
      <c r="D657" s="137" t="s">
        <v>17</v>
      </c>
      <c r="E657" s="137">
        <v>5823</v>
      </c>
      <c r="F657" s="137" t="s">
        <v>28</v>
      </c>
      <c r="G657" s="137"/>
    </row>
    <row r="658" spans="2:7" x14ac:dyDescent="0.35">
      <c r="B658" s="137"/>
      <c r="C658" s="137" t="s">
        <v>27</v>
      </c>
      <c r="D658" s="137" t="s">
        <v>17</v>
      </c>
      <c r="E658" s="137">
        <v>5833</v>
      </c>
      <c r="F658" s="137" t="s">
        <v>28</v>
      </c>
      <c r="G658" s="137"/>
    </row>
    <row r="659" spans="2:7" x14ac:dyDescent="0.35">
      <c r="B659" s="137"/>
      <c r="C659" s="137" t="s">
        <v>29</v>
      </c>
      <c r="D659" s="137" t="s">
        <v>17</v>
      </c>
      <c r="E659" s="137">
        <v>5833</v>
      </c>
      <c r="F659" s="137" t="s">
        <v>28</v>
      </c>
      <c r="G659" s="137"/>
    </row>
    <row r="660" spans="2:7" x14ac:dyDescent="0.35">
      <c r="B660" s="137"/>
      <c r="C660" s="137" t="s">
        <v>29</v>
      </c>
      <c r="D660" s="137" t="s">
        <v>17</v>
      </c>
      <c r="E660" s="137">
        <v>10551</v>
      </c>
      <c r="F660" s="137" t="s">
        <v>28</v>
      </c>
      <c r="G660" s="137"/>
    </row>
    <row r="661" spans="2:7" x14ac:dyDescent="0.35">
      <c r="B661" s="137"/>
      <c r="C661" s="137" t="s">
        <v>27</v>
      </c>
      <c r="D661" s="137" t="s">
        <v>21</v>
      </c>
      <c r="E661" s="137">
        <v>147576</v>
      </c>
      <c r="F661" s="137" t="s">
        <v>28</v>
      </c>
      <c r="G661" s="137"/>
    </row>
    <row r="662" spans="2:7" x14ac:dyDescent="0.35">
      <c r="B662" s="137"/>
      <c r="C662" s="137" t="s">
        <v>27</v>
      </c>
      <c r="D662" s="137" t="s">
        <v>21</v>
      </c>
      <c r="E662" s="137">
        <v>803094</v>
      </c>
      <c r="F662" s="137" t="s">
        <v>28</v>
      </c>
      <c r="G662" s="137"/>
    </row>
    <row r="663" spans="2:7" x14ac:dyDescent="0.35">
      <c r="B663" s="137"/>
      <c r="C663" s="137" t="s">
        <v>29</v>
      </c>
      <c r="D663" s="137" t="s">
        <v>21</v>
      </c>
      <c r="E663" s="137">
        <v>917224</v>
      </c>
      <c r="F663" s="137" t="s">
        <v>28</v>
      </c>
      <c r="G663" s="137"/>
    </row>
    <row r="664" spans="2:7" x14ac:dyDescent="0.35">
      <c r="B664" s="137"/>
      <c r="C664" s="137" t="s">
        <v>29</v>
      </c>
      <c r="D664" s="137" t="s">
        <v>21</v>
      </c>
      <c r="E664" s="137">
        <v>530417</v>
      </c>
      <c r="F664" s="137" t="s">
        <v>28</v>
      </c>
      <c r="G664" s="137"/>
    </row>
  </sheetData>
  <mergeCells count="23">
    <mergeCell ref="O417:O419"/>
    <mergeCell ref="E409:E410"/>
    <mergeCell ref="F409:G409"/>
    <mergeCell ref="H409:H410"/>
    <mergeCell ref="O411:O413"/>
    <mergeCell ref="O414:O416"/>
    <mergeCell ref="A16:A17"/>
    <mergeCell ref="A18:A19"/>
    <mergeCell ref="A20:A21"/>
    <mergeCell ref="A22:A23"/>
    <mergeCell ref="A6:A7"/>
    <mergeCell ref="A8:A9"/>
    <mergeCell ref="A10:A11"/>
    <mergeCell ref="A12:A13"/>
    <mergeCell ref="A14:A15"/>
    <mergeCell ref="B470:F470"/>
    <mergeCell ref="B477:F477"/>
    <mergeCell ref="B478:F478"/>
    <mergeCell ref="B456:F456"/>
    <mergeCell ref="B457:F457"/>
    <mergeCell ref="B463:F463"/>
    <mergeCell ref="B464:F464"/>
    <mergeCell ref="B469:F469"/>
  </mergeCells>
  <phoneticPr fontId="42" type="noConversion"/>
  <hyperlinks>
    <hyperlink ref="D150" r:id="rId1" location="bib30" display="https://www.sciencedirect.com/science/article/pii/S0959652613004575 - bib30" xr:uid="{7062C02B-8532-4719-96BC-D75E98C695CF}"/>
    <hyperlink ref="D151" r:id="rId2" location="bib30" display="https://www.sciencedirect.com/science/article/pii/S0959652613004575 - bib30" xr:uid="{0C668312-6F02-46AD-B88B-EC24A7F4B23A}"/>
    <hyperlink ref="D152" r:id="rId3" location="bib30" display="https://www.sciencedirect.com/science/article/pii/S0959652613004575 - bib30" xr:uid="{DFEC21B5-B3A8-47E6-83AD-98C85AE89FB2}"/>
    <hyperlink ref="D154" r:id="rId4" location="bib70" display="https://www.sciencedirect.com/science/article/pii/S0959652613004575 - bib70" xr:uid="{EEC134D0-91FE-4344-AFE3-0EB58D08F38B}"/>
    <hyperlink ref="D155" r:id="rId5" location="bib76" display="https://www.sciencedirect.com/science/article/pii/S0959652613004575 - bib76" xr:uid="{ADA88F53-5F8D-4358-95E0-0BE61D6F80EC}"/>
    <hyperlink ref="D156" r:id="rId6" location="bib76" display="https://www.sciencedirect.com/science/article/pii/S0959652613004575 - bib76" xr:uid="{D18BD498-7D30-44E8-865F-840B990D69EE}"/>
    <hyperlink ref="A126" r:id="rId7" xr:uid="{129B34B7-E9B6-4E2D-9FFD-9628EC41AF9C}"/>
    <hyperlink ref="O409" r:id="rId8" location="ref-CR16" tooltip="Gamesa Corp (2013) The wind turbine manufacturer in Spain. _x000a_                    http://www.gamesacorp.com/en/cargarAplicacionPresenciaGlobal.do?tipo=P_x000a_                    _x000a_                  . Accessed 17 Sept 2016" display="https://link.springer.com/article/10.1007/s10098-019-01678-0 - ref-CR16" xr:uid="{47E5487C-CBF9-40DE-AF46-EF7AA3D74F2D}"/>
    <hyperlink ref="K409" r:id="rId9" location="ref-CR16" tooltip="Gamesa Corp (2013) The wind turbine manufacturer in Spain. _x000a_                    http://www.gamesacorp.com/en/cargarAplicacionPresenciaGlobal.do?tipo=P_x000a_                    _x000a_                  . Accessed 17 Sept 2016" display="https://link.springer.com/article/10.1007/s10098-019-01678-0 - ref-CR16" xr:uid="{DAC1F86F-055E-4992-BEEF-203B1C74C964}"/>
    <hyperlink ref="A160" r:id="rId10" location="t0015" xr:uid="{683EC36C-DC5D-4853-8435-A0225519DB67}"/>
    <hyperlink ref="B278" r:id="rId11" location=":~:text=Vestas%20Wind%20Systems%20A%2FS%20financed%20its%20own%20participation%20in,farms%20through%20their%20life%20cycles." xr:uid="{0612CC86-BD95-43D4-9249-302BAA967C6B}"/>
    <hyperlink ref="B439" r:id="rId12" location="tblfn5" display="https://www.sciencedirect.com/science/article/pii/S0960148108001754 - tblfn5" xr:uid="{9DCB7754-4F18-411D-9DAC-1A58A2F673B9}"/>
    <hyperlink ref="B450" r:id="rId13" location="tblfn5" display="https://www.sciencedirect.com/science/article/pii/S0960148108001754 - tblfn5" xr:uid="{C6E6D4DA-8635-4C62-BCC9-0B20A559CB05}"/>
    <hyperlink ref="B451" r:id="rId14" location="tblfn5" display="https://www.sciencedirect.com/science/article/pii/S0960148108001754 - tblfn5" xr:uid="{876CE4FC-3CE0-4A97-9847-3043CBC8A1FA}"/>
    <hyperlink ref="B452" r:id="rId15" location="tblfn5" display="https://www.sciencedirect.com/science/article/pii/S0960148108001754 - tblfn5" xr:uid="{112C1863-A247-4D4D-A989-A9CAC6617B03}"/>
    <hyperlink ref="B454" r:id="rId16" location="tblfn5" display="https://www.sciencedirect.com/science/article/pii/S0960148108001754 - tblfn5" xr:uid="{52805AF5-3443-4004-8836-E95D174CE9D8}"/>
    <hyperlink ref="B435" r:id="rId17" location="tblfn4" display="https://www.sciencedirect.com/science/article/pii/S0960148108001754 - tblfn4" xr:uid="{63D7999D-942E-4ED9-BF3A-502B54F3524F}"/>
    <hyperlink ref="B486" r:id="rId18" xr:uid="{4FD4F3D9-4499-4C54-9339-2E561444B863}"/>
  </hyperlinks>
  <pageMargins left="0.7" right="0.7" top="0.75" bottom="0.75" header="0.3" footer="0.3"/>
  <pageSetup orientation="portrait" r:id="rId19"/>
  <drawing r:id="rId20"/>
  <legacyDrawing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3F216-8D4B-4D56-8FE1-4CD68AA7F4B6}">
  <dimension ref="B5:E8"/>
  <sheetViews>
    <sheetView topLeftCell="CD71" zoomScale="18" zoomScaleNormal="18" workbookViewId="0">
      <selection activeCell="DM246" sqref="DM246"/>
    </sheetView>
  </sheetViews>
  <sheetFormatPr defaultRowHeight="14.5" x14ac:dyDescent="0.35"/>
  <sheetData>
    <row r="5" spans="2:5" x14ac:dyDescent="0.35">
      <c r="B5" t="s">
        <v>107</v>
      </c>
    </row>
    <row r="6" spans="2:5" x14ac:dyDescent="0.35">
      <c r="B6" t="s">
        <v>106</v>
      </c>
      <c r="C6">
        <v>500</v>
      </c>
    </row>
    <row r="7" spans="2:5" x14ac:dyDescent="0.35">
      <c r="B7" t="s">
        <v>11</v>
      </c>
      <c r="C7">
        <v>90</v>
      </c>
      <c r="E7" t="s">
        <v>108</v>
      </c>
    </row>
    <row r="8" spans="2:5" x14ac:dyDescent="0.35">
      <c r="B8" t="s">
        <v>21</v>
      </c>
      <c r="C8">
        <v>53090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AF21-C7EF-4135-B469-075F05E541E2}">
  <dimension ref="B2:C13"/>
  <sheetViews>
    <sheetView topLeftCell="A608" zoomScale="30" workbookViewId="0">
      <selection activeCell="G16" sqref="G16"/>
    </sheetView>
  </sheetViews>
  <sheetFormatPr defaultRowHeight="14.5" x14ac:dyDescent="0.35"/>
  <sheetData>
    <row r="2" spans="2:3" x14ac:dyDescent="0.35">
      <c r="B2" t="s">
        <v>110</v>
      </c>
    </row>
    <row r="4" spans="2:3" x14ac:dyDescent="0.35">
      <c r="B4" t="s">
        <v>109</v>
      </c>
    </row>
    <row r="6" spans="2:3" x14ac:dyDescent="0.35">
      <c r="B6" t="s">
        <v>111</v>
      </c>
      <c r="C6">
        <v>326</v>
      </c>
    </row>
    <row r="7" spans="2:3" x14ac:dyDescent="0.35">
      <c r="B7" t="s">
        <v>112</v>
      </c>
      <c r="C7">
        <v>8</v>
      </c>
    </row>
    <row r="8" spans="2:3" x14ac:dyDescent="0.35">
      <c r="B8" t="s">
        <v>113</v>
      </c>
      <c r="C8">
        <v>692</v>
      </c>
    </row>
    <row r="9" spans="2:3" x14ac:dyDescent="0.35">
      <c r="B9" t="s">
        <v>114</v>
      </c>
      <c r="C9">
        <v>3761</v>
      </c>
    </row>
    <row r="10" spans="2:3" x14ac:dyDescent="0.35">
      <c r="B10" t="s">
        <v>115</v>
      </c>
      <c r="C10">
        <v>8</v>
      </c>
    </row>
    <row r="11" spans="2:3" x14ac:dyDescent="0.35">
      <c r="B11" t="s">
        <v>116</v>
      </c>
      <c r="C11">
        <v>1145</v>
      </c>
    </row>
    <row r="12" spans="2:3" x14ac:dyDescent="0.35">
      <c r="B12" t="s">
        <v>117</v>
      </c>
      <c r="C12">
        <v>100</v>
      </c>
    </row>
    <row r="13" spans="2:3" x14ac:dyDescent="0.35">
      <c r="B13" t="s">
        <v>118</v>
      </c>
      <c r="C13">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1AB87-B0C0-4978-8EF2-E02D233E251C}">
  <dimension ref="B1:C20"/>
  <sheetViews>
    <sheetView workbookViewId="0">
      <selection activeCell="B4" sqref="B4"/>
    </sheetView>
  </sheetViews>
  <sheetFormatPr defaultRowHeight="14.5" x14ac:dyDescent="0.35"/>
  <sheetData>
    <row r="1" spans="2:3" x14ac:dyDescent="0.35">
      <c r="B1" t="s">
        <v>119</v>
      </c>
    </row>
    <row r="3" spans="2:3" x14ac:dyDescent="0.35">
      <c r="B3" t="s">
        <v>330</v>
      </c>
      <c r="C3" t="s">
        <v>331</v>
      </c>
    </row>
    <row r="4" spans="2:3" x14ac:dyDescent="0.35">
      <c r="B4" t="s">
        <v>318</v>
      </c>
      <c r="C4">
        <v>0.48</v>
      </c>
    </row>
    <row r="5" spans="2:3" x14ac:dyDescent="0.35">
      <c r="B5" t="s">
        <v>51</v>
      </c>
      <c r="C5">
        <v>1.6</v>
      </c>
    </row>
    <row r="6" spans="2:3" x14ac:dyDescent="0.35">
      <c r="B6" t="s">
        <v>35</v>
      </c>
      <c r="C6">
        <v>8.3000000000000007</v>
      </c>
    </row>
    <row r="7" spans="2:3" x14ac:dyDescent="0.35">
      <c r="B7" t="s">
        <v>319</v>
      </c>
      <c r="C7">
        <v>70.8</v>
      </c>
    </row>
    <row r="8" spans="2:3" x14ac:dyDescent="0.35">
      <c r="B8" t="s">
        <v>19</v>
      </c>
      <c r="C8">
        <v>255.5</v>
      </c>
    </row>
    <row r="9" spans="2:3" x14ac:dyDescent="0.35">
      <c r="B9" t="s">
        <v>320</v>
      </c>
      <c r="C9">
        <v>5</v>
      </c>
    </row>
    <row r="10" spans="2:3" x14ac:dyDescent="0.35">
      <c r="B10" t="s">
        <v>321</v>
      </c>
      <c r="C10">
        <v>0.5</v>
      </c>
    </row>
    <row r="11" spans="2:3" x14ac:dyDescent="0.35">
      <c r="B11" t="s">
        <v>322</v>
      </c>
      <c r="C11">
        <v>2</v>
      </c>
    </row>
    <row r="12" spans="2:3" x14ac:dyDescent="0.35">
      <c r="B12" t="s">
        <v>323</v>
      </c>
      <c r="C12">
        <v>30.5</v>
      </c>
    </row>
    <row r="13" spans="2:3" x14ac:dyDescent="0.35">
      <c r="B13" t="s">
        <v>54</v>
      </c>
      <c r="C13">
        <v>0.5</v>
      </c>
    </row>
    <row r="14" spans="2:3" x14ac:dyDescent="0.35">
      <c r="B14" t="s">
        <v>324</v>
      </c>
      <c r="C14">
        <v>426.7</v>
      </c>
    </row>
    <row r="15" spans="2:3" x14ac:dyDescent="0.35">
      <c r="B15" t="s">
        <v>325</v>
      </c>
      <c r="C15">
        <v>4.5999999999999996</v>
      </c>
    </row>
    <row r="16" spans="2:3" x14ac:dyDescent="0.35">
      <c r="B16" t="s">
        <v>326</v>
      </c>
      <c r="C16">
        <v>0.6</v>
      </c>
    </row>
    <row r="17" spans="2:3" x14ac:dyDescent="0.35">
      <c r="B17" t="s">
        <v>11</v>
      </c>
      <c r="C17">
        <v>59.6</v>
      </c>
    </row>
    <row r="18" spans="2:3" x14ac:dyDescent="0.35">
      <c r="B18" t="s">
        <v>327</v>
      </c>
      <c r="C18">
        <v>0.04</v>
      </c>
    </row>
    <row r="19" spans="2:3" x14ac:dyDescent="0.35">
      <c r="B19" t="s">
        <v>328</v>
      </c>
      <c r="C19">
        <v>0.01</v>
      </c>
    </row>
    <row r="20" spans="2:3" x14ac:dyDescent="0.35">
      <c r="B20" t="s">
        <v>329</v>
      </c>
      <c r="C2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7430-9C2C-471A-B97A-E1EF51FA800F}">
  <dimension ref="B1:J38"/>
  <sheetViews>
    <sheetView topLeftCell="A21" workbookViewId="0">
      <selection activeCell="F4" sqref="F4:G38"/>
    </sheetView>
  </sheetViews>
  <sheetFormatPr defaultRowHeight="14.5" x14ac:dyDescent="0.35"/>
  <sheetData>
    <row r="1" spans="2:10" x14ac:dyDescent="0.35">
      <c r="B1" t="s">
        <v>128</v>
      </c>
    </row>
    <row r="2" spans="2:10" x14ac:dyDescent="0.35">
      <c r="B2" t="s">
        <v>124</v>
      </c>
    </row>
    <row r="3" spans="2:10" x14ac:dyDescent="0.35">
      <c r="C3" t="s">
        <v>127</v>
      </c>
    </row>
    <row r="4" spans="2:10" x14ac:dyDescent="0.35">
      <c r="B4" t="s">
        <v>106</v>
      </c>
      <c r="C4">
        <v>1.1000000000000001</v>
      </c>
      <c r="D4">
        <f>1.10231*C4</f>
        <v>1.2125410000000001</v>
      </c>
      <c r="F4" t="s">
        <v>106</v>
      </c>
      <c r="G4">
        <v>1.2125410000000001</v>
      </c>
      <c r="I4" t="s">
        <v>358</v>
      </c>
      <c r="J4">
        <v>1.2125410000000001</v>
      </c>
    </row>
    <row r="5" spans="2:10" x14ac:dyDescent="0.35">
      <c r="B5" t="s">
        <v>106</v>
      </c>
      <c r="C5">
        <v>6.7</v>
      </c>
      <c r="D5">
        <f t="shared" ref="D5:D38" si="0">1.10231*C5</f>
        <v>7.3854769999999998</v>
      </c>
      <c r="F5" t="s">
        <v>106</v>
      </c>
      <c r="G5">
        <v>7.3854769999999998</v>
      </c>
      <c r="I5" t="s">
        <v>106</v>
      </c>
      <c r="J5">
        <v>7.3854769999999998</v>
      </c>
    </row>
    <row r="6" spans="2:10" x14ac:dyDescent="0.35">
      <c r="B6" t="s">
        <v>338</v>
      </c>
      <c r="C6">
        <v>0.5</v>
      </c>
      <c r="D6">
        <f t="shared" si="0"/>
        <v>0.55115499999999995</v>
      </c>
      <c r="F6" t="s">
        <v>338</v>
      </c>
      <c r="G6">
        <v>0.55115499999999995</v>
      </c>
    </row>
    <row r="7" spans="2:10" x14ac:dyDescent="0.35">
      <c r="B7" t="s">
        <v>339</v>
      </c>
      <c r="C7">
        <v>0.37</v>
      </c>
      <c r="D7">
        <f t="shared" si="0"/>
        <v>0.40785469999999996</v>
      </c>
      <c r="F7" t="s">
        <v>339</v>
      </c>
      <c r="G7">
        <v>0.40785469999999996</v>
      </c>
    </row>
    <row r="8" spans="2:10" x14ac:dyDescent="0.35">
      <c r="B8" t="s">
        <v>340</v>
      </c>
      <c r="C8">
        <v>1.47</v>
      </c>
      <c r="D8">
        <f t="shared" si="0"/>
        <v>1.6203956999999998</v>
      </c>
      <c r="F8" t="s">
        <v>340</v>
      </c>
      <c r="G8">
        <v>1.6203956999999998</v>
      </c>
    </row>
    <row r="9" spans="2:10" x14ac:dyDescent="0.35">
      <c r="B9" t="s">
        <v>341</v>
      </c>
      <c r="C9">
        <v>0.59</v>
      </c>
      <c r="D9">
        <f t="shared" si="0"/>
        <v>0.65036289999999986</v>
      </c>
      <c r="F9" t="s">
        <v>341</v>
      </c>
      <c r="G9">
        <v>0.65036289999999986</v>
      </c>
    </row>
    <row r="10" spans="2:10" x14ac:dyDescent="0.35">
      <c r="B10" t="s">
        <v>341</v>
      </c>
      <c r="C10">
        <v>9.3000000000000007</v>
      </c>
      <c r="D10">
        <f t="shared" si="0"/>
        <v>10.251483</v>
      </c>
      <c r="F10" t="s">
        <v>341</v>
      </c>
      <c r="G10">
        <v>10.251483</v>
      </c>
    </row>
    <row r="11" spans="2:10" x14ac:dyDescent="0.35">
      <c r="B11" t="s">
        <v>112</v>
      </c>
      <c r="C11">
        <v>1.8E-3</v>
      </c>
      <c r="D11">
        <f t="shared" si="0"/>
        <v>1.9841579999999998E-3</v>
      </c>
      <c r="F11" t="s">
        <v>112</v>
      </c>
      <c r="G11">
        <v>1.9841579999999998E-3</v>
      </c>
    </row>
    <row r="12" spans="2:10" x14ac:dyDescent="0.35">
      <c r="B12" t="s">
        <v>168</v>
      </c>
      <c r="C12">
        <v>36</v>
      </c>
      <c r="D12">
        <f t="shared" si="0"/>
        <v>39.683159999999994</v>
      </c>
      <c r="F12" t="s">
        <v>168</v>
      </c>
      <c r="G12">
        <v>39.683159999999994</v>
      </c>
    </row>
    <row r="13" spans="2:10" x14ac:dyDescent="0.35">
      <c r="C13">
        <v>790</v>
      </c>
      <c r="D13">
        <f t="shared" si="0"/>
        <v>870.82489999999996</v>
      </c>
      <c r="G13">
        <v>870.82489999999996</v>
      </c>
    </row>
    <row r="14" spans="2:10" x14ac:dyDescent="0.35">
      <c r="B14" t="s">
        <v>113</v>
      </c>
      <c r="C14">
        <v>1.04</v>
      </c>
      <c r="D14">
        <f t="shared" si="0"/>
        <v>1.1464023999999999</v>
      </c>
      <c r="F14" t="s">
        <v>113</v>
      </c>
      <c r="G14">
        <v>1.1464023999999999</v>
      </c>
    </row>
    <row r="15" spans="2:10" x14ac:dyDescent="0.35">
      <c r="C15">
        <v>3.5</v>
      </c>
      <c r="D15">
        <f t="shared" si="0"/>
        <v>3.8580849999999995</v>
      </c>
      <c r="G15">
        <v>3.8580849999999995</v>
      </c>
    </row>
    <row r="16" spans="2:10" x14ac:dyDescent="0.35">
      <c r="B16" t="s">
        <v>342</v>
      </c>
      <c r="C16">
        <v>0.31</v>
      </c>
      <c r="D16">
        <f t="shared" si="0"/>
        <v>0.34171609999999997</v>
      </c>
      <c r="F16" t="s">
        <v>342</v>
      </c>
      <c r="G16">
        <v>0.34171609999999997</v>
      </c>
    </row>
    <row r="17" spans="2:7" x14ac:dyDescent="0.35">
      <c r="B17" t="s">
        <v>343</v>
      </c>
      <c r="C17">
        <v>0.82</v>
      </c>
      <c r="D17">
        <f t="shared" si="0"/>
        <v>0.90389419999999987</v>
      </c>
      <c r="F17" t="s">
        <v>343</v>
      </c>
      <c r="G17">
        <v>0.90389419999999987</v>
      </c>
    </row>
    <row r="18" spans="2:7" x14ac:dyDescent="0.35">
      <c r="B18" t="s">
        <v>41</v>
      </c>
      <c r="C18">
        <v>0.04</v>
      </c>
      <c r="D18">
        <f t="shared" si="0"/>
        <v>4.4092399999999997E-2</v>
      </c>
      <c r="F18" t="s">
        <v>41</v>
      </c>
      <c r="G18">
        <v>4.4092399999999997E-2</v>
      </c>
    </row>
    <row r="19" spans="2:7" x14ac:dyDescent="0.35">
      <c r="B19" t="s">
        <v>344</v>
      </c>
      <c r="C19">
        <v>6.0000000000000001E-3</v>
      </c>
      <c r="D19">
        <f t="shared" si="0"/>
        <v>6.6138599999999992E-3</v>
      </c>
      <c r="F19" t="s">
        <v>344</v>
      </c>
      <c r="G19">
        <v>6.6138599999999992E-3</v>
      </c>
    </row>
    <row r="20" spans="2:7" x14ac:dyDescent="0.35">
      <c r="B20" t="s">
        <v>345</v>
      </c>
      <c r="C20">
        <v>0.23</v>
      </c>
      <c r="D20">
        <f t="shared" si="0"/>
        <v>0.25353130000000001</v>
      </c>
      <c r="F20" t="s">
        <v>345</v>
      </c>
      <c r="G20">
        <v>0.25353130000000001</v>
      </c>
    </row>
    <row r="21" spans="2:7" x14ac:dyDescent="0.35">
      <c r="B21" t="s">
        <v>346</v>
      </c>
      <c r="C21">
        <v>3.25</v>
      </c>
      <c r="D21">
        <f t="shared" si="0"/>
        <v>3.5825074999999997</v>
      </c>
      <c r="F21" t="s">
        <v>346</v>
      </c>
      <c r="G21">
        <v>3.5825074999999997</v>
      </c>
    </row>
    <row r="22" spans="2:7" x14ac:dyDescent="0.35">
      <c r="B22" t="s">
        <v>121</v>
      </c>
      <c r="C22">
        <v>0.104</v>
      </c>
      <c r="D22">
        <f t="shared" si="0"/>
        <v>0.11464023999999999</v>
      </c>
      <c r="F22" t="s">
        <v>121</v>
      </c>
      <c r="G22">
        <v>0.11464023999999999</v>
      </c>
    </row>
    <row r="23" spans="2:7" x14ac:dyDescent="0.35">
      <c r="B23" t="s">
        <v>347</v>
      </c>
      <c r="C23">
        <v>20</v>
      </c>
      <c r="D23">
        <f t="shared" si="0"/>
        <v>22.046199999999999</v>
      </c>
      <c r="F23" t="s">
        <v>347</v>
      </c>
      <c r="G23">
        <v>22.046199999999999</v>
      </c>
    </row>
    <row r="24" spans="2:7" x14ac:dyDescent="0.35">
      <c r="B24" t="s">
        <v>348</v>
      </c>
      <c r="C24">
        <v>33</v>
      </c>
      <c r="D24">
        <f t="shared" si="0"/>
        <v>36.37623</v>
      </c>
      <c r="F24" t="s">
        <v>348</v>
      </c>
      <c r="G24">
        <v>36.37623</v>
      </c>
    </row>
    <row r="25" spans="2:7" x14ac:dyDescent="0.35">
      <c r="C25">
        <v>112</v>
      </c>
      <c r="D25">
        <f t="shared" si="0"/>
        <v>123.45871999999999</v>
      </c>
      <c r="G25">
        <v>123.45871999999999</v>
      </c>
    </row>
    <row r="26" spans="2:7" x14ac:dyDescent="0.35">
      <c r="B26" t="s">
        <v>116</v>
      </c>
      <c r="C26">
        <v>0.02</v>
      </c>
      <c r="D26">
        <f t="shared" si="0"/>
        <v>2.2046199999999998E-2</v>
      </c>
      <c r="F26" t="s">
        <v>116</v>
      </c>
      <c r="G26">
        <v>2.2046199999999998E-2</v>
      </c>
    </row>
    <row r="27" spans="2:7" x14ac:dyDescent="0.35">
      <c r="B27" t="s">
        <v>349</v>
      </c>
      <c r="C27">
        <v>0.12</v>
      </c>
      <c r="D27">
        <f t="shared" si="0"/>
        <v>0.13227719999999998</v>
      </c>
      <c r="F27" t="s">
        <v>349</v>
      </c>
      <c r="G27">
        <v>0.13227719999999998</v>
      </c>
    </row>
    <row r="28" spans="2:7" x14ac:dyDescent="0.35">
      <c r="B28" t="s">
        <v>350</v>
      </c>
      <c r="C28">
        <v>0.45</v>
      </c>
      <c r="D28">
        <f t="shared" si="0"/>
        <v>0.49603949999999997</v>
      </c>
      <c r="F28" t="s">
        <v>350</v>
      </c>
      <c r="G28">
        <v>0.49603949999999997</v>
      </c>
    </row>
    <row r="29" spans="2:7" x14ac:dyDescent="0.35">
      <c r="C29">
        <v>2.74</v>
      </c>
      <c r="D29">
        <f t="shared" si="0"/>
        <v>3.0203294000000001</v>
      </c>
      <c r="G29">
        <v>3.0203294000000001</v>
      </c>
    </row>
    <row r="30" spans="2:7" x14ac:dyDescent="0.35">
      <c r="B30" t="s">
        <v>351</v>
      </c>
      <c r="C30">
        <v>1.65</v>
      </c>
      <c r="D30">
        <f t="shared" si="0"/>
        <v>1.8188114999999998</v>
      </c>
      <c r="F30" t="s">
        <v>351</v>
      </c>
      <c r="G30">
        <v>1.8188114999999998</v>
      </c>
    </row>
    <row r="31" spans="2:7" x14ac:dyDescent="0.35">
      <c r="C31">
        <v>6</v>
      </c>
      <c r="D31">
        <f t="shared" si="0"/>
        <v>6.613859999999999</v>
      </c>
      <c r="G31">
        <v>6.613859999999999</v>
      </c>
    </row>
    <row r="32" spans="2:7" x14ac:dyDescent="0.35">
      <c r="B32" t="s">
        <v>352</v>
      </c>
      <c r="C32">
        <v>0.04</v>
      </c>
      <c r="D32">
        <f t="shared" si="0"/>
        <v>4.4092399999999997E-2</v>
      </c>
      <c r="F32" t="s">
        <v>352</v>
      </c>
      <c r="G32">
        <v>4.4092399999999997E-2</v>
      </c>
    </row>
    <row r="33" spans="2:7" x14ac:dyDescent="0.35">
      <c r="B33" t="s">
        <v>353</v>
      </c>
      <c r="C33">
        <v>4.5</v>
      </c>
      <c r="D33">
        <f t="shared" si="0"/>
        <v>4.9603949999999992</v>
      </c>
      <c r="F33" t="s">
        <v>353</v>
      </c>
      <c r="G33">
        <v>4.9603949999999992</v>
      </c>
    </row>
    <row r="34" spans="2:7" x14ac:dyDescent="0.35">
      <c r="C34">
        <v>5.5</v>
      </c>
      <c r="D34">
        <f t="shared" si="0"/>
        <v>6.0627049999999993</v>
      </c>
      <c r="G34">
        <v>6.0627049999999993</v>
      </c>
    </row>
    <row r="35" spans="2:7" x14ac:dyDescent="0.35">
      <c r="B35" t="s">
        <v>354</v>
      </c>
      <c r="C35">
        <v>0.82</v>
      </c>
      <c r="D35">
        <f t="shared" si="0"/>
        <v>0.90389419999999987</v>
      </c>
      <c r="F35" t="s">
        <v>354</v>
      </c>
      <c r="G35">
        <v>0.90389419999999987</v>
      </c>
    </row>
    <row r="36" spans="2:7" x14ac:dyDescent="0.35">
      <c r="B36" t="s">
        <v>355</v>
      </c>
      <c r="C36">
        <v>0.18</v>
      </c>
      <c r="D36">
        <f t="shared" si="0"/>
        <v>0.19841579999999998</v>
      </c>
      <c r="F36" t="s">
        <v>355</v>
      </c>
      <c r="G36">
        <v>0.19841579999999998</v>
      </c>
    </row>
    <row r="37" spans="2:7" x14ac:dyDescent="0.35">
      <c r="B37" t="s">
        <v>356</v>
      </c>
      <c r="C37">
        <v>0.4</v>
      </c>
      <c r="D37">
        <f t="shared" si="0"/>
        <v>0.44092399999999998</v>
      </c>
      <c r="F37" t="s">
        <v>356</v>
      </c>
      <c r="G37">
        <v>0.44092399999999998</v>
      </c>
    </row>
    <row r="38" spans="2:7" x14ac:dyDescent="0.35">
      <c r="B38" t="s">
        <v>126</v>
      </c>
      <c r="C38">
        <v>0.16</v>
      </c>
      <c r="D38">
        <f t="shared" si="0"/>
        <v>0.17636959999999999</v>
      </c>
      <c r="F38" t="s">
        <v>126</v>
      </c>
      <c r="G38">
        <v>0.17636959999999999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2EBF-3672-4A1C-A869-0CB21A15F397}">
  <dimension ref="B2:C19"/>
  <sheetViews>
    <sheetView topLeftCell="A8" workbookViewId="0">
      <selection activeCell="C5" sqref="C5"/>
    </sheetView>
  </sheetViews>
  <sheetFormatPr defaultRowHeight="14.5" x14ac:dyDescent="0.35"/>
  <sheetData>
    <row r="2" spans="2:3" x14ac:dyDescent="0.35">
      <c r="B2" t="s">
        <v>128</v>
      </c>
    </row>
    <row r="3" spans="2:3" x14ac:dyDescent="0.35">
      <c r="B3" t="s">
        <v>129</v>
      </c>
    </row>
    <row r="5" spans="2:3" x14ac:dyDescent="0.35">
      <c r="C5" t="s">
        <v>127</v>
      </c>
    </row>
    <row r="6" spans="2:3" x14ac:dyDescent="0.35">
      <c r="B6" t="s">
        <v>125</v>
      </c>
      <c r="C6">
        <v>800</v>
      </c>
    </row>
    <row r="7" spans="2:3" x14ac:dyDescent="0.35">
      <c r="C7">
        <v>6000</v>
      </c>
    </row>
    <row r="8" spans="2:3" x14ac:dyDescent="0.35">
      <c r="B8" t="s">
        <v>111</v>
      </c>
      <c r="C8">
        <v>500</v>
      </c>
    </row>
    <row r="9" spans="2:3" x14ac:dyDescent="0.35">
      <c r="C9">
        <v>2500</v>
      </c>
    </row>
    <row r="10" spans="2:3" x14ac:dyDescent="0.35">
      <c r="B10" t="s">
        <v>113</v>
      </c>
      <c r="C10">
        <v>100</v>
      </c>
    </row>
    <row r="11" spans="2:3" x14ac:dyDescent="0.35">
      <c r="C11">
        <v>2000</v>
      </c>
    </row>
    <row r="13" spans="2:3" x14ac:dyDescent="0.35">
      <c r="B13" t="s">
        <v>121</v>
      </c>
      <c r="C13">
        <v>300</v>
      </c>
    </row>
    <row r="14" spans="2:3" x14ac:dyDescent="0.35">
      <c r="B14" t="s">
        <v>130</v>
      </c>
      <c r="C14">
        <v>100</v>
      </c>
    </row>
    <row r="15" spans="2:3" x14ac:dyDescent="0.35">
      <c r="B15" t="s">
        <v>131</v>
      </c>
      <c r="C15">
        <v>200</v>
      </c>
    </row>
    <row r="16" spans="2:3" x14ac:dyDescent="0.35">
      <c r="B16" t="s">
        <v>115</v>
      </c>
      <c r="C16">
        <v>250</v>
      </c>
    </row>
    <row r="17" spans="2:3" x14ac:dyDescent="0.35">
      <c r="B17" t="s">
        <v>132</v>
      </c>
      <c r="C17">
        <v>50000</v>
      </c>
    </row>
    <row r="18" spans="2:3" x14ac:dyDescent="0.35">
      <c r="C18">
        <v>300000</v>
      </c>
    </row>
    <row r="19" spans="2:3" x14ac:dyDescent="0.35">
      <c r="B19" t="s">
        <v>126</v>
      </c>
      <c r="C19">
        <v>400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11C94-C7BF-4BC7-9CD0-DB5FAF3227D2}">
  <dimension ref="B2:D13"/>
  <sheetViews>
    <sheetView workbookViewId="0">
      <selection activeCell="D13" sqref="D13"/>
    </sheetView>
  </sheetViews>
  <sheetFormatPr defaultRowHeight="14.5" x14ac:dyDescent="0.35"/>
  <sheetData>
    <row r="2" spans="2:4" x14ac:dyDescent="0.35">
      <c r="B2" t="s">
        <v>133</v>
      </c>
    </row>
    <row r="4" spans="2:4" x14ac:dyDescent="0.35">
      <c r="B4" t="s">
        <v>111</v>
      </c>
      <c r="C4">
        <v>64405</v>
      </c>
      <c r="D4" t="s">
        <v>135</v>
      </c>
    </row>
    <row r="5" spans="2:4" x14ac:dyDescent="0.35">
      <c r="B5" t="s">
        <v>11</v>
      </c>
      <c r="C5">
        <v>1200</v>
      </c>
      <c r="D5" t="s">
        <v>136</v>
      </c>
    </row>
    <row r="6" spans="2:4" x14ac:dyDescent="0.35">
      <c r="C6">
        <v>2200</v>
      </c>
      <c r="D6" t="s">
        <v>136</v>
      </c>
    </row>
    <row r="7" spans="2:4" x14ac:dyDescent="0.35">
      <c r="C7">
        <v>2605</v>
      </c>
      <c r="D7" t="s">
        <v>136</v>
      </c>
    </row>
    <row r="8" spans="2:4" x14ac:dyDescent="0.35">
      <c r="B8" t="s">
        <v>131</v>
      </c>
      <c r="C8">
        <v>4325</v>
      </c>
      <c r="D8" t="s">
        <v>135</v>
      </c>
    </row>
    <row r="9" spans="2:4" x14ac:dyDescent="0.35">
      <c r="B9" t="s">
        <v>115</v>
      </c>
      <c r="C9">
        <v>7209</v>
      </c>
      <c r="D9" t="s">
        <v>135</v>
      </c>
    </row>
    <row r="10" spans="2:4" x14ac:dyDescent="0.35">
      <c r="B10" t="s">
        <v>116</v>
      </c>
      <c r="C10">
        <v>120155</v>
      </c>
      <c r="D10" t="s">
        <v>135</v>
      </c>
    </row>
    <row r="11" spans="2:4" x14ac:dyDescent="0.35">
      <c r="B11" t="s">
        <v>117</v>
      </c>
      <c r="C11">
        <v>128</v>
      </c>
      <c r="D11" t="s">
        <v>135</v>
      </c>
    </row>
    <row r="12" spans="2:4" x14ac:dyDescent="0.35">
      <c r="B12" t="s">
        <v>21</v>
      </c>
      <c r="C12">
        <v>818000</v>
      </c>
      <c r="D12" t="s">
        <v>136</v>
      </c>
    </row>
    <row r="13" spans="2:4" x14ac:dyDescent="0.35">
      <c r="B13" t="s">
        <v>134</v>
      </c>
      <c r="C13">
        <v>64</v>
      </c>
      <c r="D13" t="s">
        <v>135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E4CE-A729-4422-8493-EA61BD7EE5DF}">
  <dimension ref="A5:AE441"/>
  <sheetViews>
    <sheetView topLeftCell="D363" zoomScale="51" zoomScaleNormal="100" workbookViewId="0">
      <selection activeCell="S380" sqref="S380"/>
    </sheetView>
  </sheetViews>
  <sheetFormatPr defaultRowHeight="14.5" x14ac:dyDescent="0.35"/>
  <cols>
    <col min="3" max="3" width="9.08984375" bestFit="1" customWidth="1"/>
    <col min="14" max="14" width="12.26953125" bestFit="1" customWidth="1"/>
  </cols>
  <sheetData>
    <row r="5" spans="1:3" x14ac:dyDescent="0.35">
      <c r="A5" t="s">
        <v>2</v>
      </c>
      <c r="B5" t="s">
        <v>138</v>
      </c>
      <c r="C5" t="s">
        <v>139</v>
      </c>
    </row>
    <row r="7" spans="1:3" x14ac:dyDescent="0.35">
      <c r="C7">
        <v>2000</v>
      </c>
    </row>
    <row r="8" spans="1:3" x14ac:dyDescent="0.35">
      <c r="C8">
        <v>20000</v>
      </c>
    </row>
    <row r="9" spans="1:3" x14ac:dyDescent="0.35">
      <c r="C9">
        <v>8.0000000000000004E-4</v>
      </c>
    </row>
    <row r="10" spans="1:3" x14ac:dyDescent="0.35">
      <c r="C10">
        <v>84</v>
      </c>
    </row>
    <row r="11" spans="1:3" x14ac:dyDescent="0.35">
      <c r="C11">
        <v>6</v>
      </c>
    </row>
    <row r="12" spans="1:3" x14ac:dyDescent="0.35">
      <c r="C12">
        <v>63</v>
      </c>
    </row>
    <row r="13" spans="1:3" x14ac:dyDescent="0.35">
      <c r="C13">
        <v>85</v>
      </c>
    </row>
    <row r="14" spans="1:3" x14ac:dyDescent="0.35">
      <c r="C14">
        <v>250</v>
      </c>
    </row>
    <row r="15" spans="1:3" x14ac:dyDescent="0.35">
      <c r="C15">
        <v>300</v>
      </c>
    </row>
    <row r="16" spans="1:3" x14ac:dyDescent="0.35">
      <c r="C16">
        <v>17</v>
      </c>
    </row>
    <row r="17" spans="3:3" x14ac:dyDescent="0.35">
      <c r="C17">
        <v>2194</v>
      </c>
    </row>
    <row r="18" spans="3:3" x14ac:dyDescent="0.35">
      <c r="C18">
        <v>2000</v>
      </c>
    </row>
    <row r="19" spans="3:3" x14ac:dyDescent="0.35">
      <c r="C19">
        <v>4000</v>
      </c>
    </row>
    <row r="20" spans="3:3" x14ac:dyDescent="0.35">
      <c r="C20">
        <v>7598</v>
      </c>
    </row>
    <row r="21" spans="3:3" x14ac:dyDescent="0.35">
      <c r="C21">
        <v>1000</v>
      </c>
    </row>
    <row r="22" spans="3:3" x14ac:dyDescent="0.35">
      <c r="C22">
        <v>5181</v>
      </c>
    </row>
    <row r="23" spans="3:3" x14ac:dyDescent="0.35">
      <c r="C23">
        <v>0.12</v>
      </c>
    </row>
    <row r="24" spans="3:3" x14ac:dyDescent="0.35">
      <c r="C24">
        <v>6</v>
      </c>
    </row>
    <row r="25" spans="3:3" x14ac:dyDescent="0.35">
      <c r="C25">
        <v>8</v>
      </c>
    </row>
    <row r="26" spans="3:3" x14ac:dyDescent="0.35">
      <c r="C26">
        <v>29</v>
      </c>
    </row>
    <row r="27" spans="3:3" x14ac:dyDescent="0.35">
      <c r="C27">
        <v>12</v>
      </c>
    </row>
    <row r="28" spans="3:3" x14ac:dyDescent="0.35">
      <c r="C28">
        <v>5</v>
      </c>
    </row>
    <row r="29" spans="3:3" x14ac:dyDescent="0.35">
      <c r="C29">
        <v>8</v>
      </c>
    </row>
    <row r="30" spans="3:3" x14ac:dyDescent="0.35">
      <c r="C30">
        <v>5</v>
      </c>
    </row>
    <row r="31" spans="3:3" x14ac:dyDescent="0.35">
      <c r="C31">
        <v>84</v>
      </c>
    </row>
    <row r="32" spans="3:3" x14ac:dyDescent="0.35">
      <c r="C32">
        <v>83</v>
      </c>
    </row>
    <row r="33" spans="3:3" x14ac:dyDescent="0.35">
      <c r="C33">
        <v>23</v>
      </c>
    </row>
    <row r="34" spans="3:3" x14ac:dyDescent="0.35">
      <c r="C34">
        <v>23</v>
      </c>
    </row>
    <row r="35" spans="3:3" x14ac:dyDescent="0.35">
      <c r="C35">
        <v>23</v>
      </c>
    </row>
    <row r="36" spans="3:3" x14ac:dyDescent="0.35">
      <c r="C36">
        <v>15</v>
      </c>
    </row>
    <row r="37" spans="3:3" x14ac:dyDescent="0.35">
      <c r="C37">
        <v>38</v>
      </c>
    </row>
    <row r="38" spans="3:3" x14ac:dyDescent="0.35">
      <c r="C38">
        <v>28</v>
      </c>
    </row>
    <row r="39" spans="3:3" x14ac:dyDescent="0.35">
      <c r="C39">
        <v>23</v>
      </c>
    </row>
    <row r="40" spans="3:3" x14ac:dyDescent="0.35">
      <c r="C40">
        <v>27</v>
      </c>
    </row>
    <row r="41" spans="3:3" x14ac:dyDescent="0.35">
      <c r="C41">
        <v>23</v>
      </c>
    </row>
    <row r="42" spans="3:3" x14ac:dyDescent="0.35">
      <c r="C42">
        <v>72</v>
      </c>
    </row>
    <row r="43" spans="3:3" x14ac:dyDescent="0.35">
      <c r="C43">
        <v>1.1000000000000001</v>
      </c>
    </row>
    <row r="44" spans="3:3" x14ac:dyDescent="0.35">
      <c r="C44">
        <v>0.5</v>
      </c>
    </row>
    <row r="45" spans="3:3" x14ac:dyDescent="0.35">
      <c r="C45">
        <v>84</v>
      </c>
    </row>
    <row r="46" spans="3:3" x14ac:dyDescent="0.35">
      <c r="C46">
        <v>45</v>
      </c>
    </row>
    <row r="47" spans="3:3" x14ac:dyDescent="0.35">
      <c r="C47">
        <v>45</v>
      </c>
    </row>
    <row r="48" spans="3:3" x14ac:dyDescent="0.35">
      <c r="C48">
        <v>9000</v>
      </c>
    </row>
    <row r="49" spans="3:3" x14ac:dyDescent="0.35">
      <c r="C49">
        <v>3653</v>
      </c>
    </row>
    <row r="50" spans="3:3" x14ac:dyDescent="0.35">
      <c r="C50">
        <v>5</v>
      </c>
    </row>
    <row r="51" spans="3:3" x14ac:dyDescent="0.35">
      <c r="C51">
        <v>19</v>
      </c>
    </row>
    <row r="52" spans="3:3" x14ac:dyDescent="0.35">
      <c r="C52">
        <v>36</v>
      </c>
    </row>
    <row r="53" spans="3:3" x14ac:dyDescent="0.35">
      <c r="C53">
        <v>80</v>
      </c>
    </row>
    <row r="54" spans="3:3" x14ac:dyDescent="0.35">
      <c r="C54">
        <v>10</v>
      </c>
    </row>
    <row r="55" spans="3:3" x14ac:dyDescent="0.35">
      <c r="C55">
        <v>20</v>
      </c>
    </row>
    <row r="56" spans="3:3" x14ac:dyDescent="0.35">
      <c r="C56">
        <v>90</v>
      </c>
    </row>
    <row r="57" spans="3:3" x14ac:dyDescent="0.35">
      <c r="C57">
        <v>98</v>
      </c>
    </row>
    <row r="58" spans="3:3" x14ac:dyDescent="0.35">
      <c r="C58">
        <v>106</v>
      </c>
    </row>
    <row r="59" spans="3:3" x14ac:dyDescent="0.35">
      <c r="C59">
        <v>69</v>
      </c>
    </row>
    <row r="60" spans="3:3" x14ac:dyDescent="0.35">
      <c r="C60">
        <v>17</v>
      </c>
    </row>
    <row r="61" spans="3:3" x14ac:dyDescent="0.35">
      <c r="C61">
        <v>98</v>
      </c>
    </row>
    <row r="62" spans="3:3" x14ac:dyDescent="0.35">
      <c r="C62">
        <v>463</v>
      </c>
    </row>
    <row r="63" spans="3:3" x14ac:dyDescent="0.35">
      <c r="C63">
        <v>200</v>
      </c>
    </row>
    <row r="64" spans="3:3" x14ac:dyDescent="0.35">
      <c r="C64">
        <v>30</v>
      </c>
    </row>
    <row r="113" spans="1:4" x14ac:dyDescent="0.35">
      <c r="A113" s="46"/>
    </row>
    <row r="121" spans="1:4" ht="15" thickBot="1" x14ac:dyDescent="0.4">
      <c r="A121" t="s">
        <v>198</v>
      </c>
    </row>
    <row r="122" spans="1:4" ht="35" thickBot="1" x14ac:dyDescent="0.4">
      <c r="A122" s="13" t="s">
        <v>169</v>
      </c>
      <c r="B122" s="13" t="s">
        <v>170</v>
      </c>
      <c r="C122" s="13" t="s">
        <v>171</v>
      </c>
      <c r="D122" s="13" t="s">
        <v>172</v>
      </c>
    </row>
    <row r="123" spans="1:4" ht="16.5" customHeight="1" x14ac:dyDescent="0.35">
      <c r="A123" s="178" t="s">
        <v>173</v>
      </c>
      <c r="B123" s="14"/>
      <c r="C123" s="14"/>
      <c r="D123" s="178"/>
    </row>
    <row r="124" spans="1:4" x14ac:dyDescent="0.35">
      <c r="A124" s="179"/>
      <c r="B124" s="14"/>
      <c r="C124" s="14"/>
      <c r="D124" s="179"/>
    </row>
    <row r="125" spans="1:4" ht="15" thickBot="1" x14ac:dyDescent="0.4">
      <c r="A125" s="179"/>
      <c r="B125" s="15"/>
      <c r="C125" s="15"/>
      <c r="D125" s="180"/>
    </row>
    <row r="126" spans="1:4" ht="57.5" x14ac:dyDescent="0.35">
      <c r="A126" s="179"/>
      <c r="B126" s="14" t="s">
        <v>175</v>
      </c>
      <c r="C126" s="14">
        <v>20</v>
      </c>
      <c r="D126" s="16" t="s">
        <v>176</v>
      </c>
    </row>
    <row r="127" spans="1:4" ht="15" thickBot="1" x14ac:dyDescent="0.4">
      <c r="A127" s="17"/>
      <c r="B127" s="15" t="s">
        <v>177</v>
      </c>
      <c r="C127" s="15">
        <v>4</v>
      </c>
      <c r="D127" s="15">
        <v>-2019</v>
      </c>
    </row>
    <row r="128" spans="1:4" ht="16.5" customHeight="1" x14ac:dyDescent="0.35">
      <c r="A128" s="178" t="s">
        <v>178</v>
      </c>
      <c r="B128" s="14"/>
      <c r="C128" s="14"/>
      <c r="D128" s="178"/>
    </row>
    <row r="129" spans="1:4" x14ac:dyDescent="0.35">
      <c r="A129" s="179"/>
      <c r="B129" s="14"/>
      <c r="C129" s="14"/>
      <c r="D129" s="179"/>
    </row>
    <row r="130" spans="1:4" ht="15" thickBot="1" x14ac:dyDescent="0.4">
      <c r="A130" s="179"/>
      <c r="B130" s="15"/>
      <c r="C130" s="15"/>
      <c r="D130" s="180"/>
    </row>
    <row r="131" spans="1:4" x14ac:dyDescent="0.35">
      <c r="A131" s="179"/>
      <c r="B131" s="14">
        <v>2013</v>
      </c>
      <c r="C131" s="14" t="s">
        <v>179</v>
      </c>
      <c r="D131" s="18"/>
    </row>
    <row r="132" spans="1:4" ht="23" x14ac:dyDescent="0.35">
      <c r="A132" s="18"/>
      <c r="B132" s="14">
        <v>2025</v>
      </c>
      <c r="C132" s="14">
        <v>63.8</v>
      </c>
      <c r="D132" s="14" t="s">
        <v>180</v>
      </c>
    </row>
    <row r="133" spans="1:4" ht="15" thickBot="1" x14ac:dyDescent="0.4">
      <c r="A133" s="17"/>
      <c r="B133" s="15">
        <v>2050</v>
      </c>
      <c r="C133" s="15">
        <v>33</v>
      </c>
      <c r="D133" s="17"/>
    </row>
    <row r="134" spans="1:4" x14ac:dyDescent="0.35">
      <c r="A134" s="178" t="s">
        <v>181</v>
      </c>
      <c r="B134" s="14"/>
      <c r="C134" s="14"/>
      <c r="D134" s="178"/>
    </row>
    <row r="135" spans="1:4" x14ac:dyDescent="0.35">
      <c r="A135" s="179"/>
      <c r="B135" s="14"/>
      <c r="C135" s="14"/>
      <c r="D135" s="179"/>
    </row>
    <row r="136" spans="1:4" ht="15" thickBot="1" x14ac:dyDescent="0.4">
      <c r="A136" s="179"/>
      <c r="B136" s="15"/>
      <c r="C136" s="15"/>
      <c r="D136" s="180"/>
    </row>
    <row r="137" spans="1:4" x14ac:dyDescent="0.35">
      <c r="A137" s="179"/>
      <c r="B137" s="14">
        <v>2013</v>
      </c>
      <c r="C137" s="14" t="s">
        <v>182</v>
      </c>
      <c r="D137" s="178" t="s">
        <v>180</v>
      </c>
    </row>
    <row r="138" spans="1:4" x14ac:dyDescent="0.35">
      <c r="A138" s="179"/>
      <c r="B138" s="14">
        <v>2025</v>
      </c>
      <c r="C138" s="14">
        <v>43.1</v>
      </c>
      <c r="D138" s="179"/>
    </row>
    <row r="139" spans="1:4" ht="15" thickBot="1" x14ac:dyDescent="0.4">
      <c r="A139" s="183"/>
      <c r="B139" s="15">
        <v>2050</v>
      </c>
      <c r="C139" s="15">
        <v>35.299999999999997</v>
      </c>
      <c r="D139" s="17"/>
    </row>
    <row r="140" spans="1:4" x14ac:dyDescent="0.35">
      <c r="A140" s="183"/>
      <c r="B140" s="14"/>
      <c r="C140" s="14"/>
      <c r="D140" s="178"/>
    </row>
    <row r="141" spans="1:4" ht="15" thickBot="1" x14ac:dyDescent="0.4">
      <c r="A141" s="183"/>
      <c r="B141" s="15"/>
      <c r="C141" s="15"/>
      <c r="D141" s="180"/>
    </row>
    <row r="142" spans="1:4" ht="46.5" thickBot="1" x14ac:dyDescent="0.4">
      <c r="A142" s="184"/>
      <c r="B142" s="15" t="s">
        <v>183</v>
      </c>
      <c r="C142" s="15" t="s">
        <v>184</v>
      </c>
      <c r="D142" s="15" t="s">
        <v>185</v>
      </c>
    </row>
    <row r="143" spans="1:4" ht="16.5" customHeight="1" x14ac:dyDescent="0.35">
      <c r="A143" s="178" t="s">
        <v>186</v>
      </c>
      <c r="B143" s="14"/>
      <c r="C143" s="14"/>
      <c r="D143" s="178"/>
    </row>
    <row r="144" spans="1:4" x14ac:dyDescent="0.35">
      <c r="A144" s="179"/>
      <c r="B144" s="14"/>
      <c r="C144" s="14"/>
      <c r="D144" s="179"/>
    </row>
    <row r="145" spans="1:4" ht="15" thickBot="1" x14ac:dyDescent="0.4">
      <c r="A145" s="179"/>
      <c r="B145" s="15"/>
      <c r="C145" s="15"/>
      <c r="D145" s="180"/>
    </row>
    <row r="146" spans="1:4" x14ac:dyDescent="0.35">
      <c r="A146" s="179"/>
      <c r="B146" s="14">
        <v>2013</v>
      </c>
      <c r="C146" s="14" t="s">
        <v>187</v>
      </c>
      <c r="D146" s="18"/>
    </row>
    <row r="147" spans="1:4" ht="23" x14ac:dyDescent="0.35">
      <c r="A147" s="18"/>
      <c r="B147" s="14">
        <v>2025</v>
      </c>
      <c r="C147" s="14">
        <v>45</v>
      </c>
      <c r="D147" s="14" t="s">
        <v>180</v>
      </c>
    </row>
    <row r="148" spans="1:4" ht="15" thickBot="1" x14ac:dyDescent="0.4">
      <c r="A148" s="183"/>
      <c r="B148" s="15">
        <v>2050</v>
      </c>
      <c r="C148" s="15">
        <v>3</v>
      </c>
      <c r="D148" s="17"/>
    </row>
    <row r="149" spans="1:4" ht="46.5" thickBot="1" x14ac:dyDescent="0.4">
      <c r="A149" s="184"/>
      <c r="B149" s="15">
        <v>2050</v>
      </c>
      <c r="C149" s="15" t="s">
        <v>188</v>
      </c>
      <c r="D149" s="15" t="s">
        <v>189</v>
      </c>
    </row>
    <row r="150" spans="1:4" ht="16.5" customHeight="1" x14ac:dyDescent="0.35">
      <c r="A150" s="178" t="s">
        <v>190</v>
      </c>
      <c r="B150" s="14">
        <v>2010</v>
      </c>
      <c r="C150" s="14" t="s">
        <v>191</v>
      </c>
      <c r="D150" s="178" t="s">
        <v>174</v>
      </c>
    </row>
    <row r="151" spans="1:4" x14ac:dyDescent="0.35">
      <c r="A151" s="179"/>
      <c r="B151" s="14">
        <v>2020</v>
      </c>
      <c r="C151" s="14" t="s">
        <v>192</v>
      </c>
      <c r="D151" s="179"/>
    </row>
    <row r="152" spans="1:4" ht="15" thickBot="1" x14ac:dyDescent="0.4">
      <c r="A152" s="179"/>
      <c r="B152" s="15">
        <v>2040</v>
      </c>
      <c r="C152" s="15" t="s">
        <v>193</v>
      </c>
      <c r="D152" s="180"/>
    </row>
    <row r="153" spans="1:4" x14ac:dyDescent="0.35">
      <c r="A153" s="179"/>
      <c r="B153" s="14">
        <v>2013</v>
      </c>
      <c r="C153" s="14" t="s">
        <v>194</v>
      </c>
      <c r="D153" s="18"/>
    </row>
    <row r="154" spans="1:4" ht="23" x14ac:dyDescent="0.35">
      <c r="A154" s="18"/>
      <c r="B154" s="14">
        <v>2025</v>
      </c>
      <c r="C154" s="14">
        <v>3.2</v>
      </c>
      <c r="D154" s="14" t="s">
        <v>180</v>
      </c>
    </row>
    <row r="155" spans="1:4" ht="15" thickBot="1" x14ac:dyDescent="0.4">
      <c r="A155" s="17"/>
      <c r="B155" s="15">
        <v>2050</v>
      </c>
      <c r="C155" s="15">
        <v>1.2</v>
      </c>
      <c r="D155" s="17"/>
    </row>
    <row r="156" spans="1:4" ht="16.5" customHeight="1" x14ac:dyDescent="0.35">
      <c r="A156" s="178" t="s">
        <v>195</v>
      </c>
      <c r="B156" s="14"/>
      <c r="C156" s="14"/>
      <c r="D156" s="178"/>
    </row>
    <row r="157" spans="1:4" x14ac:dyDescent="0.35">
      <c r="A157" s="179"/>
      <c r="B157" s="14"/>
      <c r="C157" s="14"/>
      <c r="D157" s="179"/>
    </row>
    <row r="158" spans="1:4" ht="15" thickBot="1" x14ac:dyDescent="0.4">
      <c r="A158" s="179"/>
      <c r="B158" s="15"/>
      <c r="C158" s="15"/>
      <c r="D158" s="180"/>
    </row>
    <row r="159" spans="1:4" x14ac:dyDescent="0.35">
      <c r="A159" s="179"/>
      <c r="B159" s="14">
        <v>2013</v>
      </c>
      <c r="C159" s="14" t="s">
        <v>196</v>
      </c>
      <c r="D159" s="18"/>
    </row>
    <row r="160" spans="1:4" ht="23" x14ac:dyDescent="0.35">
      <c r="A160" s="18"/>
      <c r="B160" s="14">
        <v>2025</v>
      </c>
      <c r="C160" s="14">
        <v>17.399999999999999</v>
      </c>
      <c r="D160" s="14" t="s">
        <v>180</v>
      </c>
    </row>
    <row r="161" spans="1:7" ht="15" thickBot="1" x14ac:dyDescent="0.4">
      <c r="A161" s="17"/>
      <c r="B161" s="15">
        <v>2050</v>
      </c>
      <c r="C161" s="15">
        <v>6.3</v>
      </c>
      <c r="D161" s="17"/>
    </row>
    <row r="162" spans="1:7" ht="31.5" customHeight="1" x14ac:dyDescent="0.35">
      <c r="A162" s="178"/>
      <c r="B162" s="14"/>
      <c r="C162" s="14"/>
      <c r="D162" s="178"/>
    </row>
    <row r="163" spans="1:7" x14ac:dyDescent="0.35">
      <c r="A163" s="179"/>
      <c r="B163" s="14"/>
      <c r="C163" s="14"/>
      <c r="D163" s="179"/>
    </row>
    <row r="164" spans="1:7" ht="15" thickBot="1" x14ac:dyDescent="0.4">
      <c r="A164" s="17"/>
      <c r="B164" s="15"/>
      <c r="C164" s="15"/>
      <c r="D164" s="17"/>
    </row>
    <row r="167" spans="1:7" x14ac:dyDescent="0.35">
      <c r="A167" t="s">
        <v>222</v>
      </c>
    </row>
    <row r="168" spans="1:7" x14ac:dyDescent="0.35">
      <c r="A168" s="46" t="s">
        <v>167</v>
      </c>
    </row>
    <row r="169" spans="1:7" ht="15" thickBot="1" x14ac:dyDescent="0.4">
      <c r="A169" s="19" t="s">
        <v>199</v>
      </c>
    </row>
    <row r="170" spans="1:7" ht="22.5" thickBot="1" x14ac:dyDescent="0.4">
      <c r="A170" s="20" t="s">
        <v>200</v>
      </c>
      <c r="B170" s="21" t="s">
        <v>169</v>
      </c>
      <c r="C170" s="21" t="s">
        <v>201</v>
      </c>
      <c r="D170" s="21" t="s">
        <v>202</v>
      </c>
      <c r="E170" s="21">
        <v>2018</v>
      </c>
      <c r="F170" s="21"/>
      <c r="G170" s="21"/>
    </row>
    <row r="171" spans="1:7" x14ac:dyDescent="0.35">
      <c r="A171" s="22" t="s">
        <v>203</v>
      </c>
      <c r="B171" s="23" t="s">
        <v>204</v>
      </c>
      <c r="C171" s="24" t="s">
        <v>205</v>
      </c>
      <c r="D171" s="23" t="s">
        <v>206</v>
      </c>
      <c r="E171" s="23">
        <v>60.7</v>
      </c>
      <c r="F171" s="23"/>
      <c r="G171" s="23"/>
    </row>
    <row r="172" spans="1:7" x14ac:dyDescent="0.35">
      <c r="A172" s="22" t="s">
        <v>203</v>
      </c>
      <c r="B172" s="23" t="s">
        <v>204</v>
      </c>
      <c r="C172" s="24" t="s">
        <v>207</v>
      </c>
      <c r="D172" s="23" t="s">
        <v>206</v>
      </c>
      <c r="E172" s="23">
        <v>60.7</v>
      </c>
      <c r="F172" s="23"/>
      <c r="G172" s="23"/>
    </row>
    <row r="173" spans="1:7" ht="15" thickBot="1" x14ac:dyDescent="0.4">
      <c r="A173" s="22" t="s">
        <v>203</v>
      </c>
      <c r="B173" s="25" t="s">
        <v>204</v>
      </c>
      <c r="C173" s="26" t="s">
        <v>208</v>
      </c>
      <c r="D173" s="25" t="s">
        <v>206</v>
      </c>
      <c r="E173" s="25">
        <v>60.7</v>
      </c>
      <c r="F173" s="25"/>
      <c r="G173" s="25"/>
    </row>
    <row r="174" spans="1:7" x14ac:dyDescent="0.35">
      <c r="A174" s="22" t="s">
        <v>203</v>
      </c>
      <c r="B174" s="24" t="s">
        <v>132</v>
      </c>
      <c r="C174" s="24" t="s">
        <v>205</v>
      </c>
      <c r="D174" s="23" t="s">
        <v>206</v>
      </c>
      <c r="E174" s="23">
        <v>67.900000000000006</v>
      </c>
      <c r="F174" s="23"/>
      <c r="G174" s="23"/>
    </row>
    <row r="175" spans="1:7" x14ac:dyDescent="0.35">
      <c r="A175" s="22" t="s">
        <v>203</v>
      </c>
      <c r="B175" s="24" t="s">
        <v>132</v>
      </c>
      <c r="C175" s="24" t="s">
        <v>207</v>
      </c>
      <c r="D175" s="23" t="s">
        <v>206</v>
      </c>
      <c r="E175" s="23">
        <v>67.900000000000006</v>
      </c>
      <c r="F175" s="23"/>
      <c r="G175" s="23"/>
    </row>
    <row r="176" spans="1:7" ht="15" thickBot="1" x14ac:dyDescent="0.4">
      <c r="A176" s="22" t="s">
        <v>203</v>
      </c>
      <c r="B176" s="26" t="s">
        <v>132</v>
      </c>
      <c r="C176" s="26" t="s">
        <v>208</v>
      </c>
      <c r="D176" s="25" t="s">
        <v>206</v>
      </c>
      <c r="E176" s="25">
        <v>67.900000000000006</v>
      </c>
      <c r="F176" s="25"/>
      <c r="G176" s="25"/>
    </row>
    <row r="177" spans="1:7" x14ac:dyDescent="0.35">
      <c r="A177" s="22" t="s">
        <v>203</v>
      </c>
      <c r="B177" s="23" t="s">
        <v>209</v>
      </c>
      <c r="C177" s="24" t="s">
        <v>205</v>
      </c>
      <c r="D177" s="23" t="s">
        <v>206</v>
      </c>
      <c r="E177" s="23">
        <v>8.6</v>
      </c>
      <c r="F177" s="23"/>
      <c r="G177" s="23"/>
    </row>
    <row r="178" spans="1:7" x14ac:dyDescent="0.35">
      <c r="A178" s="22" t="s">
        <v>203</v>
      </c>
      <c r="B178" s="23" t="s">
        <v>209</v>
      </c>
      <c r="C178" s="24" t="s">
        <v>207</v>
      </c>
      <c r="D178" s="23" t="s">
        <v>206</v>
      </c>
      <c r="E178" s="23">
        <v>8.6</v>
      </c>
      <c r="F178" s="23"/>
      <c r="G178" s="23"/>
    </row>
    <row r="179" spans="1:7" ht="15" thickBot="1" x14ac:dyDescent="0.4">
      <c r="A179" s="22" t="s">
        <v>203</v>
      </c>
      <c r="B179" s="25" t="s">
        <v>209</v>
      </c>
      <c r="C179" s="26" t="s">
        <v>208</v>
      </c>
      <c r="D179" s="25" t="s">
        <v>206</v>
      </c>
      <c r="E179" s="25">
        <v>8.6</v>
      </c>
      <c r="F179" s="25"/>
      <c r="G179" s="25"/>
    </row>
    <row r="180" spans="1:7" x14ac:dyDescent="0.35">
      <c r="A180" s="22" t="s">
        <v>203</v>
      </c>
      <c r="B180" s="23" t="s">
        <v>210</v>
      </c>
      <c r="C180" s="24" t="s">
        <v>205</v>
      </c>
      <c r="D180" s="23" t="s">
        <v>206</v>
      </c>
      <c r="E180" s="23">
        <v>46.4</v>
      </c>
      <c r="F180" s="23"/>
      <c r="G180" s="23"/>
    </row>
    <row r="181" spans="1:7" x14ac:dyDescent="0.35">
      <c r="A181" s="22" t="s">
        <v>203</v>
      </c>
      <c r="B181" s="23" t="s">
        <v>210</v>
      </c>
      <c r="C181" s="24" t="s">
        <v>207</v>
      </c>
      <c r="D181" s="23" t="s">
        <v>206</v>
      </c>
      <c r="E181" s="23">
        <v>46.4</v>
      </c>
      <c r="F181" s="23"/>
      <c r="G181" s="23"/>
    </row>
    <row r="182" spans="1:7" ht="15" thickBot="1" x14ac:dyDescent="0.4">
      <c r="A182" s="22" t="s">
        <v>203</v>
      </c>
      <c r="B182" s="25" t="s">
        <v>210</v>
      </c>
      <c r="C182" s="26" t="s">
        <v>208</v>
      </c>
      <c r="D182" s="25" t="s">
        <v>206</v>
      </c>
      <c r="E182" s="25">
        <v>46.4</v>
      </c>
      <c r="F182" s="25"/>
      <c r="G182" s="25"/>
    </row>
    <row r="183" spans="1:7" x14ac:dyDescent="0.35">
      <c r="A183" s="22" t="s">
        <v>203</v>
      </c>
      <c r="B183" s="24" t="s">
        <v>211</v>
      </c>
      <c r="C183" s="24" t="s">
        <v>205</v>
      </c>
      <c r="D183" s="23" t="s">
        <v>206</v>
      </c>
      <c r="E183" s="23">
        <v>7.5</v>
      </c>
      <c r="F183" s="23"/>
      <c r="G183" s="23"/>
    </row>
    <row r="184" spans="1:7" x14ac:dyDescent="0.35">
      <c r="A184" s="22" t="s">
        <v>203</v>
      </c>
      <c r="B184" s="24" t="s">
        <v>211</v>
      </c>
      <c r="C184" s="24" t="s">
        <v>207</v>
      </c>
      <c r="D184" s="23" t="s">
        <v>206</v>
      </c>
      <c r="E184" s="23">
        <v>7.5</v>
      </c>
      <c r="F184" s="23"/>
      <c r="G184" s="23"/>
    </row>
    <row r="185" spans="1:7" ht="15" thickBot="1" x14ac:dyDescent="0.4">
      <c r="A185" s="22" t="s">
        <v>203</v>
      </c>
      <c r="B185" s="26" t="s">
        <v>211</v>
      </c>
      <c r="C185" s="26" t="s">
        <v>208</v>
      </c>
      <c r="D185" s="25" t="s">
        <v>206</v>
      </c>
      <c r="E185" s="25">
        <v>7.5</v>
      </c>
      <c r="F185" s="25"/>
      <c r="G185" s="25"/>
    </row>
    <row r="186" spans="1:7" x14ac:dyDescent="0.35">
      <c r="A186" s="22" t="s">
        <v>203</v>
      </c>
      <c r="B186" s="24" t="s">
        <v>212</v>
      </c>
      <c r="C186" s="24" t="s">
        <v>205</v>
      </c>
      <c r="D186" s="23" t="s">
        <v>206</v>
      </c>
      <c r="E186" s="23">
        <v>4.5999999999999996</v>
      </c>
      <c r="F186" s="23"/>
      <c r="G186" s="23"/>
    </row>
    <row r="187" spans="1:7" x14ac:dyDescent="0.35">
      <c r="A187" s="22" t="s">
        <v>203</v>
      </c>
      <c r="B187" s="24" t="s">
        <v>212</v>
      </c>
      <c r="C187" s="24" t="s">
        <v>207</v>
      </c>
      <c r="D187" s="23" t="s">
        <v>206</v>
      </c>
      <c r="E187" s="23">
        <v>4.5999999999999996</v>
      </c>
      <c r="F187" s="23"/>
      <c r="G187" s="23"/>
    </row>
    <row r="188" spans="1:7" ht="15" thickBot="1" x14ac:dyDescent="0.4">
      <c r="A188" s="27" t="s">
        <v>203</v>
      </c>
      <c r="B188" s="26" t="s">
        <v>212</v>
      </c>
      <c r="C188" s="26" t="s">
        <v>208</v>
      </c>
      <c r="D188" s="25" t="s">
        <v>206</v>
      </c>
      <c r="E188" s="25">
        <v>4.5999999999999996</v>
      </c>
      <c r="F188" s="25"/>
      <c r="G188" s="25"/>
    </row>
    <row r="189" spans="1:7" x14ac:dyDescent="0.35">
      <c r="A189" s="22" t="s">
        <v>213</v>
      </c>
      <c r="B189" s="24" t="s">
        <v>214</v>
      </c>
      <c r="C189" s="24" t="s">
        <v>205</v>
      </c>
      <c r="D189" s="23" t="s">
        <v>206</v>
      </c>
      <c r="E189" s="23">
        <v>4</v>
      </c>
      <c r="F189" s="23"/>
      <c r="G189" s="23"/>
    </row>
    <row r="190" spans="1:7" x14ac:dyDescent="0.35">
      <c r="A190" s="22" t="s">
        <v>213</v>
      </c>
      <c r="B190" s="24" t="s">
        <v>214</v>
      </c>
      <c r="C190" s="24" t="s">
        <v>207</v>
      </c>
      <c r="D190" s="23" t="s">
        <v>206</v>
      </c>
      <c r="E190" s="23">
        <v>4</v>
      </c>
      <c r="F190" s="23"/>
      <c r="G190" s="23"/>
    </row>
    <row r="191" spans="1:7" ht="15" thickBot="1" x14ac:dyDescent="0.4">
      <c r="A191" s="182" t="s">
        <v>215</v>
      </c>
      <c r="B191" s="26" t="s">
        <v>214</v>
      </c>
      <c r="C191" s="26" t="s">
        <v>208</v>
      </c>
      <c r="D191" s="25" t="s">
        <v>206</v>
      </c>
      <c r="E191" s="25">
        <v>4</v>
      </c>
      <c r="F191" s="25"/>
      <c r="G191" s="25"/>
    </row>
    <row r="192" spans="1:7" x14ac:dyDescent="0.35">
      <c r="A192" s="182"/>
      <c r="B192" s="24" t="s">
        <v>173</v>
      </c>
      <c r="C192" s="24" t="s">
        <v>205</v>
      </c>
      <c r="D192" s="23" t="s">
        <v>216</v>
      </c>
      <c r="E192" s="23">
        <v>20</v>
      </c>
      <c r="F192" s="23"/>
      <c r="G192" s="23"/>
    </row>
    <row r="193" spans="1:7" x14ac:dyDescent="0.35">
      <c r="A193" s="22" t="s">
        <v>213</v>
      </c>
      <c r="B193" s="24" t="s">
        <v>173</v>
      </c>
      <c r="C193" s="24" t="s">
        <v>207</v>
      </c>
      <c r="D193" s="23" t="s">
        <v>216</v>
      </c>
      <c r="E193" s="23">
        <v>20</v>
      </c>
      <c r="F193" s="23"/>
      <c r="G193" s="23"/>
    </row>
    <row r="194" spans="1:7" ht="15" thickBot="1" x14ac:dyDescent="0.4">
      <c r="A194" s="27" t="s">
        <v>213</v>
      </c>
      <c r="B194" s="26" t="s">
        <v>173</v>
      </c>
      <c r="C194" s="26" t="s">
        <v>208</v>
      </c>
      <c r="D194" s="25" t="s">
        <v>216</v>
      </c>
      <c r="E194" s="25">
        <v>20</v>
      </c>
      <c r="F194" s="25"/>
      <c r="G194" s="25"/>
    </row>
    <row r="195" spans="1:7" x14ac:dyDescent="0.35">
      <c r="A195" s="22" t="s">
        <v>217</v>
      </c>
      <c r="B195" s="24" t="s">
        <v>178</v>
      </c>
      <c r="C195" s="24" t="s">
        <v>205</v>
      </c>
      <c r="D195" s="23" t="s">
        <v>216</v>
      </c>
      <c r="E195" s="23">
        <v>35</v>
      </c>
      <c r="F195" s="23"/>
      <c r="G195" s="23"/>
    </row>
    <row r="196" spans="1:7" x14ac:dyDescent="0.35">
      <c r="A196" s="22" t="s">
        <v>217</v>
      </c>
      <c r="B196" s="24" t="s">
        <v>178</v>
      </c>
      <c r="C196" s="24" t="s">
        <v>207</v>
      </c>
      <c r="D196" s="23" t="s">
        <v>216</v>
      </c>
      <c r="E196" s="23">
        <v>50</v>
      </c>
      <c r="F196" s="23"/>
      <c r="G196" s="23"/>
    </row>
    <row r="197" spans="1:7" ht="15" thickBot="1" x14ac:dyDescent="0.4">
      <c r="A197" s="22" t="s">
        <v>217</v>
      </c>
      <c r="B197" s="26" t="s">
        <v>178</v>
      </c>
      <c r="C197" s="26" t="s">
        <v>208</v>
      </c>
      <c r="D197" s="25" t="s">
        <v>216</v>
      </c>
      <c r="E197" s="25">
        <v>85</v>
      </c>
      <c r="F197" s="25"/>
      <c r="G197" s="25"/>
    </row>
    <row r="198" spans="1:7" x14ac:dyDescent="0.35">
      <c r="A198" s="22" t="s">
        <v>217</v>
      </c>
      <c r="B198" s="24" t="s">
        <v>181</v>
      </c>
      <c r="C198" s="24" t="s">
        <v>205</v>
      </c>
      <c r="D198" s="23" t="s">
        <v>216</v>
      </c>
      <c r="E198" s="23">
        <v>35</v>
      </c>
      <c r="F198" s="23"/>
      <c r="G198" s="23"/>
    </row>
    <row r="199" spans="1:7" x14ac:dyDescent="0.35">
      <c r="A199" s="22" t="s">
        <v>217</v>
      </c>
      <c r="B199" s="24" t="s">
        <v>181</v>
      </c>
      <c r="C199" s="24" t="s">
        <v>207</v>
      </c>
      <c r="D199" s="23" t="s">
        <v>216</v>
      </c>
      <c r="E199" s="23">
        <v>52</v>
      </c>
      <c r="F199" s="23"/>
      <c r="G199" s="23"/>
    </row>
    <row r="200" spans="1:7" ht="15" thickBot="1" x14ac:dyDescent="0.4">
      <c r="A200" s="27" t="s">
        <v>217</v>
      </c>
      <c r="B200" s="26" t="s">
        <v>181</v>
      </c>
      <c r="C200" s="26" t="s">
        <v>208</v>
      </c>
      <c r="D200" s="25" t="s">
        <v>216</v>
      </c>
      <c r="E200" s="25">
        <v>95</v>
      </c>
      <c r="F200" s="25"/>
      <c r="G200" s="25"/>
    </row>
    <row r="201" spans="1:7" ht="15" thickBot="1" x14ac:dyDescent="0.4">
      <c r="A201" s="28" t="s">
        <v>218</v>
      </c>
    </row>
    <row r="202" spans="1:7" x14ac:dyDescent="0.35">
      <c r="A202" s="29" t="s">
        <v>219</v>
      </c>
      <c r="B202" s="30" t="s">
        <v>212</v>
      </c>
      <c r="C202" s="30" t="s">
        <v>205</v>
      </c>
      <c r="D202" s="30" t="s">
        <v>216</v>
      </c>
      <c r="E202" s="30">
        <v>20</v>
      </c>
      <c r="F202" s="30"/>
      <c r="G202" s="30"/>
    </row>
    <row r="203" spans="1:7" x14ac:dyDescent="0.35">
      <c r="A203" s="22" t="s">
        <v>219</v>
      </c>
      <c r="B203" s="23" t="s">
        <v>212</v>
      </c>
      <c r="C203" s="23" t="s">
        <v>207</v>
      </c>
      <c r="D203" s="23" t="s">
        <v>216</v>
      </c>
      <c r="E203" s="23">
        <v>22</v>
      </c>
      <c r="F203" s="23"/>
      <c r="G203" s="23"/>
    </row>
    <row r="204" spans="1:7" ht="15" thickBot="1" x14ac:dyDescent="0.4">
      <c r="A204" s="22" t="s">
        <v>219</v>
      </c>
      <c r="B204" s="25" t="s">
        <v>212</v>
      </c>
      <c r="C204" s="25" t="s">
        <v>208</v>
      </c>
      <c r="D204" s="25" t="s">
        <v>216</v>
      </c>
      <c r="E204" s="25">
        <v>24</v>
      </c>
      <c r="F204" s="25"/>
      <c r="G204" s="25"/>
    </row>
    <row r="205" spans="1:7" x14ac:dyDescent="0.35">
      <c r="A205" s="22" t="s">
        <v>219</v>
      </c>
      <c r="B205" s="23" t="s">
        <v>186</v>
      </c>
      <c r="C205" s="23" t="s">
        <v>205</v>
      </c>
      <c r="D205" s="23" t="s">
        <v>216</v>
      </c>
      <c r="E205" s="23">
        <v>10</v>
      </c>
      <c r="F205" s="23"/>
      <c r="G205" s="23"/>
    </row>
    <row r="206" spans="1:7" x14ac:dyDescent="0.35">
      <c r="A206" s="22" t="s">
        <v>219</v>
      </c>
      <c r="B206" s="23" t="s">
        <v>186</v>
      </c>
      <c r="C206" s="23" t="s">
        <v>207</v>
      </c>
      <c r="D206" s="23" t="s">
        <v>216</v>
      </c>
      <c r="E206" s="23">
        <v>15</v>
      </c>
      <c r="F206" s="23"/>
      <c r="G206" s="23"/>
    </row>
    <row r="207" spans="1:7" ht="15" thickBot="1" x14ac:dyDescent="0.4">
      <c r="A207" s="22" t="s">
        <v>219</v>
      </c>
      <c r="B207" s="25" t="s">
        <v>186</v>
      </c>
      <c r="C207" s="25" t="s">
        <v>208</v>
      </c>
      <c r="D207" s="25" t="s">
        <v>216</v>
      </c>
      <c r="E207" s="25">
        <v>27</v>
      </c>
      <c r="F207" s="25"/>
      <c r="G207" s="25"/>
    </row>
    <row r="208" spans="1:7" x14ac:dyDescent="0.35">
      <c r="A208" s="22" t="s">
        <v>219</v>
      </c>
      <c r="B208" s="23" t="s">
        <v>190</v>
      </c>
      <c r="C208" s="23" t="s">
        <v>205</v>
      </c>
      <c r="D208" s="23" t="s">
        <v>216</v>
      </c>
      <c r="E208" s="23">
        <v>3</v>
      </c>
      <c r="F208" s="23"/>
      <c r="G208" s="23"/>
    </row>
    <row r="209" spans="1:7" x14ac:dyDescent="0.35">
      <c r="A209" s="22" t="s">
        <v>219</v>
      </c>
      <c r="B209" s="23" t="s">
        <v>190</v>
      </c>
      <c r="C209" s="23" t="s">
        <v>207</v>
      </c>
      <c r="D209" s="23" t="s">
        <v>216</v>
      </c>
      <c r="E209" s="23">
        <v>4</v>
      </c>
      <c r="F209" s="23"/>
      <c r="G209" s="23"/>
    </row>
    <row r="210" spans="1:7" ht="15" thickBot="1" x14ac:dyDescent="0.4">
      <c r="A210" s="22" t="s">
        <v>219</v>
      </c>
      <c r="B210" s="25" t="s">
        <v>190</v>
      </c>
      <c r="C210" s="25" t="s">
        <v>208</v>
      </c>
      <c r="D210" s="25" t="s">
        <v>216</v>
      </c>
      <c r="E210" s="25">
        <v>7</v>
      </c>
      <c r="F210" s="25"/>
      <c r="G210" s="25"/>
    </row>
    <row r="211" spans="1:7" x14ac:dyDescent="0.35">
      <c r="A211" s="22" t="s">
        <v>219</v>
      </c>
      <c r="B211" s="23" t="s">
        <v>195</v>
      </c>
      <c r="C211" s="23" t="s">
        <v>205</v>
      </c>
      <c r="D211" s="23" t="s">
        <v>216</v>
      </c>
      <c r="E211" s="23">
        <v>22</v>
      </c>
      <c r="F211" s="23"/>
      <c r="G211" s="23"/>
    </row>
    <row r="212" spans="1:7" x14ac:dyDescent="0.35">
      <c r="A212" s="22" t="s">
        <v>219</v>
      </c>
      <c r="B212" s="23" t="s">
        <v>195</v>
      </c>
      <c r="C212" s="23" t="s">
        <v>207</v>
      </c>
      <c r="D212" s="23" t="s">
        <v>216</v>
      </c>
      <c r="E212" s="23">
        <v>35</v>
      </c>
      <c r="F212" s="23"/>
      <c r="G212" s="23"/>
    </row>
    <row r="213" spans="1:7" ht="15" thickBot="1" x14ac:dyDescent="0.4">
      <c r="A213" s="27" t="s">
        <v>219</v>
      </c>
      <c r="B213" s="25" t="s">
        <v>195</v>
      </c>
      <c r="C213" s="25" t="s">
        <v>208</v>
      </c>
      <c r="D213" s="25" t="s">
        <v>216</v>
      </c>
      <c r="E213" s="25">
        <v>60</v>
      </c>
      <c r="F213" s="25"/>
      <c r="G213" s="25"/>
    </row>
    <row r="214" spans="1:7" x14ac:dyDescent="0.35">
      <c r="A214" s="22" t="s">
        <v>220</v>
      </c>
      <c r="B214" s="23" t="s">
        <v>214</v>
      </c>
      <c r="C214" s="23" t="s">
        <v>205</v>
      </c>
      <c r="D214" s="23" t="s">
        <v>216</v>
      </c>
      <c r="E214" s="23">
        <v>150</v>
      </c>
      <c r="F214" s="23"/>
      <c r="G214" s="23"/>
    </row>
    <row r="215" spans="1:7" x14ac:dyDescent="0.35">
      <c r="A215" s="22" t="s">
        <v>220</v>
      </c>
      <c r="B215" s="23" t="s">
        <v>214</v>
      </c>
      <c r="C215" s="23" t="s">
        <v>207</v>
      </c>
      <c r="D215" s="23" t="s">
        <v>216</v>
      </c>
      <c r="E215" s="23">
        <v>150</v>
      </c>
      <c r="F215" s="23"/>
      <c r="G215" s="23"/>
    </row>
    <row r="216" spans="1:7" ht="15" thickBot="1" x14ac:dyDescent="0.4">
      <c r="A216" s="182" t="s">
        <v>221</v>
      </c>
      <c r="B216" s="25" t="s">
        <v>214</v>
      </c>
      <c r="C216" s="25" t="s">
        <v>208</v>
      </c>
      <c r="D216" s="25" t="s">
        <v>216</v>
      </c>
      <c r="E216" s="25">
        <v>150</v>
      </c>
      <c r="F216" s="25"/>
      <c r="G216" s="25"/>
    </row>
    <row r="217" spans="1:7" x14ac:dyDescent="0.35">
      <c r="A217" s="182"/>
      <c r="B217" s="23" t="s">
        <v>197</v>
      </c>
      <c r="C217" s="23" t="s">
        <v>205</v>
      </c>
      <c r="D217" s="23" t="s">
        <v>216</v>
      </c>
      <c r="E217" s="23">
        <v>48</v>
      </c>
      <c r="F217" s="23"/>
      <c r="G217" s="23"/>
    </row>
    <row r="218" spans="1:7" x14ac:dyDescent="0.35">
      <c r="A218" s="22" t="s">
        <v>220</v>
      </c>
      <c r="B218" s="23" t="s">
        <v>197</v>
      </c>
      <c r="C218" s="23" t="s">
        <v>207</v>
      </c>
      <c r="D218" s="23" t="s">
        <v>216</v>
      </c>
      <c r="E218" s="23">
        <v>48</v>
      </c>
      <c r="F218" s="23"/>
      <c r="G218" s="23"/>
    </row>
    <row r="219" spans="1:7" ht="15" thickBot="1" x14ac:dyDescent="0.4">
      <c r="A219" s="27" t="s">
        <v>220</v>
      </c>
      <c r="B219" s="25" t="s">
        <v>197</v>
      </c>
      <c r="C219" s="25" t="s">
        <v>208</v>
      </c>
      <c r="D219" s="25" t="s">
        <v>216</v>
      </c>
      <c r="E219" s="25">
        <v>48</v>
      </c>
      <c r="F219" s="25"/>
      <c r="G219" s="25"/>
    </row>
    <row r="221" spans="1:7" x14ac:dyDescent="0.35">
      <c r="A221" s="46" t="s">
        <v>291</v>
      </c>
    </row>
    <row r="222" spans="1:7" x14ac:dyDescent="0.35">
      <c r="A222" t="s">
        <v>292</v>
      </c>
    </row>
    <row r="223" spans="1:7" x14ac:dyDescent="0.35">
      <c r="A223" t="s">
        <v>294</v>
      </c>
      <c r="B223" t="s">
        <v>295</v>
      </c>
      <c r="C223" t="s">
        <v>296</v>
      </c>
    </row>
    <row r="224" spans="1:7" x14ac:dyDescent="0.35">
      <c r="A224" t="s">
        <v>41</v>
      </c>
      <c r="B224">
        <v>70</v>
      </c>
      <c r="C224">
        <f>B224*1.102</f>
        <v>77.14</v>
      </c>
    </row>
    <row r="225" spans="1:25" x14ac:dyDescent="0.35">
      <c r="A225" t="s">
        <v>21</v>
      </c>
      <c r="B225">
        <v>56</v>
      </c>
      <c r="C225">
        <f t="shared" ref="C225:C230" si="0">B225*1.102</f>
        <v>61.712000000000003</v>
      </c>
    </row>
    <row r="226" spans="1:25" x14ac:dyDescent="0.35">
      <c r="A226" t="s">
        <v>168</v>
      </c>
      <c r="B226">
        <v>47</v>
      </c>
      <c r="C226">
        <f t="shared" si="0"/>
        <v>51.794000000000004</v>
      </c>
    </row>
    <row r="227" spans="1:25" x14ac:dyDescent="0.35">
      <c r="A227" t="s">
        <v>106</v>
      </c>
      <c r="B227">
        <v>19</v>
      </c>
      <c r="C227">
        <f t="shared" si="0"/>
        <v>20.938000000000002</v>
      </c>
    </row>
    <row r="228" spans="1:25" x14ac:dyDescent="0.35">
      <c r="A228" t="s">
        <v>293</v>
      </c>
      <c r="B228">
        <v>7</v>
      </c>
      <c r="C228">
        <f t="shared" si="0"/>
        <v>7.7140000000000004</v>
      </c>
    </row>
    <row r="229" spans="1:25" x14ac:dyDescent="0.35">
      <c r="A229" t="s">
        <v>11</v>
      </c>
      <c r="B229">
        <v>7</v>
      </c>
      <c r="C229">
        <f t="shared" si="0"/>
        <v>7.7140000000000004</v>
      </c>
    </row>
    <row r="230" spans="1:25" ht="15" thickBot="1" x14ac:dyDescent="0.4">
      <c r="A230" t="s">
        <v>209</v>
      </c>
      <c r="B230">
        <v>6</v>
      </c>
      <c r="C230">
        <f t="shared" si="0"/>
        <v>6.6120000000000001</v>
      </c>
    </row>
    <row r="231" spans="1:25" x14ac:dyDescent="0.35">
      <c r="M231" s="45"/>
      <c r="N231" s="45"/>
      <c r="O231" s="45"/>
      <c r="P231" s="45"/>
      <c r="Q231" s="45"/>
      <c r="R231" s="45"/>
      <c r="S231" s="45"/>
      <c r="T231" s="45"/>
      <c r="U231" s="45"/>
      <c r="V231" s="45"/>
      <c r="W231" s="45"/>
      <c r="X231" s="45"/>
      <c r="Y231" s="45"/>
    </row>
    <row r="232" spans="1:25" ht="15" thickBot="1" x14ac:dyDescent="0.4">
      <c r="A232" t="s">
        <v>332</v>
      </c>
      <c r="M232" s="41"/>
      <c r="N232" s="7"/>
      <c r="O232" s="7"/>
      <c r="P232" s="7"/>
      <c r="Q232" s="7"/>
      <c r="R232" s="7"/>
      <c r="S232" s="7"/>
      <c r="T232" s="7"/>
      <c r="U232" s="7"/>
      <c r="V232" s="7"/>
      <c r="W232" s="7"/>
      <c r="X232" s="7"/>
      <c r="Y232" s="7"/>
    </row>
    <row r="233" spans="1:25" x14ac:dyDescent="0.35">
      <c r="A233" t="s">
        <v>334</v>
      </c>
      <c r="B233" t="s">
        <v>333</v>
      </c>
      <c r="M233" s="42"/>
      <c r="N233" s="43"/>
      <c r="O233" s="43"/>
      <c r="P233" s="43"/>
      <c r="Q233" s="43"/>
      <c r="R233" s="43"/>
      <c r="S233" s="43"/>
      <c r="T233" s="43"/>
      <c r="U233" s="43"/>
      <c r="V233" s="43"/>
      <c r="W233" s="43"/>
      <c r="X233" s="43"/>
      <c r="Y233" s="43"/>
    </row>
    <row r="234" spans="1:25" x14ac:dyDescent="0.35">
      <c r="A234" t="s">
        <v>55</v>
      </c>
      <c r="B234">
        <v>4.7</v>
      </c>
      <c r="M234" s="42"/>
      <c r="N234" s="43"/>
      <c r="O234" s="43"/>
      <c r="P234" s="43"/>
      <c r="Q234" s="43"/>
      <c r="R234" s="43"/>
      <c r="S234" s="43"/>
      <c r="T234" s="43"/>
      <c r="U234" s="43"/>
      <c r="V234" s="43"/>
      <c r="W234" s="43"/>
      <c r="X234" s="43"/>
      <c r="Y234" s="43"/>
    </row>
    <row r="235" spans="1:25" x14ac:dyDescent="0.35">
      <c r="A235" t="s">
        <v>51</v>
      </c>
      <c r="B235">
        <v>4.5</v>
      </c>
      <c r="M235" s="42"/>
      <c r="N235" s="44"/>
      <c r="O235" s="44"/>
      <c r="P235" s="44"/>
      <c r="Q235" s="44"/>
      <c r="R235" s="44"/>
      <c r="S235" s="44"/>
      <c r="T235" s="44"/>
      <c r="U235" s="44"/>
      <c r="V235" s="44"/>
      <c r="W235" s="44"/>
      <c r="X235" s="44"/>
      <c r="Y235" s="44"/>
    </row>
    <row r="236" spans="1:25" x14ac:dyDescent="0.35">
      <c r="A236" t="s">
        <v>325</v>
      </c>
      <c r="B236">
        <v>463.1</v>
      </c>
      <c r="M236" s="42"/>
      <c r="N236" s="43"/>
      <c r="O236" s="43"/>
      <c r="P236" s="43"/>
      <c r="Q236" s="43"/>
      <c r="R236" s="43"/>
      <c r="S236" s="43"/>
      <c r="T236" s="43"/>
      <c r="U236" s="43"/>
      <c r="V236" s="43"/>
      <c r="W236" s="43"/>
      <c r="X236" s="43"/>
      <c r="Y236" s="43"/>
    </row>
    <row r="237" spans="1:25" x14ac:dyDescent="0.35">
      <c r="A237" t="s">
        <v>35</v>
      </c>
      <c r="B237">
        <v>19.2</v>
      </c>
      <c r="M237" s="42"/>
      <c r="N237" s="43"/>
      <c r="O237" s="43"/>
      <c r="P237" s="43"/>
      <c r="Q237" s="43"/>
      <c r="R237" s="43"/>
      <c r="S237" s="43"/>
      <c r="T237" s="43"/>
      <c r="U237" s="43"/>
      <c r="V237" s="43"/>
      <c r="W237" s="43"/>
      <c r="X237" s="43"/>
      <c r="Y237" s="43"/>
    </row>
    <row r="238" spans="1:25" x14ac:dyDescent="0.35">
      <c r="A238" t="s">
        <v>49</v>
      </c>
      <c r="B238">
        <v>0.12</v>
      </c>
      <c r="M238" s="42"/>
      <c r="N238" s="43"/>
      <c r="O238" s="43"/>
      <c r="P238" s="43"/>
      <c r="Q238" s="43"/>
      <c r="R238" s="43"/>
      <c r="S238" s="43"/>
      <c r="T238" s="43"/>
      <c r="U238" s="43"/>
      <c r="V238" s="43"/>
      <c r="W238" s="43"/>
      <c r="X238" s="43"/>
      <c r="Y238" s="43"/>
    </row>
    <row r="239" spans="1:25" x14ac:dyDescent="0.35">
      <c r="A239" t="s">
        <v>54</v>
      </c>
      <c r="B239">
        <v>6.1</v>
      </c>
      <c r="M239" s="42"/>
      <c r="N239" s="43"/>
      <c r="O239" s="43"/>
      <c r="P239" s="43"/>
      <c r="Q239" s="43"/>
      <c r="R239" s="43"/>
      <c r="S239" s="43"/>
      <c r="T239" s="43"/>
      <c r="U239" s="43"/>
      <c r="V239" s="43"/>
      <c r="W239" s="43"/>
      <c r="X239" s="43"/>
      <c r="Y239" s="43"/>
    </row>
    <row r="240" spans="1:25" x14ac:dyDescent="0.35">
      <c r="A240" t="s">
        <v>52</v>
      </c>
      <c r="B240">
        <v>0.5</v>
      </c>
      <c r="M240" s="42"/>
      <c r="N240" s="43"/>
      <c r="O240" s="43"/>
      <c r="P240" s="43"/>
      <c r="Q240" s="43"/>
      <c r="R240" s="43"/>
      <c r="S240" s="43"/>
      <c r="T240" s="43"/>
      <c r="U240" s="43"/>
      <c r="V240" s="43"/>
      <c r="W240" s="43"/>
      <c r="X240" s="43"/>
      <c r="Y240" s="43"/>
    </row>
    <row r="241" spans="1:31" x14ac:dyDescent="0.35">
      <c r="A241" t="s">
        <v>11</v>
      </c>
      <c r="B241">
        <v>2194.1</v>
      </c>
      <c r="M241" s="42"/>
      <c r="N241" s="43"/>
      <c r="O241" s="43"/>
      <c r="P241" s="43"/>
      <c r="Q241" s="43"/>
      <c r="R241" s="43"/>
      <c r="S241" s="43"/>
      <c r="T241" s="43"/>
      <c r="U241" s="43"/>
      <c r="V241" s="43"/>
      <c r="W241" s="43"/>
      <c r="X241" s="43"/>
      <c r="Y241" s="43"/>
    </row>
    <row r="242" spans="1:31" x14ac:dyDescent="0.35">
      <c r="A242" t="s">
        <v>327</v>
      </c>
      <c r="B242">
        <v>269.3</v>
      </c>
      <c r="M242" s="42"/>
      <c r="N242" s="43"/>
      <c r="O242" s="43"/>
      <c r="P242" s="43"/>
      <c r="Q242" s="43"/>
      <c r="R242" s="43"/>
      <c r="S242" s="43"/>
      <c r="T242" s="43"/>
      <c r="U242" s="43"/>
      <c r="V242" s="43"/>
      <c r="W242" s="43"/>
      <c r="X242" s="43"/>
      <c r="Y242" s="43"/>
    </row>
    <row r="243" spans="1:31" x14ac:dyDescent="0.35">
      <c r="M243" s="42"/>
      <c r="N243" s="43"/>
      <c r="O243" s="43"/>
      <c r="P243" s="43"/>
      <c r="Q243" s="43"/>
      <c r="R243" s="43"/>
      <c r="S243" s="43"/>
      <c r="T243" s="43"/>
      <c r="U243" s="43"/>
      <c r="V243" s="43"/>
      <c r="W243" s="43"/>
      <c r="X243" s="43"/>
      <c r="Y243" s="43"/>
    </row>
    <row r="244" spans="1:31" x14ac:dyDescent="0.35">
      <c r="M244" s="42"/>
      <c r="N244" s="43"/>
      <c r="O244" s="43"/>
      <c r="P244" s="43"/>
      <c r="Q244" s="43"/>
      <c r="R244" s="43"/>
      <c r="S244" s="43"/>
      <c r="T244" s="43"/>
      <c r="U244" s="43"/>
      <c r="V244" s="43"/>
      <c r="W244" s="43"/>
      <c r="X244" s="43"/>
      <c r="Y244" s="43"/>
    </row>
    <row r="245" spans="1:31" x14ac:dyDescent="0.35">
      <c r="M245" s="42"/>
      <c r="N245" s="43"/>
      <c r="O245" s="43"/>
      <c r="P245" s="43"/>
      <c r="Q245" s="43"/>
      <c r="R245" s="43"/>
      <c r="S245" s="43"/>
      <c r="T245" s="43"/>
      <c r="U245" s="43"/>
      <c r="V245" s="43"/>
      <c r="W245" s="43"/>
      <c r="X245" s="43"/>
      <c r="Y245" s="43"/>
    </row>
    <row r="246" spans="1:31" x14ac:dyDescent="0.35">
      <c r="M246" s="42"/>
      <c r="N246" s="43"/>
      <c r="O246" s="43"/>
      <c r="P246" s="43"/>
      <c r="Q246" s="43"/>
      <c r="R246" s="43"/>
      <c r="S246" s="43"/>
      <c r="T246" s="43"/>
      <c r="U246" s="43"/>
      <c r="V246" s="43"/>
      <c r="W246" s="43"/>
      <c r="X246" s="43"/>
      <c r="Y246" s="43"/>
    </row>
    <row r="247" spans="1:31" x14ac:dyDescent="0.35">
      <c r="M247" s="42"/>
      <c r="N247" s="43"/>
      <c r="O247" s="43"/>
      <c r="P247" s="43"/>
      <c r="Q247" s="43"/>
      <c r="R247" s="43"/>
      <c r="S247" s="43"/>
      <c r="T247" s="43"/>
      <c r="U247" s="43"/>
      <c r="V247" s="43"/>
      <c r="W247" s="43"/>
      <c r="X247" s="43"/>
      <c r="Y247" s="43"/>
    </row>
    <row r="248" spans="1:31" x14ac:dyDescent="0.35">
      <c r="M248" s="42"/>
      <c r="N248" s="43"/>
      <c r="O248" s="43"/>
      <c r="P248" s="43"/>
      <c r="Q248" s="43"/>
      <c r="R248" s="43"/>
      <c r="S248" s="43"/>
      <c r="T248" s="43"/>
      <c r="U248" s="43"/>
      <c r="V248" s="43"/>
      <c r="W248" s="43"/>
      <c r="X248" s="43"/>
      <c r="Y248" s="43"/>
    </row>
    <row r="249" spans="1:31" ht="15" thickBot="1" x14ac:dyDescent="0.4">
      <c r="M249" s="7"/>
      <c r="N249" s="41"/>
      <c r="O249" s="41"/>
      <c r="P249" s="41"/>
      <c r="Q249" s="41"/>
      <c r="R249" s="41"/>
      <c r="S249" s="41"/>
      <c r="T249" s="41"/>
      <c r="U249" s="41"/>
      <c r="V249" s="41"/>
      <c r="W249" s="41"/>
      <c r="X249" s="41"/>
      <c r="Y249" s="5"/>
    </row>
    <row r="253" spans="1:31" ht="15" thickBot="1" x14ac:dyDescent="0.4">
      <c r="T253" s="41"/>
      <c r="U253" s="7"/>
      <c r="V253" s="7"/>
      <c r="W253" s="7"/>
      <c r="X253" s="7"/>
      <c r="Y253" s="7"/>
      <c r="Z253" s="7"/>
      <c r="AA253" s="7"/>
      <c r="AB253" s="7"/>
      <c r="AC253" s="7"/>
      <c r="AD253" s="7"/>
      <c r="AE253" s="7"/>
    </row>
    <row r="254" spans="1:31" x14ac:dyDescent="0.35">
      <c r="A254" s="46" t="s">
        <v>317</v>
      </c>
      <c r="B254" s="45"/>
      <c r="C254" s="45"/>
      <c r="D254" s="45"/>
      <c r="E254" s="45"/>
      <c r="F254" s="45"/>
      <c r="G254" s="45"/>
      <c r="H254" s="45"/>
      <c r="I254" s="45"/>
      <c r="J254" s="45"/>
      <c r="K254" s="45"/>
      <c r="L254" s="45"/>
      <c r="M254" s="45"/>
      <c r="N254" s="45"/>
      <c r="T254" s="42"/>
      <c r="U254" s="43"/>
      <c r="V254" s="43"/>
      <c r="W254" s="43"/>
      <c r="X254" s="43"/>
      <c r="Y254" s="43"/>
      <c r="Z254" s="43"/>
      <c r="AA254" s="43"/>
      <c r="AB254" s="43"/>
      <c r="AC254" s="43"/>
    </row>
    <row r="255" spans="1:31" ht="18.5" thickBot="1" x14ac:dyDescent="0.4">
      <c r="B255" s="41" t="s">
        <v>297</v>
      </c>
      <c r="C255" s="7" t="s">
        <v>112</v>
      </c>
      <c r="D255" s="7" t="s">
        <v>113</v>
      </c>
      <c r="E255" s="7" t="s">
        <v>289</v>
      </c>
      <c r="F255" s="7" t="s">
        <v>298</v>
      </c>
      <c r="G255" s="7" t="s">
        <v>120</v>
      </c>
      <c r="H255" s="7" t="s">
        <v>299</v>
      </c>
      <c r="I255" s="7" t="s">
        <v>287</v>
      </c>
      <c r="J255" s="7" t="s">
        <v>116</v>
      </c>
      <c r="K255" s="7" t="s">
        <v>300</v>
      </c>
      <c r="L255" s="7" t="s">
        <v>142</v>
      </c>
      <c r="M255" s="7" t="s">
        <v>122</v>
      </c>
      <c r="N255" s="7" t="s">
        <v>143</v>
      </c>
      <c r="T255" s="42"/>
      <c r="U255" s="43"/>
      <c r="V255" s="43"/>
      <c r="W255" s="43"/>
      <c r="X255" s="43"/>
      <c r="Y255" s="43"/>
      <c r="Z255" s="43"/>
      <c r="AA255" s="43"/>
      <c r="AB255" s="43"/>
      <c r="AC255" s="43"/>
    </row>
    <row r="256" spans="1:31" ht="18" x14ac:dyDescent="0.35">
      <c r="B256" s="42" t="s">
        <v>301</v>
      </c>
      <c r="C256" s="43">
        <v>7100000</v>
      </c>
      <c r="D256" s="43">
        <v>790000000</v>
      </c>
      <c r="E256" s="43">
        <v>55000</v>
      </c>
      <c r="F256" s="43">
        <v>5200</v>
      </c>
      <c r="G256" s="43">
        <v>47100</v>
      </c>
      <c r="H256" s="43">
        <v>16000000</v>
      </c>
      <c r="I256" s="43">
        <v>4100000</v>
      </c>
      <c r="J256" s="43">
        <v>74000000</v>
      </c>
      <c r="K256" s="43">
        <v>44100</v>
      </c>
      <c r="L256" s="43">
        <v>100000</v>
      </c>
      <c r="M256" s="43">
        <v>530000</v>
      </c>
      <c r="N256" s="43">
        <v>31000</v>
      </c>
      <c r="T256" s="42"/>
      <c r="U256" s="43"/>
      <c r="V256" s="43"/>
      <c r="W256" s="43"/>
      <c r="X256" s="43"/>
      <c r="Y256" s="43"/>
      <c r="Z256" s="43"/>
      <c r="AA256" s="43"/>
      <c r="AB256" s="43"/>
      <c r="AC256" s="43"/>
    </row>
    <row r="257" spans="2:29" ht="18.5" thickBot="1" x14ac:dyDescent="0.4">
      <c r="B257" s="42" t="s">
        <v>302</v>
      </c>
      <c r="C257" s="43">
        <v>110000</v>
      </c>
      <c r="D257" s="43">
        <v>19700000</v>
      </c>
      <c r="E257" s="43">
        <v>1350</v>
      </c>
      <c r="F257" s="43">
        <v>555</v>
      </c>
      <c r="G257" s="43">
        <v>720</v>
      </c>
      <c r="H257" s="43">
        <v>43000</v>
      </c>
      <c r="I257" s="43">
        <v>21000</v>
      </c>
      <c r="J257" s="43">
        <v>2100000</v>
      </c>
      <c r="K257" s="43">
        <v>200</v>
      </c>
      <c r="L257" s="43">
        <v>3300</v>
      </c>
      <c r="M257" s="43">
        <v>25000</v>
      </c>
      <c r="N257" s="43">
        <v>420</v>
      </c>
      <c r="T257" s="7"/>
      <c r="U257" s="41"/>
      <c r="V257" s="41"/>
      <c r="W257" s="41"/>
      <c r="X257" s="41"/>
      <c r="Y257" s="41"/>
      <c r="Z257" s="41"/>
      <c r="AA257" s="41"/>
      <c r="AB257" s="41"/>
      <c r="AC257" s="41"/>
    </row>
    <row r="258" spans="2:29" ht="27" x14ac:dyDescent="0.35">
      <c r="B258" s="42" t="s">
        <v>303</v>
      </c>
      <c r="C258" s="44">
        <v>0.4</v>
      </c>
      <c r="D258" s="44">
        <v>0.6</v>
      </c>
      <c r="E258" s="44">
        <v>0.15</v>
      </c>
      <c r="F258" s="44">
        <v>0.15</v>
      </c>
      <c r="G258" s="44">
        <v>0.4</v>
      </c>
      <c r="H258" s="44">
        <v>0.1</v>
      </c>
      <c r="I258" s="44">
        <v>0.15</v>
      </c>
      <c r="J258" s="44">
        <v>0.6</v>
      </c>
      <c r="K258" s="44">
        <v>0.7</v>
      </c>
      <c r="L258" s="44">
        <v>0.05</v>
      </c>
      <c r="M258" s="44">
        <v>0.8</v>
      </c>
      <c r="N258" s="44">
        <v>0</v>
      </c>
    </row>
    <row r="259" spans="2:29" ht="27" x14ac:dyDescent="0.35">
      <c r="B259" s="42" t="s">
        <v>304</v>
      </c>
      <c r="C259" s="43"/>
      <c r="D259" s="43"/>
      <c r="E259" s="43"/>
      <c r="F259" s="43"/>
      <c r="G259" s="43"/>
      <c r="H259" s="43"/>
      <c r="I259" s="43"/>
      <c r="J259" s="43"/>
      <c r="K259" s="43"/>
      <c r="L259" s="43"/>
      <c r="M259" s="43"/>
      <c r="N259" s="43"/>
    </row>
    <row r="260" spans="2:29" ht="18" x14ac:dyDescent="0.35">
      <c r="B260" s="42" t="s">
        <v>307</v>
      </c>
      <c r="C260" s="43"/>
      <c r="D260" s="43">
        <v>884</v>
      </c>
      <c r="E260" s="43"/>
      <c r="F260" s="43"/>
      <c r="G260" s="43"/>
      <c r="H260" s="43"/>
      <c r="I260" s="43"/>
      <c r="J260" s="43"/>
      <c r="K260" s="43"/>
      <c r="L260" s="43"/>
      <c r="M260" s="43">
        <v>10</v>
      </c>
      <c r="N260" s="43"/>
    </row>
    <row r="261" spans="2:29" ht="18" x14ac:dyDescent="0.35">
      <c r="B261" s="42" t="s">
        <v>308</v>
      </c>
      <c r="C261" s="43"/>
      <c r="D261" s="43">
        <v>1005</v>
      </c>
      <c r="E261" s="43"/>
      <c r="F261" s="43"/>
      <c r="G261" s="43">
        <v>5.32</v>
      </c>
      <c r="H261" s="43"/>
      <c r="I261" s="43"/>
      <c r="J261" s="43"/>
      <c r="K261" s="43"/>
      <c r="L261" s="43"/>
      <c r="M261" s="43"/>
      <c r="N261" s="43"/>
    </row>
    <row r="262" spans="2:29" ht="18" x14ac:dyDescent="0.35">
      <c r="B262" s="42" t="s">
        <v>309</v>
      </c>
      <c r="C262" s="43"/>
      <c r="D262" s="43">
        <v>5181</v>
      </c>
      <c r="E262" s="43"/>
      <c r="F262" s="43"/>
      <c r="G262" s="43"/>
      <c r="H262" s="43"/>
      <c r="I262" s="43"/>
      <c r="J262" s="43"/>
      <c r="K262" s="43"/>
      <c r="L262" s="43"/>
      <c r="M262" s="43"/>
      <c r="N262" s="43">
        <v>70</v>
      </c>
    </row>
    <row r="263" spans="2:29" ht="18" x14ac:dyDescent="0.35">
      <c r="B263" s="42" t="s">
        <v>310</v>
      </c>
      <c r="C263" s="43"/>
      <c r="D263" s="43">
        <v>450</v>
      </c>
      <c r="E263" s="43"/>
      <c r="F263" s="43">
        <v>4</v>
      </c>
      <c r="G263" s="43">
        <v>13</v>
      </c>
      <c r="H263" s="43"/>
      <c r="I263" s="43"/>
      <c r="J263" s="43"/>
      <c r="K263" s="43"/>
      <c r="L263" s="43">
        <v>41</v>
      </c>
      <c r="M263" s="43"/>
      <c r="N263" s="43"/>
    </row>
    <row r="264" spans="2:29" ht="18" x14ac:dyDescent="0.35">
      <c r="B264" s="42" t="s">
        <v>311</v>
      </c>
      <c r="C264" s="43"/>
      <c r="D264" s="43">
        <v>3200</v>
      </c>
      <c r="E264" s="43"/>
      <c r="F264" s="43"/>
      <c r="G264" s="43"/>
      <c r="H264" s="43"/>
      <c r="I264" s="43"/>
      <c r="J264" s="43">
        <v>940</v>
      </c>
      <c r="K264" s="43"/>
      <c r="L264" s="43"/>
      <c r="M264" s="43">
        <v>13</v>
      </c>
      <c r="N264" s="43"/>
    </row>
    <row r="265" spans="2:29" ht="27" x14ac:dyDescent="0.35">
      <c r="B265" s="42" t="s">
        <v>312</v>
      </c>
      <c r="C265" s="43"/>
      <c r="D265" s="43">
        <v>1400</v>
      </c>
      <c r="E265" s="43"/>
      <c r="F265" s="43"/>
      <c r="G265" s="43"/>
      <c r="H265" s="43"/>
      <c r="I265" s="43"/>
      <c r="J265" s="43">
        <v>1800</v>
      </c>
      <c r="K265" s="43"/>
      <c r="L265" s="43"/>
      <c r="M265" s="43">
        <v>16</v>
      </c>
      <c r="N265" s="43"/>
    </row>
    <row r="284" spans="1:9" x14ac:dyDescent="0.35">
      <c r="A284" s="107" t="s">
        <v>571</v>
      </c>
      <c r="B284" s="107"/>
      <c r="C284" s="107"/>
      <c r="D284" s="107"/>
      <c r="E284" s="107"/>
      <c r="F284" s="107"/>
      <c r="G284" s="107"/>
      <c r="H284" s="107"/>
      <c r="I284" s="107"/>
    </row>
    <row r="285" spans="1:9" x14ac:dyDescent="0.35">
      <c r="A285" s="108" t="s">
        <v>572</v>
      </c>
      <c r="B285" s="107"/>
      <c r="C285" s="107"/>
      <c r="D285" s="107"/>
      <c r="E285" s="107"/>
      <c r="F285" s="107"/>
      <c r="G285" s="107"/>
      <c r="H285" s="107"/>
      <c r="I285" s="107"/>
    </row>
    <row r="287" spans="1:9" x14ac:dyDescent="0.35">
      <c r="A287" s="109" t="s">
        <v>573</v>
      </c>
      <c r="B287" s="109" t="s">
        <v>574</v>
      </c>
      <c r="C287" s="109" t="s">
        <v>574</v>
      </c>
      <c r="D287" s="109" t="s">
        <v>574</v>
      </c>
      <c r="E287" s="109" t="s">
        <v>574</v>
      </c>
      <c r="F287" s="109" t="s">
        <v>575</v>
      </c>
    </row>
    <row r="288" spans="1:9" x14ac:dyDescent="0.35">
      <c r="B288" s="109" t="s">
        <v>576</v>
      </c>
      <c r="C288" s="109" t="s">
        <v>577</v>
      </c>
      <c r="D288" s="109" t="s">
        <v>578</v>
      </c>
      <c r="E288" s="109" t="s">
        <v>579</v>
      </c>
      <c r="F288" s="109" t="s">
        <v>580</v>
      </c>
    </row>
    <row r="289" spans="1:6" x14ac:dyDescent="0.35">
      <c r="A289" s="109" t="s">
        <v>581</v>
      </c>
      <c r="B289" s="110">
        <v>4118</v>
      </c>
      <c r="C289" s="111">
        <v>3.5</v>
      </c>
      <c r="D289" s="110">
        <v>1</v>
      </c>
      <c r="E289" s="110">
        <v>1</v>
      </c>
    </row>
    <row r="290" spans="1:6" x14ac:dyDescent="0.35">
      <c r="A290" s="109" t="s">
        <v>582</v>
      </c>
      <c r="B290" s="110"/>
      <c r="C290" s="111"/>
      <c r="D290" s="110"/>
      <c r="E290" s="110"/>
    </row>
    <row r="291" spans="1:6" x14ac:dyDescent="0.35">
      <c r="A291" s="109" t="s">
        <v>7</v>
      </c>
      <c r="B291" s="110">
        <v>43200</v>
      </c>
      <c r="C291" s="111">
        <v>19000</v>
      </c>
      <c r="D291" s="110">
        <v>11400</v>
      </c>
      <c r="E291" s="110">
        <v>23000</v>
      </c>
    </row>
    <row r="292" spans="1:6" x14ac:dyDescent="0.35">
      <c r="A292" s="109" t="s">
        <v>168</v>
      </c>
      <c r="B292" s="110">
        <v>540000</v>
      </c>
      <c r="C292" s="111">
        <v>65700</v>
      </c>
      <c r="D292" s="110"/>
      <c r="E292" s="110"/>
    </row>
    <row r="293" spans="1:6" x14ac:dyDescent="0.35">
      <c r="A293" s="109" t="s">
        <v>11</v>
      </c>
      <c r="B293" s="110">
        <v>117000</v>
      </c>
      <c r="C293" s="111">
        <v>7530</v>
      </c>
      <c r="D293" s="110">
        <v>170</v>
      </c>
      <c r="E293" s="110">
        <v>850</v>
      </c>
      <c r="F293" s="109" t="s">
        <v>583</v>
      </c>
    </row>
    <row r="294" spans="1:6" x14ac:dyDescent="0.35">
      <c r="A294" s="109" t="s">
        <v>21</v>
      </c>
      <c r="B294" s="110">
        <v>1117000</v>
      </c>
      <c r="C294" s="111">
        <v>55900</v>
      </c>
      <c r="D294" s="110"/>
      <c r="E294" s="110"/>
    </row>
    <row r="295" spans="1:6" x14ac:dyDescent="0.35">
      <c r="B295" s="112"/>
      <c r="C295" s="112"/>
    </row>
    <row r="296" spans="1:6" x14ac:dyDescent="0.35">
      <c r="A296" s="109" t="s">
        <v>584</v>
      </c>
      <c r="B296" s="109" t="s">
        <v>585</v>
      </c>
    </row>
    <row r="297" spans="1:6" x14ac:dyDescent="0.35">
      <c r="A297" s="109" t="s">
        <v>586</v>
      </c>
      <c r="B297" s="109">
        <f>C292/1.6</f>
        <v>41062.5</v>
      </c>
    </row>
    <row r="298" spans="1:6" x14ac:dyDescent="0.35">
      <c r="A298" s="109" t="s">
        <v>587</v>
      </c>
      <c r="B298" s="109">
        <f>C292/2.5</f>
        <v>26280</v>
      </c>
    </row>
    <row r="300" spans="1:6" x14ac:dyDescent="0.35">
      <c r="B300" s="109" t="s">
        <v>588</v>
      </c>
      <c r="C300" s="109" t="s">
        <v>589</v>
      </c>
    </row>
    <row r="301" spans="1:6" x14ac:dyDescent="0.35">
      <c r="A301" s="109" t="s">
        <v>590</v>
      </c>
      <c r="B301" s="109">
        <f>B297*165</f>
        <v>6775312.5</v>
      </c>
      <c r="C301" s="111">
        <f t="shared" ref="C301:C302" si="1">B301/1000</f>
        <v>6775.3125</v>
      </c>
    </row>
    <row r="302" spans="1:6" x14ac:dyDescent="0.35">
      <c r="A302" s="109" t="s">
        <v>591</v>
      </c>
      <c r="B302" s="109">
        <f>B298*400</f>
        <v>10512000</v>
      </c>
      <c r="C302" s="111">
        <f t="shared" si="1"/>
        <v>10512</v>
      </c>
    </row>
    <row r="303" spans="1:6" x14ac:dyDescent="0.35">
      <c r="C303" s="109"/>
    </row>
    <row r="305" spans="1:5" x14ac:dyDescent="0.35">
      <c r="A305" s="107" t="s">
        <v>592</v>
      </c>
      <c r="B305" s="107"/>
      <c r="C305" s="107"/>
      <c r="D305" s="107"/>
      <c r="E305" s="107"/>
    </row>
    <row r="306" spans="1:5" x14ac:dyDescent="0.35">
      <c r="A306" s="107" t="s">
        <v>593</v>
      </c>
      <c r="B306" s="107"/>
      <c r="C306" s="107"/>
      <c r="D306" s="107"/>
      <c r="E306" s="107"/>
    </row>
    <row r="307" spans="1:5" x14ac:dyDescent="0.35">
      <c r="A307" s="109" t="s">
        <v>594</v>
      </c>
    </row>
    <row r="308" spans="1:5" x14ac:dyDescent="0.35">
      <c r="A308" s="113" t="s">
        <v>595</v>
      </c>
    </row>
    <row r="309" spans="1:5" x14ac:dyDescent="0.35">
      <c r="A309" s="113" t="s">
        <v>596</v>
      </c>
    </row>
    <row r="310" spans="1:5" x14ac:dyDescent="0.35">
      <c r="A310" s="113" t="s">
        <v>597</v>
      </c>
    </row>
    <row r="312" spans="1:5" x14ac:dyDescent="0.35">
      <c r="A312" s="109" t="s">
        <v>598</v>
      </c>
      <c r="B312" s="109" t="s">
        <v>599</v>
      </c>
      <c r="C312" s="109" t="s">
        <v>600</v>
      </c>
    </row>
    <row r="313" spans="1:5" x14ac:dyDescent="0.35">
      <c r="A313" s="109" t="s">
        <v>19</v>
      </c>
      <c r="B313" s="111">
        <v>1</v>
      </c>
      <c r="C313" s="113" t="s">
        <v>601</v>
      </c>
    </row>
    <row r="315" spans="1:5" x14ac:dyDescent="0.35">
      <c r="A315" s="109" t="s">
        <v>602</v>
      </c>
    </row>
    <row r="316" spans="1:5" x14ac:dyDescent="0.35">
      <c r="A316" s="112" t="s">
        <v>603</v>
      </c>
    </row>
    <row r="319" spans="1:5" x14ac:dyDescent="0.35">
      <c r="A319" s="107" t="s">
        <v>44</v>
      </c>
      <c r="B319" s="107"/>
      <c r="C319" s="107"/>
    </row>
    <row r="320" spans="1:5" x14ac:dyDescent="0.35">
      <c r="A320" s="107" t="s">
        <v>593</v>
      </c>
      <c r="B320" s="107"/>
      <c r="C320" s="107"/>
    </row>
    <row r="321" spans="1:15" x14ac:dyDescent="0.35">
      <c r="A321" s="109"/>
    </row>
    <row r="322" spans="1:15" x14ac:dyDescent="0.35">
      <c r="A322" s="109" t="s">
        <v>604</v>
      </c>
    </row>
    <row r="323" spans="1:15" x14ac:dyDescent="0.35">
      <c r="B323" s="109" t="s">
        <v>605</v>
      </c>
      <c r="C323" s="109" t="s">
        <v>606</v>
      </c>
    </row>
    <row r="324" spans="1:15" x14ac:dyDescent="0.35">
      <c r="A324" s="109" t="s">
        <v>41</v>
      </c>
      <c r="B324" s="109">
        <v>195</v>
      </c>
      <c r="C324" s="109">
        <f>(1000000/195)*10</f>
        <v>51282.051282051281</v>
      </c>
    </row>
    <row r="325" spans="1:15" x14ac:dyDescent="0.35">
      <c r="A325" s="109" t="s">
        <v>41</v>
      </c>
      <c r="B325" s="109">
        <v>180</v>
      </c>
      <c r="C325" s="114">
        <f>(1000000/180)*10</f>
        <v>55555.555555555555</v>
      </c>
    </row>
    <row r="326" spans="1:15" x14ac:dyDescent="0.35">
      <c r="A326" s="109" t="s">
        <v>607</v>
      </c>
      <c r="C326" s="111">
        <f>AVERAGE(C324:C325)</f>
        <v>53418.803418803422</v>
      </c>
    </row>
    <row r="327" spans="1:15" x14ac:dyDescent="0.35">
      <c r="A327" s="109"/>
    </row>
    <row r="332" spans="1:15" x14ac:dyDescent="0.35">
      <c r="A332" s="117" t="s">
        <v>662</v>
      </c>
    </row>
    <row r="333" spans="1:15" ht="15" thickBot="1" x14ac:dyDescent="0.4">
      <c r="A333" s="46" t="s">
        <v>663</v>
      </c>
      <c r="I333" t="s">
        <v>664</v>
      </c>
    </row>
    <row r="334" spans="1:15" ht="21" customHeight="1" thickBot="1" x14ac:dyDescent="0.4">
      <c r="A334" s="188" t="s">
        <v>2</v>
      </c>
      <c r="B334" s="189"/>
      <c r="C334" s="190"/>
      <c r="D334" s="194" t="s">
        <v>608</v>
      </c>
      <c r="E334" s="195"/>
      <c r="F334" s="195"/>
      <c r="G334" s="196"/>
      <c r="I334" s="188" t="s">
        <v>2</v>
      </c>
      <c r="J334" s="189"/>
      <c r="K334" s="190"/>
      <c r="L334" s="194" t="s">
        <v>608</v>
      </c>
      <c r="M334" s="195"/>
      <c r="N334" s="195"/>
      <c r="O334" s="196"/>
    </row>
    <row r="335" spans="1:15" ht="15" thickBot="1" x14ac:dyDescent="0.4">
      <c r="A335" s="191"/>
      <c r="B335" s="192"/>
      <c r="C335" s="193"/>
      <c r="D335" s="115" t="s">
        <v>609</v>
      </c>
      <c r="E335" s="115" t="s">
        <v>610</v>
      </c>
      <c r="F335" s="115" t="s">
        <v>611</v>
      </c>
      <c r="G335" s="115" t="s">
        <v>612</v>
      </c>
      <c r="I335" s="191"/>
      <c r="J335" s="192"/>
      <c r="K335" s="193"/>
      <c r="L335" s="115" t="s">
        <v>609</v>
      </c>
      <c r="M335" s="115" t="s">
        <v>610</v>
      </c>
      <c r="N335" s="115" t="s">
        <v>611</v>
      </c>
      <c r="O335" s="115" t="s">
        <v>612</v>
      </c>
    </row>
    <row r="336" spans="1:15" ht="21.5" thickBot="1" x14ac:dyDescent="0.4">
      <c r="A336" s="197" t="s">
        <v>4</v>
      </c>
      <c r="B336" s="198"/>
      <c r="C336" s="199"/>
      <c r="D336" s="115" t="s">
        <v>613</v>
      </c>
      <c r="E336" s="115" t="s">
        <v>613</v>
      </c>
      <c r="F336" s="116" t="s">
        <v>614</v>
      </c>
      <c r="G336" s="115" t="s">
        <v>613</v>
      </c>
      <c r="I336" s="197" t="s">
        <v>4</v>
      </c>
      <c r="J336" s="198"/>
      <c r="K336" s="199"/>
      <c r="L336" s="115" t="s">
        <v>613</v>
      </c>
      <c r="M336" s="115" t="s">
        <v>613</v>
      </c>
      <c r="N336" s="116" t="s">
        <v>614</v>
      </c>
      <c r="O336" s="115" t="s">
        <v>613</v>
      </c>
    </row>
    <row r="337" spans="1:20" ht="21" customHeight="1" thickBot="1" x14ac:dyDescent="0.4">
      <c r="A337" s="118"/>
      <c r="B337" s="175" t="s">
        <v>615</v>
      </c>
      <c r="C337" s="176"/>
      <c r="D337" s="119">
        <v>5.1999999999999998E-2</v>
      </c>
      <c r="E337" s="119">
        <v>5.5800000000000002E-2</v>
      </c>
      <c r="F337" s="119">
        <v>5.9999999999999995E-4</v>
      </c>
      <c r="G337" s="119">
        <v>1.5E-3</v>
      </c>
      <c r="J337" s="175" t="s">
        <v>615</v>
      </c>
      <c r="K337" s="176"/>
      <c r="L337" s="119">
        <v>5.1999999999999998E-2</v>
      </c>
      <c r="M337" s="119">
        <v>5.5800000000000002E-2</v>
      </c>
      <c r="N337" s="119">
        <v>5.9999999999999995E-4</v>
      </c>
      <c r="O337" s="119">
        <v>1.5E-3</v>
      </c>
    </row>
    <row r="338" spans="1:20" ht="21.5" thickBot="1" x14ac:dyDescent="0.4">
      <c r="A338" s="185"/>
      <c r="B338" s="173" t="s">
        <v>616</v>
      </c>
      <c r="C338" s="120" t="s">
        <v>617</v>
      </c>
      <c r="D338" s="121">
        <v>5.1999999999999998E-2</v>
      </c>
      <c r="E338" s="121">
        <v>5.5800000000000002E-2</v>
      </c>
      <c r="F338" s="121">
        <v>0</v>
      </c>
      <c r="G338" s="121">
        <v>0</v>
      </c>
      <c r="J338" s="173" t="s">
        <v>616</v>
      </c>
      <c r="K338" s="120" t="s">
        <v>617</v>
      </c>
      <c r="L338">
        <f>(D338*11)/(195)*0.00110231*10^9</f>
        <v>3233.4426666666664</v>
      </c>
      <c r="M338">
        <f>(E338*11.1)/(180)*0.00110231*10^9</f>
        <v>3793.04871</v>
      </c>
      <c r="N338">
        <f t="shared" ref="N338:O338" si="2">(F338*F377)/(F378)*0.00110231*10^9</f>
        <v>0</v>
      </c>
      <c r="O338">
        <f t="shared" si="2"/>
        <v>0</v>
      </c>
      <c r="Q338" t="s">
        <v>665</v>
      </c>
      <c r="S338" t="s">
        <v>46</v>
      </c>
      <c r="T338">
        <f>L338</f>
        <v>3233.4426666666664</v>
      </c>
    </row>
    <row r="339" spans="1:20" ht="15" thickBot="1" x14ac:dyDescent="0.4">
      <c r="A339" s="185"/>
      <c r="B339" s="177"/>
      <c r="C339" s="122" t="s">
        <v>618</v>
      </c>
      <c r="D339" s="121">
        <v>0</v>
      </c>
      <c r="E339" s="121">
        <v>0</v>
      </c>
      <c r="F339" s="121">
        <v>0</v>
      </c>
      <c r="G339" s="121">
        <v>0</v>
      </c>
      <c r="J339" s="177"/>
      <c r="K339" s="122" t="s">
        <v>618</v>
      </c>
      <c r="L339">
        <f t="shared" ref="L339:L374" si="3">(D339*11)/(195)*0.00110231*10^9</f>
        <v>0</v>
      </c>
      <c r="M339">
        <f t="shared" ref="M339:M374" si="4">(E339*11.1)/(180)*0.00110231*10^9</f>
        <v>0</v>
      </c>
      <c r="N339">
        <v>0</v>
      </c>
      <c r="O339">
        <v>0</v>
      </c>
      <c r="Q339" t="s">
        <v>665</v>
      </c>
      <c r="S339" t="s">
        <v>666</v>
      </c>
      <c r="T339">
        <f>L346+L374</f>
        <v>12218.682384615384</v>
      </c>
    </row>
    <row r="340" spans="1:20" ht="15" thickBot="1" x14ac:dyDescent="0.4">
      <c r="A340" s="185"/>
      <c r="B340" s="177"/>
      <c r="C340" s="122" t="s">
        <v>619</v>
      </c>
      <c r="D340" s="121">
        <v>0</v>
      </c>
      <c r="E340" s="121">
        <v>0</v>
      </c>
      <c r="F340" s="121">
        <v>2.0000000000000001E-4</v>
      </c>
      <c r="G340" s="121">
        <v>0</v>
      </c>
      <c r="J340" s="177"/>
      <c r="K340" s="122" t="s">
        <v>619</v>
      </c>
      <c r="L340">
        <f t="shared" si="3"/>
        <v>0</v>
      </c>
      <c r="M340">
        <f t="shared" si="4"/>
        <v>0</v>
      </c>
      <c r="N340">
        <f>(F340*14.9)/160*0.00110231*10^9</f>
        <v>20.53052375</v>
      </c>
      <c r="O340">
        <v>0</v>
      </c>
      <c r="Q340" t="s">
        <v>665</v>
      </c>
      <c r="S340" t="s">
        <v>113</v>
      </c>
      <c r="T340">
        <f>L349</f>
        <v>578.28878461538454</v>
      </c>
    </row>
    <row r="341" spans="1:20" ht="21.5" thickBot="1" x14ac:dyDescent="0.4">
      <c r="A341" s="185"/>
      <c r="B341" s="177"/>
      <c r="C341" s="122" t="s">
        <v>620</v>
      </c>
      <c r="D341" s="121">
        <v>0</v>
      </c>
      <c r="E341" s="121">
        <v>0</v>
      </c>
      <c r="F341" s="121">
        <v>0</v>
      </c>
      <c r="G341" s="121">
        <v>1.4E-3</v>
      </c>
      <c r="J341" s="177"/>
      <c r="K341" s="122" t="s">
        <v>620</v>
      </c>
      <c r="L341">
        <f t="shared" si="3"/>
        <v>0</v>
      </c>
      <c r="M341">
        <f t="shared" si="4"/>
        <v>0</v>
      </c>
      <c r="N341">
        <f t="shared" ref="N341:N374" si="5">(F341*14.9)/160*0.00110231*10^9</f>
        <v>0</v>
      </c>
      <c r="O341">
        <f>(G341*16)/180*0.00110231*10^9</f>
        <v>137.17635555555555</v>
      </c>
      <c r="Q341" t="s">
        <v>665</v>
      </c>
      <c r="S341" t="s">
        <v>121</v>
      </c>
      <c r="T341">
        <f>L350</f>
        <v>6.2181589743589756</v>
      </c>
    </row>
    <row r="342" spans="1:20" ht="21.5" thickBot="1" x14ac:dyDescent="0.4">
      <c r="A342" s="185"/>
      <c r="B342" s="177"/>
      <c r="C342" s="122" t="s">
        <v>621</v>
      </c>
      <c r="D342" s="121">
        <v>0</v>
      </c>
      <c r="E342" s="121">
        <v>0</v>
      </c>
      <c r="F342" s="121">
        <v>0</v>
      </c>
      <c r="G342" s="121">
        <v>0</v>
      </c>
      <c r="J342" s="177"/>
      <c r="K342" s="122" t="s">
        <v>621</v>
      </c>
      <c r="L342">
        <f t="shared" si="3"/>
        <v>0</v>
      </c>
      <c r="M342">
        <f t="shared" si="4"/>
        <v>0</v>
      </c>
      <c r="N342">
        <f t="shared" si="5"/>
        <v>0</v>
      </c>
      <c r="O342">
        <f t="shared" ref="O342:O374" si="6">(G342*16)/180*0.00110231*10^9</f>
        <v>0</v>
      </c>
      <c r="Q342" t="s">
        <v>665</v>
      </c>
      <c r="S342" t="s">
        <v>35</v>
      </c>
      <c r="T342">
        <f>L352</f>
        <v>18.654476923076921</v>
      </c>
    </row>
    <row r="343" spans="1:20" ht="15" thickBot="1" x14ac:dyDescent="0.4">
      <c r="A343" s="185"/>
      <c r="B343" s="177"/>
      <c r="C343" s="122" t="s">
        <v>622</v>
      </c>
      <c r="D343" s="121">
        <v>0</v>
      </c>
      <c r="E343" s="121">
        <v>0</v>
      </c>
      <c r="F343" s="121">
        <v>1E-4</v>
      </c>
      <c r="G343" s="121">
        <v>0</v>
      </c>
      <c r="J343" s="177"/>
      <c r="K343" s="122" t="s">
        <v>622</v>
      </c>
      <c r="L343">
        <f t="shared" si="3"/>
        <v>0</v>
      </c>
      <c r="M343">
        <f t="shared" si="4"/>
        <v>0</v>
      </c>
      <c r="N343">
        <f t="shared" si="5"/>
        <v>10.265261875</v>
      </c>
      <c r="O343">
        <f t="shared" si="6"/>
        <v>0</v>
      </c>
      <c r="Q343" t="s">
        <v>665</v>
      </c>
      <c r="S343" t="s">
        <v>123</v>
      </c>
      <c r="T343">
        <f>L355</f>
        <v>74.617907692307682</v>
      </c>
    </row>
    <row r="344" spans="1:20" ht="15" thickBot="1" x14ac:dyDescent="0.4">
      <c r="A344" s="185"/>
      <c r="B344" s="174"/>
      <c r="C344" s="122" t="s">
        <v>623</v>
      </c>
      <c r="D344" s="121">
        <v>0</v>
      </c>
      <c r="E344" s="121">
        <v>0</v>
      </c>
      <c r="F344" s="121">
        <v>4.0000000000000002E-4</v>
      </c>
      <c r="G344" s="121">
        <v>0</v>
      </c>
      <c r="J344" s="174"/>
      <c r="K344" s="122" t="s">
        <v>623</v>
      </c>
      <c r="L344">
        <f t="shared" si="3"/>
        <v>0</v>
      </c>
      <c r="M344">
        <f t="shared" si="4"/>
        <v>0</v>
      </c>
      <c r="N344">
        <f t="shared" si="5"/>
        <v>41.061047500000001</v>
      </c>
      <c r="O344">
        <f t="shared" si="6"/>
        <v>0</v>
      </c>
      <c r="Q344" t="s">
        <v>665</v>
      </c>
      <c r="S344" t="s">
        <v>210</v>
      </c>
      <c r="T344">
        <f>L372</f>
        <v>49701.744682051285</v>
      </c>
    </row>
    <row r="345" spans="1:20" ht="15" thickBot="1" x14ac:dyDescent="0.4">
      <c r="A345" s="118"/>
      <c r="B345" s="175" t="s">
        <v>624</v>
      </c>
      <c r="C345" s="176"/>
      <c r="D345" s="119">
        <v>1.47E-2</v>
      </c>
      <c r="E345" s="119">
        <v>1.46E-2</v>
      </c>
      <c r="F345" s="119">
        <v>5.4999999999999997E-3</v>
      </c>
      <c r="G345" s="119">
        <v>8.9999999999999998E-4</v>
      </c>
      <c r="J345" s="175" t="s">
        <v>624</v>
      </c>
      <c r="K345" s="176"/>
      <c r="Q345" t="s">
        <v>665</v>
      </c>
      <c r="S345" t="s">
        <v>46</v>
      </c>
      <c r="T345">
        <f>M338</f>
        <v>3793.04871</v>
      </c>
    </row>
    <row r="346" spans="1:20" ht="15" thickBot="1" x14ac:dyDescent="0.4">
      <c r="A346" s="187"/>
      <c r="B346" s="173" t="s">
        <v>281</v>
      </c>
      <c r="C346" s="120" t="s">
        <v>625</v>
      </c>
      <c r="D346" s="121">
        <v>3.8E-3</v>
      </c>
      <c r="E346" s="121">
        <v>3.8E-3</v>
      </c>
      <c r="F346" s="121">
        <v>0</v>
      </c>
      <c r="G346" s="121">
        <v>0</v>
      </c>
      <c r="J346" s="173" t="s">
        <v>281</v>
      </c>
      <c r="K346" s="120" t="s">
        <v>625</v>
      </c>
      <c r="L346">
        <f t="shared" si="3"/>
        <v>236.29004102564102</v>
      </c>
      <c r="M346">
        <f t="shared" si="4"/>
        <v>258.30797666666666</v>
      </c>
      <c r="N346">
        <f t="shared" si="5"/>
        <v>0</v>
      </c>
      <c r="O346">
        <f t="shared" si="6"/>
        <v>0</v>
      </c>
      <c r="Q346" t="s">
        <v>665</v>
      </c>
      <c r="S346" t="s">
        <v>666</v>
      </c>
      <c r="T346">
        <f>M346+M374</f>
        <v>13309.658376666664</v>
      </c>
    </row>
    <row r="347" spans="1:20" ht="32" thickBot="1" x14ac:dyDescent="0.4">
      <c r="A347" s="187"/>
      <c r="B347" s="177"/>
      <c r="C347" s="122" t="s">
        <v>626</v>
      </c>
      <c r="D347" s="121">
        <v>0</v>
      </c>
      <c r="E347" s="121">
        <v>0</v>
      </c>
      <c r="F347" s="121">
        <v>3.0000000000000001E-3</v>
      </c>
      <c r="G347" s="121">
        <v>0</v>
      </c>
      <c r="J347" s="177"/>
      <c r="K347" s="122" t="s">
        <v>626</v>
      </c>
      <c r="L347">
        <f t="shared" si="3"/>
        <v>0</v>
      </c>
      <c r="M347">
        <f t="shared" si="4"/>
        <v>0</v>
      </c>
      <c r="N347">
        <f t="shared" si="5"/>
        <v>307.95785625000002</v>
      </c>
      <c r="O347">
        <f t="shared" si="6"/>
        <v>0</v>
      </c>
      <c r="Q347" t="s">
        <v>665</v>
      </c>
      <c r="S347" t="s">
        <v>113</v>
      </c>
      <c r="T347">
        <f>M349</f>
        <v>632.17478499999982</v>
      </c>
    </row>
    <row r="348" spans="1:20" ht="21.5" thickBot="1" x14ac:dyDescent="0.4">
      <c r="A348" s="187"/>
      <c r="B348" s="177"/>
      <c r="C348" s="122" t="s">
        <v>627</v>
      </c>
      <c r="D348" s="121">
        <v>0</v>
      </c>
      <c r="E348" s="121">
        <v>0</v>
      </c>
      <c r="F348" s="121">
        <v>0</v>
      </c>
      <c r="G348" s="121">
        <v>0</v>
      </c>
      <c r="J348" s="177"/>
      <c r="K348" s="122" t="s">
        <v>627</v>
      </c>
      <c r="L348">
        <f t="shared" si="3"/>
        <v>0</v>
      </c>
      <c r="M348">
        <f t="shared" si="4"/>
        <v>0</v>
      </c>
      <c r="N348">
        <f t="shared" si="5"/>
        <v>0</v>
      </c>
      <c r="O348">
        <f t="shared" si="6"/>
        <v>0</v>
      </c>
      <c r="Q348" t="s">
        <v>665</v>
      </c>
      <c r="S348" t="s">
        <v>121</v>
      </c>
      <c r="T348">
        <f>M350</f>
        <v>6.7975783333333339</v>
      </c>
    </row>
    <row r="349" spans="1:20" ht="15" thickBot="1" x14ac:dyDescent="0.4">
      <c r="A349" s="187"/>
      <c r="B349" s="177"/>
      <c r="C349" s="122" t="s">
        <v>628</v>
      </c>
      <c r="D349" s="121">
        <v>9.2999999999999992E-3</v>
      </c>
      <c r="E349" s="121">
        <v>9.2999999999999992E-3</v>
      </c>
      <c r="F349" s="121">
        <v>6.9999999999999999E-4</v>
      </c>
      <c r="G349" s="121">
        <v>8.0000000000000004E-4</v>
      </c>
      <c r="J349" s="177"/>
      <c r="K349" s="122" t="s">
        <v>628</v>
      </c>
      <c r="L349">
        <f t="shared" si="3"/>
        <v>578.28878461538454</v>
      </c>
      <c r="M349">
        <f t="shared" si="4"/>
        <v>632.17478499999982</v>
      </c>
      <c r="N349">
        <f t="shared" si="5"/>
        <v>71.856833125000009</v>
      </c>
      <c r="O349">
        <f t="shared" si="6"/>
        <v>78.386488888888906</v>
      </c>
      <c r="Q349" t="s">
        <v>665</v>
      </c>
      <c r="S349" t="s">
        <v>35</v>
      </c>
      <c r="T349">
        <f>M352</f>
        <v>20.392734999999998</v>
      </c>
    </row>
    <row r="350" spans="1:20" ht="15" thickBot="1" x14ac:dyDescent="0.4">
      <c r="A350" s="187"/>
      <c r="B350" s="177"/>
      <c r="C350" s="122" t="s">
        <v>629</v>
      </c>
      <c r="D350" s="121">
        <v>1E-4</v>
      </c>
      <c r="E350" s="121">
        <v>1E-4</v>
      </c>
      <c r="F350" s="121">
        <v>0</v>
      </c>
      <c r="G350" s="121">
        <v>0</v>
      </c>
      <c r="J350" s="177"/>
      <c r="K350" s="122" t="s">
        <v>629</v>
      </c>
      <c r="L350">
        <f t="shared" si="3"/>
        <v>6.2181589743589756</v>
      </c>
      <c r="M350">
        <f t="shared" si="4"/>
        <v>6.7975783333333339</v>
      </c>
      <c r="N350">
        <f t="shared" si="5"/>
        <v>0</v>
      </c>
      <c r="O350">
        <f t="shared" si="6"/>
        <v>0</v>
      </c>
      <c r="Q350" t="s">
        <v>665</v>
      </c>
      <c r="S350" t="s">
        <v>123</v>
      </c>
      <c r="T350">
        <f>M355</f>
        <v>81.570939999999993</v>
      </c>
    </row>
    <row r="351" spans="1:20" ht="15" thickBot="1" x14ac:dyDescent="0.4">
      <c r="A351" s="187"/>
      <c r="B351" s="177"/>
      <c r="C351" s="122" t="s">
        <v>630</v>
      </c>
      <c r="D351" s="121">
        <v>0</v>
      </c>
      <c r="E351" s="121">
        <v>0</v>
      </c>
      <c r="F351" s="121">
        <v>4.0000000000000002E-4</v>
      </c>
      <c r="G351" s="121">
        <v>0</v>
      </c>
      <c r="J351" s="177"/>
      <c r="K351" s="122" t="s">
        <v>630</v>
      </c>
      <c r="L351">
        <f t="shared" si="3"/>
        <v>0</v>
      </c>
      <c r="M351">
        <f t="shared" si="4"/>
        <v>0</v>
      </c>
      <c r="N351">
        <f t="shared" si="5"/>
        <v>41.061047500000001</v>
      </c>
      <c r="O351">
        <f t="shared" si="6"/>
        <v>0</v>
      </c>
      <c r="Q351" t="s">
        <v>665</v>
      </c>
      <c r="S351" t="s">
        <v>210</v>
      </c>
      <c r="T351">
        <f>M372</f>
        <v>54115.521111666669</v>
      </c>
    </row>
    <row r="352" spans="1:20" ht="15" thickBot="1" x14ac:dyDescent="0.4">
      <c r="A352" s="187"/>
      <c r="B352" s="177"/>
      <c r="C352" s="122" t="s">
        <v>631</v>
      </c>
      <c r="D352" s="121">
        <v>2.9999999999999997E-4</v>
      </c>
      <c r="E352" s="121">
        <v>2.9999999999999997E-4</v>
      </c>
      <c r="F352" s="121">
        <v>0</v>
      </c>
      <c r="G352" s="121">
        <v>0</v>
      </c>
      <c r="J352" s="177"/>
      <c r="K352" s="122" t="s">
        <v>631</v>
      </c>
      <c r="L352">
        <f t="shared" si="3"/>
        <v>18.654476923076921</v>
      </c>
      <c r="M352">
        <f t="shared" si="4"/>
        <v>20.392734999999998</v>
      </c>
      <c r="N352">
        <f t="shared" si="5"/>
        <v>0</v>
      </c>
      <c r="O352">
        <f t="shared" si="6"/>
        <v>0</v>
      </c>
      <c r="Q352" t="s">
        <v>48</v>
      </c>
      <c r="S352" t="s">
        <v>49</v>
      </c>
      <c r="T352">
        <f>N343</f>
        <v>10.265261875</v>
      </c>
    </row>
    <row r="353" spans="1:20" ht="15" thickBot="1" x14ac:dyDescent="0.4">
      <c r="A353" s="187"/>
      <c r="B353" s="177"/>
      <c r="C353" s="122" t="s">
        <v>632</v>
      </c>
      <c r="D353" s="121">
        <v>0</v>
      </c>
      <c r="E353" s="121">
        <v>0</v>
      </c>
      <c r="F353" s="121">
        <v>0</v>
      </c>
      <c r="G353" s="121">
        <v>0</v>
      </c>
      <c r="J353" s="177"/>
      <c r="K353" s="122" t="s">
        <v>632</v>
      </c>
      <c r="L353">
        <f t="shared" si="3"/>
        <v>0</v>
      </c>
      <c r="M353">
        <f t="shared" si="4"/>
        <v>0</v>
      </c>
      <c r="N353">
        <f t="shared" si="5"/>
        <v>0</v>
      </c>
      <c r="O353">
        <f t="shared" si="6"/>
        <v>0</v>
      </c>
      <c r="Q353" t="s">
        <v>48</v>
      </c>
      <c r="S353" t="s">
        <v>52</v>
      </c>
      <c r="T353">
        <f>N344</f>
        <v>41.061047500000001</v>
      </c>
    </row>
    <row r="354" spans="1:20" ht="21.5" thickBot="1" x14ac:dyDescent="0.4">
      <c r="A354" s="187"/>
      <c r="B354" s="177"/>
      <c r="C354" s="122" t="s">
        <v>633</v>
      </c>
      <c r="D354" s="121">
        <v>0</v>
      </c>
      <c r="E354" s="121">
        <v>0</v>
      </c>
      <c r="F354" s="121">
        <v>0</v>
      </c>
      <c r="G354" s="121">
        <v>1E-4</v>
      </c>
      <c r="J354" s="177"/>
      <c r="K354" s="122" t="s">
        <v>633</v>
      </c>
      <c r="L354">
        <f t="shared" si="3"/>
        <v>0</v>
      </c>
      <c r="M354">
        <f t="shared" si="4"/>
        <v>0</v>
      </c>
      <c r="N354">
        <f t="shared" si="5"/>
        <v>0</v>
      </c>
      <c r="O354">
        <f t="shared" si="6"/>
        <v>9.7983111111111132</v>
      </c>
      <c r="Q354" t="s">
        <v>48</v>
      </c>
      <c r="S354" t="s">
        <v>51</v>
      </c>
      <c r="T354">
        <f>N340</f>
        <v>20.53052375</v>
      </c>
    </row>
    <row r="355" spans="1:20" ht="15" thickBot="1" x14ac:dyDescent="0.4">
      <c r="A355" s="187"/>
      <c r="B355" s="177"/>
      <c r="C355" s="122" t="s">
        <v>634</v>
      </c>
      <c r="D355" s="121">
        <v>1.1999999999999999E-3</v>
      </c>
      <c r="E355" s="121">
        <v>1.1999999999999999E-3</v>
      </c>
      <c r="F355" s="121">
        <v>8.0000000000000004E-4</v>
      </c>
      <c r="G355" s="121">
        <v>0</v>
      </c>
      <c r="J355" s="177"/>
      <c r="K355" s="122" t="s">
        <v>634</v>
      </c>
      <c r="L355">
        <f t="shared" si="3"/>
        <v>74.617907692307682</v>
      </c>
      <c r="M355">
        <f t="shared" si="4"/>
        <v>81.570939999999993</v>
      </c>
      <c r="N355">
        <f t="shared" si="5"/>
        <v>82.122095000000002</v>
      </c>
      <c r="O355">
        <f t="shared" si="6"/>
        <v>0</v>
      </c>
      <c r="Q355" t="s">
        <v>48</v>
      </c>
      <c r="S355" t="s">
        <v>667</v>
      </c>
      <c r="T355">
        <f>N351</f>
        <v>41.061047500000001</v>
      </c>
    </row>
    <row r="356" spans="1:20" ht="15" thickBot="1" x14ac:dyDescent="0.4">
      <c r="A356" s="187"/>
      <c r="B356" s="177"/>
      <c r="C356" s="122" t="s">
        <v>635</v>
      </c>
      <c r="D356" s="121">
        <v>0</v>
      </c>
      <c r="E356" s="121">
        <v>0</v>
      </c>
      <c r="F356" s="121">
        <v>5.9999999999999995E-4</v>
      </c>
      <c r="G356" s="121">
        <v>0</v>
      </c>
      <c r="J356" s="177"/>
      <c r="K356" s="122" t="s">
        <v>635</v>
      </c>
      <c r="L356">
        <f t="shared" si="3"/>
        <v>0</v>
      </c>
      <c r="M356">
        <f t="shared" si="4"/>
        <v>0</v>
      </c>
      <c r="N356">
        <f t="shared" si="5"/>
        <v>61.591571250000008</v>
      </c>
      <c r="O356">
        <f t="shared" si="6"/>
        <v>0</v>
      </c>
      <c r="Q356" t="s">
        <v>48</v>
      </c>
      <c r="S356" t="s">
        <v>666</v>
      </c>
      <c r="T356">
        <f>N374+N347</f>
        <v>15490.280169375001</v>
      </c>
    </row>
    <row r="357" spans="1:20" ht="15" thickBot="1" x14ac:dyDescent="0.4">
      <c r="A357" s="187"/>
      <c r="B357" s="177"/>
      <c r="C357" s="122" t="s">
        <v>636</v>
      </c>
      <c r="D357" s="121">
        <v>0</v>
      </c>
      <c r="E357" s="121">
        <v>0</v>
      </c>
      <c r="F357" s="121">
        <v>0</v>
      </c>
      <c r="G357" s="121">
        <v>0</v>
      </c>
      <c r="J357" s="177"/>
      <c r="K357" s="122" t="s">
        <v>636</v>
      </c>
      <c r="L357">
        <f t="shared" si="3"/>
        <v>0</v>
      </c>
      <c r="M357">
        <f t="shared" si="4"/>
        <v>0</v>
      </c>
      <c r="N357">
        <f t="shared" si="5"/>
        <v>0</v>
      </c>
      <c r="O357">
        <f t="shared" si="6"/>
        <v>0</v>
      </c>
      <c r="Q357" t="s">
        <v>48</v>
      </c>
      <c r="S357" t="s">
        <v>113</v>
      </c>
      <c r="T357">
        <v>71.856833124999994</v>
      </c>
    </row>
    <row r="358" spans="1:20" ht="15" thickBot="1" x14ac:dyDescent="0.4">
      <c r="A358" s="187"/>
      <c r="B358" s="174"/>
      <c r="C358" s="122" t="s">
        <v>637</v>
      </c>
      <c r="D358" s="121">
        <v>0</v>
      </c>
      <c r="E358" s="121">
        <v>0</v>
      </c>
      <c r="F358" s="121">
        <v>0</v>
      </c>
      <c r="G358" s="121">
        <v>0</v>
      </c>
      <c r="J358" s="174"/>
      <c r="K358" s="122" t="s">
        <v>637</v>
      </c>
      <c r="L358">
        <f t="shared" si="3"/>
        <v>0</v>
      </c>
      <c r="M358">
        <f t="shared" si="4"/>
        <v>0</v>
      </c>
      <c r="N358">
        <f t="shared" si="5"/>
        <v>0</v>
      </c>
      <c r="O358">
        <f t="shared" si="6"/>
        <v>0</v>
      </c>
      <c r="Q358" t="s">
        <v>48</v>
      </c>
      <c r="S358" t="s">
        <v>121</v>
      </c>
      <c r="T358">
        <v>0</v>
      </c>
    </row>
    <row r="359" spans="1:20" ht="15" thickBot="1" x14ac:dyDescent="0.4">
      <c r="A359" s="118"/>
      <c r="B359" s="175" t="s">
        <v>638</v>
      </c>
      <c r="C359" s="176"/>
      <c r="D359" s="119">
        <v>0.1341</v>
      </c>
      <c r="E359" s="119">
        <v>0.13350000000000001</v>
      </c>
      <c r="F359" s="119">
        <v>0.122</v>
      </c>
      <c r="G359" s="119">
        <v>3.2800000000000003E-2</v>
      </c>
      <c r="J359" s="175" t="s">
        <v>638</v>
      </c>
      <c r="K359" s="176"/>
      <c r="Q359" t="s">
        <v>48</v>
      </c>
      <c r="S359" t="s">
        <v>35</v>
      </c>
      <c r="T359">
        <v>0</v>
      </c>
    </row>
    <row r="360" spans="1:20" ht="21.5" thickBot="1" x14ac:dyDescent="0.4">
      <c r="A360" s="185"/>
      <c r="B360" s="173" t="s">
        <v>639</v>
      </c>
      <c r="C360" s="120" t="s">
        <v>640</v>
      </c>
      <c r="D360" s="121">
        <v>7.9399999999999998E-2</v>
      </c>
      <c r="E360" s="121">
        <v>7.9000000000000001E-2</v>
      </c>
      <c r="F360" s="121">
        <v>5.0500000000000003E-2</v>
      </c>
      <c r="G360" s="121">
        <v>2.3800000000000002E-2</v>
      </c>
      <c r="J360" s="173" t="s">
        <v>639</v>
      </c>
      <c r="K360" s="120" t="s">
        <v>640</v>
      </c>
      <c r="L360">
        <f t="shared" si="3"/>
        <v>4937.2182256410251</v>
      </c>
      <c r="M360">
        <f t="shared" si="4"/>
        <v>5370.0868833333334</v>
      </c>
      <c r="N360">
        <f t="shared" si="5"/>
        <v>5183.9572468750002</v>
      </c>
      <c r="O360">
        <f t="shared" si="6"/>
        <v>2331.998044444445</v>
      </c>
      <c r="Q360" t="s">
        <v>48</v>
      </c>
      <c r="S360" t="s">
        <v>123</v>
      </c>
      <c r="T360">
        <v>82.122095000000002</v>
      </c>
    </row>
    <row r="361" spans="1:20" ht="21.5" thickBot="1" x14ac:dyDescent="0.4">
      <c r="A361" s="185"/>
      <c r="B361" s="177"/>
      <c r="C361" s="122" t="s">
        <v>641</v>
      </c>
      <c r="D361" s="121">
        <v>1.01E-2</v>
      </c>
      <c r="E361" s="121">
        <v>1.01E-2</v>
      </c>
      <c r="F361" s="121">
        <v>0</v>
      </c>
      <c r="G361" s="121">
        <v>0</v>
      </c>
      <c r="J361" s="177"/>
      <c r="K361" s="122" t="s">
        <v>641</v>
      </c>
      <c r="L361">
        <f t="shared" si="3"/>
        <v>628.03405641025643</v>
      </c>
      <c r="M361">
        <f t="shared" si="4"/>
        <v>686.5554116666666</v>
      </c>
      <c r="N361">
        <f t="shared" si="5"/>
        <v>0</v>
      </c>
      <c r="O361">
        <f t="shared" si="6"/>
        <v>0</v>
      </c>
      <c r="Q361" t="s">
        <v>48</v>
      </c>
      <c r="S361" t="s">
        <v>210</v>
      </c>
      <c r="T361">
        <f>N371+N372</f>
        <v>89502.818288124996</v>
      </c>
    </row>
    <row r="362" spans="1:20" ht="21.5" thickBot="1" x14ac:dyDescent="0.4">
      <c r="A362" s="185"/>
      <c r="B362" s="177"/>
      <c r="C362" s="122" t="s">
        <v>642</v>
      </c>
      <c r="D362" s="121">
        <v>0</v>
      </c>
      <c r="E362" s="121">
        <v>0</v>
      </c>
      <c r="F362" s="121">
        <v>1.2699999999999999E-2</v>
      </c>
      <c r="G362" s="121">
        <v>0</v>
      </c>
      <c r="J362" s="177"/>
      <c r="K362" s="122" t="s">
        <v>642</v>
      </c>
      <c r="L362">
        <f t="shared" si="3"/>
        <v>0</v>
      </c>
      <c r="M362">
        <f t="shared" si="4"/>
        <v>0</v>
      </c>
      <c r="N362">
        <f t="shared" si="5"/>
        <v>1303.6882581250002</v>
      </c>
      <c r="O362">
        <f t="shared" si="6"/>
        <v>0</v>
      </c>
      <c r="Q362" t="s">
        <v>53</v>
      </c>
      <c r="S362" t="s">
        <v>666</v>
      </c>
      <c r="T362">
        <f>O374</f>
        <v>1989.0571555555553</v>
      </c>
    </row>
    <row r="363" spans="1:20" ht="21.5" thickBot="1" x14ac:dyDescent="0.4">
      <c r="A363" s="185"/>
      <c r="B363" s="177"/>
      <c r="C363" s="122" t="s">
        <v>643</v>
      </c>
      <c r="D363" s="121">
        <v>0</v>
      </c>
      <c r="E363" s="121">
        <v>0</v>
      </c>
      <c r="F363" s="121">
        <v>5.7999999999999996E-3</v>
      </c>
      <c r="G363" s="121">
        <v>0</v>
      </c>
      <c r="J363" s="177"/>
      <c r="K363" s="122" t="s">
        <v>643</v>
      </c>
      <c r="L363">
        <f t="shared" si="3"/>
        <v>0</v>
      </c>
      <c r="M363">
        <f t="shared" si="4"/>
        <v>0</v>
      </c>
      <c r="N363">
        <f t="shared" si="5"/>
        <v>595.38518875</v>
      </c>
      <c r="O363">
        <f t="shared" si="6"/>
        <v>0</v>
      </c>
      <c r="Q363" t="s">
        <v>53</v>
      </c>
      <c r="S363" t="s">
        <v>113</v>
      </c>
      <c r="T363">
        <f>O349</f>
        <v>78.386488888888906</v>
      </c>
    </row>
    <row r="364" spans="1:20" ht="32" thickBot="1" x14ac:dyDescent="0.4">
      <c r="A364" s="185"/>
      <c r="B364" s="177"/>
      <c r="C364" s="122" t="s">
        <v>644</v>
      </c>
      <c r="D364" s="121">
        <v>3.1300000000000001E-2</v>
      </c>
      <c r="E364" s="121">
        <v>3.1199999999999999E-2</v>
      </c>
      <c r="F364" s="121">
        <v>2.2599999999999999E-2</v>
      </c>
      <c r="G364" s="121">
        <v>0</v>
      </c>
      <c r="J364" s="177"/>
      <c r="K364" s="122" t="s">
        <v>644</v>
      </c>
      <c r="L364">
        <f t="shared" si="3"/>
        <v>1946.283758974359</v>
      </c>
      <c r="M364">
        <f t="shared" si="4"/>
        <v>2120.8444399999994</v>
      </c>
      <c r="N364">
        <f t="shared" si="5"/>
        <v>2319.9491837499995</v>
      </c>
      <c r="O364">
        <f t="shared" si="6"/>
        <v>0</v>
      </c>
      <c r="Q364" t="s">
        <v>53</v>
      </c>
      <c r="S364" t="s">
        <v>121</v>
      </c>
      <c r="T364">
        <f>O350</f>
        <v>0</v>
      </c>
    </row>
    <row r="365" spans="1:20" ht="21.5" thickBot="1" x14ac:dyDescent="0.4">
      <c r="A365" s="185"/>
      <c r="B365" s="177"/>
      <c r="C365" s="122" t="s">
        <v>645</v>
      </c>
      <c r="D365" s="121">
        <v>2.2000000000000001E-3</v>
      </c>
      <c r="E365" s="121">
        <v>2.0999999999999999E-3</v>
      </c>
      <c r="F365" s="121">
        <v>3.3E-3</v>
      </c>
      <c r="G365" s="121">
        <v>0</v>
      </c>
      <c r="J365" s="177"/>
      <c r="K365" s="122" t="s">
        <v>645</v>
      </c>
      <c r="L365">
        <f t="shared" si="3"/>
        <v>136.79949743589745</v>
      </c>
      <c r="M365">
        <f t="shared" si="4"/>
        <v>142.74914499999997</v>
      </c>
      <c r="N365">
        <f t="shared" si="5"/>
        <v>338.75364187499997</v>
      </c>
      <c r="O365">
        <f t="shared" si="6"/>
        <v>0</v>
      </c>
      <c r="Q365" t="s">
        <v>53</v>
      </c>
      <c r="S365" t="s">
        <v>35</v>
      </c>
      <c r="T365">
        <f>O351</f>
        <v>0</v>
      </c>
    </row>
    <row r="366" spans="1:20" ht="21.5" thickBot="1" x14ac:dyDescent="0.4">
      <c r="A366" s="185"/>
      <c r="B366" s="177"/>
      <c r="C366" s="122" t="s">
        <v>646</v>
      </c>
      <c r="D366" s="121">
        <v>0</v>
      </c>
      <c r="E366" s="121">
        <v>0</v>
      </c>
      <c r="F366" s="121">
        <v>0</v>
      </c>
      <c r="G366" s="121">
        <v>0</v>
      </c>
      <c r="J366" s="177"/>
      <c r="K366" s="122" t="s">
        <v>646</v>
      </c>
      <c r="L366">
        <f t="shared" si="3"/>
        <v>0</v>
      </c>
      <c r="M366">
        <f t="shared" si="4"/>
        <v>0</v>
      </c>
      <c r="N366">
        <f t="shared" si="5"/>
        <v>0</v>
      </c>
      <c r="O366">
        <f t="shared" si="6"/>
        <v>0</v>
      </c>
      <c r="Q366" t="s">
        <v>53</v>
      </c>
      <c r="S366" t="s">
        <v>123</v>
      </c>
      <c r="T366">
        <f>O352</f>
        <v>0</v>
      </c>
    </row>
    <row r="367" spans="1:20" ht="42.5" thickBot="1" x14ac:dyDescent="0.4">
      <c r="A367" s="185"/>
      <c r="B367" s="177"/>
      <c r="C367" s="123" t="s">
        <v>647</v>
      </c>
      <c r="D367" s="121">
        <v>0</v>
      </c>
      <c r="E367" s="121">
        <v>0</v>
      </c>
      <c r="F367" s="121">
        <v>0</v>
      </c>
      <c r="G367" s="121">
        <v>6.7000000000000002E-3</v>
      </c>
      <c r="J367" s="177"/>
      <c r="K367" s="123" t="s">
        <v>647</v>
      </c>
      <c r="L367">
        <f t="shared" si="3"/>
        <v>0</v>
      </c>
      <c r="M367">
        <f t="shared" si="4"/>
        <v>0</v>
      </c>
      <c r="N367">
        <f t="shared" si="5"/>
        <v>0</v>
      </c>
      <c r="O367">
        <f t="shared" si="6"/>
        <v>656.4868444444445</v>
      </c>
      <c r="Q367" t="s">
        <v>53</v>
      </c>
      <c r="S367" t="s">
        <v>210</v>
      </c>
      <c r="T367">
        <f>O372+O371</f>
        <v>94534.10560000001</v>
      </c>
    </row>
    <row r="368" spans="1:20" ht="21.5" thickBot="1" x14ac:dyDescent="0.4">
      <c r="A368" s="185"/>
      <c r="B368" s="177"/>
      <c r="C368" s="122" t="s">
        <v>648</v>
      </c>
      <c r="D368" s="121">
        <v>1.11E-2</v>
      </c>
      <c r="E368" s="121">
        <v>1.0999999999999999E-2</v>
      </c>
      <c r="F368" s="121">
        <v>2.7199999999999998E-2</v>
      </c>
      <c r="G368" s="121">
        <v>2.3E-3</v>
      </c>
      <c r="J368" s="177"/>
      <c r="K368" s="122" t="s">
        <v>648</v>
      </c>
      <c r="L368">
        <f t="shared" si="3"/>
        <v>690.21564615384614</v>
      </c>
      <c r="M368">
        <f t="shared" si="4"/>
        <v>747.73361666666665</v>
      </c>
      <c r="N368">
        <f t="shared" si="5"/>
        <v>2792.1512299999995</v>
      </c>
      <c r="O368">
        <f t="shared" si="6"/>
        <v>225.36115555555554</v>
      </c>
    </row>
    <row r="369" spans="1:15" ht="21.5" thickBot="1" x14ac:dyDescent="0.4">
      <c r="A369" s="185"/>
      <c r="B369" s="174"/>
      <c r="C369" s="122" t="s">
        <v>649</v>
      </c>
      <c r="D369" s="121">
        <v>0</v>
      </c>
      <c r="E369" s="121">
        <v>0</v>
      </c>
      <c r="F369" s="121">
        <v>0</v>
      </c>
      <c r="G369" s="121">
        <v>0</v>
      </c>
      <c r="J369" s="174"/>
      <c r="K369" s="122" t="s">
        <v>649</v>
      </c>
      <c r="L369">
        <f t="shared" si="3"/>
        <v>0</v>
      </c>
      <c r="M369">
        <f t="shared" si="4"/>
        <v>0</v>
      </c>
      <c r="N369">
        <f t="shared" si="5"/>
        <v>0</v>
      </c>
      <c r="O369">
        <f t="shared" si="6"/>
        <v>0</v>
      </c>
    </row>
    <row r="370" spans="1:15" ht="15" thickBot="1" x14ac:dyDescent="0.4">
      <c r="A370" s="118"/>
      <c r="B370" s="175" t="s">
        <v>650</v>
      </c>
      <c r="C370" s="176"/>
      <c r="D370" s="119">
        <v>0.79930000000000001</v>
      </c>
      <c r="E370" s="119">
        <v>0.79610000000000003</v>
      </c>
      <c r="F370" s="119">
        <v>0.87190000000000001</v>
      </c>
      <c r="G370" s="119">
        <v>0.96479999999999999</v>
      </c>
      <c r="J370" s="175" t="s">
        <v>650</v>
      </c>
      <c r="K370" s="176"/>
    </row>
    <row r="371" spans="1:15" ht="15" thickBot="1" x14ac:dyDescent="0.4">
      <c r="A371" s="185"/>
      <c r="B371" s="173" t="s">
        <v>651</v>
      </c>
      <c r="C371" s="120" t="s">
        <v>652</v>
      </c>
      <c r="D371" s="121">
        <v>0</v>
      </c>
      <c r="E371" s="121">
        <v>0</v>
      </c>
      <c r="F371" s="121">
        <v>0.3543</v>
      </c>
      <c r="G371" s="121">
        <v>0.46750000000000003</v>
      </c>
      <c r="J371" s="173" t="s">
        <v>651</v>
      </c>
      <c r="K371" s="120" t="s">
        <v>652</v>
      </c>
      <c r="L371">
        <f t="shared" si="3"/>
        <v>0</v>
      </c>
      <c r="M371">
        <f t="shared" si="4"/>
        <v>0</v>
      </c>
      <c r="N371">
        <f t="shared" si="5"/>
        <v>36369.822823125003</v>
      </c>
      <c r="O371">
        <f t="shared" si="6"/>
        <v>45807.104444444449</v>
      </c>
    </row>
    <row r="372" spans="1:15" ht="15" thickBot="1" x14ac:dyDescent="0.4">
      <c r="A372" s="186"/>
      <c r="B372" s="174"/>
      <c r="C372" s="122" t="s">
        <v>653</v>
      </c>
      <c r="D372" s="121">
        <v>0.79930000000000001</v>
      </c>
      <c r="E372" s="121">
        <v>0.79610000000000003</v>
      </c>
      <c r="F372" s="121">
        <v>0.51759999999999995</v>
      </c>
      <c r="G372" s="121">
        <v>0.49730000000000002</v>
      </c>
      <c r="J372" s="174"/>
      <c r="K372" s="122" t="s">
        <v>653</v>
      </c>
      <c r="L372">
        <f t="shared" si="3"/>
        <v>49701.744682051285</v>
      </c>
      <c r="M372">
        <f t="shared" si="4"/>
        <v>54115.521111666669</v>
      </c>
      <c r="N372">
        <f t="shared" si="5"/>
        <v>53132.995464999993</v>
      </c>
      <c r="O372">
        <f t="shared" si="6"/>
        <v>48727.001155555561</v>
      </c>
    </row>
    <row r="373" spans="1:15" ht="15" thickBot="1" x14ac:dyDescent="0.4">
      <c r="A373" s="118"/>
      <c r="B373" s="175" t="s">
        <v>654</v>
      </c>
      <c r="C373" s="176"/>
      <c r="D373" s="119">
        <v>0.19270000000000001</v>
      </c>
      <c r="E373" s="119">
        <v>0.192</v>
      </c>
      <c r="F373" s="119">
        <v>0.1479</v>
      </c>
      <c r="G373" s="119">
        <v>2.0299999999999999E-2</v>
      </c>
      <c r="J373" s="175" t="s">
        <v>654</v>
      </c>
      <c r="K373" s="176"/>
    </row>
    <row r="374" spans="1:15" ht="21.5" thickBot="1" x14ac:dyDescent="0.4">
      <c r="A374" s="124"/>
      <c r="B374" s="122" t="s">
        <v>281</v>
      </c>
      <c r="C374" s="120" t="s">
        <v>627</v>
      </c>
      <c r="D374" s="121">
        <v>0.19270000000000001</v>
      </c>
      <c r="E374" s="121">
        <v>0.192</v>
      </c>
      <c r="F374" s="121">
        <v>0.1479</v>
      </c>
      <c r="G374" s="121">
        <v>2.0299999999999999E-2</v>
      </c>
      <c r="J374" s="122" t="s">
        <v>281</v>
      </c>
      <c r="K374" s="120" t="s">
        <v>627</v>
      </c>
      <c r="L374">
        <f t="shared" si="3"/>
        <v>11982.392343589743</v>
      </c>
      <c r="M374">
        <f t="shared" si="4"/>
        <v>13051.350399999998</v>
      </c>
      <c r="N374">
        <f t="shared" si="5"/>
        <v>15182.322313125002</v>
      </c>
      <c r="O374">
        <f t="shared" si="6"/>
        <v>1989.0571555555553</v>
      </c>
    </row>
    <row r="375" spans="1:15" ht="15" thickBot="1" x14ac:dyDescent="0.4">
      <c r="A375" s="175" t="s">
        <v>655</v>
      </c>
      <c r="B375" s="181"/>
      <c r="C375" s="176"/>
      <c r="D375" s="119">
        <v>1</v>
      </c>
      <c r="E375" s="119">
        <v>1</v>
      </c>
      <c r="F375" s="119">
        <v>1</v>
      </c>
      <c r="G375" s="119">
        <v>1</v>
      </c>
    </row>
    <row r="376" spans="1:15" ht="15" thickBot="1" x14ac:dyDescent="0.4">
      <c r="A376" s="175" t="s">
        <v>656</v>
      </c>
      <c r="B376" s="181"/>
      <c r="C376" s="176"/>
      <c r="D376" s="119">
        <v>1.1927000000000001</v>
      </c>
      <c r="E376" s="119">
        <v>1.1919999999999999</v>
      </c>
      <c r="F376" s="119">
        <v>1.1478999999999999</v>
      </c>
      <c r="G376" s="119">
        <v>1.0203</v>
      </c>
    </row>
    <row r="377" spans="1:15" ht="21" customHeight="1" thickBot="1" x14ac:dyDescent="0.4">
      <c r="A377" s="175" t="s">
        <v>657</v>
      </c>
      <c r="B377" s="181"/>
      <c r="C377" s="176"/>
      <c r="D377" s="125">
        <v>11</v>
      </c>
      <c r="E377" s="125">
        <v>11.1</v>
      </c>
      <c r="F377" s="125">
        <v>14.9</v>
      </c>
      <c r="G377" s="125">
        <v>16</v>
      </c>
    </row>
    <row r="378" spans="1:15" ht="21" customHeight="1" thickBot="1" x14ac:dyDescent="0.4">
      <c r="A378" s="175" t="s">
        <v>658</v>
      </c>
      <c r="B378" s="181"/>
      <c r="C378" s="176"/>
      <c r="D378" s="125">
        <v>195</v>
      </c>
      <c r="E378" s="125">
        <v>180</v>
      </c>
      <c r="F378" s="125">
        <v>160</v>
      </c>
      <c r="G378" s="125">
        <v>180</v>
      </c>
    </row>
    <row r="379" spans="1:15" ht="15" thickBot="1" x14ac:dyDescent="0.4">
      <c r="A379" s="175" t="s">
        <v>659</v>
      </c>
      <c r="B379" s="181"/>
      <c r="C379" s="176"/>
      <c r="D379" s="119">
        <v>0.19500000000000001</v>
      </c>
      <c r="E379" s="119">
        <v>0.18</v>
      </c>
      <c r="F379" s="119">
        <v>0.16</v>
      </c>
      <c r="G379" s="119">
        <v>0.18</v>
      </c>
    </row>
    <row r="380" spans="1:15" ht="21" customHeight="1" thickBot="1" x14ac:dyDescent="0.4">
      <c r="A380" s="175" t="s">
        <v>660</v>
      </c>
      <c r="B380" s="181"/>
      <c r="C380" s="176"/>
      <c r="D380" s="125">
        <v>15.4</v>
      </c>
      <c r="E380" s="125">
        <v>16.7</v>
      </c>
      <c r="F380" s="125">
        <v>18.8</v>
      </c>
      <c r="G380" s="125">
        <v>16.7</v>
      </c>
    </row>
    <row r="381" spans="1:15" ht="21" customHeight="1" thickBot="1" x14ac:dyDescent="0.4">
      <c r="A381" s="175" t="s">
        <v>661</v>
      </c>
      <c r="B381" s="181"/>
      <c r="C381" s="176"/>
      <c r="D381" s="125">
        <v>2923</v>
      </c>
      <c r="E381" s="125">
        <v>3167</v>
      </c>
      <c r="F381" s="125">
        <v>3563</v>
      </c>
      <c r="G381" s="125">
        <v>3167</v>
      </c>
    </row>
    <row r="382" spans="1:15" x14ac:dyDescent="0.35">
      <c r="A382" s="126" t="s">
        <v>218</v>
      </c>
    </row>
    <row r="383" spans="1:15" x14ac:dyDescent="0.35">
      <c r="A383" s="127">
        <v>21</v>
      </c>
    </row>
    <row r="384" spans="1:15" x14ac:dyDescent="0.35">
      <c r="A384" s="126" t="s">
        <v>218</v>
      </c>
    </row>
    <row r="385" spans="1:16" x14ac:dyDescent="0.35">
      <c r="A385" s="134"/>
    </row>
    <row r="386" spans="1:16" x14ac:dyDescent="0.35">
      <c r="A386" s="46"/>
    </row>
    <row r="387" spans="1:16" ht="15" thickBot="1" x14ac:dyDescent="0.4"/>
    <row r="388" spans="1:16" ht="15" thickBot="1" x14ac:dyDescent="0.4">
      <c r="C388" s="135"/>
    </row>
    <row r="389" spans="1:16" ht="15" thickBot="1" x14ac:dyDescent="0.4">
      <c r="A389" s="200"/>
      <c r="B389" s="131"/>
      <c r="C389" s="131"/>
      <c r="D389" s="131"/>
      <c r="E389" s="136"/>
      <c r="F389" s="136"/>
    </row>
    <row r="390" spans="1:16" ht="15" thickBot="1" x14ac:dyDescent="0.4">
      <c r="A390" s="201"/>
      <c r="B390" s="128"/>
      <c r="C390" s="128"/>
      <c r="D390" s="128"/>
      <c r="E390" s="136"/>
      <c r="F390" s="136"/>
      <c r="L390" s="137" t="s">
        <v>33</v>
      </c>
      <c r="M390" s="137"/>
      <c r="N390" s="137" t="s">
        <v>46</v>
      </c>
      <c r="O390" s="137">
        <v>3233.4426666666664</v>
      </c>
      <c r="P390" s="137" t="s">
        <v>668</v>
      </c>
    </row>
    <row r="391" spans="1:16" ht="15" thickBot="1" x14ac:dyDescent="0.4">
      <c r="A391" s="201"/>
      <c r="B391" s="128"/>
      <c r="C391" s="128"/>
      <c r="D391" s="128"/>
      <c r="E391" s="136"/>
      <c r="F391" s="136"/>
      <c r="L391" s="137" t="s">
        <v>33</v>
      </c>
      <c r="M391" s="137"/>
      <c r="N391" s="137" t="s">
        <v>666</v>
      </c>
      <c r="O391" s="137">
        <v>12218.682384615384</v>
      </c>
      <c r="P391" s="137" t="s">
        <v>668</v>
      </c>
    </row>
    <row r="392" spans="1:16" ht="15" thickBot="1" x14ac:dyDescent="0.4">
      <c r="A392" s="201"/>
      <c r="B392" s="128"/>
      <c r="C392" s="128"/>
      <c r="D392" s="128"/>
      <c r="E392" s="136"/>
      <c r="F392" s="136"/>
      <c r="L392" s="137" t="s">
        <v>33</v>
      </c>
      <c r="M392" s="137"/>
      <c r="N392" s="137" t="s">
        <v>113</v>
      </c>
      <c r="O392" s="137">
        <v>578.28878461538454</v>
      </c>
      <c r="P392" s="137" t="s">
        <v>668</v>
      </c>
    </row>
    <row r="393" spans="1:16" ht="15" thickBot="1" x14ac:dyDescent="0.4">
      <c r="A393" s="201"/>
      <c r="B393" s="128"/>
      <c r="C393" s="128"/>
      <c r="D393" s="128"/>
      <c r="E393" s="136"/>
      <c r="F393" s="136"/>
      <c r="L393" s="137" t="s">
        <v>33</v>
      </c>
      <c r="M393" s="137"/>
      <c r="N393" s="137" t="s">
        <v>121</v>
      </c>
      <c r="O393" s="137">
        <v>6.2181589743589756</v>
      </c>
      <c r="P393" s="137" t="s">
        <v>668</v>
      </c>
    </row>
    <row r="394" spans="1:16" ht="15" thickBot="1" x14ac:dyDescent="0.4">
      <c r="A394" s="201"/>
      <c r="B394" s="128"/>
      <c r="C394" s="128"/>
      <c r="D394" s="128"/>
      <c r="E394" s="136"/>
      <c r="F394" s="136"/>
      <c r="L394" s="137" t="s">
        <v>33</v>
      </c>
      <c r="M394" s="137"/>
      <c r="N394" s="137" t="s">
        <v>35</v>
      </c>
      <c r="O394" s="137">
        <v>18.654476923076921</v>
      </c>
      <c r="P394" s="137" t="s">
        <v>668</v>
      </c>
    </row>
    <row r="395" spans="1:16" ht="15" thickBot="1" x14ac:dyDescent="0.4">
      <c r="A395" s="201"/>
      <c r="B395" s="128"/>
      <c r="C395" s="128"/>
      <c r="D395" s="128"/>
      <c r="E395" s="136"/>
      <c r="F395" s="136"/>
      <c r="L395" s="137" t="s">
        <v>33</v>
      </c>
      <c r="M395" s="137"/>
      <c r="N395" s="137" t="s">
        <v>123</v>
      </c>
      <c r="O395" s="137">
        <v>74.617907692307682</v>
      </c>
      <c r="P395" s="137" t="s">
        <v>668</v>
      </c>
    </row>
    <row r="396" spans="1:16" ht="15" thickBot="1" x14ac:dyDescent="0.4">
      <c r="A396" s="201"/>
      <c r="B396" s="128"/>
      <c r="C396" s="128"/>
      <c r="D396" s="128"/>
      <c r="E396" s="136"/>
      <c r="F396" s="136"/>
      <c r="L396" s="137" t="s">
        <v>33</v>
      </c>
      <c r="M396" s="137"/>
      <c r="N396" s="137" t="s">
        <v>210</v>
      </c>
      <c r="O396" s="137">
        <v>49701.744682051285</v>
      </c>
      <c r="P396" s="137" t="s">
        <v>668</v>
      </c>
    </row>
    <row r="397" spans="1:16" ht="15" thickBot="1" x14ac:dyDescent="0.4">
      <c r="A397" s="201"/>
      <c r="B397" s="128"/>
      <c r="C397" s="128"/>
      <c r="D397" s="128"/>
      <c r="E397" s="136"/>
      <c r="F397" s="136"/>
      <c r="L397" s="137" t="s">
        <v>33</v>
      </c>
      <c r="M397" s="137"/>
      <c r="N397" s="137" t="s">
        <v>46</v>
      </c>
      <c r="O397" s="137">
        <v>3793.04871</v>
      </c>
      <c r="P397" s="137" t="s">
        <v>668</v>
      </c>
    </row>
    <row r="398" spans="1:16" x14ac:dyDescent="0.35">
      <c r="A398" s="201"/>
      <c r="B398" s="128"/>
      <c r="C398" s="128"/>
      <c r="D398" s="128"/>
      <c r="E398" s="136"/>
      <c r="F398" s="136"/>
      <c r="L398" s="137" t="s">
        <v>33</v>
      </c>
      <c r="M398" s="137"/>
      <c r="N398" s="137" t="s">
        <v>666</v>
      </c>
      <c r="O398" s="137">
        <v>13309.658376666664</v>
      </c>
      <c r="P398" s="137" t="s">
        <v>668</v>
      </c>
    </row>
    <row r="399" spans="1:16" x14ac:dyDescent="0.35">
      <c r="A399" s="201"/>
      <c r="B399" s="201"/>
      <c r="C399" s="201"/>
      <c r="D399" s="201"/>
      <c r="E399" s="201"/>
      <c r="L399" s="137" t="s">
        <v>33</v>
      </c>
      <c r="M399" s="137"/>
      <c r="N399" s="137" t="s">
        <v>113</v>
      </c>
      <c r="O399" s="137">
        <v>632.17478499999982</v>
      </c>
      <c r="P399" s="137" t="s">
        <v>668</v>
      </c>
    </row>
    <row r="400" spans="1:16" x14ac:dyDescent="0.35">
      <c r="A400" s="201"/>
      <c r="B400" s="130"/>
      <c r="C400" s="201"/>
      <c r="D400" s="201"/>
      <c r="E400" s="129"/>
      <c r="L400" s="137" t="s">
        <v>33</v>
      </c>
      <c r="M400" s="137"/>
      <c r="N400" s="137" t="s">
        <v>121</v>
      </c>
      <c r="O400" s="137">
        <v>6.7975783333333339</v>
      </c>
      <c r="P400" s="137" t="s">
        <v>668</v>
      </c>
    </row>
    <row r="401" spans="1:16" x14ac:dyDescent="0.35">
      <c r="A401" s="201"/>
      <c r="B401" s="130"/>
      <c r="C401" s="201"/>
      <c r="D401" s="201"/>
      <c r="E401" s="129"/>
      <c r="L401" s="137" t="s">
        <v>33</v>
      </c>
      <c r="M401" s="137"/>
      <c r="N401" s="137" t="s">
        <v>35</v>
      </c>
      <c r="O401" s="137">
        <v>20.392734999999998</v>
      </c>
      <c r="P401" s="137" t="s">
        <v>668</v>
      </c>
    </row>
    <row r="402" spans="1:16" x14ac:dyDescent="0.35">
      <c r="A402" s="201"/>
      <c r="B402" s="130"/>
      <c r="C402" s="201"/>
      <c r="D402" s="201"/>
      <c r="E402" s="129"/>
      <c r="L402" s="137" t="s">
        <v>33</v>
      </c>
      <c r="M402" s="137"/>
      <c r="N402" s="137" t="s">
        <v>123</v>
      </c>
      <c r="O402" s="137">
        <v>81.570939999999993</v>
      </c>
      <c r="P402" s="137" t="s">
        <v>668</v>
      </c>
    </row>
    <row r="403" spans="1:16" x14ac:dyDescent="0.35">
      <c r="A403" s="201"/>
      <c r="B403" s="130"/>
      <c r="C403" s="201"/>
      <c r="D403" s="201"/>
      <c r="E403" s="129"/>
      <c r="L403" s="137" t="s">
        <v>33</v>
      </c>
      <c r="M403" s="137"/>
      <c r="N403" s="137" t="s">
        <v>210</v>
      </c>
      <c r="O403" s="137">
        <v>54115.521111666669</v>
      </c>
      <c r="P403" s="137" t="s">
        <v>668</v>
      </c>
    </row>
    <row r="404" spans="1:16" x14ac:dyDescent="0.35">
      <c r="A404" s="201"/>
      <c r="B404" s="128"/>
      <c r="C404" s="201"/>
      <c r="D404" s="201"/>
      <c r="E404" s="129"/>
      <c r="L404" s="137" t="s">
        <v>48</v>
      </c>
      <c r="M404" s="137"/>
      <c r="N404" s="137" t="s">
        <v>49</v>
      </c>
      <c r="O404" s="137">
        <v>10.265261875</v>
      </c>
      <c r="P404" s="137" t="s">
        <v>668</v>
      </c>
    </row>
    <row r="405" spans="1:16" x14ac:dyDescent="0.35">
      <c r="A405" s="201"/>
      <c r="B405" s="201"/>
      <c r="C405" s="201"/>
      <c r="D405" s="201"/>
      <c r="E405" s="201"/>
      <c r="L405" s="137" t="s">
        <v>48</v>
      </c>
      <c r="M405" s="137"/>
      <c r="N405" s="137" t="s">
        <v>52</v>
      </c>
      <c r="O405" s="137">
        <v>41.061047500000001</v>
      </c>
      <c r="P405" s="137" t="s">
        <v>668</v>
      </c>
    </row>
    <row r="406" spans="1:16" x14ac:dyDescent="0.35">
      <c r="A406" s="201"/>
      <c r="B406" s="130"/>
      <c r="C406" s="201"/>
      <c r="D406" s="201"/>
      <c r="E406" s="129"/>
      <c r="L406" s="137" t="s">
        <v>48</v>
      </c>
      <c r="M406" s="137"/>
      <c r="N406" s="137" t="s">
        <v>51</v>
      </c>
      <c r="O406" s="137">
        <v>20.53052375</v>
      </c>
      <c r="P406" s="137" t="s">
        <v>668</v>
      </c>
    </row>
    <row r="407" spans="1:16" x14ac:dyDescent="0.35">
      <c r="A407" s="201"/>
      <c r="B407" s="130"/>
      <c r="C407" s="201"/>
      <c r="D407" s="201"/>
      <c r="E407" s="129"/>
      <c r="L407" s="137" t="s">
        <v>48</v>
      </c>
      <c r="M407" s="137"/>
      <c r="N407" s="137" t="s">
        <v>667</v>
      </c>
      <c r="O407" s="137">
        <v>41.061047500000001</v>
      </c>
      <c r="P407" s="137" t="s">
        <v>668</v>
      </c>
    </row>
    <row r="408" spans="1:16" x14ac:dyDescent="0.35">
      <c r="A408" s="201"/>
      <c r="B408" s="130"/>
      <c r="C408" s="201"/>
      <c r="D408" s="201"/>
      <c r="E408" s="129"/>
      <c r="L408" s="137" t="s">
        <v>48</v>
      </c>
      <c r="M408" s="137"/>
      <c r="N408" s="137" t="s">
        <v>666</v>
      </c>
      <c r="O408" s="137">
        <v>15490.280169375001</v>
      </c>
      <c r="P408" s="137" t="s">
        <v>668</v>
      </c>
    </row>
    <row r="409" spans="1:16" x14ac:dyDescent="0.35">
      <c r="A409" s="201"/>
      <c r="B409" s="128"/>
      <c r="C409" s="201"/>
      <c r="D409" s="201"/>
      <c r="E409" s="129"/>
      <c r="L409" s="137" t="s">
        <v>48</v>
      </c>
      <c r="M409" s="137"/>
      <c r="N409" s="137" t="s">
        <v>113</v>
      </c>
      <c r="O409" s="137">
        <v>71.856833124999994</v>
      </c>
      <c r="P409" s="137" t="s">
        <v>668</v>
      </c>
    </row>
    <row r="410" spans="1:16" ht="15" thickBot="1" x14ac:dyDescent="0.4">
      <c r="A410" s="202"/>
      <c r="B410" s="132"/>
      <c r="C410" s="202"/>
      <c r="D410" s="202"/>
      <c r="E410" s="133"/>
      <c r="L410" s="137" t="s">
        <v>48</v>
      </c>
      <c r="M410" s="137"/>
      <c r="N410" s="137" t="s">
        <v>121</v>
      </c>
      <c r="O410" s="137">
        <v>0</v>
      </c>
      <c r="P410" s="137" t="s">
        <v>668</v>
      </c>
    </row>
    <row r="411" spans="1:16" x14ac:dyDescent="0.35">
      <c r="L411" s="137" t="s">
        <v>48</v>
      </c>
      <c r="M411" s="137"/>
      <c r="N411" s="137" t="s">
        <v>35</v>
      </c>
      <c r="O411" s="137">
        <v>0</v>
      </c>
      <c r="P411" s="137" t="s">
        <v>668</v>
      </c>
    </row>
    <row r="412" spans="1:16" x14ac:dyDescent="0.35">
      <c r="L412" s="137" t="s">
        <v>48</v>
      </c>
      <c r="M412" s="137"/>
      <c r="N412" s="137" t="s">
        <v>123</v>
      </c>
      <c r="O412" s="137">
        <v>82.122095000000002</v>
      </c>
      <c r="P412" s="137" t="s">
        <v>668</v>
      </c>
    </row>
    <row r="413" spans="1:16" x14ac:dyDescent="0.35">
      <c r="L413" s="137" t="s">
        <v>48</v>
      </c>
      <c r="M413" s="137"/>
      <c r="N413" s="137" t="s">
        <v>210</v>
      </c>
      <c r="O413" s="137">
        <v>89502.818288124996</v>
      </c>
      <c r="P413" s="137" t="s">
        <v>668</v>
      </c>
    </row>
    <row r="414" spans="1:16" x14ac:dyDescent="0.35">
      <c r="L414" s="137" t="s">
        <v>53</v>
      </c>
      <c r="M414" s="137"/>
      <c r="N414" s="137" t="s">
        <v>666</v>
      </c>
      <c r="O414" s="137">
        <v>1989.0571555555553</v>
      </c>
      <c r="P414" s="137" t="s">
        <v>668</v>
      </c>
    </row>
    <row r="415" spans="1:16" x14ac:dyDescent="0.35">
      <c r="L415" s="137" t="s">
        <v>53</v>
      </c>
      <c r="M415" s="137"/>
      <c r="N415" s="137" t="s">
        <v>113</v>
      </c>
      <c r="O415" s="137">
        <v>78.386488888888906</v>
      </c>
      <c r="P415" s="137" t="s">
        <v>668</v>
      </c>
    </row>
    <row r="416" spans="1:16" x14ac:dyDescent="0.35">
      <c r="L416" s="137" t="s">
        <v>53</v>
      </c>
      <c r="M416" s="137"/>
      <c r="N416" s="137" t="s">
        <v>121</v>
      </c>
      <c r="O416" s="137">
        <v>0</v>
      </c>
      <c r="P416" s="137" t="s">
        <v>668</v>
      </c>
    </row>
    <row r="417" spans="12:16" x14ac:dyDescent="0.35">
      <c r="L417" s="137" t="s">
        <v>53</v>
      </c>
      <c r="M417" s="137"/>
      <c r="N417" s="137" t="s">
        <v>35</v>
      </c>
      <c r="O417" s="137">
        <v>0</v>
      </c>
      <c r="P417" s="137" t="s">
        <v>668</v>
      </c>
    </row>
    <row r="418" spans="12:16" x14ac:dyDescent="0.35">
      <c r="L418" s="137" t="s">
        <v>53</v>
      </c>
      <c r="M418" s="137"/>
      <c r="N418" s="137" t="s">
        <v>123</v>
      </c>
      <c r="O418" s="137">
        <v>0</v>
      </c>
      <c r="P418" s="137" t="s">
        <v>668</v>
      </c>
    </row>
    <row r="419" spans="12:16" x14ac:dyDescent="0.35">
      <c r="L419" s="137" t="s">
        <v>53</v>
      </c>
      <c r="M419" s="137"/>
      <c r="N419" s="137" t="s">
        <v>210</v>
      </c>
      <c r="O419" s="137">
        <v>94534.10560000001</v>
      </c>
      <c r="P419" s="137" t="s">
        <v>668</v>
      </c>
    </row>
    <row r="420" spans="12:16" x14ac:dyDescent="0.35">
      <c r="L420" s="137" t="s">
        <v>53</v>
      </c>
      <c r="M420" s="137" t="s">
        <v>34</v>
      </c>
      <c r="N420" s="137" t="s">
        <v>41</v>
      </c>
      <c r="O420" s="137">
        <v>53400</v>
      </c>
      <c r="P420" s="137" t="s">
        <v>44</v>
      </c>
    </row>
    <row r="421" spans="12:16" x14ac:dyDescent="0.35">
      <c r="L421" s="137" t="s">
        <v>33</v>
      </c>
      <c r="M421" s="137" t="s">
        <v>34</v>
      </c>
      <c r="N421" s="137" t="s">
        <v>7</v>
      </c>
      <c r="O421" s="137">
        <v>19000</v>
      </c>
      <c r="P421" s="137" t="s">
        <v>39</v>
      </c>
    </row>
    <row r="422" spans="12:16" x14ac:dyDescent="0.35">
      <c r="L422" s="137" t="s">
        <v>33</v>
      </c>
      <c r="M422" s="137" t="s">
        <v>34</v>
      </c>
      <c r="N422" s="137" t="s">
        <v>9</v>
      </c>
      <c r="O422" s="137">
        <v>10512</v>
      </c>
      <c r="P422" s="137" t="s">
        <v>39</v>
      </c>
    </row>
    <row r="423" spans="12:16" x14ac:dyDescent="0.35">
      <c r="L423" s="137" t="s">
        <v>33</v>
      </c>
      <c r="M423" s="137" t="s">
        <v>34</v>
      </c>
      <c r="N423" s="137" t="s">
        <v>9</v>
      </c>
      <c r="O423" s="137">
        <v>6775</v>
      </c>
      <c r="P423" s="137" t="s">
        <v>39</v>
      </c>
    </row>
    <row r="424" spans="12:16" x14ac:dyDescent="0.35">
      <c r="L424" s="137" t="s">
        <v>33</v>
      </c>
      <c r="M424" s="137" t="s">
        <v>34</v>
      </c>
      <c r="N424" s="137" t="s">
        <v>11</v>
      </c>
      <c r="O424" s="137">
        <v>7530</v>
      </c>
      <c r="P424" s="137" t="s">
        <v>39</v>
      </c>
    </row>
    <row r="425" spans="12:16" x14ac:dyDescent="0.35">
      <c r="L425" s="137" t="s">
        <v>33</v>
      </c>
      <c r="M425" s="137" t="s">
        <v>34</v>
      </c>
      <c r="N425" s="137" t="s">
        <v>21</v>
      </c>
      <c r="O425" s="137">
        <v>55900</v>
      </c>
      <c r="P425" s="137" t="s">
        <v>39</v>
      </c>
    </row>
    <row r="426" spans="12:16" x14ac:dyDescent="0.35">
      <c r="L426" s="137" t="s">
        <v>48</v>
      </c>
      <c r="M426" s="137" t="s">
        <v>34</v>
      </c>
      <c r="N426" s="137" t="s">
        <v>7</v>
      </c>
      <c r="O426" s="137">
        <v>15390</v>
      </c>
      <c r="P426" s="137" t="s">
        <v>39</v>
      </c>
    </row>
    <row r="427" spans="12:16" x14ac:dyDescent="0.35">
      <c r="L427" s="137" t="s">
        <v>48</v>
      </c>
      <c r="M427" s="137" t="s">
        <v>34</v>
      </c>
      <c r="N427" s="137" t="s">
        <v>9</v>
      </c>
      <c r="O427" s="137">
        <v>6775</v>
      </c>
      <c r="P427" s="137" t="s">
        <v>39</v>
      </c>
    </row>
    <row r="428" spans="12:16" x14ac:dyDescent="0.35">
      <c r="L428" s="137" t="s">
        <v>48</v>
      </c>
      <c r="M428" s="137" t="s">
        <v>34</v>
      </c>
      <c r="N428" s="137" t="s">
        <v>9</v>
      </c>
      <c r="O428" s="137">
        <v>10512</v>
      </c>
      <c r="P428" s="137" t="s">
        <v>39</v>
      </c>
    </row>
    <row r="429" spans="12:16" x14ac:dyDescent="0.35">
      <c r="L429" s="137" t="s">
        <v>48</v>
      </c>
      <c r="M429" s="137" t="s">
        <v>34</v>
      </c>
      <c r="N429" s="137" t="s">
        <v>11</v>
      </c>
      <c r="O429" s="137">
        <v>7530</v>
      </c>
      <c r="P429" s="137" t="s">
        <v>39</v>
      </c>
    </row>
    <row r="430" spans="12:16" x14ac:dyDescent="0.35">
      <c r="L430" s="137" t="s">
        <v>48</v>
      </c>
      <c r="M430" s="137" t="s">
        <v>34</v>
      </c>
      <c r="N430" s="137" t="s">
        <v>21</v>
      </c>
      <c r="O430" s="137">
        <v>55900</v>
      </c>
      <c r="P430" s="137" t="s">
        <v>39</v>
      </c>
    </row>
    <row r="431" spans="12:16" x14ac:dyDescent="0.35">
      <c r="L431" s="137" t="s">
        <v>53</v>
      </c>
      <c r="M431" s="137" t="s">
        <v>34</v>
      </c>
      <c r="N431" s="137" t="s">
        <v>7</v>
      </c>
      <c r="O431" s="137">
        <v>15390</v>
      </c>
      <c r="P431" s="137" t="s">
        <v>39</v>
      </c>
    </row>
    <row r="432" spans="12:16" x14ac:dyDescent="0.35">
      <c r="L432" s="137" t="s">
        <v>53</v>
      </c>
      <c r="M432" s="137" t="s">
        <v>34</v>
      </c>
      <c r="N432" s="137" t="s">
        <v>9</v>
      </c>
      <c r="O432" s="137">
        <v>6775</v>
      </c>
      <c r="P432" s="137" t="s">
        <v>39</v>
      </c>
    </row>
    <row r="433" spans="12:16" x14ac:dyDescent="0.35">
      <c r="L433" s="137" t="s">
        <v>53</v>
      </c>
      <c r="M433" s="137" t="s">
        <v>34</v>
      </c>
      <c r="N433" s="137" t="s">
        <v>9</v>
      </c>
      <c r="O433" s="137">
        <v>10512</v>
      </c>
      <c r="P433" s="137" t="s">
        <v>39</v>
      </c>
    </row>
    <row r="434" spans="12:16" x14ac:dyDescent="0.35">
      <c r="L434" s="137" t="s">
        <v>53</v>
      </c>
      <c r="M434" s="137" t="s">
        <v>34</v>
      </c>
      <c r="N434" s="137" t="s">
        <v>11</v>
      </c>
      <c r="O434" s="137">
        <v>7530</v>
      </c>
      <c r="P434" s="137" t="s">
        <v>39</v>
      </c>
    </row>
    <row r="435" spans="12:16" x14ac:dyDescent="0.35">
      <c r="L435" s="137" t="s">
        <v>53</v>
      </c>
      <c r="M435" s="137" t="s">
        <v>34</v>
      </c>
      <c r="N435" s="137" t="s">
        <v>21</v>
      </c>
      <c r="O435" s="137">
        <v>55900</v>
      </c>
      <c r="P435" s="137" t="s">
        <v>39</v>
      </c>
    </row>
    <row r="436" spans="12:16" x14ac:dyDescent="0.35">
      <c r="L436" s="137" t="s">
        <v>56</v>
      </c>
      <c r="M436" s="137" t="s">
        <v>34</v>
      </c>
      <c r="N436" s="137" t="s">
        <v>7</v>
      </c>
      <c r="O436" s="137">
        <v>15390</v>
      </c>
      <c r="P436" s="137" t="s">
        <v>39</v>
      </c>
    </row>
    <row r="437" spans="12:16" x14ac:dyDescent="0.35">
      <c r="L437" s="137" t="s">
        <v>56</v>
      </c>
      <c r="M437" s="137" t="s">
        <v>34</v>
      </c>
      <c r="N437" s="137" t="s">
        <v>9</v>
      </c>
      <c r="O437" s="137">
        <v>6775</v>
      </c>
      <c r="P437" s="137" t="s">
        <v>39</v>
      </c>
    </row>
    <row r="438" spans="12:16" x14ac:dyDescent="0.35">
      <c r="L438" s="137" t="s">
        <v>56</v>
      </c>
      <c r="M438" s="137" t="s">
        <v>34</v>
      </c>
      <c r="N438" s="137" t="s">
        <v>9</v>
      </c>
      <c r="O438" s="137">
        <v>10512</v>
      </c>
      <c r="P438" s="137" t="s">
        <v>39</v>
      </c>
    </row>
    <row r="439" spans="12:16" x14ac:dyDescent="0.35">
      <c r="L439" s="137" t="s">
        <v>56</v>
      </c>
      <c r="M439" s="137" t="s">
        <v>34</v>
      </c>
      <c r="N439" s="137" t="s">
        <v>11</v>
      </c>
      <c r="O439" s="137">
        <v>7530</v>
      </c>
      <c r="P439" s="137" t="s">
        <v>39</v>
      </c>
    </row>
    <row r="440" spans="12:16" x14ac:dyDescent="0.35">
      <c r="L440" s="137" t="s">
        <v>56</v>
      </c>
      <c r="M440" s="137" t="s">
        <v>34</v>
      </c>
      <c r="N440" s="137" t="s">
        <v>21</v>
      </c>
      <c r="O440" s="137">
        <v>55900</v>
      </c>
      <c r="P440" s="137" t="s">
        <v>39</v>
      </c>
    </row>
    <row r="441" spans="12:16" x14ac:dyDescent="0.35">
      <c r="L441" s="137" t="s">
        <v>33</v>
      </c>
      <c r="M441" s="137" t="s">
        <v>34</v>
      </c>
      <c r="N441" s="137" t="s">
        <v>19</v>
      </c>
      <c r="O441" s="137">
        <v>1</v>
      </c>
      <c r="P441" s="137" t="s">
        <v>45</v>
      </c>
    </row>
  </sheetData>
  <mergeCells count="70">
    <mergeCell ref="A405:E405"/>
    <mergeCell ref="A406:A410"/>
    <mergeCell ref="C406:D406"/>
    <mergeCell ref="C407:D407"/>
    <mergeCell ref="C408:D408"/>
    <mergeCell ref="C409:D409"/>
    <mergeCell ref="C410:D410"/>
    <mergeCell ref="A399:E399"/>
    <mergeCell ref="A400:A404"/>
    <mergeCell ref="C400:D400"/>
    <mergeCell ref="C401:D401"/>
    <mergeCell ref="C402:D402"/>
    <mergeCell ref="C403:D403"/>
    <mergeCell ref="C404:D404"/>
    <mergeCell ref="I334:K335"/>
    <mergeCell ref="L334:O334"/>
    <mergeCell ref="I336:K336"/>
    <mergeCell ref="J337:K337"/>
    <mergeCell ref="A389:A398"/>
    <mergeCell ref="A377:C377"/>
    <mergeCell ref="A378:C378"/>
    <mergeCell ref="A379:C379"/>
    <mergeCell ref="A380:C380"/>
    <mergeCell ref="A381:C381"/>
    <mergeCell ref="A376:C376"/>
    <mergeCell ref="A334:C335"/>
    <mergeCell ref="D334:G334"/>
    <mergeCell ref="A336:C336"/>
    <mergeCell ref="B337:C337"/>
    <mergeCell ref="A338:A344"/>
    <mergeCell ref="B360:B369"/>
    <mergeCell ref="B370:C370"/>
    <mergeCell ref="A371:A372"/>
    <mergeCell ref="B371:B372"/>
    <mergeCell ref="B338:B344"/>
    <mergeCell ref="B345:C345"/>
    <mergeCell ref="A346:A358"/>
    <mergeCell ref="B346:B358"/>
    <mergeCell ref="B359:C359"/>
    <mergeCell ref="A375:C375"/>
    <mergeCell ref="B373:C373"/>
    <mergeCell ref="A216:A217"/>
    <mergeCell ref="A139:A142"/>
    <mergeCell ref="D140:D141"/>
    <mergeCell ref="A143:A146"/>
    <mergeCell ref="D143:D145"/>
    <mergeCell ref="A148:A149"/>
    <mergeCell ref="A150:A153"/>
    <mergeCell ref="D150:D152"/>
    <mergeCell ref="A156:A159"/>
    <mergeCell ref="D156:D158"/>
    <mergeCell ref="A162:A163"/>
    <mergeCell ref="D162:D163"/>
    <mergeCell ref="A191:A192"/>
    <mergeCell ref="A360:A369"/>
    <mergeCell ref="A123:A126"/>
    <mergeCell ref="D123:D125"/>
    <mergeCell ref="A128:A131"/>
    <mergeCell ref="D128:D130"/>
    <mergeCell ref="A134:A138"/>
    <mergeCell ref="D134:D136"/>
    <mergeCell ref="D137:D138"/>
    <mergeCell ref="J371:J372"/>
    <mergeCell ref="J373:K373"/>
    <mergeCell ref="J338:J344"/>
    <mergeCell ref="J345:K345"/>
    <mergeCell ref="J346:J358"/>
    <mergeCell ref="J359:K359"/>
    <mergeCell ref="J360:J369"/>
    <mergeCell ref="J370:K370"/>
  </mergeCells>
  <phoneticPr fontId="42" type="noConversion"/>
  <hyperlinks>
    <hyperlink ref="A221" r:id="rId1" xr:uid="{20D8040F-79E2-465C-B7F2-F57E54466426}"/>
    <hyperlink ref="A168" r:id="rId2" xr:uid="{DC832105-B1DC-4F31-8428-2820B1E823BE}"/>
    <hyperlink ref="A285" r:id="rId3" xr:uid="{89C9CF02-9AC4-4D97-9FF1-0263D34CE200}"/>
    <hyperlink ref="A306" r:id="rId4" xr:uid="{097705E8-E517-4661-AF73-CEF21797EBAA}"/>
    <hyperlink ref="A316" r:id="rId5" xr:uid="{9063FF85-0731-4E63-B879-4B347D3FAB75}"/>
    <hyperlink ref="A320" r:id="rId6" xr:uid="{5AF010C0-F0BF-4371-ACF3-4E1BA2853C43}"/>
    <hyperlink ref="A254" r:id="rId7" location="t0015" xr:uid="{82461260-6E01-4194-9A7D-705E4EE4EEFB}"/>
    <hyperlink ref="A333" r:id="rId8" xr:uid="{B831A079-DF70-4E28-859B-FF4046A03F5A}"/>
  </hyperlinks>
  <pageMargins left="0.7" right="0.7" top="0.75" bottom="0.75" header="0.3" footer="0.3"/>
  <pageSetup orientation="portrait" r:id="rId9"/>
  <drawing r:id="rId10"/>
  <legacy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Sheet1</vt:lpstr>
      <vt:lpstr>Wind </vt:lpstr>
      <vt:lpstr>Oil, Coal, Natural Gas (tGW)</vt:lpstr>
      <vt:lpstr>CCS</vt:lpstr>
      <vt:lpstr>Nuclear</vt:lpstr>
      <vt:lpstr>Biomass and Waste</vt:lpstr>
      <vt:lpstr>Hydro</vt:lpstr>
      <vt:lpstr>Geothermal</vt:lpstr>
      <vt:lpstr>Solar PV</vt:lpstr>
      <vt:lpstr>BatteryFuelCell</vt:lpstr>
      <vt:lpstr>ResourcesReserves</vt:lpstr>
      <vt:lpstr>'Wind '!bbib30</vt:lpstr>
      <vt:lpstr>'Wind '!bbib70</vt:lpstr>
      <vt:lpstr>'Wind '!bbib76</vt:lpstr>
      <vt:lpstr>'Wind '!btbl14</vt:lpstr>
      <vt:lpstr>'Solar PV'!btblfn10</vt:lpstr>
      <vt:lpstr>'Wind '!btblfn4</vt:lpstr>
      <vt:lpstr>'Wind '!btblfn5</vt:lpstr>
      <vt:lpstr>'Solar PV'!btblfn9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Avery M</dc:creator>
  <cp:lastModifiedBy>Avery M</cp:lastModifiedBy>
  <dcterms:created xsi:type="dcterms:W3CDTF">2023-04-18T14:41:21Z</dcterms:created>
  <dcterms:modified xsi:type="dcterms:W3CDTF">2023-07-31T01:46:42Z</dcterms:modified>
</cp:coreProperties>
</file>