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Docs\RampRate\Accelerator\DEVxDAO\Scorecard\"/>
    </mc:Choice>
  </mc:AlternateContent>
  <xr:revisionPtr revIDLastSave="0" documentId="13_ncr:1_{51E2AB07-0478-4911-8D7D-AB30ADD7EEC2}" xr6:coauthVersionLast="47" xr6:coauthVersionMax="47" xr10:uidLastSave="{00000000-0000-0000-0000-000000000000}"/>
  <bookViews>
    <workbookView xWindow="1545" yWindow="5610" windowWidth="25350" windowHeight="20010" xr2:uid="{D35913F3-3345-4FD1-83FE-49EE40C687A3}"/>
  </bookViews>
  <sheets>
    <sheet name="Index" sheetId="42" r:id="rId1"/>
    <sheet name="VA Front Page" sheetId="2" r:id="rId2"/>
    <sheet name="VA Detailed Scorecard Config" sheetId="40" r:id="rId3"/>
    <sheet name="VA Dealbreakers" sheetId="41" r:id="rId4"/>
    <sheet name="Org Profile" sheetId="7" r:id="rId5"/>
    <sheet name="Org Audit" sheetId="16" r:id="rId6"/>
    <sheet name="Individual Profile" sheetId="10" r:id="rId7"/>
    <sheet name="Individual Audit" sheetId="20" r:id="rId8"/>
    <sheet name="Reference" sheetId="11" r:id="rId9"/>
    <sheet name="Reference Audit" sheetId="21" r:id="rId10"/>
    <sheet name="Grant - Request" sheetId="9" r:id="rId11"/>
    <sheet name="Grant - Milestone" sheetId="12" r:id="rId12"/>
    <sheet name="Grant Audit" sheetId="19" r:id="rId13"/>
    <sheet name="Data Parser" sheetId="14" r:id="rId14"/>
    <sheet name="Scorecard Detail" sheetId="5" state="hidden" r:id="rId15"/>
    <sheet name="Proposer Inputs" sheetId="1" state="hidden" r:id="rId16"/>
    <sheet name="Auditor Inputs" sheetId="3" state="hidden" r:id="rId17"/>
    <sheet name="Proposer Inputs (Addl Pool)" sheetId="4" state="hidden" r:id="rId18"/>
    <sheet name="Lookup Tables" sheetId="6" r:id="rId19"/>
    <sheet name="Lookup Tables (2)" sheetId="8" state="hidden" r:id="rId20"/>
    <sheet name="SampleOrg1" sheetId="15" r:id="rId21"/>
    <sheet name="SampleOrgAudit1" sheetId="17" r:id="rId22"/>
    <sheet name="SampleOrgAudit2" sheetId="18" r:id="rId23"/>
    <sheet name="Grant10000" sheetId="22" r:id="rId24"/>
    <sheet name="Milestone10000.1" sheetId="34" r:id="rId25"/>
    <sheet name="Milestone10000.2" sheetId="35" r:id="rId26"/>
    <sheet name="Milestone10000.3" sheetId="36" r:id="rId27"/>
    <sheet name="Milestone10000.4" sheetId="37" r:id="rId28"/>
    <sheet name="Grant10000Audit1" sheetId="23" r:id="rId29"/>
    <sheet name="Grant10000Audit2" sheetId="24" r:id="rId30"/>
    <sheet name="SamplePerson1" sheetId="25" r:id="rId31"/>
    <sheet name="SamplePerson2" sheetId="26" r:id="rId32"/>
    <sheet name="SamplePerson3" sheetId="27" r:id="rId33"/>
    <sheet name="AuditSamplePerson1" sheetId="30" r:id="rId34"/>
    <sheet name="AuditSamplePerson2" sheetId="31" r:id="rId35"/>
    <sheet name="AuditSamplePerson3" sheetId="32" r:id="rId36"/>
    <sheet name="SampleRef1" sheetId="28" r:id="rId37"/>
    <sheet name="SampleRef2" sheetId="29" r:id="rId38"/>
    <sheet name="SampleRef3" sheetId="33" r:id="rId39"/>
    <sheet name="Ref1Audit" sheetId="38" r:id="rId40"/>
    <sheet name="Ref3Audit" sheetId="39" r:id="rId41"/>
  </sheets>
  <definedNames>
    <definedName name="AllQuestions">'VA Dealbreakers'!$P$3:$P$271</definedName>
    <definedName name="Backup">'Lookup Tables'!$B$529:$B$535</definedName>
    <definedName name="Backup_Frequency">'Lookup Tables'!$B$536:$B$543</definedName>
    <definedName name="Backup_Plan">'Lookup Tables'!#REF!</definedName>
    <definedName name="Centralization">'Lookup Tables'!$B$259:$B$267</definedName>
    <definedName name="Client_Type">'Lookup Tables'!$B$335:$B$344</definedName>
    <definedName name="CompSci_Education">'Lookup Tables'!$B$383:$B$391</definedName>
    <definedName name="Contact_Methods">'Lookup Tables'!$B$351:$B$357</definedName>
    <definedName name="Contribution_Level">'Lookup Tables'!$B$400:$B$407</definedName>
    <definedName name="Countries">'Lookup Tables'!$B$64:$B$258</definedName>
    <definedName name="DAO_Experience">'Lookup Tables'!$B$268:$B$274</definedName>
    <definedName name="Decisions">'Lookup Tables'!$B$275:$B$281</definedName>
    <definedName name="Disagree_Agree_1_5">'Lookup Tables'!$B$47:$B$54</definedName>
    <definedName name="Education">'Lookup Tables'!$B$392:$B$399</definedName>
    <definedName name="ETA_Relationship">'Lookup Tables'!$B$498:$B$504</definedName>
    <definedName name="Existing_Problems">'Lookup Tables'!$B$358:$B$362</definedName>
    <definedName name="Expansion">'Lookup Tables'!$B$512:$B$520</definedName>
    <definedName name="Expressions">'VA Dealbreakers'!$O$3:$O$6</definedName>
    <definedName name="Extension">'Lookup Tables'!$B$505:$B$511</definedName>
    <definedName name="Focus_Area_Diversity">'Lookup Tables'!$B$324:$B$334</definedName>
    <definedName name="Focus_Area_Fit">'Lookup Tables'!$B$313:$B$322</definedName>
    <definedName name="Funding_Buckets">'Lookup Tables'!$B$290:$B$297</definedName>
    <definedName name="Gender">'Lookup Tables'!$B$363:$B$367</definedName>
    <definedName name="Generic_1_5">'Lookup Tables'!$B$39:$B$46</definedName>
    <definedName name="High_Percent_Good">'Lookup Tables'!$B$25:$B$31</definedName>
    <definedName name="Industry_Diversity">'Lookup Tables'!$B$306:$B$312</definedName>
    <definedName name="Invite_Source">'Lookup Tables'!$B$345:$B$350</definedName>
    <definedName name="Layer_1">'Lookup Tables'!$B$431:$B$435</definedName>
    <definedName name="License">'Lookup Tables'!$B$471:$B$478</definedName>
    <definedName name="Low_Percent_Good">'Lookup Tables'!$B$32:$B$38</definedName>
    <definedName name="Major_SLA_Penalty">'Lookup Tables'!$B$583:$B$594</definedName>
    <definedName name="Mentoring_Reward">'Lookup Tables'!$B$479:$B$497</definedName>
    <definedName name="Minor_SLA_Penalty">'Lookup Tables'!$B$574:$B$582</definedName>
    <definedName name="Mission_Fit">'Lookup Tables'!$B$449:$B$453</definedName>
    <definedName name="NO_Yes">'Lookup Tables'!$B$5:$B$7</definedName>
    <definedName name="Org_Role">'Lookup Tables'!$B$426:$B$430</definedName>
    <definedName name="Org_Type">'Lookup Tables'!$B$55:$B$63</definedName>
    <definedName name="Personal_Talent">'Lookup Tables'!$B$368:$B$376</definedName>
    <definedName name="Project_Program">'Lookup Tables'!$B$443:$B$448</definedName>
    <definedName name="Project_Type">'Lookup Tables'!$B$408:$B$416</definedName>
    <definedName name="Proprietary_to_OpenSource">'Lookup Tables'!$B$454:$B$459</definedName>
    <definedName name="Ref_Check_OK">'Lookup Tables'!$B$417:$B$425</definedName>
    <definedName name="Release_Location">'Lookup Tables'!$B$466:$B$470</definedName>
    <definedName name="Resolution_Time">'Lookup Tables'!$B$555:$B$563</definedName>
    <definedName name="Response_Time">'Lookup Tables'!$B$544:$B$554</definedName>
    <definedName name="Revenue_Buckets">'Lookup Tables'!$B$282:$B$289</definedName>
    <definedName name="Social_Impact">'Lookup Tables'!$B$460:$B$465</definedName>
    <definedName name="Staff_Buckets">'Lookup Tables'!$B$298:$B$305</definedName>
    <definedName name="Uptime">'Lookup Tables'!$B$564:$B$573</definedName>
    <definedName name="Vulnerability_Repair">'Lookup Tables'!$B$436:$B$442</definedName>
    <definedName name="Warranty">'Lookup Tables'!$B$521:$B$528</definedName>
    <definedName name="Years_Experience">'Lookup Tables'!$B$377:$B$382</definedName>
    <definedName name="YES_No">'Lookup Tables'!$B$2:$B$4</definedName>
    <definedName name="YES_No_Link">'Lookup Tables'!$B$13:$B$16</definedName>
    <definedName name="Yes_No_NA">'Lookup Tables'!$B$17:$B$20</definedName>
    <definedName name="YES_No_OptOut">'Lookup Tables'!$B$21:$B$24</definedName>
    <definedName name="Yes_No_Partial">'Lookup Tables'!$B$8:$B$12</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41" l="1"/>
  <c r="K42" i="2"/>
  <c r="F278" i="40"/>
  <c r="E278" i="40"/>
  <c r="F265" i="40"/>
  <c r="F199" i="40"/>
  <c r="B300" i="40"/>
  <c r="F71" i="9"/>
  <c r="F70" i="9"/>
  <c r="F69" i="9"/>
  <c r="F68" i="9"/>
  <c r="F70" i="22"/>
  <c r="F71" i="22"/>
  <c r="AG195" i="14"/>
  <c r="Y195" i="14"/>
  <c r="X195" i="14" s="1"/>
  <c r="AG194" i="14"/>
  <c r="Y194" i="14"/>
  <c r="X194" i="14" s="1"/>
  <c r="AG248" i="14"/>
  <c r="AG246" i="14"/>
  <c r="AG435" i="14"/>
  <c r="AG432" i="14"/>
  <c r="AG431" i="14"/>
  <c r="AG430" i="14"/>
  <c r="AG429" i="14"/>
  <c r="AG428" i="14"/>
  <c r="AG427" i="14"/>
  <c r="AG426" i="14"/>
  <c r="AG425" i="14"/>
  <c r="AG424" i="14"/>
  <c r="AG423" i="14"/>
  <c r="AG422" i="14"/>
  <c r="AG421" i="14"/>
  <c r="AG420" i="14"/>
  <c r="AG419" i="14"/>
  <c r="AG418" i="14"/>
  <c r="AG417" i="14"/>
  <c r="AG416" i="14"/>
  <c r="AG415" i="14"/>
  <c r="AG414" i="14"/>
  <c r="AG413" i="14"/>
  <c r="AG412" i="14"/>
  <c r="AG411" i="14"/>
  <c r="AG410" i="14"/>
  <c r="AG409" i="14"/>
  <c r="AG408" i="14"/>
  <c r="AG407" i="14"/>
  <c r="AG406" i="14"/>
  <c r="AG405" i="14"/>
  <c r="AG404" i="14"/>
  <c r="AG403" i="14"/>
  <c r="AG402" i="14"/>
  <c r="AG399" i="14"/>
  <c r="AG398" i="14"/>
  <c r="AG392" i="14"/>
  <c r="AG391" i="14"/>
  <c r="AG388" i="14"/>
  <c r="AG387" i="14"/>
  <c r="AG386" i="14"/>
  <c r="AG385" i="14"/>
  <c r="AG384" i="14"/>
  <c r="AG383" i="14"/>
  <c r="AG382" i="14"/>
  <c r="AG381" i="14"/>
  <c r="AG380" i="14"/>
  <c r="AG379" i="14"/>
  <c r="AG378" i="14"/>
  <c r="AG376" i="14"/>
  <c r="AG375" i="14"/>
  <c r="AG374" i="14"/>
  <c r="AG373" i="14"/>
  <c r="AG372" i="14"/>
  <c r="AG371" i="14"/>
  <c r="AG370" i="14"/>
  <c r="AG369" i="14"/>
  <c r="AG362" i="14"/>
  <c r="AG359" i="14"/>
  <c r="AG358" i="14"/>
  <c r="AG357" i="14"/>
  <c r="AG356" i="14"/>
  <c r="AG354" i="14"/>
  <c r="AG353" i="14"/>
  <c r="AG352" i="14"/>
  <c r="AG351" i="14"/>
  <c r="AG350" i="14"/>
  <c r="AG349" i="14"/>
  <c r="AG348" i="14"/>
  <c r="AG347" i="14"/>
  <c r="AG346" i="14"/>
  <c r="AG344" i="14"/>
  <c r="AG343" i="14"/>
  <c r="AG342" i="14"/>
  <c r="AG341" i="14"/>
  <c r="AG340" i="14"/>
  <c r="AG335" i="14"/>
  <c r="AG334" i="14"/>
  <c r="AG333" i="14"/>
  <c r="AG332" i="14"/>
  <c r="AG331" i="14"/>
  <c r="AG330" i="14"/>
  <c r="AG329" i="14"/>
  <c r="AG328" i="14"/>
  <c r="AG327" i="14"/>
  <c r="AG326" i="14"/>
  <c r="AG312" i="14"/>
  <c r="AG311" i="14"/>
  <c r="AG310" i="14"/>
  <c r="AG309" i="14"/>
  <c r="AG308" i="14"/>
  <c r="AG307" i="14"/>
  <c r="AG304" i="14"/>
  <c r="AG303" i="14"/>
  <c r="AG300" i="14"/>
  <c r="AG291" i="14"/>
  <c r="AG290" i="14"/>
  <c r="AG289" i="14"/>
  <c r="AG288" i="14"/>
  <c r="AG287" i="14"/>
  <c r="AG286" i="14"/>
  <c r="AG285" i="14"/>
  <c r="AG284" i="14"/>
  <c r="AG283" i="14"/>
  <c r="AG282" i="14"/>
  <c r="AG281" i="14"/>
  <c r="AG280" i="14"/>
  <c r="AG279" i="14"/>
  <c r="AG278" i="14"/>
  <c r="AG277" i="14"/>
  <c r="AG276" i="14"/>
  <c r="AG275" i="14"/>
  <c r="AG274" i="14"/>
  <c r="AG273" i="14"/>
  <c r="AG272" i="14"/>
  <c r="AG271" i="14"/>
  <c r="AG270" i="14"/>
  <c r="AG269" i="14"/>
  <c r="AG268" i="14"/>
  <c r="AG267" i="14"/>
  <c r="AG266" i="14"/>
  <c r="AG265" i="14"/>
  <c r="AG264" i="14"/>
  <c r="AG263" i="14"/>
  <c r="AG262" i="14"/>
  <c r="AG261" i="14"/>
  <c r="AG260" i="14"/>
  <c r="AG259" i="14"/>
  <c r="AG258" i="14"/>
  <c r="AG257" i="14"/>
  <c r="AG256" i="14"/>
  <c r="AG255" i="14"/>
  <c r="AG254" i="14"/>
  <c r="AG253" i="14"/>
  <c r="AG243" i="14"/>
  <c r="AG242" i="14"/>
  <c r="AG241" i="14"/>
  <c r="AG240" i="14"/>
  <c r="AG239" i="14"/>
  <c r="AG234" i="14"/>
  <c r="AG230" i="14"/>
  <c r="AG229" i="14"/>
  <c r="AG228" i="14"/>
  <c r="AG227" i="14"/>
  <c r="AG226" i="14"/>
  <c r="AG225" i="14"/>
  <c r="AG224" i="14"/>
  <c r="AG223" i="14"/>
  <c r="AG222" i="14"/>
  <c r="AG221" i="14"/>
  <c r="AG220" i="14"/>
  <c r="AG219" i="14"/>
  <c r="AG218" i="14"/>
  <c r="AG217" i="14"/>
  <c r="AG216" i="14"/>
  <c r="AG215" i="14"/>
  <c r="AG214" i="14"/>
  <c r="AG213" i="14"/>
  <c r="AG212" i="14"/>
  <c r="AG211" i="14"/>
  <c r="AG210" i="14"/>
  <c r="AG209" i="14"/>
  <c r="AG208" i="14"/>
  <c r="AG207" i="14"/>
  <c r="AG206" i="14"/>
  <c r="AG205" i="14"/>
  <c r="AG204" i="14"/>
  <c r="AG203" i="14"/>
  <c r="AG198" i="14"/>
  <c r="AG196" i="14"/>
  <c r="AG193" i="14"/>
  <c r="AG192" i="14"/>
  <c r="AG191" i="14"/>
  <c r="AG190" i="14"/>
  <c r="AG189" i="14"/>
  <c r="AG180" i="14"/>
  <c r="AG176" i="14"/>
  <c r="AG175" i="14"/>
  <c r="AG174" i="14"/>
  <c r="AG173" i="14"/>
  <c r="AG172" i="14"/>
  <c r="AG171" i="14"/>
  <c r="AG170" i="14"/>
  <c r="AG169" i="14"/>
  <c r="AG168" i="14"/>
  <c r="AG167" i="14"/>
  <c r="AG166" i="14"/>
  <c r="AG165" i="14"/>
  <c r="AG164" i="14"/>
  <c r="AG163" i="14"/>
  <c r="AG162" i="14"/>
  <c r="AG161" i="14"/>
  <c r="AG160" i="14"/>
  <c r="AG159" i="14"/>
  <c r="AG155" i="14"/>
  <c r="AG154" i="14"/>
  <c r="AG153" i="14"/>
  <c r="AG148" i="14"/>
  <c r="AG147" i="14"/>
  <c r="AG146" i="14"/>
  <c r="AG142" i="14"/>
  <c r="AG139" i="14"/>
  <c r="AG138" i="14"/>
  <c r="AG137" i="14"/>
  <c r="AG135" i="14"/>
  <c r="AG134" i="14"/>
  <c r="AG133" i="14"/>
  <c r="AG132" i="14"/>
  <c r="AG131" i="14"/>
  <c r="AG130" i="14"/>
  <c r="AG129" i="14"/>
  <c r="AG124" i="14"/>
  <c r="AG122" i="14"/>
  <c r="AG121" i="14"/>
  <c r="AG120" i="14"/>
  <c r="AG119" i="14"/>
  <c r="AG118" i="14"/>
  <c r="AG117" i="14"/>
  <c r="AG116" i="14"/>
  <c r="AG115" i="14"/>
  <c r="AG114" i="14"/>
  <c r="AG113" i="14"/>
  <c r="AG112" i="14"/>
  <c r="AG111" i="14"/>
  <c r="AG110" i="14"/>
  <c r="AG109" i="14"/>
  <c r="AG108" i="14"/>
  <c r="AG107" i="14"/>
  <c r="AG106" i="14"/>
  <c r="AG105" i="14"/>
  <c r="AG104" i="14"/>
  <c r="AG99" i="14"/>
  <c r="AG98" i="14"/>
  <c r="AG97" i="14"/>
  <c r="AG96" i="14"/>
  <c r="AG95" i="14"/>
  <c r="AG94" i="14"/>
  <c r="AG93" i="14"/>
  <c r="AG92" i="14"/>
  <c r="AG90" i="14"/>
  <c r="AG89" i="14"/>
  <c r="AG88" i="14"/>
  <c r="AG87" i="14"/>
  <c r="AG85" i="14"/>
  <c r="AG84" i="14"/>
  <c r="AG83" i="14"/>
  <c r="AG82" i="14"/>
  <c r="AG81" i="14"/>
  <c r="AG78" i="14"/>
  <c r="AG77" i="14"/>
  <c r="AG76" i="14"/>
  <c r="AG75" i="14"/>
  <c r="AG74" i="14"/>
  <c r="AG73" i="14"/>
  <c r="AG72" i="14"/>
  <c r="AG71" i="14"/>
  <c r="AG70" i="14"/>
  <c r="AG69" i="14"/>
  <c r="AG68" i="14"/>
  <c r="AG67" i="14"/>
  <c r="AG66" i="14"/>
  <c r="AG65" i="14"/>
  <c r="AG59" i="14"/>
  <c r="AG60" i="14"/>
  <c r="AG61" i="14"/>
  <c r="AG58" i="14"/>
  <c r="F19" i="33"/>
  <c r="F29" i="28"/>
  <c r="F28" i="28"/>
  <c r="F27" i="28"/>
  <c r="F26" i="28"/>
  <c r="F25" i="28"/>
  <c r="F24" i="28"/>
  <c r="F23" i="28"/>
  <c r="F22" i="28"/>
  <c r="F21" i="28"/>
  <c r="F19" i="28"/>
  <c r="F18" i="28"/>
  <c r="F17" i="28"/>
  <c r="F16" i="28"/>
  <c r="F15" i="28"/>
  <c r="F14" i="28"/>
  <c r="F13" i="28"/>
  <c r="F12" i="28"/>
  <c r="F11" i="28"/>
  <c r="F10" i="28"/>
  <c r="F29" i="29"/>
  <c r="F28" i="29"/>
  <c r="F27" i="29"/>
  <c r="F26" i="29"/>
  <c r="F25" i="29"/>
  <c r="F24" i="29"/>
  <c r="F23" i="29"/>
  <c r="F22" i="29"/>
  <c r="F21" i="29"/>
  <c r="F19" i="29"/>
  <c r="F18" i="29"/>
  <c r="F17" i="29"/>
  <c r="F16" i="29"/>
  <c r="F15" i="29"/>
  <c r="F14" i="29"/>
  <c r="F13" i="29"/>
  <c r="F12" i="29"/>
  <c r="F11" i="29"/>
  <c r="F10" i="29"/>
  <c r="F20" i="32"/>
  <c r="F19" i="32"/>
  <c r="F18" i="32"/>
  <c r="F17" i="32"/>
  <c r="F16" i="32"/>
  <c r="F15" i="32"/>
  <c r="F14" i="32"/>
  <c r="F12" i="32"/>
  <c r="F20" i="31"/>
  <c r="F19" i="31"/>
  <c r="F18" i="31"/>
  <c r="F17" i="31"/>
  <c r="F16" i="31"/>
  <c r="F15" i="31"/>
  <c r="F14" i="31"/>
  <c r="F12" i="31"/>
  <c r="F20" i="30"/>
  <c r="F19" i="30"/>
  <c r="F18" i="30"/>
  <c r="F17" i="30"/>
  <c r="F16" i="30"/>
  <c r="F15" i="30"/>
  <c r="F14" i="30"/>
  <c r="F12" i="30"/>
  <c r="AA204" i="14"/>
  <c r="Y230" i="14"/>
  <c r="X230" i="14" s="1"/>
  <c r="W230" i="14"/>
  <c r="Y229" i="14"/>
  <c r="X229" i="14" s="1"/>
  <c r="Y228" i="14"/>
  <c r="X228" i="14" s="1"/>
  <c r="Y227" i="14"/>
  <c r="X227" i="14" s="1"/>
  <c r="Y226" i="14"/>
  <c r="X226" i="14" s="1"/>
  <c r="Y225" i="14"/>
  <c r="X225" i="14" s="1"/>
  <c r="Y224" i="14"/>
  <c r="X224" i="14" s="1"/>
  <c r="Y223" i="14"/>
  <c r="V223" i="14" s="1"/>
  <c r="X223" i="14"/>
  <c r="W223" i="14"/>
  <c r="Y222" i="14"/>
  <c r="X222" i="14" s="1"/>
  <c r="Y221" i="14"/>
  <c r="X221" i="14" s="1"/>
  <c r="Y220" i="14"/>
  <c r="X220" i="14" s="1"/>
  <c r="W220" i="14"/>
  <c r="V220" i="14"/>
  <c r="Y219" i="14"/>
  <c r="X219" i="14" s="1"/>
  <c r="Y218" i="14"/>
  <c r="X218" i="14" s="1"/>
  <c r="V218" i="14"/>
  <c r="Y217" i="14"/>
  <c r="W217" i="14" s="1"/>
  <c r="Y216" i="14"/>
  <c r="W216" i="14" s="1"/>
  <c r="Y215" i="14"/>
  <c r="X215" i="14" s="1"/>
  <c r="W215" i="14"/>
  <c r="Y214" i="14"/>
  <c r="X214" i="14" s="1"/>
  <c r="W214" i="14"/>
  <c r="V214" i="14"/>
  <c r="Y213" i="14"/>
  <c r="X213" i="14" s="1"/>
  <c r="Y212" i="14"/>
  <c r="W212" i="14"/>
  <c r="V212" i="14"/>
  <c r="Y211" i="14"/>
  <c r="V211" i="14" s="1"/>
  <c r="W211" i="14"/>
  <c r="Y210" i="14"/>
  <c r="W210" i="14" s="1"/>
  <c r="X210" i="14"/>
  <c r="Y209" i="14"/>
  <c r="X209" i="14" s="1"/>
  <c r="Y208" i="14"/>
  <c r="W208" i="14" s="1"/>
  <c r="X208" i="14"/>
  <c r="V208" i="14"/>
  <c r="Y207" i="14"/>
  <c r="W207" i="14" s="1"/>
  <c r="X207" i="14"/>
  <c r="V207" i="14"/>
  <c r="Y206" i="14"/>
  <c r="V206" i="14" s="1"/>
  <c r="X206" i="14"/>
  <c r="W206" i="14"/>
  <c r="Y205" i="14"/>
  <c r="V205" i="14" s="1"/>
  <c r="X205" i="14"/>
  <c r="W205" i="14"/>
  <c r="Y204" i="14"/>
  <c r="X204" i="14" s="1"/>
  <c r="Y203" i="14"/>
  <c r="X203" i="14" s="1"/>
  <c r="U122" i="14"/>
  <c r="AD122" i="14" s="1"/>
  <c r="Y122" i="14"/>
  <c r="F15" i="16"/>
  <c r="F15" i="18"/>
  <c r="F15" i="17"/>
  <c r="F6" i="24"/>
  <c r="F6" i="23"/>
  <c r="F6" i="18"/>
  <c r="F6" i="17"/>
  <c r="F6" i="16"/>
  <c r="F6" i="19"/>
  <c r="K11" i="2"/>
  <c r="Y400" i="14"/>
  <c r="Y401" i="14"/>
  <c r="F39" i="38"/>
  <c r="F38" i="38"/>
  <c r="F37" i="38"/>
  <c r="F36" i="38"/>
  <c r="F35" i="38"/>
  <c r="F34" i="38"/>
  <c r="F33" i="38"/>
  <c r="F28" i="38"/>
  <c r="F27" i="38"/>
  <c r="F26" i="38"/>
  <c r="F25" i="38"/>
  <c r="F24" i="38"/>
  <c r="F23" i="38"/>
  <c r="F22" i="38"/>
  <c r="F21" i="38"/>
  <c r="F20" i="38"/>
  <c r="F19" i="38"/>
  <c r="F18" i="38"/>
  <c r="F17" i="38"/>
  <c r="F16" i="38"/>
  <c r="F15" i="38"/>
  <c r="F14" i="38"/>
  <c r="F13" i="38"/>
  <c r="F12" i="38"/>
  <c r="F11" i="38"/>
  <c r="F10" i="38"/>
  <c r="F7" i="38"/>
  <c r="F39" i="39"/>
  <c r="F38" i="39"/>
  <c r="F37" i="39"/>
  <c r="F36" i="39"/>
  <c r="F35" i="39"/>
  <c r="F34" i="39"/>
  <c r="F33" i="39"/>
  <c r="F28" i="39"/>
  <c r="F27" i="39"/>
  <c r="F26" i="39"/>
  <c r="F25" i="39"/>
  <c r="F24" i="39"/>
  <c r="F23" i="39"/>
  <c r="F22" i="39"/>
  <c r="F21" i="39"/>
  <c r="F20" i="39"/>
  <c r="F19" i="39"/>
  <c r="F18" i="39"/>
  <c r="F17" i="39"/>
  <c r="F16" i="39"/>
  <c r="F15" i="39"/>
  <c r="F14" i="39"/>
  <c r="F13" i="39"/>
  <c r="F12" i="39"/>
  <c r="F11" i="39"/>
  <c r="F10" i="39"/>
  <c r="F7" i="39"/>
  <c r="F34" i="21"/>
  <c r="F35" i="21"/>
  <c r="F36" i="21"/>
  <c r="F37" i="21"/>
  <c r="F38" i="21"/>
  <c r="F39" i="21"/>
  <c r="F33" i="21"/>
  <c r="F11" i="21"/>
  <c r="F12" i="21"/>
  <c r="F13" i="21"/>
  <c r="F14" i="21"/>
  <c r="F15" i="21"/>
  <c r="F16" i="21"/>
  <c r="F17" i="21"/>
  <c r="F18" i="21"/>
  <c r="F19" i="21"/>
  <c r="F20" i="21"/>
  <c r="F21" i="21"/>
  <c r="F22" i="21"/>
  <c r="F23" i="21"/>
  <c r="F24" i="21"/>
  <c r="F25" i="21"/>
  <c r="F26" i="21"/>
  <c r="F27" i="21"/>
  <c r="F28" i="21"/>
  <c r="F10" i="21"/>
  <c r="Y371" i="14"/>
  <c r="X371" i="14" s="1"/>
  <c r="F22" i="33"/>
  <c r="F23" i="33"/>
  <c r="F24" i="33"/>
  <c r="F25" i="33"/>
  <c r="F26" i="33"/>
  <c r="F27" i="33"/>
  <c r="F28" i="33"/>
  <c r="F29" i="33"/>
  <c r="F21" i="33"/>
  <c r="F22" i="11"/>
  <c r="F23" i="11"/>
  <c r="F24" i="11"/>
  <c r="F25" i="11"/>
  <c r="F26" i="11"/>
  <c r="F27" i="11"/>
  <c r="F28" i="11"/>
  <c r="F29" i="11"/>
  <c r="F21" i="11"/>
  <c r="F18" i="33"/>
  <c r="F17" i="33"/>
  <c r="F16" i="33"/>
  <c r="F15" i="33"/>
  <c r="F14" i="33"/>
  <c r="F13" i="33"/>
  <c r="F12" i="33"/>
  <c r="F11" i="33"/>
  <c r="F10" i="33"/>
  <c r="Y340" i="14"/>
  <c r="X340" i="14" s="1"/>
  <c r="Y348" i="14"/>
  <c r="X348" i="14" s="1"/>
  <c r="F20" i="20"/>
  <c r="F19" i="20"/>
  <c r="F18" i="20"/>
  <c r="F17" i="20"/>
  <c r="F16" i="20"/>
  <c r="F15" i="20"/>
  <c r="F14" i="20"/>
  <c r="L194" i="14"/>
  <c r="K194" i="14"/>
  <c r="G194" i="14"/>
  <c r="C194" i="14"/>
  <c r="P195" i="14"/>
  <c r="L195" i="14"/>
  <c r="K195" i="14"/>
  <c r="G195" i="14"/>
  <c r="C195" i="14"/>
  <c r="P194" i="14"/>
  <c r="G229" i="14"/>
  <c r="C218" i="14"/>
  <c r="K216" i="14"/>
  <c r="P214" i="14"/>
  <c r="G205" i="14"/>
  <c r="P203" i="14"/>
  <c r="C229" i="14"/>
  <c r="K227" i="14"/>
  <c r="P225" i="14"/>
  <c r="G216" i="14"/>
  <c r="C205" i="14"/>
  <c r="K203" i="14"/>
  <c r="G227" i="14"/>
  <c r="C216" i="14"/>
  <c r="K214" i="14"/>
  <c r="P212" i="14"/>
  <c r="G203" i="14"/>
  <c r="C207" i="14"/>
  <c r="C227" i="14"/>
  <c r="K225" i="14"/>
  <c r="P223" i="14"/>
  <c r="G214" i="14"/>
  <c r="C203" i="14"/>
  <c r="G225" i="14"/>
  <c r="C214" i="14"/>
  <c r="K212" i="14"/>
  <c r="P210" i="14"/>
  <c r="C225" i="14"/>
  <c r="K223" i="14"/>
  <c r="P221" i="14"/>
  <c r="G212" i="14"/>
  <c r="G223" i="14"/>
  <c r="C212" i="14"/>
  <c r="K210" i="14"/>
  <c r="P208" i="14"/>
  <c r="C223" i="14"/>
  <c r="K221" i="14"/>
  <c r="P219" i="14"/>
  <c r="G210" i="14"/>
  <c r="P230" i="14"/>
  <c r="G221" i="14"/>
  <c r="C210" i="14"/>
  <c r="K208" i="14"/>
  <c r="P206" i="14"/>
  <c r="C221" i="14"/>
  <c r="K219" i="14"/>
  <c r="P217" i="14"/>
  <c r="G208" i="14"/>
  <c r="K229" i="14"/>
  <c r="K230" i="14"/>
  <c r="P228" i="14"/>
  <c r="G219" i="14"/>
  <c r="C208" i="14"/>
  <c r="K206" i="14"/>
  <c r="P204" i="14"/>
  <c r="G230" i="14"/>
  <c r="C219" i="14"/>
  <c r="K217" i="14"/>
  <c r="P215" i="14"/>
  <c r="G206" i="14"/>
  <c r="K205" i="14"/>
  <c r="C230" i="14"/>
  <c r="K228" i="14"/>
  <c r="P226" i="14"/>
  <c r="G217" i="14"/>
  <c r="C206" i="14"/>
  <c r="K204" i="14"/>
  <c r="G218" i="14"/>
  <c r="G228" i="14"/>
  <c r="C217" i="14"/>
  <c r="K215" i="14"/>
  <c r="P213" i="14"/>
  <c r="G204" i="14"/>
  <c r="C228" i="14"/>
  <c r="K226" i="14"/>
  <c r="P224" i="14"/>
  <c r="G215" i="14"/>
  <c r="C204" i="14"/>
  <c r="P227" i="14"/>
  <c r="G226" i="14"/>
  <c r="C215" i="14"/>
  <c r="K213" i="14"/>
  <c r="P211" i="14"/>
  <c r="C226" i="14"/>
  <c r="K224" i="14"/>
  <c r="P222" i="14"/>
  <c r="G213" i="14"/>
  <c r="G224" i="14"/>
  <c r="C213" i="14"/>
  <c r="K211" i="14"/>
  <c r="P209" i="14"/>
  <c r="C224" i="14"/>
  <c r="K222" i="14"/>
  <c r="P220" i="14"/>
  <c r="G211" i="14"/>
  <c r="G222" i="14"/>
  <c r="C211" i="14"/>
  <c r="K209" i="14"/>
  <c r="P207" i="14"/>
  <c r="C222" i="14"/>
  <c r="K220" i="14"/>
  <c r="P218" i="14"/>
  <c r="G209" i="14"/>
  <c r="P229" i="14"/>
  <c r="G220" i="14"/>
  <c r="C209" i="14"/>
  <c r="K207" i="14"/>
  <c r="P205" i="14"/>
  <c r="C220" i="14"/>
  <c r="K218" i="14"/>
  <c r="P216" i="14"/>
  <c r="G207" i="14"/>
  <c r="Q401" i="14"/>
  <c r="Q371" i="14"/>
  <c r="K359" i="14"/>
  <c r="N356" i="14"/>
  <c r="R358" i="14"/>
  <c r="Q357" i="14"/>
  <c r="K355" i="14"/>
  <c r="P353" i="14"/>
  <c r="R351" i="14"/>
  <c r="N348" i="14"/>
  <c r="M357" i="14"/>
  <c r="K400" i="14"/>
  <c r="R371" i="14"/>
  <c r="K343" i="14"/>
  <c r="M353" i="14"/>
  <c r="L353" i="14"/>
  <c r="L351" i="14"/>
  <c r="K340" i="14"/>
  <c r="M352" i="14"/>
  <c r="L358" i="14"/>
  <c r="E340" i="14"/>
  <c r="C299" i="14"/>
  <c r="N359" i="14"/>
  <c r="L400" i="14"/>
  <c r="M400" i="14"/>
  <c r="Q340" i="14"/>
  <c r="K345" i="14"/>
  <c r="R357" i="14"/>
  <c r="R349" i="14"/>
  <c r="L352" i="14"/>
  <c r="M340" i="14"/>
  <c r="M349" i="14"/>
  <c r="Q351" i="14"/>
  <c r="K351" i="14"/>
  <c r="Q348" i="14"/>
  <c r="K401" i="14"/>
  <c r="L340" i="14"/>
  <c r="K346" i="14"/>
  <c r="M358" i="14"/>
  <c r="L355" i="14"/>
  <c r="P351" i="14"/>
  <c r="K347" i="14"/>
  <c r="L401" i="14"/>
  <c r="P401" i="14"/>
  <c r="M401" i="14"/>
  <c r="N340" i="14"/>
  <c r="K350" i="14"/>
  <c r="Q352" i="14"/>
  <c r="L350" i="14"/>
  <c r="R354" i="14"/>
  <c r="R359" i="14"/>
  <c r="K349" i="14"/>
  <c r="P348" i="14"/>
  <c r="L349" i="14"/>
  <c r="C399" i="14"/>
  <c r="P340" i="14"/>
  <c r="K357" i="14"/>
  <c r="L356" i="14"/>
  <c r="Q354" i="14"/>
  <c r="R348" i="14"/>
  <c r="K348" i="14"/>
  <c r="M348" i="14"/>
  <c r="L357" i="14"/>
  <c r="N357" i="14"/>
  <c r="P349" i="14"/>
  <c r="D399" i="14"/>
  <c r="R340" i="14"/>
  <c r="K358" i="14"/>
  <c r="P359" i="14"/>
  <c r="M350" i="14"/>
  <c r="L348" i="14"/>
  <c r="C340" i="14"/>
  <c r="Q353" i="14"/>
  <c r="D340" i="14"/>
  <c r="P356" i="14"/>
  <c r="R356" i="14"/>
  <c r="R353" i="14"/>
  <c r="Q400" i="14"/>
  <c r="P354" i="14"/>
  <c r="C400" i="14"/>
  <c r="Q349" i="14"/>
  <c r="P352" i="14"/>
  <c r="D400" i="14"/>
  <c r="C401" i="14"/>
  <c r="P371" i="14"/>
  <c r="D401" i="14"/>
  <c r="C347" i="14"/>
  <c r="K352" i="14"/>
  <c r="N354" i="14"/>
  <c r="K353" i="14"/>
  <c r="C371" i="14"/>
  <c r="E348" i="14"/>
  <c r="N352" i="14"/>
  <c r="N358" i="14"/>
  <c r="P357" i="14"/>
  <c r="R352" i="14"/>
  <c r="K344" i="14"/>
  <c r="D371" i="14"/>
  <c r="D347" i="14"/>
  <c r="R355" i="14"/>
  <c r="P355" i="14"/>
  <c r="M355" i="14"/>
  <c r="E347" i="14"/>
  <c r="M359" i="14"/>
  <c r="N349" i="14"/>
  <c r="N350" i="14"/>
  <c r="D348" i="14"/>
  <c r="Q350" i="14"/>
  <c r="E371" i="14"/>
  <c r="G371" i="14"/>
  <c r="H371" i="14"/>
  <c r="C348" i="14"/>
  <c r="Q356" i="14"/>
  <c r="M356" i="14"/>
  <c r="R350" i="14"/>
  <c r="M351" i="14"/>
  <c r="N351" i="14"/>
  <c r="K341" i="14"/>
  <c r="P358" i="14"/>
  <c r="Q355" i="14"/>
  <c r="K342" i="14"/>
  <c r="L354" i="14"/>
  <c r="I371" i="14"/>
  <c r="K354" i="14"/>
  <c r="Q359" i="14"/>
  <c r="M371" i="14"/>
  <c r="N371" i="14"/>
  <c r="K371" i="14"/>
  <c r="N353" i="14"/>
  <c r="L359" i="14"/>
  <c r="L371" i="14"/>
  <c r="K356" i="14"/>
  <c r="N355" i="14"/>
  <c r="Q358" i="14"/>
  <c r="P350" i="14"/>
  <c r="P400" i="14"/>
  <c r="M354" i="14"/>
  <c r="T195" i="14" l="1"/>
  <c r="T194" i="14"/>
  <c r="V204" i="14"/>
  <c r="X211" i="14"/>
  <c r="V219" i="14"/>
  <c r="V194" i="14"/>
  <c r="W194" i="14"/>
  <c r="V215" i="14"/>
  <c r="V225" i="14"/>
  <c r="V216" i="14"/>
  <c r="X216" i="14"/>
  <c r="W227" i="14"/>
  <c r="U195" i="14"/>
  <c r="AD195" i="14" s="1"/>
  <c r="V209" i="14"/>
  <c r="V195" i="14"/>
  <c r="W209" i="14"/>
  <c r="V217" i="14"/>
  <c r="W195" i="14"/>
  <c r="X217" i="14"/>
  <c r="V229" i="14"/>
  <c r="W229" i="14"/>
  <c r="W218" i="14"/>
  <c r="AE340" i="14"/>
  <c r="AE354" i="14"/>
  <c r="F40" i="40" s="1"/>
  <c r="AE348" i="14"/>
  <c r="AE349" i="14"/>
  <c r="AE350" i="14"/>
  <c r="F36" i="40" s="1"/>
  <c r="AE352" i="14"/>
  <c r="F38" i="40" s="1"/>
  <c r="AE351" i="14"/>
  <c r="F37" i="40" s="1"/>
  <c r="AE353" i="14"/>
  <c r="F39" i="40" s="1"/>
  <c r="AE359" i="14"/>
  <c r="AE357" i="14"/>
  <c r="F99" i="40" s="1"/>
  <c r="AE356" i="14"/>
  <c r="F41" i="40" s="1"/>
  <c r="AE358" i="14"/>
  <c r="F115" i="40" s="1"/>
  <c r="AE371" i="14"/>
  <c r="U214" i="14"/>
  <c r="U204" i="14"/>
  <c r="U206" i="14"/>
  <c r="U205" i="14"/>
  <c r="U203" i="14"/>
  <c r="U223" i="14"/>
  <c r="U217" i="14"/>
  <c r="U210" i="14"/>
  <c r="T218" i="14"/>
  <c r="T207" i="14"/>
  <c r="T220" i="14"/>
  <c r="T209" i="14"/>
  <c r="T222" i="14"/>
  <c r="T211" i="14"/>
  <c r="T224" i="14"/>
  <c r="T213" i="14"/>
  <c r="T226" i="14"/>
  <c r="T215" i="14"/>
  <c r="T204" i="14"/>
  <c r="T228" i="14"/>
  <c r="T205" i="14"/>
  <c r="T217" i="14"/>
  <c r="T206" i="14"/>
  <c r="T230" i="14"/>
  <c r="T229" i="14"/>
  <c r="T219" i="14"/>
  <c r="T208" i="14"/>
  <c r="T221" i="14"/>
  <c r="T210" i="14"/>
  <c r="T223" i="14"/>
  <c r="T212" i="14"/>
  <c r="T225" i="14"/>
  <c r="T214" i="14"/>
  <c r="T203" i="14"/>
  <c r="T227" i="14"/>
  <c r="T216" i="14"/>
  <c r="X212" i="14"/>
  <c r="W225" i="14"/>
  <c r="V203" i="14"/>
  <c r="V227" i="14"/>
  <c r="W203" i="14"/>
  <c r="V222" i="14"/>
  <c r="W222" i="14"/>
  <c r="V224" i="14"/>
  <c r="V213" i="14"/>
  <c r="W224" i="14"/>
  <c r="W213" i="14"/>
  <c r="V226" i="14"/>
  <c r="W226" i="14"/>
  <c r="V228" i="14"/>
  <c r="W204" i="14"/>
  <c r="W228" i="14"/>
  <c r="V230" i="14"/>
  <c r="W219" i="14"/>
  <c r="V221" i="14"/>
  <c r="V210" i="14"/>
  <c r="W221" i="14"/>
  <c r="T371" i="14"/>
  <c r="T342" i="14"/>
  <c r="T341" i="14"/>
  <c r="T340" i="14"/>
  <c r="T348" i="14"/>
  <c r="AE247" i="14"/>
  <c r="AE245" i="14"/>
  <c r="AE244" i="14"/>
  <c r="AE238" i="14"/>
  <c r="AE237" i="14"/>
  <c r="AE236" i="14"/>
  <c r="AE235" i="14"/>
  <c r="AD197" i="14"/>
  <c r="AE197" i="14" s="1"/>
  <c r="AD188" i="14"/>
  <c r="AE188" i="14" s="1"/>
  <c r="AD187" i="14"/>
  <c r="AE187" i="14" s="1"/>
  <c r="AD186" i="14"/>
  <c r="AE186" i="14" s="1"/>
  <c r="AD185" i="14"/>
  <c r="AE185" i="14" s="1"/>
  <c r="AD184" i="14"/>
  <c r="AE184" i="14" s="1"/>
  <c r="AD183" i="14"/>
  <c r="AE183" i="14" s="1"/>
  <c r="AD179" i="14"/>
  <c r="AE179" i="14" s="1"/>
  <c r="AD178" i="14"/>
  <c r="AE178" i="14" s="1"/>
  <c r="AD177" i="14"/>
  <c r="AE177" i="14" s="1"/>
  <c r="AD158" i="14"/>
  <c r="AE158" i="14" s="1"/>
  <c r="AD157" i="14"/>
  <c r="AE157" i="14" s="1"/>
  <c r="AD156" i="14"/>
  <c r="AE156" i="14" s="1"/>
  <c r="AD152" i="14"/>
  <c r="AE152" i="14" s="1"/>
  <c r="AD151" i="14"/>
  <c r="AE151" i="14" s="1"/>
  <c r="AD150" i="14"/>
  <c r="AE150" i="14" s="1"/>
  <c r="AD149" i="14"/>
  <c r="AE149" i="14" s="1"/>
  <c r="AD145" i="14"/>
  <c r="AE145" i="14" s="1"/>
  <c r="AD144" i="14"/>
  <c r="AE144" i="14" s="1"/>
  <c r="AD143" i="14"/>
  <c r="AE143" i="14" s="1"/>
  <c r="AD136" i="14"/>
  <c r="AE136" i="14" s="1"/>
  <c r="AD62" i="14"/>
  <c r="AD63" i="14"/>
  <c r="AD64" i="14"/>
  <c r="AD86" i="14"/>
  <c r="F11" i="11"/>
  <c r="F12" i="11"/>
  <c r="F13" i="11"/>
  <c r="F14" i="11"/>
  <c r="F15" i="11"/>
  <c r="F16" i="11"/>
  <c r="F17" i="11"/>
  <c r="F18" i="11"/>
  <c r="F19" i="11"/>
  <c r="F10" i="11"/>
  <c r="F7" i="21"/>
  <c r="F12" i="20"/>
  <c r="F53" i="27"/>
  <c r="F52" i="27"/>
  <c r="F51" i="27"/>
  <c r="F50" i="27"/>
  <c r="F49" i="27"/>
  <c r="F48" i="27"/>
  <c r="F47" i="27"/>
  <c r="F53" i="26"/>
  <c r="F52" i="26"/>
  <c r="F51" i="26"/>
  <c r="F50" i="26"/>
  <c r="F49" i="26"/>
  <c r="F48" i="26"/>
  <c r="F47" i="26"/>
  <c r="F53" i="25"/>
  <c r="F52" i="25"/>
  <c r="F51" i="25"/>
  <c r="F50" i="25"/>
  <c r="F49" i="25"/>
  <c r="F48" i="25"/>
  <c r="F47" i="25"/>
  <c r="F48" i="10"/>
  <c r="F49" i="10"/>
  <c r="F50" i="10"/>
  <c r="F51" i="10"/>
  <c r="F52" i="10"/>
  <c r="F53" i="10"/>
  <c r="F47" i="10"/>
  <c r="F38" i="27"/>
  <c r="F37" i="27"/>
  <c r="F36" i="27"/>
  <c r="F35" i="27"/>
  <c r="F34" i="27"/>
  <c r="F33" i="27"/>
  <c r="F32" i="27"/>
  <c r="F38" i="26"/>
  <c r="F37" i="26"/>
  <c r="F36" i="26"/>
  <c r="F35" i="26"/>
  <c r="F34" i="26"/>
  <c r="F33" i="26"/>
  <c r="F32" i="26"/>
  <c r="F38" i="25"/>
  <c r="F37" i="25"/>
  <c r="F36" i="25"/>
  <c r="F35" i="25"/>
  <c r="F34" i="25"/>
  <c r="F33" i="25"/>
  <c r="F32" i="25"/>
  <c r="F33" i="10"/>
  <c r="F34" i="10"/>
  <c r="F35" i="10"/>
  <c r="F36" i="10"/>
  <c r="F37" i="10"/>
  <c r="F38" i="10"/>
  <c r="F32" i="10"/>
  <c r="F17" i="12"/>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4" i="9"/>
  <c r="F73" i="9"/>
  <c r="F72"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4" i="9"/>
  <c r="F13" i="9"/>
  <c r="F12" i="9"/>
  <c r="F11" i="9"/>
  <c r="F10" i="9"/>
  <c r="F9" i="9"/>
  <c r="F8" i="9"/>
  <c r="F7" i="9"/>
  <c r="F6" i="9"/>
  <c r="F5" i="9"/>
  <c r="F4" i="9"/>
  <c r="F80" i="22"/>
  <c r="F81" i="22"/>
  <c r="F82" i="22"/>
  <c r="F83" i="22"/>
  <c r="F84" i="22"/>
  <c r="F85" i="22"/>
  <c r="F86" i="22"/>
  <c r="F87" i="22"/>
  <c r="F88" i="22"/>
  <c r="F89" i="22"/>
  <c r="F90" i="22"/>
  <c r="F91" i="22"/>
  <c r="F92" i="22"/>
  <c r="F93" i="22"/>
  <c r="F94" i="22"/>
  <c r="F95" i="22"/>
  <c r="F96" i="22"/>
  <c r="F97" i="22"/>
  <c r="F98" i="22"/>
  <c r="F99" i="22"/>
  <c r="F100" i="22"/>
  <c r="F101" i="22"/>
  <c r="F102" i="22"/>
  <c r="F103" i="22"/>
  <c r="F104" i="22"/>
  <c r="F105" i="22"/>
  <c r="F106" i="22"/>
  <c r="F79" i="22"/>
  <c r="F74" i="22"/>
  <c r="F73" i="22"/>
  <c r="F72"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30" i="22"/>
  <c r="F29" i="22"/>
  <c r="F28" i="22"/>
  <c r="F27" i="22"/>
  <c r="F26" i="22"/>
  <c r="F25" i="22"/>
  <c r="F24" i="22"/>
  <c r="F23" i="22"/>
  <c r="F22" i="22"/>
  <c r="F21" i="22"/>
  <c r="F20" i="22"/>
  <c r="F19" i="22"/>
  <c r="F18" i="22"/>
  <c r="F14" i="22"/>
  <c r="F13" i="22"/>
  <c r="F12" i="22"/>
  <c r="F11" i="22"/>
  <c r="F10" i="22"/>
  <c r="F9" i="22"/>
  <c r="F8" i="22"/>
  <c r="F7" i="22"/>
  <c r="F6" i="22"/>
  <c r="F5" i="22"/>
  <c r="F4" i="22"/>
  <c r="Y248" i="14"/>
  <c r="AA405" i="14"/>
  <c r="Y349" i="14"/>
  <c r="AA349" i="14"/>
  <c r="Y378" i="14"/>
  <c r="Y379" i="14"/>
  <c r="Y380" i="14"/>
  <c r="X380" i="14" s="1"/>
  <c r="Y435" i="14"/>
  <c r="Y362" i="14"/>
  <c r="Y294" i="14"/>
  <c r="Y240" i="14"/>
  <c r="Y241" i="14"/>
  <c r="Y242" i="14"/>
  <c r="Y243" i="14"/>
  <c r="Y244" i="14"/>
  <c r="Y245" i="14"/>
  <c r="Y246" i="14"/>
  <c r="Y247" i="14"/>
  <c r="Y124" i="14"/>
  <c r="Y123" i="14"/>
  <c r="X124" i="14" s="1"/>
  <c r="Y106" i="14"/>
  <c r="Y107" i="14"/>
  <c r="X107" i="14" s="1"/>
  <c r="Y108" i="14"/>
  <c r="W109" i="14" s="1"/>
  <c r="Y109" i="14"/>
  <c r="Y110" i="14"/>
  <c r="X110" i="14" s="1"/>
  <c r="Y111" i="14"/>
  <c r="Y112" i="14"/>
  <c r="Y113" i="14"/>
  <c r="Y114" i="14"/>
  <c r="X114" i="14" s="1"/>
  <c r="Y115" i="14"/>
  <c r="Y116" i="14"/>
  <c r="Y117" i="14"/>
  <c r="W117" i="14" s="1"/>
  <c r="Y118" i="14"/>
  <c r="X118" i="14" s="1"/>
  <c r="Y119" i="14"/>
  <c r="X119" i="14" s="1"/>
  <c r="Y120" i="14"/>
  <c r="Y121" i="14"/>
  <c r="Y176" i="14"/>
  <c r="Y175" i="14"/>
  <c r="X176" i="14" s="1"/>
  <c r="Y169" i="14"/>
  <c r="Y168" i="14"/>
  <c r="X169" i="14" s="1"/>
  <c r="Y167" i="14"/>
  <c r="X168" i="14" s="1"/>
  <c r="Y160" i="14"/>
  <c r="Y155" i="14"/>
  <c r="Y154" i="14"/>
  <c r="X155" i="14" s="1"/>
  <c r="Y147" i="14"/>
  <c r="X148" i="14" s="1"/>
  <c r="Y148" i="14"/>
  <c r="Y131" i="14"/>
  <c r="AA106" i="14"/>
  <c r="Y95" i="14"/>
  <c r="W96" i="14" s="1"/>
  <c r="Y94" i="14"/>
  <c r="X95" i="14" s="1"/>
  <c r="Y96" i="14"/>
  <c r="V97" i="14" s="1"/>
  <c r="Y93" i="14"/>
  <c r="X94" i="14" s="1"/>
  <c r="Y85" i="14"/>
  <c r="Y84" i="14"/>
  <c r="X85" i="14" s="1"/>
  <c r="Y82" i="14"/>
  <c r="Y397" i="14"/>
  <c r="Y398" i="14"/>
  <c r="X398" i="14" s="1"/>
  <c r="Y399" i="14"/>
  <c r="V399" i="14" s="1"/>
  <c r="Y402" i="14"/>
  <c r="X402" i="14" s="1"/>
  <c r="Y403" i="14"/>
  <c r="X403" i="14" s="1"/>
  <c r="Y404" i="14"/>
  <c r="W405" i="14" s="1"/>
  <c r="Y405" i="14"/>
  <c r="X406" i="14" s="1"/>
  <c r="Y406" i="14"/>
  <c r="X407" i="14" s="1"/>
  <c r="Y407" i="14"/>
  <c r="X408" i="14" s="1"/>
  <c r="Y408" i="14"/>
  <c r="X409" i="14" s="1"/>
  <c r="Y409" i="14"/>
  <c r="Y410" i="14"/>
  <c r="X410" i="14" s="1"/>
  <c r="Y411" i="14"/>
  <c r="W411" i="14" s="1"/>
  <c r="Y412" i="14"/>
  <c r="X412" i="14" s="1"/>
  <c r="Y413" i="14"/>
  <c r="X413" i="14" s="1"/>
  <c r="Y414" i="14"/>
  <c r="X414" i="14" s="1"/>
  <c r="Y415" i="14"/>
  <c r="X415" i="14" s="1"/>
  <c r="Y416" i="14"/>
  <c r="X416" i="14" s="1"/>
  <c r="Y417" i="14"/>
  <c r="X417" i="14" s="1"/>
  <c r="Y418" i="14"/>
  <c r="X418" i="14" s="1"/>
  <c r="Y419" i="14"/>
  <c r="X419" i="14" s="1"/>
  <c r="Y420" i="14"/>
  <c r="Y421" i="14"/>
  <c r="X421" i="14" s="1"/>
  <c r="Y422" i="14"/>
  <c r="X422" i="14" s="1"/>
  <c r="Y423" i="14"/>
  <c r="X423" i="14" s="1"/>
  <c r="Y424" i="14"/>
  <c r="W424" i="14" s="1"/>
  <c r="Y425" i="14"/>
  <c r="X425" i="14" s="1"/>
  <c r="Y426" i="14"/>
  <c r="X426" i="14" s="1"/>
  <c r="Y427" i="14"/>
  <c r="X427" i="14" s="1"/>
  <c r="Y428" i="14"/>
  <c r="X428" i="14" s="1"/>
  <c r="Y429" i="14"/>
  <c r="X429" i="14" s="1"/>
  <c r="Y430" i="14"/>
  <c r="X430" i="14" s="1"/>
  <c r="Y431" i="14"/>
  <c r="X431" i="14" s="1"/>
  <c r="Y432" i="14"/>
  <c r="X432" i="14" s="1"/>
  <c r="Y434" i="14"/>
  <c r="X435" i="14" s="1"/>
  <c r="Y396" i="14"/>
  <c r="B20" i="6"/>
  <c r="Y367" i="14"/>
  <c r="Y368" i="14"/>
  <c r="Y369" i="14"/>
  <c r="X369" i="14" s="1"/>
  <c r="Y370" i="14"/>
  <c r="X370" i="14" s="1"/>
  <c r="Y372" i="14"/>
  <c r="X372" i="14" s="1"/>
  <c r="Y373" i="14"/>
  <c r="X373" i="14" s="1"/>
  <c r="Y374" i="14"/>
  <c r="X374" i="14" s="1"/>
  <c r="Y375" i="14"/>
  <c r="X375" i="14" s="1"/>
  <c r="Y376" i="14"/>
  <c r="X376" i="14" s="1"/>
  <c r="Y377" i="14"/>
  <c r="X378" i="14" s="1"/>
  <c r="X379" i="14"/>
  <c r="Y381" i="14"/>
  <c r="X381" i="14" s="1"/>
  <c r="Y382" i="14"/>
  <c r="X382" i="14" s="1"/>
  <c r="Y383" i="14"/>
  <c r="X383" i="14" s="1"/>
  <c r="Y384" i="14"/>
  <c r="X384" i="14" s="1"/>
  <c r="Y385" i="14"/>
  <c r="X385" i="14" s="1"/>
  <c r="Y386" i="14"/>
  <c r="X386" i="14" s="1"/>
  <c r="Y387" i="14"/>
  <c r="X387" i="14" s="1"/>
  <c r="Y388" i="14"/>
  <c r="X388" i="14" s="1"/>
  <c r="Y389" i="14"/>
  <c r="Y390" i="14"/>
  <c r="Y391" i="14"/>
  <c r="X391" i="14" s="1"/>
  <c r="Y392" i="14"/>
  <c r="X392" i="14" s="1"/>
  <c r="Y366" i="14"/>
  <c r="Y361" i="14"/>
  <c r="X362" i="14" s="1"/>
  <c r="Y341" i="14"/>
  <c r="X341" i="14" s="1"/>
  <c r="Y342" i="14"/>
  <c r="X342" i="14" s="1"/>
  <c r="Y343" i="14"/>
  <c r="X343" i="14" s="1"/>
  <c r="Y344" i="14"/>
  <c r="X344" i="14" s="1"/>
  <c r="Y345" i="14"/>
  <c r="Y346" i="14"/>
  <c r="X346" i="14" s="1"/>
  <c r="Y347" i="14"/>
  <c r="X347" i="14" s="1"/>
  <c r="Y350" i="14"/>
  <c r="X350" i="14" s="1"/>
  <c r="Y351" i="14"/>
  <c r="X351" i="14" s="1"/>
  <c r="Y352" i="14"/>
  <c r="X352" i="14" s="1"/>
  <c r="Y353" i="14"/>
  <c r="X353" i="14" s="1"/>
  <c r="Y354" i="14"/>
  <c r="X354" i="14" s="1"/>
  <c r="Y355" i="14"/>
  <c r="Y356" i="14"/>
  <c r="X356" i="14" s="1"/>
  <c r="Y357" i="14"/>
  <c r="X357" i="14" s="1"/>
  <c r="Y358" i="14"/>
  <c r="X358" i="14" s="1"/>
  <c r="Y359" i="14"/>
  <c r="X359" i="14" s="1"/>
  <c r="Y339" i="14"/>
  <c r="Y299" i="14"/>
  <c r="Y300" i="14"/>
  <c r="X300" i="14" s="1"/>
  <c r="Y301" i="14"/>
  <c r="X301" i="14" s="1"/>
  <c r="Y302" i="14"/>
  <c r="X302" i="14" s="1"/>
  <c r="Y303" i="14"/>
  <c r="X303" i="14" s="1"/>
  <c r="Y304" i="14"/>
  <c r="X304" i="14" s="1"/>
  <c r="Y305" i="14"/>
  <c r="Y306" i="14"/>
  <c r="Y307" i="14"/>
  <c r="X307" i="14" s="1"/>
  <c r="Y308" i="14"/>
  <c r="X308" i="14" s="1"/>
  <c r="Y309" i="14"/>
  <c r="X309" i="14" s="1"/>
  <c r="Y310" i="14"/>
  <c r="X310" i="14" s="1"/>
  <c r="Y311" i="14"/>
  <c r="X311" i="14" s="1"/>
  <c r="Y312" i="14"/>
  <c r="X312" i="14" s="1"/>
  <c r="Y313" i="14"/>
  <c r="X313" i="14" s="1"/>
  <c r="Y314" i="14"/>
  <c r="X314" i="14" s="1"/>
  <c r="Y315" i="14"/>
  <c r="X315" i="14" s="1"/>
  <c r="Y316" i="14"/>
  <c r="X316" i="14" s="1"/>
  <c r="Y317" i="14"/>
  <c r="X317" i="14" s="1"/>
  <c r="Y318" i="14"/>
  <c r="X318" i="14" s="1"/>
  <c r="Y319" i="14"/>
  <c r="X319" i="14" s="1"/>
  <c r="Y320" i="14"/>
  <c r="X320" i="14" s="1"/>
  <c r="Y321" i="14"/>
  <c r="X321" i="14" s="1"/>
  <c r="Y322" i="14"/>
  <c r="X322" i="14" s="1"/>
  <c r="Y323" i="14"/>
  <c r="X323" i="14" s="1"/>
  <c r="Y324" i="14"/>
  <c r="X324" i="14" s="1"/>
  <c r="Y325" i="14"/>
  <c r="Y326" i="14"/>
  <c r="X326" i="14" s="1"/>
  <c r="Y327" i="14"/>
  <c r="X327" i="14" s="1"/>
  <c r="Y328" i="14"/>
  <c r="X328" i="14" s="1"/>
  <c r="Y329" i="14"/>
  <c r="X329" i="14" s="1"/>
  <c r="Y330" i="14"/>
  <c r="X330" i="14" s="1"/>
  <c r="Y331" i="14"/>
  <c r="X331" i="14" s="1"/>
  <c r="Y332" i="14"/>
  <c r="X332" i="14" s="1"/>
  <c r="Y333" i="14"/>
  <c r="X333" i="14" s="1"/>
  <c r="Y334" i="14"/>
  <c r="X334" i="14" s="1"/>
  <c r="Y335" i="14"/>
  <c r="X335" i="14" s="1"/>
  <c r="Y298" i="14"/>
  <c r="Y253" i="14"/>
  <c r="X253" i="14" s="1"/>
  <c r="Y254" i="14"/>
  <c r="X254" i="14" s="1"/>
  <c r="Y255" i="14"/>
  <c r="X255" i="14" s="1"/>
  <c r="Y256" i="14"/>
  <c r="X256" i="14" s="1"/>
  <c r="Y257" i="14"/>
  <c r="X257" i="14" s="1"/>
  <c r="Y258" i="14"/>
  <c r="X258" i="14" s="1"/>
  <c r="Y259" i="14"/>
  <c r="X259" i="14" s="1"/>
  <c r="Y260" i="14"/>
  <c r="W260" i="14" s="1"/>
  <c r="Y261" i="14"/>
  <c r="X261" i="14" s="1"/>
  <c r="Y262" i="14"/>
  <c r="X262" i="14" s="1"/>
  <c r="Y263" i="14"/>
  <c r="X263" i="14" s="1"/>
  <c r="Y264" i="14"/>
  <c r="X264" i="14" s="1"/>
  <c r="Y265" i="14"/>
  <c r="X265" i="14" s="1"/>
  <c r="Y266" i="14"/>
  <c r="X266" i="14" s="1"/>
  <c r="Y267" i="14"/>
  <c r="X267" i="14" s="1"/>
  <c r="Y268" i="14"/>
  <c r="X268" i="14" s="1"/>
  <c r="Y269" i="14"/>
  <c r="X269" i="14" s="1"/>
  <c r="Y270" i="14"/>
  <c r="X270" i="14" s="1"/>
  <c r="Y271" i="14"/>
  <c r="X271" i="14" s="1"/>
  <c r="Y272" i="14"/>
  <c r="W272" i="14" s="1"/>
  <c r="Y273" i="14"/>
  <c r="X273" i="14" s="1"/>
  <c r="Y274" i="14"/>
  <c r="X274" i="14" s="1"/>
  <c r="Y275" i="14"/>
  <c r="X275" i="14" s="1"/>
  <c r="Y276" i="14"/>
  <c r="X276" i="14" s="1"/>
  <c r="Y277" i="14"/>
  <c r="X277" i="14" s="1"/>
  <c r="Y278" i="14"/>
  <c r="X278" i="14" s="1"/>
  <c r="Y279" i="14"/>
  <c r="X279" i="14" s="1"/>
  <c r="Y280" i="14"/>
  <c r="X280" i="14" s="1"/>
  <c r="Y281" i="14"/>
  <c r="X281" i="14" s="1"/>
  <c r="Y282" i="14"/>
  <c r="X282" i="14" s="1"/>
  <c r="Y283" i="14"/>
  <c r="X283" i="14" s="1"/>
  <c r="Y284" i="14"/>
  <c r="W284" i="14" s="1"/>
  <c r="Y285" i="14"/>
  <c r="X285" i="14" s="1"/>
  <c r="Y286" i="14"/>
  <c r="X286" i="14" s="1"/>
  <c r="Y287" i="14"/>
  <c r="X287" i="14" s="1"/>
  <c r="Y288" i="14"/>
  <c r="X288" i="14" s="1"/>
  <c r="Y289" i="14"/>
  <c r="X289" i="14" s="1"/>
  <c r="Y290" i="14"/>
  <c r="X290" i="14" s="1"/>
  <c r="Y291" i="14"/>
  <c r="X291" i="14" s="1"/>
  <c r="Y293" i="14"/>
  <c r="X294" i="14" s="1"/>
  <c r="Y252" i="14"/>
  <c r="Y235" i="14"/>
  <c r="Y236" i="14"/>
  <c r="Y237" i="14"/>
  <c r="Y238" i="14"/>
  <c r="Y239" i="14"/>
  <c r="Y234" i="14"/>
  <c r="Y129" i="14"/>
  <c r="X129" i="14" s="1"/>
  <c r="Y130" i="14"/>
  <c r="X130" i="14" s="1"/>
  <c r="Y132" i="14"/>
  <c r="X132" i="14" s="1"/>
  <c r="Y133" i="14"/>
  <c r="X133" i="14" s="1"/>
  <c r="Y134" i="14"/>
  <c r="X134" i="14" s="1"/>
  <c r="Y135" i="14"/>
  <c r="X135" i="14" s="1"/>
  <c r="Y136" i="14"/>
  <c r="Y137" i="14"/>
  <c r="V137" i="14" s="1"/>
  <c r="Y138" i="14"/>
  <c r="X138" i="14" s="1"/>
  <c r="Y139" i="14"/>
  <c r="X139" i="14" s="1"/>
  <c r="Y140" i="14"/>
  <c r="X140" i="14" s="1"/>
  <c r="Y141" i="14"/>
  <c r="X141" i="14" s="1"/>
  <c r="Y142" i="14"/>
  <c r="X142" i="14" s="1"/>
  <c r="Y143" i="14"/>
  <c r="Y144" i="14"/>
  <c r="Y145" i="14"/>
  <c r="Y146" i="14"/>
  <c r="X146" i="14" s="1"/>
  <c r="Y149" i="14"/>
  <c r="Y150" i="14"/>
  <c r="Y151" i="14"/>
  <c r="Y152" i="14"/>
  <c r="Y153" i="14"/>
  <c r="X153" i="14" s="1"/>
  <c r="Y156" i="14"/>
  <c r="Y157" i="14"/>
  <c r="Y158" i="14"/>
  <c r="Y159" i="14"/>
  <c r="X159" i="14" s="1"/>
  <c r="Y161" i="14"/>
  <c r="X161" i="14" s="1"/>
  <c r="Y162" i="14"/>
  <c r="X162" i="14" s="1"/>
  <c r="Y163" i="14"/>
  <c r="X163" i="14" s="1"/>
  <c r="Y164" i="14"/>
  <c r="X164" i="14" s="1"/>
  <c r="Y165" i="14"/>
  <c r="X165" i="14" s="1"/>
  <c r="Y166" i="14"/>
  <c r="X166" i="14" s="1"/>
  <c r="Y170" i="14"/>
  <c r="V170" i="14" s="1"/>
  <c r="Y171" i="14"/>
  <c r="X171" i="14" s="1"/>
  <c r="Y172" i="14"/>
  <c r="X172" i="14" s="1"/>
  <c r="Y173" i="14"/>
  <c r="X173" i="14" s="1"/>
  <c r="Y174" i="14"/>
  <c r="X174" i="14" s="1"/>
  <c r="Y177" i="14"/>
  <c r="Y178" i="14"/>
  <c r="Y179" i="14"/>
  <c r="Y180" i="14"/>
  <c r="X180" i="14" s="1"/>
  <c r="Y181" i="14"/>
  <c r="X181" i="14" s="1"/>
  <c r="Y182" i="14"/>
  <c r="X182" i="14" s="1"/>
  <c r="Y183" i="14"/>
  <c r="Y184" i="14"/>
  <c r="Y185" i="14"/>
  <c r="Y186" i="14"/>
  <c r="Y187" i="14"/>
  <c r="Y188" i="14"/>
  <c r="Y189" i="14"/>
  <c r="V189" i="14" s="1"/>
  <c r="Y190" i="14"/>
  <c r="X190" i="14" s="1"/>
  <c r="Y191" i="14"/>
  <c r="X191" i="14" s="1"/>
  <c r="Y192" i="14"/>
  <c r="X192" i="14" s="1"/>
  <c r="Y193" i="14"/>
  <c r="X193" i="14" s="1"/>
  <c r="Y196" i="14"/>
  <c r="X196" i="14" s="1"/>
  <c r="Y197" i="14"/>
  <c r="Y198" i="14"/>
  <c r="X198" i="14" s="1"/>
  <c r="Y104" i="14"/>
  <c r="X104" i="14" s="1"/>
  <c r="Y105" i="14"/>
  <c r="X105" i="14" s="1"/>
  <c r="X108" i="14"/>
  <c r="X111" i="14"/>
  <c r="X112" i="14"/>
  <c r="X113" i="14"/>
  <c r="X115" i="14"/>
  <c r="W116" i="14"/>
  <c r="X120" i="14"/>
  <c r="Y103" i="14"/>
  <c r="Y57" i="14"/>
  <c r="Y58" i="14"/>
  <c r="V58" i="14" s="1"/>
  <c r="Y59" i="14"/>
  <c r="V59" i="14" s="1"/>
  <c r="Y60" i="14"/>
  <c r="V60" i="14" s="1"/>
  <c r="Y61" i="14"/>
  <c r="X61" i="14" s="1"/>
  <c r="Y62" i="14"/>
  <c r="Y63" i="14"/>
  <c r="Y64" i="14"/>
  <c r="Y65" i="14"/>
  <c r="X65" i="14" s="1"/>
  <c r="Y66" i="14"/>
  <c r="X66" i="14" s="1"/>
  <c r="Y67" i="14"/>
  <c r="V67" i="14" s="1"/>
  <c r="Y68" i="14"/>
  <c r="X68" i="14" s="1"/>
  <c r="Y69" i="14"/>
  <c r="X69" i="14" s="1"/>
  <c r="Y70" i="14"/>
  <c r="X70" i="14" s="1"/>
  <c r="Y71" i="14"/>
  <c r="X71" i="14" s="1"/>
  <c r="Y72" i="14"/>
  <c r="X72" i="14" s="1"/>
  <c r="Y73" i="14"/>
  <c r="X73" i="14" s="1"/>
  <c r="Y74" i="14"/>
  <c r="Y75" i="14"/>
  <c r="X75" i="14" s="1"/>
  <c r="Y76" i="14"/>
  <c r="V76" i="14" s="1"/>
  <c r="Y77" i="14"/>
  <c r="X77" i="14" s="1"/>
  <c r="Y78" i="14"/>
  <c r="X78" i="14" s="1"/>
  <c r="Y79" i="14"/>
  <c r="X79" i="14" s="1"/>
  <c r="Y80" i="14"/>
  <c r="X80" i="14" s="1"/>
  <c r="Y81" i="14"/>
  <c r="X81" i="14" s="1"/>
  <c r="Y83" i="14"/>
  <c r="V83" i="14" s="1"/>
  <c r="Y86" i="14"/>
  <c r="Y87" i="14"/>
  <c r="X87" i="14" s="1"/>
  <c r="Y88" i="14"/>
  <c r="X88" i="14" s="1"/>
  <c r="Y89" i="14"/>
  <c r="V89" i="14" s="1"/>
  <c r="Y90" i="14"/>
  <c r="X90" i="14" s="1"/>
  <c r="Y92" i="14"/>
  <c r="X92" i="14" s="1"/>
  <c r="Y97" i="14"/>
  <c r="V98" i="14" s="1"/>
  <c r="Y98" i="14"/>
  <c r="W99" i="14" s="1"/>
  <c r="Y99" i="14"/>
  <c r="Y56" i="14"/>
  <c r="B594" i="6"/>
  <c r="B582" i="6"/>
  <c r="B573" i="6"/>
  <c r="B563" i="6"/>
  <c r="B554" i="6"/>
  <c r="B543" i="6"/>
  <c r="B535" i="6"/>
  <c r="B528" i="6"/>
  <c r="B520" i="6"/>
  <c r="B511" i="6"/>
  <c r="B504" i="6"/>
  <c r="B497" i="6"/>
  <c r="B478" i="6"/>
  <c r="B470" i="6"/>
  <c r="B465" i="6"/>
  <c r="B459" i="6"/>
  <c r="B453" i="6"/>
  <c r="B448" i="6"/>
  <c r="B442" i="6"/>
  <c r="B435" i="6"/>
  <c r="B430" i="6"/>
  <c r="B425" i="6"/>
  <c r="B416" i="6"/>
  <c r="B407" i="6"/>
  <c r="B399" i="6"/>
  <c r="B391" i="6"/>
  <c r="B382" i="6"/>
  <c r="B376" i="6"/>
  <c r="B367" i="6"/>
  <c r="B362" i="6"/>
  <c r="B357" i="6"/>
  <c r="B350" i="6"/>
  <c r="B344" i="6"/>
  <c r="B334" i="6"/>
  <c r="B323" i="6"/>
  <c r="B312" i="6"/>
  <c r="B305" i="6"/>
  <c r="B297" i="6"/>
  <c r="B289" i="6"/>
  <c r="B281" i="6"/>
  <c r="B274" i="6"/>
  <c r="B24" i="6"/>
  <c r="B4" i="6"/>
  <c r="B7" i="6"/>
  <c r="B12" i="6"/>
  <c r="B16" i="6"/>
  <c r="B31" i="6"/>
  <c r="B38" i="6"/>
  <c r="B46" i="6"/>
  <c r="B54" i="6"/>
  <c r="B63" i="6"/>
  <c r="B258" i="6"/>
  <c r="B267" i="6"/>
  <c r="C37" i="6"/>
  <c r="C14" i="31"/>
  <c r="C14" i="32"/>
  <c r="F19" i="37"/>
  <c r="C19" i="37"/>
  <c r="C18" i="37"/>
  <c r="F19" i="36"/>
  <c r="C19" i="36"/>
  <c r="C18" i="36"/>
  <c r="C7" i="18"/>
  <c r="C7" i="17"/>
  <c r="F19" i="12"/>
  <c r="C19" i="12"/>
  <c r="F19" i="34"/>
  <c r="C19" i="34"/>
  <c r="F19" i="35"/>
  <c r="C19" i="35"/>
  <c r="C18" i="35"/>
  <c r="C18" i="34"/>
  <c r="U194" i="14"/>
  <c r="L220" i="14"/>
  <c r="L221" i="14"/>
  <c r="L222" i="14"/>
  <c r="L223" i="14"/>
  <c r="L224" i="14"/>
  <c r="L225" i="14"/>
  <c r="L226" i="14"/>
  <c r="L227" i="14"/>
  <c r="L204" i="14"/>
  <c r="L228" i="14"/>
  <c r="L205" i="14"/>
  <c r="L229" i="14"/>
  <c r="L206" i="14"/>
  <c r="L230" i="14"/>
  <c r="L203" i="14"/>
  <c r="L207" i="14"/>
  <c r="L208" i="14"/>
  <c r="L209" i="14"/>
  <c r="L210" i="14"/>
  <c r="L211" i="14"/>
  <c r="L212" i="14"/>
  <c r="L213" i="14"/>
  <c r="L214" i="14"/>
  <c r="L215" i="14"/>
  <c r="L216" i="14"/>
  <c r="L217" i="14"/>
  <c r="L218" i="14"/>
  <c r="L219" i="14"/>
  <c r="U218" i="14"/>
  <c r="U229" i="14"/>
  <c r="U207" i="14"/>
  <c r="U222" i="14"/>
  <c r="U220" i="14"/>
  <c r="U208" i="14"/>
  <c r="U209" i="14"/>
  <c r="U224" i="14"/>
  <c r="U213" i="14"/>
  <c r="U211" i="14"/>
  <c r="U225" i="14"/>
  <c r="U226" i="14"/>
  <c r="U221" i="14"/>
  <c r="U227" i="14"/>
  <c r="U228" i="14"/>
  <c r="U216" i="14"/>
  <c r="U212" i="14"/>
  <c r="U215" i="14"/>
  <c r="U219" i="14"/>
  <c r="U230" i="14"/>
  <c r="U371" i="14"/>
  <c r="V371" i="14"/>
  <c r="W371" i="14"/>
  <c r="U340" i="14"/>
  <c r="W340" i="14"/>
  <c r="V340" i="14"/>
  <c r="W348" i="14"/>
  <c r="V348" i="14"/>
  <c r="U348" i="14"/>
  <c r="M434" i="14"/>
  <c r="M435" i="14"/>
  <c r="M396" i="14"/>
  <c r="M417" i="14"/>
  <c r="M375" i="14"/>
  <c r="N342" i="14"/>
  <c r="N311" i="14"/>
  <c r="N303" i="14"/>
  <c r="N307" i="14"/>
  <c r="M410" i="14"/>
  <c r="M429" i="14"/>
  <c r="N368" i="14"/>
  <c r="M343" i="14"/>
  <c r="N323" i="14"/>
  <c r="N315" i="14"/>
  <c r="N298" i="14"/>
  <c r="M330" i="14"/>
  <c r="N330" i="14"/>
  <c r="N386" i="14"/>
  <c r="M387" i="14"/>
  <c r="N319" i="14"/>
  <c r="M299" i="14"/>
  <c r="M368" i="14"/>
  <c r="M422" i="14"/>
  <c r="M406" i="14"/>
  <c r="N375" i="14"/>
  <c r="N343" i="14"/>
  <c r="N335" i="14"/>
  <c r="N327" i="14"/>
  <c r="N331" i="14"/>
  <c r="M321" i="14"/>
  <c r="M312" i="14"/>
  <c r="M308" i="14"/>
  <c r="M328" i="14"/>
  <c r="N332" i="14"/>
  <c r="N305" i="14"/>
  <c r="M334" i="14"/>
  <c r="N306" i="14"/>
  <c r="M416" i="14"/>
  <c r="M397" i="14"/>
  <c r="M418" i="14"/>
  <c r="M369" i="14"/>
  <c r="N387" i="14"/>
  <c r="M344" i="14"/>
  <c r="M300" i="14"/>
  <c r="M304" i="14"/>
  <c r="M332" i="14"/>
  <c r="M309" i="14"/>
  <c r="N325" i="14"/>
  <c r="M339" i="14"/>
  <c r="N392" i="14"/>
  <c r="M411" i="14"/>
  <c r="M430" i="14"/>
  <c r="M382" i="14"/>
  <c r="M376" i="14"/>
  <c r="N344" i="14"/>
  <c r="M316" i="14"/>
  <c r="N301" i="14"/>
  <c r="M318" i="14"/>
  <c r="N318" i="14"/>
  <c r="N374" i="14"/>
  <c r="M423" i="14"/>
  <c r="M407" i="14"/>
  <c r="N369" i="14"/>
  <c r="M388" i="14"/>
  <c r="M345" i="14"/>
  <c r="M324" i="14"/>
  <c r="M320" i="14"/>
  <c r="M427" i="14"/>
  <c r="M398" i="14"/>
  <c r="M419" i="14"/>
  <c r="N382" i="14"/>
  <c r="N376" i="14"/>
  <c r="N345" i="14"/>
  <c r="N300" i="14"/>
  <c r="N304" i="14"/>
  <c r="N316" i="14"/>
  <c r="M329" i="14"/>
  <c r="M306" i="14"/>
  <c r="N334" i="14"/>
  <c r="M341" i="14"/>
  <c r="M327" i="14"/>
  <c r="M412" i="14"/>
  <c r="M431" i="14"/>
  <c r="M370" i="14"/>
  <c r="N388" i="14"/>
  <c r="M346" i="14"/>
  <c r="N312" i="14"/>
  <c r="M333" i="14"/>
  <c r="N309" i="14"/>
  <c r="M314" i="14"/>
  <c r="M311" i="14"/>
  <c r="M315" i="14"/>
  <c r="M424" i="14"/>
  <c r="M408" i="14"/>
  <c r="M383" i="14"/>
  <c r="M377" i="14"/>
  <c r="N346" i="14"/>
  <c r="N324" i="14"/>
  <c r="N328" i="14"/>
  <c r="N308" i="14"/>
  <c r="N320" i="14"/>
  <c r="M298" i="14"/>
  <c r="M302" i="14"/>
  <c r="N302" i="14"/>
  <c r="M386" i="14"/>
  <c r="M409" i="14"/>
  <c r="M420" i="14"/>
  <c r="N370" i="14"/>
  <c r="M389" i="14"/>
  <c r="M347" i="14"/>
  <c r="M301" i="14"/>
  <c r="M305" i="14"/>
  <c r="M325" i="14"/>
  <c r="N390" i="14"/>
  <c r="N314" i="14"/>
  <c r="M319" i="14"/>
  <c r="N299" i="14"/>
  <c r="M399" i="14"/>
  <c r="M432" i="14"/>
  <c r="N383" i="14"/>
  <c r="N377" i="14"/>
  <c r="N347" i="14"/>
  <c r="M313" i="14"/>
  <c r="M317" i="14"/>
  <c r="M378" i="14"/>
  <c r="M326" i="14"/>
  <c r="N326" i="14"/>
  <c r="M405" i="14"/>
  <c r="M413" i="14"/>
  <c r="M366" i="14"/>
  <c r="M390" i="14"/>
  <c r="N389" i="14"/>
  <c r="N362" i="14"/>
  <c r="M307" i="14"/>
  <c r="M342" i="14"/>
  <c r="M425" i="14"/>
  <c r="M379" i="14"/>
  <c r="M372" i="14"/>
  <c r="M310" i="14"/>
  <c r="M392" i="14"/>
  <c r="M421" i="14"/>
  <c r="M391" i="14"/>
  <c r="M384" i="14"/>
  <c r="N378" i="14"/>
  <c r="M322" i="14"/>
  <c r="N313" i="14"/>
  <c r="N317" i="14"/>
  <c r="N321" i="14"/>
  <c r="N333" i="14"/>
  <c r="N385" i="14"/>
  <c r="M428" i="14"/>
  <c r="M402" i="14"/>
  <c r="N366" i="14"/>
  <c r="N372" i="14"/>
  <c r="N329" i="14"/>
  <c r="M323" i="14"/>
  <c r="M414" i="14"/>
  <c r="N379" i="14"/>
  <c r="N384" i="14"/>
  <c r="M361" i="14"/>
  <c r="M426" i="14"/>
  <c r="N391" i="14"/>
  <c r="M373" i="14"/>
  <c r="N361" i="14"/>
  <c r="N310" i="14"/>
  <c r="N341" i="14"/>
  <c r="M331" i="14"/>
  <c r="M403" i="14"/>
  <c r="M367" i="14"/>
  <c r="M385" i="14"/>
  <c r="M362" i="14"/>
  <c r="N322" i="14"/>
  <c r="M335" i="14"/>
  <c r="M415" i="14"/>
  <c r="M380" i="14"/>
  <c r="N373" i="14"/>
  <c r="N380" i="14"/>
  <c r="M404" i="14"/>
  <c r="N367" i="14"/>
  <c r="M374" i="14"/>
  <c r="N339" i="14"/>
  <c r="M303" i="14"/>
  <c r="M293" i="14"/>
  <c r="M294" i="14"/>
  <c r="M252" i="14"/>
  <c r="M288" i="14"/>
  <c r="N235" i="14"/>
  <c r="M247" i="14"/>
  <c r="R346" i="14"/>
  <c r="L342" i="14"/>
  <c r="L347" i="14"/>
  <c r="Q342" i="14"/>
  <c r="N240" i="14"/>
  <c r="R342" i="14"/>
  <c r="N245" i="14"/>
  <c r="M246" i="14"/>
  <c r="O234" i="14"/>
  <c r="M243" i="14"/>
  <c r="M260" i="14"/>
  <c r="M257" i="14"/>
  <c r="N243" i="14"/>
  <c r="N239" i="14"/>
  <c r="O247" i="14"/>
  <c r="O240" i="14"/>
  <c r="Q344" i="14"/>
  <c r="M234" i="14"/>
  <c r="P346" i="14"/>
  <c r="M268" i="14"/>
  <c r="M265" i="14"/>
  <c r="O235" i="14"/>
  <c r="N247" i="14"/>
  <c r="P342" i="14"/>
  <c r="O239" i="14"/>
  <c r="P347" i="14"/>
  <c r="L344" i="14"/>
  <c r="M245" i="14"/>
  <c r="O237" i="14"/>
  <c r="M242" i="14"/>
  <c r="N246" i="14"/>
  <c r="M280" i="14"/>
  <c r="M276" i="14"/>
  <c r="M273" i="14"/>
  <c r="O243" i="14"/>
  <c r="M259" i="14"/>
  <c r="N241" i="14"/>
  <c r="M284" i="14"/>
  <c r="M281" i="14"/>
  <c r="M236" i="14"/>
  <c r="N237" i="14"/>
  <c r="M256" i="14"/>
  <c r="M253" i="14"/>
  <c r="M289" i="14"/>
  <c r="M244" i="14"/>
  <c r="M240" i="14"/>
  <c r="L345" i="14"/>
  <c r="M291" i="14"/>
  <c r="M264" i="14"/>
  <c r="M261" i="14"/>
  <c r="M258" i="14"/>
  <c r="N236" i="14"/>
  <c r="P343" i="14"/>
  <c r="O245" i="14"/>
  <c r="N238" i="14"/>
  <c r="M269" i="14"/>
  <c r="M266" i="14"/>
  <c r="N244" i="14"/>
  <c r="M275" i="14"/>
  <c r="N234" i="14"/>
  <c r="Q346" i="14"/>
  <c r="M277" i="14"/>
  <c r="M274" i="14"/>
  <c r="O236" i="14"/>
  <c r="M241" i="14"/>
  <c r="Q347" i="14"/>
  <c r="R344" i="14"/>
  <c r="Q345" i="14"/>
  <c r="L341" i="14"/>
  <c r="N242" i="14"/>
  <c r="M285" i="14"/>
  <c r="M282" i="14"/>
  <c r="O244" i="14"/>
  <c r="O241" i="14"/>
  <c r="R347" i="14"/>
  <c r="R343" i="14"/>
  <c r="P345" i="14"/>
  <c r="P344" i="14"/>
  <c r="M287" i="14"/>
  <c r="M239" i="14"/>
  <c r="M254" i="14"/>
  <c r="M290" i="14"/>
  <c r="M237" i="14"/>
  <c r="L343" i="14"/>
  <c r="R345" i="14"/>
  <c r="L346" i="14"/>
  <c r="O246" i="14"/>
  <c r="M262" i="14"/>
  <c r="O238" i="14"/>
  <c r="M270" i="14"/>
  <c r="M267" i="14"/>
  <c r="M238" i="14"/>
  <c r="Q341" i="14"/>
  <c r="M272" i="14"/>
  <c r="M278" i="14"/>
  <c r="Q343" i="14"/>
  <c r="O242" i="14"/>
  <c r="M286" i="14"/>
  <c r="M283" i="14"/>
  <c r="M279" i="14"/>
  <c r="M235" i="14"/>
  <c r="M255" i="14"/>
  <c r="R341" i="14"/>
  <c r="M263" i="14"/>
  <c r="M271" i="14"/>
  <c r="P341" i="14"/>
  <c r="L124" i="14"/>
  <c r="L123" i="14"/>
  <c r="L104" i="14"/>
  <c r="L105" i="14"/>
  <c r="L106" i="14"/>
  <c r="L107" i="14"/>
  <c r="L108" i="14"/>
  <c r="L109" i="14"/>
  <c r="L110" i="14"/>
  <c r="L111" i="14"/>
  <c r="L112" i="14"/>
  <c r="L113" i="14"/>
  <c r="L114" i="14"/>
  <c r="L115" i="14"/>
  <c r="L116" i="14"/>
  <c r="L117" i="14"/>
  <c r="L118" i="14"/>
  <c r="L119" i="14"/>
  <c r="L120" i="14"/>
  <c r="L121" i="14"/>
  <c r="L103" i="14"/>
  <c r="K103" i="14"/>
  <c r="AE195" i="14" l="1"/>
  <c r="F297" i="40" s="1"/>
  <c r="E297" i="40"/>
  <c r="F35" i="40"/>
  <c r="F185" i="40"/>
  <c r="AD194" i="14"/>
  <c r="W124" i="14"/>
  <c r="X399" i="14"/>
  <c r="W399" i="14"/>
  <c r="U399" i="14"/>
  <c r="AD371" i="14"/>
  <c r="AE343" i="14"/>
  <c r="AE341" i="14"/>
  <c r="AE344" i="14"/>
  <c r="AE342" i="14"/>
  <c r="AE346" i="14"/>
  <c r="AE347" i="14"/>
  <c r="AD230" i="14"/>
  <c r="AE230" i="14" s="1"/>
  <c r="AD203" i="14"/>
  <c r="AD206" i="14"/>
  <c r="E339" i="40" s="1"/>
  <c r="AD219" i="14"/>
  <c r="E324" i="40" s="1"/>
  <c r="AD215" i="14"/>
  <c r="E317" i="40" s="1"/>
  <c r="AD212" i="14"/>
  <c r="AD217" i="14"/>
  <c r="E319" i="40" s="1"/>
  <c r="AD216" i="14"/>
  <c r="E318" i="40" s="1"/>
  <c r="AD205" i="14"/>
  <c r="E338" i="40" s="1"/>
  <c r="AD228" i="14"/>
  <c r="E336" i="40" s="1"/>
  <c r="AD227" i="14"/>
  <c r="E335" i="40" s="1"/>
  <c r="AD204" i="14"/>
  <c r="E302" i="40" s="1"/>
  <c r="AD221" i="14"/>
  <c r="E326" i="40" s="1"/>
  <c r="AD214" i="14"/>
  <c r="E316" i="40" s="1"/>
  <c r="AD226" i="14"/>
  <c r="E334" i="40" s="1"/>
  <c r="AD225" i="14"/>
  <c r="E330" i="40" s="1"/>
  <c r="AD211" i="14"/>
  <c r="E313" i="40" s="1"/>
  <c r="AD213" i="14"/>
  <c r="E315" i="40" s="1"/>
  <c r="AD224" i="14"/>
  <c r="E329" i="40" s="1"/>
  <c r="AD209" i="14"/>
  <c r="E342" i="40" s="1"/>
  <c r="AD223" i="14"/>
  <c r="E328" i="40" s="1"/>
  <c r="AD208" i="14"/>
  <c r="E341" i="40" s="1"/>
  <c r="AD220" i="14"/>
  <c r="E325" i="40" s="1"/>
  <c r="AD222" i="14"/>
  <c r="E327" i="40" s="1"/>
  <c r="AD207" i="14"/>
  <c r="AD229" i="14"/>
  <c r="E337" i="40" s="1"/>
  <c r="AD210" i="14"/>
  <c r="E343" i="40" s="1"/>
  <c r="AD218" i="14"/>
  <c r="E323" i="40" s="1"/>
  <c r="X121" i="14"/>
  <c r="X122" i="14"/>
  <c r="W122" i="14"/>
  <c r="X96" i="14"/>
  <c r="V148" i="14"/>
  <c r="V155" i="14"/>
  <c r="X97" i="14"/>
  <c r="W97" i="14"/>
  <c r="W148" i="14"/>
  <c r="V94" i="14"/>
  <c r="W94" i="14"/>
  <c r="W106" i="14"/>
  <c r="W435" i="14"/>
  <c r="V154" i="14"/>
  <c r="W155" i="14"/>
  <c r="V99" i="14"/>
  <c r="X106" i="14"/>
  <c r="V160" i="14"/>
  <c r="W160" i="14"/>
  <c r="V131" i="14"/>
  <c r="X160" i="14"/>
  <c r="W131" i="14"/>
  <c r="X74" i="14"/>
  <c r="X131" i="14"/>
  <c r="V167" i="14"/>
  <c r="W74" i="14"/>
  <c r="W167" i="14"/>
  <c r="X349" i="14"/>
  <c r="V74" i="14"/>
  <c r="X167" i="14"/>
  <c r="V82" i="14"/>
  <c r="W82" i="14"/>
  <c r="W404" i="14"/>
  <c r="X82" i="14"/>
  <c r="X404" i="14"/>
  <c r="V84" i="14"/>
  <c r="X109" i="14"/>
  <c r="V175" i="14"/>
  <c r="W406" i="14"/>
  <c r="W84" i="14"/>
  <c r="W175" i="14"/>
  <c r="X84" i="14"/>
  <c r="V147" i="14"/>
  <c r="X175" i="14"/>
  <c r="W407" i="14"/>
  <c r="V85" i="14"/>
  <c r="W147" i="14"/>
  <c r="W85" i="14"/>
  <c r="X147" i="14"/>
  <c r="W408" i="14"/>
  <c r="W409" i="14"/>
  <c r="W98" i="14"/>
  <c r="W93" i="14"/>
  <c r="W154" i="14"/>
  <c r="W294" i="14"/>
  <c r="X98" i="14"/>
  <c r="X93" i="14"/>
  <c r="X154" i="14"/>
  <c r="X405" i="14"/>
  <c r="V93" i="14"/>
  <c r="X99" i="14"/>
  <c r="V96" i="14"/>
  <c r="V176" i="14"/>
  <c r="W176" i="14"/>
  <c r="V168" i="14"/>
  <c r="W168" i="14"/>
  <c r="V169" i="14"/>
  <c r="W169" i="14"/>
  <c r="V95" i="14"/>
  <c r="W95" i="14"/>
  <c r="W68" i="14"/>
  <c r="W77" i="14"/>
  <c r="X76" i="14"/>
  <c r="X89" i="14"/>
  <c r="V90" i="14"/>
  <c r="W90" i="14"/>
  <c r="X116" i="14"/>
  <c r="X117" i="14"/>
  <c r="X137" i="14"/>
  <c r="V139" i="14"/>
  <c r="W139" i="14"/>
  <c r="X170" i="14"/>
  <c r="X189" i="14"/>
  <c r="W261" i="14"/>
  <c r="W262" i="14"/>
  <c r="W273" i="14"/>
  <c r="W285" i="14"/>
  <c r="W412" i="14"/>
  <c r="W67" i="14"/>
  <c r="W425" i="14"/>
  <c r="X67" i="14"/>
  <c r="W153" i="14"/>
  <c r="V68" i="14"/>
  <c r="W59" i="14"/>
  <c r="W76" i="14"/>
  <c r="W89" i="14"/>
  <c r="W137" i="14"/>
  <c r="W170" i="14"/>
  <c r="W189" i="14"/>
  <c r="X260" i="14"/>
  <c r="X272" i="14"/>
  <c r="X284" i="14"/>
  <c r="X411" i="14"/>
  <c r="X424" i="14"/>
  <c r="W83" i="14"/>
  <c r="V153" i="14"/>
  <c r="V77" i="14"/>
  <c r="V171" i="14"/>
  <c r="V191" i="14"/>
  <c r="W105" i="14"/>
  <c r="X59" i="14"/>
  <c r="W171" i="14"/>
  <c r="W191" i="14"/>
  <c r="W274" i="14"/>
  <c r="W286" i="14"/>
  <c r="W413" i="14"/>
  <c r="W426" i="14"/>
  <c r="V163" i="14"/>
  <c r="W118" i="14"/>
  <c r="W114" i="14"/>
  <c r="W163" i="14"/>
  <c r="V69" i="14"/>
  <c r="V78" i="14"/>
  <c r="V92" i="14"/>
  <c r="V140" i="14"/>
  <c r="V172" i="14"/>
  <c r="V192" i="14"/>
  <c r="W263" i="14"/>
  <c r="W275" i="14"/>
  <c r="W287" i="14"/>
  <c r="W414" i="14"/>
  <c r="W427" i="14"/>
  <c r="X83" i="14"/>
  <c r="W69" i="14"/>
  <c r="W78" i="14"/>
  <c r="W92" i="14"/>
  <c r="W119" i="14"/>
  <c r="W140" i="14"/>
  <c r="W172" i="14"/>
  <c r="W192" i="14"/>
  <c r="V134" i="14"/>
  <c r="V161" i="14"/>
  <c r="W264" i="14"/>
  <c r="W276" i="14"/>
  <c r="W288" i="14"/>
  <c r="W415" i="14"/>
  <c r="W428" i="14"/>
  <c r="W134" i="14"/>
  <c r="W161" i="14"/>
  <c r="V70" i="14"/>
  <c r="V79" i="14"/>
  <c r="W104" i="14"/>
  <c r="W120" i="14"/>
  <c r="V141" i="14"/>
  <c r="V173" i="14"/>
  <c r="V198" i="14"/>
  <c r="W70" i="14"/>
  <c r="W79" i="14"/>
  <c r="W141" i="14"/>
  <c r="W173" i="14"/>
  <c r="W198" i="14"/>
  <c r="W265" i="14"/>
  <c r="W277" i="14"/>
  <c r="W289" i="14"/>
  <c r="W416" i="14"/>
  <c r="W429" i="14"/>
  <c r="V135" i="14"/>
  <c r="V159" i="14"/>
  <c r="W107" i="14"/>
  <c r="W121" i="14"/>
  <c r="W135" i="14"/>
  <c r="W159" i="14"/>
  <c r="V71" i="14"/>
  <c r="V80" i="14"/>
  <c r="V162" i="14"/>
  <c r="V174" i="14"/>
  <c r="W253" i="14"/>
  <c r="W266" i="14"/>
  <c r="W278" i="14"/>
  <c r="W290" i="14"/>
  <c r="W417" i="14"/>
  <c r="W430" i="14"/>
  <c r="W71" i="14"/>
  <c r="W80" i="14"/>
  <c r="W108" i="14"/>
  <c r="W162" i="14"/>
  <c r="W174" i="14"/>
  <c r="V129" i="14"/>
  <c r="V190" i="14"/>
  <c r="W255" i="14"/>
  <c r="W267" i="14"/>
  <c r="W279" i="14"/>
  <c r="W291" i="14"/>
  <c r="W418" i="14"/>
  <c r="W432" i="14"/>
  <c r="W129" i="14"/>
  <c r="W190" i="14"/>
  <c r="V72" i="14"/>
  <c r="V81" i="14"/>
  <c r="W110" i="14"/>
  <c r="V130" i="14"/>
  <c r="V164" i="14"/>
  <c r="V180" i="14"/>
  <c r="W72" i="14"/>
  <c r="W81" i="14"/>
  <c r="W130" i="14"/>
  <c r="W164" i="14"/>
  <c r="W180" i="14"/>
  <c r="W256" i="14"/>
  <c r="W268" i="14"/>
  <c r="W280" i="14"/>
  <c r="W398" i="14"/>
  <c r="W419" i="14"/>
  <c r="V138" i="14"/>
  <c r="V193" i="14"/>
  <c r="W111" i="14"/>
  <c r="W138" i="14"/>
  <c r="W193" i="14"/>
  <c r="V65" i="14"/>
  <c r="V73" i="14"/>
  <c r="V87" i="14"/>
  <c r="V132" i="14"/>
  <c r="V165" i="14"/>
  <c r="V181" i="14"/>
  <c r="W257" i="14"/>
  <c r="W269" i="14"/>
  <c r="W281" i="14"/>
  <c r="W402" i="14"/>
  <c r="W421" i="14"/>
  <c r="X60" i="14"/>
  <c r="W65" i="14"/>
  <c r="W73" i="14"/>
  <c r="W87" i="14"/>
  <c r="W112" i="14"/>
  <c r="W132" i="14"/>
  <c r="W165" i="14"/>
  <c r="W181" i="14"/>
  <c r="W60" i="14"/>
  <c r="V142" i="14"/>
  <c r="V196" i="14"/>
  <c r="W258" i="14"/>
  <c r="W270" i="14"/>
  <c r="W282" i="14"/>
  <c r="W403" i="14"/>
  <c r="W422" i="14"/>
  <c r="W142" i="14"/>
  <c r="W196" i="14"/>
  <c r="X58" i="14"/>
  <c r="V66" i="14"/>
  <c r="V75" i="14"/>
  <c r="V88" i="14"/>
  <c r="W113" i="14"/>
  <c r="V133" i="14"/>
  <c r="V166" i="14"/>
  <c r="V182" i="14"/>
  <c r="V61" i="14"/>
  <c r="W58" i="14"/>
  <c r="W66" i="14"/>
  <c r="W75" i="14"/>
  <c r="W88" i="14"/>
  <c r="W133" i="14"/>
  <c r="W166" i="14"/>
  <c r="W182" i="14"/>
  <c r="W259" i="14"/>
  <c r="W271" i="14"/>
  <c r="W283" i="14"/>
  <c r="W410" i="14"/>
  <c r="W423" i="14"/>
  <c r="W61" i="14"/>
  <c r="V146" i="14"/>
  <c r="W254" i="14"/>
  <c r="W115" i="14"/>
  <c r="W146" i="14"/>
  <c r="W431" i="14"/>
  <c r="C18" i="12"/>
  <c r="H118" i="14"/>
  <c r="K124" i="14"/>
  <c r="Q361" i="14"/>
  <c r="P335" i="14"/>
  <c r="P288" i="14"/>
  <c r="P266" i="14"/>
  <c r="L266" i="14"/>
  <c r="L286" i="14"/>
  <c r="H278" i="14"/>
  <c r="R301" i="14"/>
  <c r="D396" i="14"/>
  <c r="R386" i="14"/>
  <c r="G381" i="14"/>
  <c r="D384" i="14"/>
  <c r="P431" i="14"/>
  <c r="G347" i="14"/>
  <c r="Q307" i="14"/>
  <c r="D258" i="14"/>
  <c r="L313" i="14"/>
  <c r="P240" i="14"/>
  <c r="L240" i="14"/>
  <c r="I375" i="14"/>
  <c r="Q410" i="14"/>
  <c r="I353" i="14"/>
  <c r="Q284" i="14"/>
  <c r="C351" i="14"/>
  <c r="G287" i="14"/>
  <c r="D255" i="14"/>
  <c r="G332" i="14"/>
  <c r="L378" i="14"/>
  <c r="D243" i="14"/>
  <c r="Q421" i="14"/>
  <c r="C339" i="14"/>
  <c r="K308" i="14"/>
  <c r="J240" i="14"/>
  <c r="K426" i="14"/>
  <c r="E344" i="14"/>
  <c r="K266" i="14"/>
  <c r="D279" i="14"/>
  <c r="C276" i="14"/>
  <c r="I301" i="14"/>
  <c r="H244" i="14"/>
  <c r="E392" i="14"/>
  <c r="L421" i="14"/>
  <c r="R299" i="14"/>
  <c r="P388" i="14"/>
  <c r="H298" i="14"/>
  <c r="E317" i="14"/>
  <c r="G410" i="14"/>
  <c r="H252" i="14"/>
  <c r="K323" i="14"/>
  <c r="P238" i="14"/>
  <c r="G309" i="14"/>
  <c r="C376" i="14"/>
  <c r="H432" i="14"/>
  <c r="P316" i="14"/>
  <c r="R310" i="14"/>
  <c r="P380" i="14"/>
  <c r="K377" i="14"/>
  <c r="D330" i="14"/>
  <c r="G407" i="14"/>
  <c r="F244" i="14"/>
  <c r="P279" i="14"/>
  <c r="G422" i="14"/>
  <c r="D334" i="14"/>
  <c r="D428" i="14"/>
  <c r="G327" i="14"/>
  <c r="D408" i="14"/>
  <c r="C328" i="14"/>
  <c r="S234" i="14"/>
  <c r="H385" i="14"/>
  <c r="L193" i="14"/>
  <c r="L164" i="14"/>
  <c r="L178" i="14"/>
  <c r="K165" i="14"/>
  <c r="K162" i="14"/>
  <c r="K171" i="14"/>
  <c r="G132" i="14"/>
  <c r="G169" i="14"/>
  <c r="G163" i="14"/>
  <c r="P153" i="14"/>
  <c r="P152" i="14"/>
  <c r="P161" i="14"/>
  <c r="C131" i="14"/>
  <c r="C148" i="14"/>
  <c r="C144" i="14"/>
  <c r="D123" i="14"/>
  <c r="P111" i="14"/>
  <c r="D108" i="14"/>
  <c r="C121" i="14"/>
  <c r="L90" i="14"/>
  <c r="L83" i="14"/>
  <c r="C99" i="14"/>
  <c r="C262" i="14"/>
  <c r="I235" i="14"/>
  <c r="L158" i="14"/>
  <c r="L190" i="14"/>
  <c r="K145" i="14"/>
  <c r="G147" i="14"/>
  <c r="P149" i="14"/>
  <c r="C180" i="14"/>
  <c r="C156" i="14"/>
  <c r="D124" i="14"/>
  <c r="D110" i="14"/>
  <c r="L61" i="14"/>
  <c r="C95" i="14"/>
  <c r="L56" i="14"/>
  <c r="K370" i="14"/>
  <c r="R326" i="14"/>
  <c r="E320" i="14"/>
  <c r="I242" i="14"/>
  <c r="G341" i="14"/>
  <c r="C345" i="14"/>
  <c r="I331" i="14"/>
  <c r="L267" i="14"/>
  <c r="D284" i="14"/>
  <c r="L172" i="14"/>
  <c r="P197" i="14"/>
  <c r="P112" i="14"/>
  <c r="L141" i="14"/>
  <c r="P110" i="14"/>
  <c r="C421" i="14"/>
  <c r="H352" i="14"/>
  <c r="H119" i="14"/>
  <c r="K123" i="14"/>
  <c r="R361" i="14"/>
  <c r="D381" i="14"/>
  <c r="P289" i="14"/>
  <c r="Q283" i="14"/>
  <c r="D342" i="14"/>
  <c r="V342" i="14" s="1"/>
  <c r="K267" i="14"/>
  <c r="H276" i="14"/>
  <c r="Q301" i="14"/>
  <c r="C398" i="14"/>
  <c r="K332" i="14"/>
  <c r="C237" i="14"/>
  <c r="C304" i="14"/>
  <c r="P415" i="14"/>
  <c r="G357" i="14"/>
  <c r="H264" i="14"/>
  <c r="H425" i="14"/>
  <c r="K326" i="14"/>
  <c r="G236" i="14"/>
  <c r="I380" i="14"/>
  <c r="P407" i="14"/>
  <c r="G356" i="14"/>
  <c r="P285" i="14"/>
  <c r="L252" i="14"/>
  <c r="P317" i="14"/>
  <c r="K431" i="14"/>
  <c r="R311" i="14"/>
  <c r="Q242" i="14"/>
  <c r="L367" i="14"/>
  <c r="E299" i="14"/>
  <c r="P420" i="14"/>
  <c r="C341" i="14"/>
  <c r="U341" i="14" s="1"/>
  <c r="L290" i="14"/>
  <c r="E341" i="14"/>
  <c r="W341" i="14" s="1"/>
  <c r="K418" i="14"/>
  <c r="Q316" i="14"/>
  <c r="L311" i="14"/>
  <c r="L239" i="14"/>
  <c r="K381" i="14"/>
  <c r="K429" i="14"/>
  <c r="D252" i="14"/>
  <c r="P234" i="14"/>
  <c r="L380" i="14"/>
  <c r="H410" i="14"/>
  <c r="G288" i="14"/>
  <c r="C432" i="14"/>
  <c r="H301" i="14"/>
  <c r="I298" i="14"/>
  <c r="Q263" i="14"/>
  <c r="K397" i="14"/>
  <c r="H326" i="14"/>
  <c r="Q300" i="14"/>
  <c r="Q388" i="14"/>
  <c r="C330" i="14"/>
  <c r="G264" i="14"/>
  <c r="I305" i="14"/>
  <c r="I374" i="14"/>
  <c r="D283" i="14"/>
  <c r="P384" i="14"/>
  <c r="E309" i="14"/>
  <c r="C429" i="14"/>
  <c r="G335" i="14"/>
  <c r="I370" i="14"/>
  <c r="P381" i="14"/>
  <c r="E379" i="14"/>
  <c r="C389" i="14"/>
  <c r="K197" i="14"/>
  <c r="P157" i="14"/>
  <c r="C114" i="14"/>
  <c r="Q391" i="14"/>
  <c r="L316" i="14"/>
  <c r="Q267" i="14"/>
  <c r="G240" i="14"/>
  <c r="G183" i="14"/>
  <c r="C104" i="14"/>
  <c r="G130" i="14"/>
  <c r="L82" i="14"/>
  <c r="L422" i="14"/>
  <c r="H339" i="14"/>
  <c r="H120" i="14"/>
  <c r="K104" i="14"/>
  <c r="P361" i="14"/>
  <c r="C368" i="14"/>
  <c r="P257" i="14"/>
  <c r="L257" i="14"/>
  <c r="K252" i="14"/>
  <c r="C343" i="14"/>
  <c r="H291" i="14"/>
  <c r="Q330" i="14"/>
  <c r="P327" i="14"/>
  <c r="L314" i="14"/>
  <c r="I319" i="14"/>
  <c r="E239" i="14"/>
  <c r="C378" i="14"/>
  <c r="P412" i="14"/>
  <c r="I344" i="14"/>
  <c r="H289" i="14"/>
  <c r="D275" i="14"/>
  <c r="D285" i="14"/>
  <c r="C253" i="14"/>
  <c r="Q235" i="14"/>
  <c r="G245" i="14"/>
  <c r="D328" i="14"/>
  <c r="P408" i="14"/>
  <c r="I357" i="14"/>
  <c r="D357" i="14"/>
  <c r="P333" i="14"/>
  <c r="R327" i="14"/>
  <c r="L328" i="14"/>
  <c r="R391" i="14"/>
  <c r="D304" i="14"/>
  <c r="P426" i="14"/>
  <c r="K284" i="14"/>
  <c r="D260" i="14"/>
  <c r="C427" i="14"/>
  <c r="R385" i="14"/>
  <c r="H388" i="14"/>
  <c r="L402" i="14"/>
  <c r="C255" i="14"/>
  <c r="L389" i="14"/>
  <c r="L404" i="14"/>
  <c r="P298" i="14"/>
  <c r="L241" i="14"/>
  <c r="C243" i="14"/>
  <c r="Q260" i="14"/>
  <c r="H397" i="14"/>
  <c r="P367" i="14"/>
  <c r="H335" i="14"/>
  <c r="G389" i="14"/>
  <c r="G415" i="14"/>
  <c r="P241" i="14"/>
  <c r="G247" i="14"/>
  <c r="E333" i="14"/>
  <c r="K417" i="14"/>
  <c r="K321" i="14"/>
  <c r="H304" i="14"/>
  <c r="L366" i="14"/>
  <c r="D390" i="14"/>
  <c r="H424" i="14"/>
  <c r="K235" i="14"/>
  <c r="G379" i="14"/>
  <c r="D430" i="14"/>
  <c r="E308" i="14"/>
  <c r="D419" i="14"/>
  <c r="K389" i="14"/>
  <c r="H299" i="14"/>
  <c r="P274" i="14"/>
  <c r="Q264" i="14"/>
  <c r="L139" i="14"/>
  <c r="L180" i="14"/>
  <c r="L186" i="14"/>
  <c r="K149" i="14"/>
  <c r="K196" i="14"/>
  <c r="K157" i="14"/>
  <c r="G181" i="14"/>
  <c r="G173" i="14"/>
  <c r="G187" i="14"/>
  <c r="P142" i="14"/>
  <c r="P156" i="14"/>
  <c r="P164" i="14"/>
  <c r="C134" i="14"/>
  <c r="C133" i="14"/>
  <c r="C192" i="14"/>
  <c r="C124" i="14"/>
  <c r="Q104" i="14"/>
  <c r="D104" i="14"/>
  <c r="C107" i="14"/>
  <c r="L75" i="14"/>
  <c r="L86" i="14"/>
  <c r="C98" i="14"/>
  <c r="C92" i="14"/>
  <c r="I381" i="14"/>
  <c r="E356" i="14"/>
  <c r="L303" i="14"/>
  <c r="G317" i="14"/>
  <c r="H266" i="14"/>
  <c r="E241" i="14"/>
  <c r="C309" i="14"/>
  <c r="C274" i="14"/>
  <c r="G129" i="14"/>
  <c r="D25" i="14"/>
  <c r="L167" i="14"/>
  <c r="C181" i="14"/>
  <c r="L409" i="14"/>
  <c r="Q320" i="14"/>
  <c r="H121" i="14"/>
  <c r="K105" i="14"/>
  <c r="L362" i="14"/>
  <c r="P416" i="14"/>
  <c r="G343" i="14"/>
  <c r="Q281" i="14"/>
  <c r="E354" i="14"/>
  <c r="C358" i="14"/>
  <c r="C357" i="14"/>
  <c r="K407" i="14"/>
  <c r="G257" i="14"/>
  <c r="D409" i="14"/>
  <c r="S242" i="14"/>
  <c r="H312" i="14"/>
  <c r="I300" i="14"/>
  <c r="D329" i="14"/>
  <c r="E373" i="14"/>
  <c r="P409" i="14"/>
  <c r="I351" i="14"/>
  <c r="P255" i="14"/>
  <c r="H263" i="14"/>
  <c r="H290" i="14"/>
  <c r="P305" i="14"/>
  <c r="C263" i="14"/>
  <c r="P383" i="14"/>
  <c r="C308" i="14"/>
  <c r="C388" i="14"/>
  <c r="P397" i="14"/>
  <c r="L276" i="14"/>
  <c r="P318" i="14"/>
  <c r="P304" i="14"/>
  <c r="P290" i="14"/>
  <c r="K324" i="14"/>
  <c r="P246" i="14"/>
  <c r="L244" i="14"/>
  <c r="K367" i="14"/>
  <c r="I384" i="14"/>
  <c r="C380" i="14"/>
  <c r="L405" i="14"/>
  <c r="K253" i="14"/>
  <c r="G398" i="14"/>
  <c r="G283" i="14"/>
  <c r="K320" i="14"/>
  <c r="L333" i="14"/>
  <c r="L246" i="14"/>
  <c r="K382" i="14"/>
  <c r="G417" i="14"/>
  <c r="K278" i="14"/>
  <c r="L408" i="14"/>
  <c r="C404" i="14"/>
  <c r="C258" i="14"/>
  <c r="G304" i="14"/>
  <c r="H316" i="14"/>
  <c r="F245" i="14"/>
  <c r="P275" i="14"/>
  <c r="G431" i="14"/>
  <c r="D432" i="14"/>
  <c r="L384" i="14"/>
  <c r="E324" i="14"/>
  <c r="C333" i="14"/>
  <c r="R324" i="14"/>
  <c r="R375" i="14"/>
  <c r="H239" i="14"/>
  <c r="D236" i="14"/>
  <c r="H236" i="14"/>
  <c r="D277" i="14"/>
  <c r="C321" i="14"/>
  <c r="Q385" i="14"/>
  <c r="I368" i="14"/>
  <c r="H373" i="14"/>
  <c r="P262" i="14"/>
  <c r="L173" i="14"/>
  <c r="L148" i="14"/>
  <c r="L151" i="14"/>
  <c r="K156" i="14"/>
  <c r="K160" i="14"/>
  <c r="K136" i="14"/>
  <c r="G153" i="14"/>
  <c r="G161" i="14"/>
  <c r="G140" i="14"/>
  <c r="P184" i="14"/>
  <c r="P146" i="14"/>
  <c r="P185" i="14"/>
  <c r="C173" i="14"/>
  <c r="C149" i="14"/>
  <c r="C185" i="14"/>
  <c r="C123" i="14"/>
  <c r="P107" i="14"/>
  <c r="D106" i="14"/>
  <c r="C110" i="14"/>
  <c r="L81" i="14"/>
  <c r="L63" i="14"/>
  <c r="C97" i="14"/>
  <c r="C138" i="14"/>
  <c r="Q116" i="14"/>
  <c r="C120" i="14"/>
  <c r="P391" i="14"/>
  <c r="L237" i="14"/>
  <c r="R319" i="14"/>
  <c r="P281" i="14"/>
  <c r="G157" i="14"/>
  <c r="L58" i="14"/>
  <c r="P138" i="14"/>
  <c r="P425" i="14"/>
  <c r="P319" i="14"/>
  <c r="G104" i="14"/>
  <c r="K121" i="14"/>
  <c r="L361" i="14"/>
  <c r="Q431" i="14"/>
  <c r="I343" i="14"/>
  <c r="Q277" i="14"/>
  <c r="Q252" i="14"/>
  <c r="K286" i="14"/>
  <c r="D344" i="14"/>
  <c r="P326" i="14"/>
  <c r="P329" i="14"/>
  <c r="C278" i="14"/>
  <c r="P392" i="14"/>
  <c r="I324" i="14"/>
  <c r="D244" i="14"/>
  <c r="P424" i="14"/>
  <c r="G358" i="14"/>
  <c r="R320" i="14"/>
  <c r="K299" i="14"/>
  <c r="C260" i="14"/>
  <c r="I306" i="14"/>
  <c r="I388" i="14"/>
  <c r="P417" i="14"/>
  <c r="C346" i="14"/>
  <c r="L284" i="14"/>
  <c r="K279" i="14"/>
  <c r="H255" i="14"/>
  <c r="R305" i="14"/>
  <c r="C409" i="14"/>
  <c r="K236" i="14"/>
  <c r="G377" i="14"/>
  <c r="L429" i="14"/>
  <c r="D343" i="14"/>
  <c r="H274" i="14"/>
  <c r="D289" i="14"/>
  <c r="R388" i="14"/>
  <c r="K366" i="14"/>
  <c r="G423" i="14"/>
  <c r="D422" i="14"/>
  <c r="P389" i="14"/>
  <c r="E383" i="14"/>
  <c r="H421" i="14"/>
  <c r="D263" i="14"/>
  <c r="G320" i="14"/>
  <c r="I245" i="14"/>
  <c r="D331" i="14"/>
  <c r="L419" i="14"/>
  <c r="L325" i="14"/>
  <c r="I313" i="14"/>
  <c r="D303" i="14"/>
  <c r="C319" i="14"/>
  <c r="H407" i="14"/>
  <c r="S239" i="14"/>
  <c r="L234" i="14"/>
  <c r="F242" i="14"/>
  <c r="Q282" i="14"/>
  <c r="G428" i="14"/>
  <c r="G276" i="14"/>
  <c r="S243" i="14"/>
  <c r="K390" i="14"/>
  <c r="D379" i="14"/>
  <c r="D420" i="14"/>
  <c r="L385" i="14"/>
  <c r="D312" i="14"/>
  <c r="K317" i="14"/>
  <c r="H237" i="14"/>
  <c r="C391" i="14"/>
  <c r="L324" i="14"/>
  <c r="H387" i="14"/>
  <c r="D320" i="14"/>
  <c r="P259" i="14"/>
  <c r="L147" i="14"/>
  <c r="L176" i="14"/>
  <c r="L131" i="14"/>
  <c r="K172" i="14"/>
  <c r="K167" i="14"/>
  <c r="K185" i="14"/>
  <c r="G159" i="14"/>
  <c r="G197" i="14"/>
  <c r="G168" i="14"/>
  <c r="P167" i="14"/>
  <c r="P130" i="14"/>
  <c r="P198" i="14"/>
  <c r="C137" i="14"/>
  <c r="C165" i="14"/>
  <c r="Q123" i="14"/>
  <c r="D107" i="14"/>
  <c r="P370" i="14"/>
  <c r="H313" i="14"/>
  <c r="C294" i="14"/>
  <c r="K151" i="14"/>
  <c r="Q113" i="14"/>
  <c r="C150" i="14"/>
  <c r="Q425" i="14"/>
  <c r="G105" i="14"/>
  <c r="K106" i="14"/>
  <c r="K362" i="14"/>
  <c r="Q397" i="14"/>
  <c r="G355" i="14"/>
  <c r="Q291" i="14"/>
  <c r="P252" i="14"/>
  <c r="L271" i="14"/>
  <c r="K263" i="14"/>
  <c r="K280" i="14"/>
  <c r="P299" i="14"/>
  <c r="G286" i="14"/>
  <c r="G255" i="14"/>
  <c r="R380" i="14"/>
  <c r="K234" i="14"/>
  <c r="C334" i="14"/>
  <c r="C314" i="14"/>
  <c r="P413" i="14"/>
  <c r="G352" i="14"/>
  <c r="H280" i="14"/>
  <c r="H288" i="14"/>
  <c r="G261" i="14"/>
  <c r="D412" i="14"/>
  <c r="K307" i="14"/>
  <c r="L391" i="14"/>
  <c r="C331" i="14"/>
  <c r="Q404" i="14"/>
  <c r="D356" i="14"/>
  <c r="Q305" i="14"/>
  <c r="R306" i="14"/>
  <c r="K312" i="14"/>
  <c r="R240" i="14"/>
  <c r="L247" i="14"/>
  <c r="G366" i="14"/>
  <c r="C301" i="14"/>
  <c r="K430" i="14"/>
  <c r="E352" i="14"/>
  <c r="K423" i="14"/>
  <c r="K302" i="14"/>
  <c r="C288" i="14"/>
  <c r="R383" i="14"/>
  <c r="C317" i="14"/>
  <c r="C379" i="14"/>
  <c r="G414" i="14"/>
  <c r="C354" i="14"/>
  <c r="D426" i="14"/>
  <c r="I318" i="14"/>
  <c r="H379" i="14"/>
  <c r="K422" i="14"/>
  <c r="H416" i="14"/>
  <c r="C417" i="14"/>
  <c r="P375" i="14"/>
  <c r="G384" i="14"/>
  <c r="K413" i="14"/>
  <c r="K328" i="14"/>
  <c r="G305" i="14"/>
  <c r="J242" i="14"/>
  <c r="H368" i="14"/>
  <c r="Q306" i="14"/>
  <c r="I317" i="14"/>
  <c r="I323" i="14"/>
  <c r="D386" i="14"/>
  <c r="C286" i="14"/>
  <c r="K368" i="14"/>
  <c r="C239" i="14"/>
  <c r="Q244" i="14"/>
  <c r="G242" i="14"/>
  <c r="C375" i="14"/>
  <c r="F243" i="14"/>
  <c r="P278" i="14"/>
  <c r="P254" i="14"/>
  <c r="L153" i="14"/>
  <c r="L175" i="14"/>
  <c r="L165" i="14"/>
  <c r="K158" i="14"/>
  <c r="K166" i="14"/>
  <c r="K146" i="14"/>
  <c r="G165" i="14"/>
  <c r="G174" i="14"/>
  <c r="G148" i="14"/>
  <c r="P144" i="14"/>
  <c r="P190" i="14"/>
  <c r="P162" i="14"/>
  <c r="C140" i="14"/>
  <c r="C175" i="14"/>
  <c r="C178" i="14"/>
  <c r="Q124" i="14"/>
  <c r="P109" i="14"/>
  <c r="D109" i="14"/>
  <c r="C106" i="14"/>
  <c r="L85" i="14"/>
  <c r="K93" i="14"/>
  <c r="C396" i="14"/>
  <c r="G370" i="14"/>
  <c r="G106" i="14"/>
  <c r="K107" i="14"/>
  <c r="K361" i="14"/>
  <c r="Q409" i="14"/>
  <c r="G344" i="14"/>
  <c r="Q272" i="14"/>
  <c r="G351" i="14"/>
  <c r="D358" i="14"/>
  <c r="D345" i="14"/>
  <c r="P324" i="14"/>
  <c r="R322" i="14"/>
  <c r="C406" i="14"/>
  <c r="L377" i="14"/>
  <c r="H383" i="14"/>
  <c r="P418" i="14"/>
  <c r="G412" i="14"/>
  <c r="C416" i="14"/>
  <c r="Q389" i="14"/>
  <c r="E311" i="14"/>
  <c r="E367" i="14"/>
  <c r="Q430" i="14"/>
  <c r="L416" i="14"/>
  <c r="Q311" i="14"/>
  <c r="L300" i="14"/>
  <c r="I312" i="14"/>
  <c r="G385" i="14"/>
  <c r="K412" i="14"/>
  <c r="E357" i="14"/>
  <c r="H429" i="14"/>
  <c r="G420" i="14"/>
  <c r="C415" i="14"/>
  <c r="G326" i="14"/>
  <c r="G367" i="14"/>
  <c r="C369" i="14"/>
  <c r="H430" i="14"/>
  <c r="L304" i="14"/>
  <c r="K369" i="14"/>
  <c r="C382" i="14"/>
  <c r="Q322" i="14"/>
  <c r="L298" i="14"/>
  <c r="G333" i="14"/>
  <c r="C326" i="14"/>
  <c r="Q266" i="14"/>
  <c r="L323" i="14"/>
  <c r="G369" i="14"/>
  <c r="P284" i="14"/>
  <c r="R384" i="14"/>
  <c r="D335" i="14"/>
  <c r="G311" i="14"/>
  <c r="D299" i="14"/>
  <c r="Q367" i="14"/>
  <c r="E301" i="14"/>
  <c r="K294" i="14"/>
  <c r="L287" i="14"/>
  <c r="K273" i="14"/>
  <c r="H273" i="14"/>
  <c r="G277" i="14"/>
  <c r="C279" i="14"/>
  <c r="P243" i="14"/>
  <c r="K240" i="14"/>
  <c r="C244" i="14"/>
  <c r="K287" i="14"/>
  <c r="D274" i="14"/>
  <c r="G235" i="14"/>
  <c r="F236" i="14"/>
  <c r="H269" i="14"/>
  <c r="G267" i="14"/>
  <c r="C265" i="14"/>
  <c r="Q241" i="14"/>
  <c r="I240" i="14"/>
  <c r="G246" i="14"/>
  <c r="L177" i="14"/>
  <c r="L197" i="14"/>
  <c r="L149" i="14"/>
  <c r="K153" i="14"/>
  <c r="K150" i="14"/>
  <c r="K181" i="14"/>
  <c r="G150" i="14"/>
  <c r="G193" i="14"/>
  <c r="G133" i="14"/>
  <c r="P169" i="14"/>
  <c r="P179" i="14"/>
  <c r="P176" i="14"/>
  <c r="C159" i="14"/>
  <c r="C161" i="14"/>
  <c r="C128" i="14"/>
  <c r="P124" i="14"/>
  <c r="P120" i="14"/>
  <c r="D120" i="14"/>
  <c r="C117" i="14"/>
  <c r="L69" i="14"/>
  <c r="K95" i="14"/>
  <c r="K143" i="14"/>
  <c r="G164" i="14"/>
  <c r="P180" i="14"/>
  <c r="C152" i="14"/>
  <c r="C198" i="14"/>
  <c r="D47" i="14"/>
  <c r="P123" i="14"/>
  <c r="P118" i="14"/>
  <c r="D119" i="14"/>
  <c r="C113" i="14"/>
  <c r="L66" i="14"/>
  <c r="K97" i="14"/>
  <c r="L60" i="14"/>
  <c r="D105" i="14"/>
  <c r="L74" i="14"/>
  <c r="P427" i="14"/>
  <c r="G107" i="14"/>
  <c r="K108" i="14"/>
  <c r="E361" i="14"/>
  <c r="D377" i="14"/>
  <c r="Q257" i="14"/>
  <c r="G354" i="14"/>
  <c r="Q418" i="14"/>
  <c r="L406" i="14"/>
  <c r="D354" i="14"/>
  <c r="P320" i="14"/>
  <c r="R313" i="14"/>
  <c r="K319" i="14"/>
  <c r="H319" i="14"/>
  <c r="I385" i="14"/>
  <c r="C381" i="14"/>
  <c r="P428" i="14"/>
  <c r="P286" i="14"/>
  <c r="H396" i="14"/>
  <c r="L430" i="14"/>
  <c r="D406" i="14"/>
  <c r="H328" i="14"/>
  <c r="L392" i="14"/>
  <c r="G372" i="14"/>
  <c r="P265" i="14"/>
  <c r="Q398" i="14"/>
  <c r="I341" i="14"/>
  <c r="E346" i="14"/>
  <c r="C355" i="14"/>
  <c r="L423" i="14"/>
  <c r="H419" i="14"/>
  <c r="C408" i="14"/>
  <c r="K374" i="14"/>
  <c r="E316" i="14"/>
  <c r="H403" i="14"/>
  <c r="Q369" i="14"/>
  <c r="C315" i="14"/>
  <c r="R300" i="14"/>
  <c r="L308" i="14"/>
  <c r="K298" i="14"/>
  <c r="G310" i="14"/>
  <c r="I377" i="14"/>
  <c r="C411" i="14"/>
  <c r="E312" i="14"/>
  <c r="E378" i="14"/>
  <c r="Q313" i="14"/>
  <c r="P373" i="14"/>
  <c r="H367" i="14"/>
  <c r="L332" i="14"/>
  <c r="G313" i="14"/>
  <c r="D300" i="14"/>
  <c r="Q384" i="14"/>
  <c r="D317" i="14"/>
  <c r="L294" i="14"/>
  <c r="L273" i="14"/>
  <c r="K272" i="14"/>
  <c r="H275" i="14"/>
  <c r="D286" i="14"/>
  <c r="C257" i="14"/>
  <c r="R237" i="14"/>
  <c r="K290" i="14"/>
  <c r="G271" i="14"/>
  <c r="C280" i="14"/>
  <c r="Q245" i="14"/>
  <c r="H241" i="14"/>
  <c r="F237" i="14"/>
  <c r="D253" i="14"/>
  <c r="H285" i="14"/>
  <c r="J238" i="14"/>
  <c r="D237" i="14"/>
  <c r="I244" i="14"/>
  <c r="K244" i="14"/>
  <c r="L182" i="14"/>
  <c r="L150" i="14"/>
  <c r="L143" i="14"/>
  <c r="K193" i="14"/>
  <c r="K142" i="14"/>
  <c r="G142" i="14"/>
  <c r="G151" i="14"/>
  <c r="P147" i="14"/>
  <c r="P186" i="14"/>
  <c r="G432" i="14"/>
  <c r="I373" i="14"/>
  <c r="Q103" i="14"/>
  <c r="G121" i="14"/>
  <c r="K109" i="14"/>
  <c r="E362" i="14"/>
  <c r="E377" i="14"/>
  <c r="P264" i="14"/>
  <c r="I352" i="14"/>
  <c r="G349" i="14"/>
  <c r="D355" i="14"/>
  <c r="R328" i="14"/>
  <c r="R317" i="14"/>
  <c r="R302" i="14"/>
  <c r="C413" i="14"/>
  <c r="I303" i="14"/>
  <c r="C324" i="14"/>
  <c r="P429" i="14"/>
  <c r="D359" i="14"/>
  <c r="K410" i="14"/>
  <c r="G404" i="14"/>
  <c r="L301" i="14"/>
  <c r="R381" i="14"/>
  <c r="I391" i="14"/>
  <c r="Q403" i="14"/>
  <c r="L414" i="14"/>
  <c r="K414" i="14"/>
  <c r="G399" i="14"/>
  <c r="Q379" i="14"/>
  <c r="I379" i="14"/>
  <c r="E386" i="14"/>
  <c r="P398" i="14"/>
  <c r="L319" i="14"/>
  <c r="H310" i="14"/>
  <c r="H370" i="14"/>
  <c r="L398" i="14"/>
  <c r="C428" i="14"/>
  <c r="E302" i="14"/>
  <c r="Q318" i="14"/>
  <c r="H302" i="14"/>
  <c r="K378" i="14"/>
  <c r="E307" i="14"/>
  <c r="D425" i="14"/>
  <c r="E318" i="14"/>
  <c r="L326" i="14"/>
  <c r="I321" i="14"/>
  <c r="P276" i="14"/>
  <c r="G298" i="14"/>
  <c r="D305" i="14"/>
  <c r="C377" i="14"/>
  <c r="R372" i="14"/>
  <c r="P291" i="14"/>
  <c r="H380" i="14"/>
  <c r="L293" i="14"/>
  <c r="L265" i="14"/>
  <c r="H253" i="14"/>
  <c r="D256" i="14"/>
  <c r="R245" i="14"/>
  <c r="F238" i="14"/>
  <c r="K264" i="14"/>
  <c r="G279" i="14"/>
  <c r="P245" i="14"/>
  <c r="K283" i="14"/>
  <c r="G260" i="14"/>
  <c r="C283" i="14"/>
  <c r="J239" i="14"/>
  <c r="C282" i="14"/>
  <c r="G237" i="14"/>
  <c r="H256" i="14"/>
  <c r="K247" i="14"/>
  <c r="J247" i="14"/>
  <c r="D238" i="14"/>
  <c r="L163" i="14"/>
  <c r="L130" i="14"/>
  <c r="L144" i="14"/>
  <c r="K164" i="14"/>
  <c r="K180" i="14"/>
  <c r="K138" i="14"/>
  <c r="G178" i="14"/>
  <c r="G160" i="14"/>
  <c r="G192" i="14"/>
  <c r="P177" i="14"/>
  <c r="P151" i="14"/>
  <c r="P163" i="14"/>
  <c r="C145" i="14"/>
  <c r="C182" i="14"/>
  <c r="C47" i="14"/>
  <c r="P104" i="14"/>
  <c r="Q110" i="14"/>
  <c r="D121" i="14"/>
  <c r="C109" i="14"/>
  <c r="K98" i="14"/>
  <c r="K94" i="14"/>
  <c r="L434" i="14"/>
  <c r="L259" i="14"/>
  <c r="C246" i="14"/>
  <c r="C188" i="14"/>
  <c r="G154" i="14"/>
  <c r="L67" i="14"/>
  <c r="H406" i="14"/>
  <c r="H103" i="14"/>
  <c r="G108" i="14"/>
  <c r="K110" i="14"/>
  <c r="D361" i="14"/>
  <c r="E372" i="14"/>
  <c r="Q255" i="14"/>
  <c r="Q289" i="14"/>
  <c r="C335" i="14"/>
  <c r="R307" i="14"/>
  <c r="G413" i="14"/>
  <c r="G299" i="14"/>
  <c r="H307" i="14"/>
  <c r="G374" i="14"/>
  <c r="Q412" i="14"/>
  <c r="I345" i="14"/>
  <c r="L428" i="14"/>
  <c r="K421" i="14"/>
  <c r="D404" i="14"/>
  <c r="G315" i="14"/>
  <c r="H311" i="14"/>
  <c r="E332" i="14"/>
  <c r="Q424" i="14"/>
  <c r="I347" i="14"/>
  <c r="E359" i="14"/>
  <c r="R318" i="14"/>
  <c r="L335" i="14"/>
  <c r="K392" i="14"/>
  <c r="H366" i="14"/>
  <c r="Q406" i="14"/>
  <c r="E358" i="14"/>
  <c r="G430" i="14"/>
  <c r="Q323" i="14"/>
  <c r="P376" i="14"/>
  <c r="D313" i="14"/>
  <c r="K419" i="14"/>
  <c r="K335" i="14"/>
  <c r="R387" i="14"/>
  <c r="E389" i="14"/>
  <c r="L417" i="14"/>
  <c r="L330" i="14"/>
  <c r="L374" i="14"/>
  <c r="D316" i="14"/>
  <c r="D405" i="14"/>
  <c r="Q302" i="14"/>
  <c r="G331" i="14"/>
  <c r="D301" i="14"/>
  <c r="D397" i="14"/>
  <c r="E306" i="14"/>
  <c r="P258" i="14"/>
  <c r="Q375" i="14"/>
  <c r="I378" i="14"/>
  <c r="G378" i="14"/>
  <c r="D373" i="14"/>
  <c r="K293" i="14"/>
  <c r="L274" i="14"/>
  <c r="D268" i="14"/>
  <c r="C285" i="14"/>
  <c r="P236" i="14"/>
  <c r="K288" i="14"/>
  <c r="S247" i="14"/>
  <c r="D240" i="14"/>
  <c r="K262" i="14"/>
  <c r="H283" i="14"/>
  <c r="G273" i="14"/>
  <c r="L236" i="14"/>
  <c r="H235" i="14"/>
  <c r="H279" i="14"/>
  <c r="C289" i="14"/>
  <c r="H245" i="14"/>
  <c r="G254" i="14"/>
  <c r="J237" i="14"/>
  <c r="F239" i="14"/>
  <c r="L189" i="14"/>
  <c r="L142" i="14"/>
  <c r="L155" i="14"/>
  <c r="K198" i="14"/>
  <c r="K175" i="14"/>
  <c r="K187" i="14"/>
  <c r="G171" i="14"/>
  <c r="G185" i="14"/>
  <c r="G134" i="14"/>
  <c r="P135" i="14"/>
  <c r="P182" i="14"/>
  <c r="P128" i="14"/>
  <c r="C197" i="14"/>
  <c r="C143" i="14"/>
  <c r="E36" i="14"/>
  <c r="Q107" i="14"/>
  <c r="P114" i="14"/>
  <c r="C111" i="14"/>
  <c r="G416" i="14"/>
  <c r="C373" i="14"/>
  <c r="H104" i="14"/>
  <c r="G109" i="14"/>
  <c r="K111" i="14"/>
  <c r="D362" i="14"/>
  <c r="E387" i="14"/>
  <c r="Q262" i="14"/>
  <c r="D341" i="14"/>
  <c r="V341" i="14" s="1"/>
  <c r="K411" i="14"/>
  <c r="R334" i="14"/>
  <c r="K331" i="14"/>
  <c r="R377" i="14"/>
  <c r="H234" i="14"/>
  <c r="C310" i="14"/>
  <c r="Q414" i="14"/>
  <c r="H356" i="14"/>
  <c r="Q274" i="14"/>
  <c r="Q298" i="14"/>
  <c r="H257" i="14"/>
  <c r="P307" i="14"/>
  <c r="H404" i="14"/>
  <c r="C414" i="14"/>
  <c r="C277" i="14"/>
  <c r="R238" i="14"/>
  <c r="H300" i="14"/>
  <c r="K372" i="14"/>
  <c r="C300" i="14"/>
  <c r="Q417" i="14"/>
  <c r="G353" i="14"/>
  <c r="L253" i="14"/>
  <c r="L280" i="14"/>
  <c r="K256" i="14"/>
  <c r="P308" i="14"/>
  <c r="G424" i="14"/>
  <c r="C403" i="14"/>
  <c r="I320" i="14"/>
  <c r="I247" i="14"/>
  <c r="H389" i="14"/>
  <c r="P410" i="14"/>
  <c r="C342" i="14"/>
  <c r="U342" i="14" s="1"/>
  <c r="K291" i="14"/>
  <c r="H426" i="14"/>
  <c r="D257" i="14"/>
  <c r="D265" i="14"/>
  <c r="G289" i="14"/>
  <c r="C410" i="14"/>
  <c r="L243" i="14"/>
  <c r="I328" i="14"/>
  <c r="D242" i="14"/>
  <c r="L407" i="14"/>
  <c r="P386" i="14"/>
  <c r="D327" i="14"/>
  <c r="K420" i="14"/>
  <c r="H286" i="14"/>
  <c r="R325" i="14"/>
  <c r="L317" i="14"/>
  <c r="L320" i="14"/>
  <c r="L383" i="14"/>
  <c r="H247" i="14"/>
  <c r="I366" i="14"/>
  <c r="P242" i="14"/>
  <c r="I390" i="14"/>
  <c r="G324" i="14"/>
  <c r="D333" i="14"/>
  <c r="E376" i="14"/>
  <c r="C281" i="14"/>
  <c r="H324" i="14"/>
  <c r="G386" i="14"/>
  <c r="P382" i="14"/>
  <c r="E304" i="14"/>
  <c r="E235" i="14"/>
  <c r="P261" i="14"/>
  <c r="E382" i="14"/>
  <c r="L183" i="14"/>
  <c r="L161" i="14"/>
  <c r="L179" i="14"/>
  <c r="K135" i="14"/>
  <c r="K134" i="14"/>
  <c r="K176" i="14"/>
  <c r="G155" i="14"/>
  <c r="G156" i="14"/>
  <c r="G198" i="14"/>
  <c r="P165" i="14"/>
  <c r="P154" i="14"/>
  <c r="C147" i="14"/>
  <c r="C179" i="14"/>
  <c r="C162" i="14"/>
  <c r="D36" i="14"/>
  <c r="Q111" i="14"/>
  <c r="Q112" i="14"/>
  <c r="D117" i="14"/>
  <c r="L93" i="14"/>
  <c r="L78" i="14"/>
  <c r="K96" i="14"/>
  <c r="C235" i="14"/>
  <c r="G196" i="14"/>
  <c r="G188" i="14"/>
  <c r="P174" i="14"/>
  <c r="C191" i="14"/>
  <c r="Q115" i="14"/>
  <c r="L94" i="14"/>
  <c r="K99" i="14"/>
  <c r="G402" i="14"/>
  <c r="H105" i="14"/>
  <c r="G110" i="14"/>
  <c r="K112" i="14"/>
  <c r="C362" i="14"/>
  <c r="R339" i="14"/>
  <c r="P280" i="14"/>
  <c r="Q256" i="14"/>
  <c r="C356" i="14"/>
  <c r="D352" i="14"/>
  <c r="Q329" i="14"/>
  <c r="H258" i="14"/>
  <c r="C287" i="14"/>
  <c r="R242" i="14"/>
  <c r="H305" i="14"/>
  <c r="I234" i="14"/>
  <c r="E390" i="14"/>
  <c r="P432" i="14"/>
  <c r="G342" i="14"/>
  <c r="L270" i="14"/>
  <c r="L291" i="14"/>
  <c r="K269" i="14"/>
  <c r="K258" i="14"/>
  <c r="P310" i="14"/>
  <c r="Q325" i="14"/>
  <c r="C420" i="14"/>
  <c r="P368" i="14"/>
  <c r="K375" i="14"/>
  <c r="F235" i="14"/>
  <c r="Q426" i="14"/>
  <c r="H345" i="14"/>
  <c r="G425" i="14"/>
  <c r="P374" i="14"/>
  <c r="P414" i="14"/>
  <c r="D281" i="14"/>
  <c r="L318" i="14"/>
  <c r="H325" i="14"/>
  <c r="J243" i="14"/>
  <c r="D332" i="14"/>
  <c r="K408" i="14"/>
  <c r="G281" i="14"/>
  <c r="L382" i="14"/>
  <c r="E388" i="14"/>
  <c r="K403" i="14"/>
  <c r="H267" i="14"/>
  <c r="Q333" i="14"/>
  <c r="D398" i="14"/>
  <c r="K237" i="14"/>
  <c r="G330" i="14"/>
  <c r="D307" i="14"/>
  <c r="H411" i="14"/>
  <c r="Q237" i="14"/>
  <c r="H390" i="14"/>
  <c r="H405" i="14"/>
  <c r="R332" i="14"/>
  <c r="I387" i="14"/>
  <c r="G427" i="14"/>
  <c r="C271" i="14"/>
  <c r="I243" i="14"/>
  <c r="G383" i="14"/>
  <c r="Q392" i="14"/>
  <c r="D287" i="14"/>
  <c r="E327" i="14"/>
  <c r="K318" i="14"/>
  <c r="D366" i="14"/>
  <c r="K327" i="14"/>
  <c r="E325" i="14"/>
  <c r="G322" i="14"/>
  <c r="C312" i="14"/>
  <c r="P270" i="14"/>
  <c r="H309" i="14"/>
  <c r="D382" i="14"/>
  <c r="L191" i="14"/>
  <c r="L157" i="14"/>
  <c r="L156" i="14"/>
  <c r="K159" i="14"/>
  <c r="K173" i="14"/>
  <c r="K186" i="14"/>
  <c r="G145" i="14"/>
  <c r="P173" i="14"/>
  <c r="C168" i="14"/>
  <c r="C172" i="14"/>
  <c r="C36" i="14"/>
  <c r="Q106" i="14"/>
  <c r="D112" i="14"/>
  <c r="L88" i="14"/>
  <c r="K409" i="14"/>
  <c r="D314" i="14"/>
  <c r="K268" i="14"/>
  <c r="P314" i="14"/>
  <c r="Q240" i="14"/>
  <c r="L166" i="14"/>
  <c r="C132" i="14"/>
  <c r="K188" i="14"/>
  <c r="G96" i="14"/>
  <c r="Q390" i="14"/>
  <c r="R308" i="14"/>
  <c r="H106" i="14"/>
  <c r="G111" i="14"/>
  <c r="K113" i="14"/>
  <c r="C361" i="14"/>
  <c r="H344" i="14"/>
  <c r="L288" i="14"/>
  <c r="Q321" i="14"/>
  <c r="K322" i="14"/>
  <c r="H334" i="14"/>
  <c r="L368" i="14"/>
  <c r="E335" i="14"/>
  <c r="C386" i="14"/>
  <c r="P411" i="14"/>
  <c r="I354" i="14"/>
  <c r="L269" i="14"/>
  <c r="E339" i="14"/>
  <c r="Q315" i="14"/>
  <c r="P302" i="14"/>
  <c r="H261" i="14"/>
  <c r="H281" i="14"/>
  <c r="R321" i="14"/>
  <c r="K305" i="14"/>
  <c r="P247" i="14"/>
  <c r="Q376" i="14"/>
  <c r="E326" i="14"/>
  <c r="P423" i="14"/>
  <c r="K275" i="14"/>
  <c r="G291" i="14"/>
  <c r="C267" i="14"/>
  <c r="S241" i="14"/>
  <c r="K386" i="14"/>
  <c r="C370" i="14"/>
  <c r="P403" i="14"/>
  <c r="K260" i="14"/>
  <c r="R329" i="14"/>
  <c r="G275" i="14"/>
  <c r="G259" i="14"/>
  <c r="C254" i="14"/>
  <c r="C412" i="14"/>
  <c r="G314" i="14"/>
  <c r="J234" i="14"/>
  <c r="Q254" i="14"/>
  <c r="G408" i="14"/>
  <c r="P369" i="14"/>
  <c r="D308" i="14"/>
  <c r="G403" i="14"/>
  <c r="L327" i="14"/>
  <c r="Q386" i="14"/>
  <c r="H392" i="14"/>
  <c r="H402" i="14"/>
  <c r="I304" i="14"/>
  <c r="P282" i="14"/>
  <c r="K424" i="14"/>
  <c r="G321" i="14"/>
  <c r="G380" i="14"/>
  <c r="L427" i="14"/>
  <c r="I241" i="14"/>
  <c r="C322" i="14"/>
  <c r="Q259" i="14"/>
  <c r="H420" i="14"/>
  <c r="I302" i="14"/>
  <c r="H381" i="14"/>
  <c r="D402" i="14"/>
  <c r="C236" i="14"/>
  <c r="K238" i="14"/>
  <c r="D375" i="14"/>
  <c r="G238" i="14"/>
  <c r="E328" i="14"/>
  <c r="D389" i="14"/>
  <c r="F241" i="14"/>
  <c r="L188" i="14"/>
  <c r="L154" i="14"/>
  <c r="L152" i="14"/>
  <c r="K152" i="14"/>
  <c r="K141" i="14"/>
  <c r="K132" i="14"/>
  <c r="G180" i="14"/>
  <c r="G158" i="14"/>
  <c r="G128" i="14"/>
  <c r="P166" i="14"/>
  <c r="P133" i="14"/>
  <c r="C196" i="14"/>
  <c r="C135" i="14"/>
  <c r="C186" i="14"/>
  <c r="D20" i="14"/>
  <c r="P116" i="14"/>
  <c r="P113" i="14"/>
  <c r="D114" i="14"/>
  <c r="L95" i="14"/>
  <c r="L77" i="14"/>
  <c r="K92" i="14"/>
  <c r="K133" i="14"/>
  <c r="P155" i="14"/>
  <c r="C170" i="14"/>
  <c r="C139" i="14"/>
  <c r="Q119" i="14"/>
  <c r="P119" i="14"/>
  <c r="L96" i="14"/>
  <c r="L84" i="14"/>
  <c r="G93" i="14"/>
  <c r="P434" i="14"/>
  <c r="H107" i="14"/>
  <c r="G112" i="14"/>
  <c r="K114" i="14"/>
  <c r="Q434" i="14"/>
  <c r="Q405" i="14"/>
  <c r="L339" i="14"/>
  <c r="Q278" i="14"/>
  <c r="C344" i="14"/>
  <c r="K276" i="14"/>
  <c r="P315" i="14"/>
  <c r="P325" i="14"/>
  <c r="C430" i="14"/>
  <c r="I309" i="14"/>
  <c r="H375" i="14"/>
  <c r="Q428" i="14"/>
  <c r="H341" i="14"/>
  <c r="Q269" i="14"/>
  <c r="K281" i="14"/>
  <c r="R303" i="14"/>
  <c r="D411" i="14"/>
  <c r="G328" i="14"/>
  <c r="H243" i="14"/>
  <c r="D385" i="14"/>
  <c r="P402" i="14"/>
  <c r="H342" i="14"/>
  <c r="L255" i="14"/>
  <c r="H259" i="14"/>
  <c r="G278" i="14"/>
  <c r="K313" i="14"/>
  <c r="L369" i="14"/>
  <c r="C329" i="14"/>
  <c r="E370" i="14"/>
  <c r="L425" i="14"/>
  <c r="E342" i="14"/>
  <c r="W342" i="14" s="1"/>
  <c r="L283" i="14"/>
  <c r="Q309" i="14"/>
  <c r="H277" i="14"/>
  <c r="D259" i="14"/>
  <c r="L307" i="14"/>
  <c r="Q372" i="14"/>
  <c r="K388" i="14"/>
  <c r="L431" i="14"/>
  <c r="Q324" i="14"/>
  <c r="C284" i="14"/>
  <c r="I332" i="14"/>
  <c r="E314" i="14"/>
  <c r="G405" i="14"/>
  <c r="C291" i="14"/>
  <c r="S245" i="14"/>
  <c r="G388" i="14"/>
  <c r="E368" i="14"/>
  <c r="L403" i="14"/>
  <c r="D414" i="14"/>
  <c r="R366" i="14"/>
  <c r="J241" i="14"/>
  <c r="C245" i="14"/>
  <c r="H418" i="14"/>
  <c r="L305" i="14"/>
  <c r="I311" i="14"/>
  <c r="H303" i="14"/>
  <c r="L396" i="14"/>
  <c r="K239" i="14"/>
  <c r="D310" i="14"/>
  <c r="D311" i="14"/>
  <c r="R367" i="14"/>
  <c r="G266" i="14"/>
  <c r="G390" i="14"/>
  <c r="Q246" i="14"/>
  <c r="E237" i="14"/>
  <c r="D298" i="14"/>
  <c r="G234" i="14"/>
  <c r="Q258" i="14"/>
  <c r="D383" i="14"/>
  <c r="L184" i="14"/>
  <c r="L135" i="14"/>
  <c r="L169" i="14"/>
  <c r="K168" i="14"/>
  <c r="K189" i="14"/>
  <c r="G139" i="14"/>
  <c r="G166" i="14"/>
  <c r="P129" i="14"/>
  <c r="P178" i="14"/>
  <c r="C163" i="14"/>
  <c r="E20" i="14"/>
  <c r="D111" i="14"/>
  <c r="Q416" i="14"/>
  <c r="G280" i="14"/>
  <c r="P141" i="14"/>
  <c r="G144" i="14"/>
  <c r="C119" i="14"/>
  <c r="D418" i="14"/>
  <c r="I350" i="14"/>
  <c r="H327" i="14"/>
  <c r="H108" i="14"/>
  <c r="G113" i="14"/>
  <c r="K115" i="14"/>
  <c r="Q435" i="14"/>
  <c r="Q408" i="14"/>
  <c r="K339" i="14"/>
  <c r="P272" i="14"/>
  <c r="K285" i="14"/>
  <c r="Q317" i="14"/>
  <c r="G268" i="14"/>
  <c r="L321" i="14"/>
  <c r="Q239" i="14"/>
  <c r="C303" i="14"/>
  <c r="D245" i="14"/>
  <c r="P399" i="14"/>
  <c r="H353" i="14"/>
  <c r="P273" i="14"/>
  <c r="P323" i="14"/>
  <c r="G258" i="14"/>
  <c r="I335" i="14"/>
  <c r="G300" i="14"/>
  <c r="D369" i="14"/>
  <c r="P396" i="14"/>
  <c r="H358" i="14"/>
  <c r="L289" i="14"/>
  <c r="K271" i="14"/>
  <c r="H287" i="14"/>
  <c r="G263" i="14"/>
  <c r="P390" i="14"/>
  <c r="K383" i="14"/>
  <c r="K405" i="14"/>
  <c r="C350" i="14"/>
  <c r="L254" i="14"/>
  <c r="P331" i="14"/>
  <c r="H284" i="14"/>
  <c r="K311" i="14"/>
  <c r="Q387" i="14"/>
  <c r="J246" i="14"/>
  <c r="H376" i="14"/>
  <c r="K399" i="14"/>
  <c r="D353" i="14"/>
  <c r="C425" i="14"/>
  <c r="K398" i="14"/>
  <c r="C259" i="14"/>
  <c r="H369" i="14"/>
  <c r="Q275" i="14"/>
  <c r="L412" i="14"/>
  <c r="K333" i="14"/>
  <c r="G325" i="14"/>
  <c r="C318" i="14"/>
  <c r="G421" i="14"/>
  <c r="P239" i="14"/>
  <c r="H238" i="14"/>
  <c r="E303" i="14"/>
  <c r="K396" i="14"/>
  <c r="P313" i="14"/>
  <c r="Q381" i="14"/>
  <c r="H391" i="14"/>
  <c r="C387" i="14"/>
  <c r="D429" i="14"/>
  <c r="Q335" i="14"/>
  <c r="H330" i="14"/>
  <c r="K242" i="14"/>
  <c r="F247" i="14"/>
  <c r="E321" i="14"/>
  <c r="C426" i="14"/>
  <c r="G303" i="14"/>
  <c r="D391" i="14"/>
  <c r="C256" i="14"/>
  <c r="D318" i="14"/>
  <c r="L372" i="14"/>
  <c r="E245" i="14"/>
  <c r="D372" i="14"/>
  <c r="L168" i="14"/>
  <c r="L192" i="14"/>
  <c r="L185" i="14"/>
  <c r="K155" i="14"/>
  <c r="K170" i="14"/>
  <c r="K148" i="14"/>
  <c r="G182" i="14"/>
  <c r="G162" i="14"/>
  <c r="P168" i="14"/>
  <c r="P170" i="14"/>
  <c r="P132" i="14"/>
  <c r="C129" i="14"/>
  <c r="C160" i="14"/>
  <c r="C141" i="14"/>
  <c r="F20" i="14"/>
  <c r="Q120" i="14"/>
  <c r="P105" i="14"/>
  <c r="D113" i="14"/>
  <c r="L97" i="14"/>
  <c r="L62" i="14"/>
  <c r="G99" i="14"/>
  <c r="K117" i="14"/>
  <c r="H422" i="14"/>
  <c r="C423" i="14"/>
  <c r="D421" i="14"/>
  <c r="D410" i="14"/>
  <c r="G368" i="14"/>
  <c r="D392" i="14"/>
  <c r="G312" i="14"/>
  <c r="C306" i="14"/>
  <c r="G391" i="14"/>
  <c r="Q334" i="14"/>
  <c r="G290" i="14"/>
  <c r="D374" i="14"/>
  <c r="D376" i="14"/>
  <c r="Q339" i="14"/>
  <c r="H357" i="14"/>
  <c r="Q285" i="14"/>
  <c r="S235" i="14"/>
  <c r="L140" i="14"/>
  <c r="P148" i="14"/>
  <c r="L99" i="14"/>
  <c r="K129" i="14"/>
  <c r="P121" i="14"/>
  <c r="D407" i="14"/>
  <c r="E351" i="14"/>
  <c r="H109" i="14"/>
  <c r="G114" i="14"/>
  <c r="K116" i="14"/>
  <c r="P435" i="14"/>
  <c r="Q423" i="14"/>
  <c r="Q407" i="14"/>
  <c r="L435" i="14"/>
  <c r="G411" i="14"/>
  <c r="C352" i="14"/>
  <c r="L281" i="14"/>
  <c r="K277" i="14"/>
  <c r="R331" i="14"/>
  <c r="P311" i="14"/>
  <c r="D254" i="14"/>
  <c r="G282" i="14"/>
  <c r="C261" i="14"/>
  <c r="P237" i="14"/>
  <c r="K246" i="14"/>
  <c r="G373" i="14"/>
  <c r="E323" i="14"/>
  <c r="L432" i="14"/>
  <c r="E353" i="14"/>
  <c r="R309" i="14"/>
  <c r="K314" i="14"/>
  <c r="L310" i="14"/>
  <c r="I327" i="14"/>
  <c r="Q238" i="14"/>
  <c r="H315" i="14"/>
  <c r="I367" i="14"/>
  <c r="Q253" i="14"/>
  <c r="K406" i="14"/>
  <c r="P309" i="14"/>
  <c r="K274" i="14"/>
  <c r="R316" i="14"/>
  <c r="D403" i="14"/>
  <c r="G329" i="14"/>
  <c r="G241" i="14"/>
  <c r="E374" i="14"/>
  <c r="H415" i="14"/>
  <c r="H265" i="14"/>
  <c r="D282" i="14"/>
  <c r="R368" i="14"/>
  <c r="L386" i="14"/>
  <c r="H240" i="14"/>
  <c r="C241" i="14"/>
  <c r="C367" i="14"/>
  <c r="Q287" i="14"/>
  <c r="H398" i="14"/>
  <c r="H262" i="14"/>
  <c r="C290" i="14"/>
  <c r="P387" i="14"/>
  <c r="I330" i="14"/>
  <c r="E391" i="14"/>
  <c r="L256" i="14"/>
  <c r="G396" i="14"/>
  <c r="E315" i="14"/>
  <c r="P271" i="14"/>
  <c r="D424" i="14"/>
  <c r="E247" i="14"/>
  <c r="C325" i="14"/>
  <c r="C405" i="14"/>
  <c r="K387" i="14"/>
  <c r="D321" i="14"/>
  <c r="H346" i="14"/>
  <c r="L315" i="14"/>
  <c r="G319" i="14"/>
  <c r="H372" i="14"/>
  <c r="C392" i="14"/>
  <c r="Q374" i="14"/>
  <c r="E240" i="14"/>
  <c r="G339" i="14"/>
  <c r="C320" i="14"/>
  <c r="H351" i="14"/>
  <c r="L137" i="14"/>
  <c r="L159" i="14"/>
  <c r="L170" i="14"/>
  <c r="K174" i="14"/>
  <c r="K161" i="14"/>
  <c r="K128" i="14"/>
  <c r="G177" i="14"/>
  <c r="G186" i="14"/>
  <c r="P188" i="14"/>
  <c r="P181" i="14"/>
  <c r="P193" i="14"/>
  <c r="C130" i="14"/>
  <c r="C189" i="14"/>
  <c r="C142" i="14"/>
  <c r="C20" i="14"/>
  <c r="Q109" i="14"/>
  <c r="Q108" i="14"/>
  <c r="P103" i="14"/>
  <c r="L98" i="14"/>
  <c r="L68" i="14"/>
  <c r="G94" i="14"/>
  <c r="G115" i="14"/>
  <c r="H110" i="14"/>
  <c r="H111" i="14"/>
  <c r="G116" i="14"/>
  <c r="K120" i="14"/>
  <c r="Q396" i="14"/>
  <c r="P405" i="14"/>
  <c r="Q399" i="14"/>
  <c r="K434" i="14"/>
  <c r="G429" i="14"/>
  <c r="L415" i="14"/>
  <c r="H413" i="14"/>
  <c r="G419" i="14"/>
  <c r="K416" i="14"/>
  <c r="C435" i="14"/>
  <c r="C431" i="14"/>
  <c r="K309" i="14"/>
  <c r="K330" i="14"/>
  <c r="K301" i="14"/>
  <c r="I326" i="14"/>
  <c r="I329" i="14"/>
  <c r="H321" i="14"/>
  <c r="I299" i="14"/>
  <c r="D325" i="14"/>
  <c r="C302" i="14"/>
  <c r="L285" i="14"/>
  <c r="R312" i="14"/>
  <c r="C418" i="14"/>
  <c r="G308" i="14"/>
  <c r="L370" i="14"/>
  <c r="K376" i="14"/>
  <c r="C307" i="14"/>
  <c r="C313" i="14"/>
  <c r="D367" i="14"/>
  <c r="K255" i="14"/>
  <c r="C366" i="14"/>
  <c r="E329" i="14"/>
  <c r="I355" i="14"/>
  <c r="Q314" i="14"/>
  <c r="R390" i="14"/>
  <c r="E366" i="14"/>
  <c r="P256" i="14"/>
  <c r="R330" i="14"/>
  <c r="P372" i="14"/>
  <c r="I386" i="14"/>
  <c r="Q290" i="14"/>
  <c r="P301" i="14"/>
  <c r="Q368" i="14"/>
  <c r="G392" i="14"/>
  <c r="C384" i="14"/>
  <c r="K270" i="14"/>
  <c r="H282" i="14"/>
  <c r="I389" i="14"/>
  <c r="I356" i="14"/>
  <c r="D349" i="14"/>
  <c r="P328" i="14"/>
  <c r="L268" i="14"/>
  <c r="P260" i="14"/>
  <c r="I359" i="14"/>
  <c r="E345" i="14"/>
  <c r="D294" i="14"/>
  <c r="G270" i="14"/>
  <c r="D278" i="14"/>
  <c r="C252" i="14"/>
  <c r="Q243" i="14"/>
  <c r="I246" i="14"/>
  <c r="C272" i="14"/>
  <c r="L245" i="14"/>
  <c r="G256" i="14"/>
  <c r="R246" i="14"/>
  <c r="C247" i="14"/>
  <c r="I239" i="14"/>
  <c r="D246" i="14"/>
  <c r="E242" i="14"/>
  <c r="L138" i="14"/>
  <c r="L136" i="14"/>
  <c r="L181" i="14"/>
  <c r="K139" i="14"/>
  <c r="K191" i="14"/>
  <c r="G135" i="14"/>
  <c r="G189" i="14"/>
  <c r="G146" i="14"/>
  <c r="P189" i="14"/>
  <c r="P159" i="14"/>
  <c r="P158" i="14"/>
  <c r="C157" i="14"/>
  <c r="C187" i="14"/>
  <c r="C167" i="14"/>
  <c r="C25" i="14"/>
  <c r="P115" i="14"/>
  <c r="P117" i="14"/>
  <c r="C116" i="14"/>
  <c r="L92" i="14"/>
  <c r="L71" i="14"/>
  <c r="G95" i="14"/>
  <c r="C327" i="14"/>
  <c r="Q293" i="14"/>
  <c r="Q276" i="14"/>
  <c r="L277" i="14"/>
  <c r="P283" i="14"/>
  <c r="K257" i="14"/>
  <c r="G294" i="14"/>
  <c r="H271" i="14"/>
  <c r="G253" i="14"/>
  <c r="G269" i="14"/>
  <c r="D269" i="14"/>
  <c r="L238" i="14"/>
  <c r="I238" i="14"/>
  <c r="E246" i="14"/>
  <c r="C264" i="14"/>
  <c r="Q236" i="14"/>
  <c r="C238" i="14"/>
  <c r="K144" i="14"/>
  <c r="E31" i="14"/>
  <c r="H423" i="14"/>
  <c r="L334" i="14"/>
  <c r="H112" i="14"/>
  <c r="G117" i="14"/>
  <c r="K118" i="14"/>
  <c r="Q422" i="14"/>
  <c r="Q415" i="14"/>
  <c r="Q413" i="14"/>
  <c r="K435" i="14"/>
  <c r="L411" i="14"/>
  <c r="G406" i="14"/>
  <c r="G409" i="14"/>
  <c r="K425" i="14"/>
  <c r="G426" i="14"/>
  <c r="D435" i="14"/>
  <c r="C402" i="14"/>
  <c r="K310" i="14"/>
  <c r="L322" i="14"/>
  <c r="G323" i="14"/>
  <c r="G318" i="14"/>
  <c r="H378" i="14"/>
  <c r="D346" i="14"/>
  <c r="R314" i="14"/>
  <c r="D423" i="14"/>
  <c r="L299" i="14"/>
  <c r="H318" i="14"/>
  <c r="E298" i="14"/>
  <c r="E369" i="14"/>
  <c r="Q271" i="14"/>
  <c r="D350" i="14"/>
  <c r="Q366" i="14"/>
  <c r="H308" i="14"/>
  <c r="C316" i="14"/>
  <c r="E375" i="14"/>
  <c r="L261" i="14"/>
  <c r="Q331" i="14"/>
  <c r="Q378" i="14"/>
  <c r="I334" i="14"/>
  <c r="I382" i="14"/>
  <c r="D326" i="14"/>
  <c r="C385" i="14"/>
  <c r="Q288" i="14"/>
  <c r="K265" i="14"/>
  <c r="R333" i="14"/>
  <c r="R389" i="14"/>
  <c r="G345" i="14"/>
  <c r="Q382" i="14"/>
  <c r="G382" i="14"/>
  <c r="C298" i="14"/>
  <c r="H355" i="14"/>
  <c r="Q328" i="14"/>
  <c r="L387" i="14"/>
  <c r="C305" i="14"/>
  <c r="L278" i="14"/>
  <c r="G252" i="14"/>
  <c r="P306" i="14"/>
  <c r="K379" i="14"/>
  <c r="G346" i="14"/>
  <c r="H254" i="14"/>
  <c r="P277" i="14"/>
  <c r="D293" i="14"/>
  <c r="G262" i="14"/>
  <c r="C275" i="14"/>
  <c r="P235" i="14"/>
  <c r="K241" i="14"/>
  <c r="C240" i="14"/>
  <c r="D288" i="14"/>
  <c r="E244" i="14"/>
  <c r="D261" i="14"/>
  <c r="S244" i="14"/>
  <c r="G239" i="14"/>
  <c r="R235" i="14"/>
  <c r="H242" i="14"/>
  <c r="E234" i="14"/>
  <c r="L196" i="14"/>
  <c r="L160" i="14"/>
  <c r="L128" i="14"/>
  <c r="K177" i="14"/>
  <c r="K130" i="14"/>
  <c r="G141" i="14"/>
  <c r="G136" i="14"/>
  <c r="G167" i="14"/>
  <c r="P183" i="14"/>
  <c r="P136" i="14"/>
  <c r="P131" i="14"/>
  <c r="C136" i="14"/>
  <c r="C166" i="14"/>
  <c r="C151" i="14"/>
  <c r="D31" i="14"/>
  <c r="Q105" i="14"/>
  <c r="Q118" i="14"/>
  <c r="C105" i="14"/>
  <c r="L57" i="14"/>
  <c r="L64" i="14"/>
  <c r="G98" i="14"/>
  <c r="I314" i="14"/>
  <c r="R247" i="14"/>
  <c r="F240" i="14"/>
  <c r="P172" i="14"/>
  <c r="I383" i="14"/>
  <c r="H113" i="14"/>
  <c r="G118" i="14"/>
  <c r="K119" i="14"/>
  <c r="Q420" i="14"/>
  <c r="P406" i="14"/>
  <c r="Q427" i="14"/>
  <c r="C434" i="14"/>
  <c r="L410" i="14"/>
  <c r="H431" i="14"/>
  <c r="H427" i="14"/>
  <c r="G418" i="14"/>
  <c r="L413" i="14"/>
  <c r="D434" i="14"/>
  <c r="C422" i="14"/>
  <c r="K303" i="14"/>
  <c r="L302" i="14"/>
  <c r="K300" i="14"/>
  <c r="H320" i="14"/>
  <c r="H306" i="14"/>
  <c r="H333" i="14"/>
  <c r="K385" i="14"/>
  <c r="I392" i="14"/>
  <c r="H347" i="14"/>
  <c r="Q308" i="14"/>
  <c r="D417" i="14"/>
  <c r="Q377" i="14"/>
  <c r="L375" i="14"/>
  <c r="E310" i="14"/>
  <c r="H384" i="14"/>
  <c r="C390" i="14"/>
  <c r="I349" i="14"/>
  <c r="Q304" i="14"/>
  <c r="R369" i="14"/>
  <c r="H323" i="14"/>
  <c r="Q286" i="14"/>
  <c r="C374" i="14"/>
  <c r="Q370" i="14"/>
  <c r="E313" i="14"/>
  <c r="C311" i="14"/>
  <c r="D378" i="14"/>
  <c r="H354" i="14"/>
  <c r="R298" i="14"/>
  <c r="Q373" i="14"/>
  <c r="E350" i="14"/>
  <c r="H377" i="14"/>
  <c r="I237" i="14"/>
  <c r="P322" i="14"/>
  <c r="L258" i="14"/>
  <c r="D280" i="14"/>
  <c r="S236" i="14"/>
  <c r="E343" i="14"/>
  <c r="Q303" i="14"/>
  <c r="C183" i="14"/>
  <c r="H114" i="14"/>
  <c r="G119" i="14"/>
  <c r="P404" i="14"/>
  <c r="H359" i="14"/>
  <c r="G359" i="14"/>
  <c r="E355" i="14"/>
  <c r="R323" i="14"/>
  <c r="H417" i="14"/>
  <c r="C397" i="14"/>
  <c r="C419" i="14"/>
  <c r="P378" i="14"/>
  <c r="I369" i="14"/>
  <c r="Q402" i="14"/>
  <c r="G350" i="14"/>
  <c r="L399" i="14"/>
  <c r="K402" i="14"/>
  <c r="C424" i="14"/>
  <c r="H329" i="14"/>
  <c r="G316" i="14"/>
  <c r="E305" i="14"/>
  <c r="E331" i="14"/>
  <c r="Q429" i="14"/>
  <c r="C359" i="14"/>
  <c r="L426" i="14"/>
  <c r="Q332" i="14"/>
  <c r="Q319" i="14"/>
  <c r="I308" i="14"/>
  <c r="K373" i="14"/>
  <c r="G397" i="14"/>
  <c r="P332" i="14"/>
  <c r="P312" i="14"/>
  <c r="L331" i="14"/>
  <c r="Q383" i="14"/>
  <c r="L376" i="14"/>
  <c r="G376" i="14"/>
  <c r="E300" i="14"/>
  <c r="K415" i="14"/>
  <c r="K329" i="14"/>
  <c r="H331" i="14"/>
  <c r="E334" i="14"/>
  <c r="C383" i="14"/>
  <c r="K334" i="14"/>
  <c r="D370" i="14"/>
  <c r="H317" i="14"/>
  <c r="R374" i="14"/>
  <c r="R376" i="14"/>
  <c r="H382" i="14"/>
  <c r="D388" i="14"/>
  <c r="Q294" i="14"/>
  <c r="Q261" i="14"/>
  <c r="Q265" i="14"/>
  <c r="Q280" i="14"/>
  <c r="K282" i="14"/>
  <c r="L263" i="14"/>
  <c r="L262" i="14"/>
  <c r="H294" i="14"/>
  <c r="H272" i="14"/>
  <c r="D271" i="14"/>
  <c r="J236" i="14"/>
  <c r="G285" i="14"/>
  <c r="K245" i="14"/>
  <c r="J245" i="14"/>
  <c r="D273" i="14"/>
  <c r="P244" i="14"/>
  <c r="D270" i="14"/>
  <c r="C270" i="14"/>
  <c r="S237" i="14"/>
  <c r="D234" i="14"/>
  <c r="S238" i="14"/>
  <c r="E243" i="14"/>
  <c r="C242" i="14"/>
  <c r="L187" i="14"/>
  <c r="L174" i="14"/>
  <c r="K182" i="14"/>
  <c r="K192" i="14"/>
  <c r="K163" i="14"/>
  <c r="G184" i="14"/>
  <c r="G190" i="14"/>
  <c r="G175" i="14"/>
  <c r="P150" i="14"/>
  <c r="P191" i="14"/>
  <c r="P171" i="14"/>
  <c r="C169" i="14"/>
  <c r="C158" i="14"/>
  <c r="C146" i="14"/>
  <c r="D42" i="14"/>
  <c r="Q117" i="14"/>
  <c r="D103" i="14"/>
  <c r="C108" i="14"/>
  <c r="L80" i="14"/>
  <c r="L76" i="14"/>
  <c r="G92" i="14"/>
  <c r="Q362" i="14"/>
  <c r="P321" i="14"/>
  <c r="Q411" i="14"/>
  <c r="R382" i="14"/>
  <c r="P377" i="14"/>
  <c r="K380" i="14"/>
  <c r="I315" i="14"/>
  <c r="E385" i="14"/>
  <c r="H115" i="14"/>
  <c r="G120" i="14"/>
  <c r="P362" i="14"/>
  <c r="D380" i="14"/>
  <c r="H350" i="14"/>
  <c r="I346" i="14"/>
  <c r="Q432" i="14"/>
  <c r="L420" i="14"/>
  <c r="H412" i="14"/>
  <c r="D427" i="14"/>
  <c r="G301" i="14"/>
  <c r="L373" i="14"/>
  <c r="G375" i="14"/>
  <c r="P422" i="14"/>
  <c r="D351" i="14"/>
  <c r="P334" i="14"/>
  <c r="D413" i="14"/>
  <c r="I333" i="14"/>
  <c r="C323" i="14"/>
  <c r="P421" i="14"/>
  <c r="D339" i="14"/>
  <c r="K432" i="14"/>
  <c r="L309" i="14"/>
  <c r="R373" i="14"/>
  <c r="I342" i="14"/>
  <c r="R379" i="14"/>
  <c r="H408" i="14"/>
  <c r="R315" i="14"/>
  <c r="Q312" i="14"/>
  <c r="R370" i="14"/>
  <c r="E319" i="14"/>
  <c r="D323" i="14"/>
  <c r="K427" i="14"/>
  <c r="Q326" i="14"/>
  <c r="P379" i="14"/>
  <c r="H374" i="14"/>
  <c r="D387" i="14"/>
  <c r="Q310" i="14"/>
  <c r="D415" i="14"/>
  <c r="I307" i="14"/>
  <c r="H399" i="14"/>
  <c r="K315" i="14"/>
  <c r="K391" i="14"/>
  <c r="D322" i="14"/>
  <c r="I322" i="14"/>
  <c r="K316" i="14"/>
  <c r="I372" i="14"/>
  <c r="C372" i="14"/>
  <c r="H322" i="14"/>
  <c r="P294" i="14"/>
  <c r="P268" i="14"/>
  <c r="P263" i="14"/>
  <c r="K261" i="14"/>
  <c r="Q279" i="14"/>
  <c r="L282" i="14"/>
  <c r="L264" i="14"/>
  <c r="H293" i="14"/>
  <c r="H270" i="14"/>
  <c r="D276" i="14"/>
  <c r="D264" i="14"/>
  <c r="C273" i="14"/>
  <c r="Q247" i="14"/>
  <c r="R236" i="14"/>
  <c r="S240" i="14"/>
  <c r="F234" i="14"/>
  <c r="G265" i="14"/>
  <c r="I236" i="14"/>
  <c r="D272" i="14"/>
  <c r="C234" i="14"/>
  <c r="L242" i="14"/>
  <c r="G243" i="14"/>
  <c r="D235" i="14"/>
  <c r="L198" i="14"/>
  <c r="L132" i="14"/>
  <c r="K140" i="14"/>
  <c r="K183" i="14"/>
  <c r="K154" i="14"/>
  <c r="G170" i="14"/>
  <c r="G137" i="14"/>
  <c r="G172" i="14"/>
  <c r="P187" i="14"/>
  <c r="P145" i="14"/>
  <c r="P143" i="14"/>
  <c r="C154" i="14"/>
  <c r="C174" i="14"/>
  <c r="C190" i="14"/>
  <c r="E42" i="14"/>
  <c r="P108" i="14"/>
  <c r="D116" i="14"/>
  <c r="C118" i="14"/>
  <c r="L65" i="14"/>
  <c r="L73" i="14"/>
  <c r="C93" i="14"/>
  <c r="G103" i="14"/>
  <c r="H428" i="14"/>
  <c r="L388" i="14"/>
  <c r="R304" i="14"/>
  <c r="Q380" i="14"/>
  <c r="D368" i="14"/>
  <c r="H116" i="14"/>
  <c r="H117" i="14"/>
  <c r="C103" i="14"/>
  <c r="R362" i="14"/>
  <c r="E381" i="14"/>
  <c r="P253" i="14"/>
  <c r="P269" i="14"/>
  <c r="H349" i="14"/>
  <c r="I339" i="14"/>
  <c r="C353" i="14"/>
  <c r="K404" i="14"/>
  <c r="P385" i="14"/>
  <c r="I310" i="14"/>
  <c r="E330" i="14"/>
  <c r="P430" i="14"/>
  <c r="P339" i="14"/>
  <c r="Q268" i="14"/>
  <c r="L279" i="14"/>
  <c r="L260" i="14"/>
  <c r="H414" i="14"/>
  <c r="R335" i="14"/>
  <c r="P330" i="14"/>
  <c r="R378" i="14"/>
  <c r="H386" i="14"/>
  <c r="E380" i="14"/>
  <c r="Q419" i="14"/>
  <c r="Q273" i="14"/>
  <c r="K289" i="14"/>
  <c r="K428" i="14"/>
  <c r="R392" i="14"/>
  <c r="P419" i="14"/>
  <c r="I358" i="14"/>
  <c r="C349" i="14"/>
  <c r="P303" i="14"/>
  <c r="Q299" i="14"/>
  <c r="L312" i="14"/>
  <c r="G387" i="14"/>
  <c r="D306" i="14"/>
  <c r="L397" i="14"/>
  <c r="K304" i="14"/>
  <c r="G302" i="14"/>
  <c r="E384" i="14"/>
  <c r="H409" i="14"/>
  <c r="Q327" i="14"/>
  <c r="D416" i="14"/>
  <c r="C407" i="14"/>
  <c r="G307" i="14"/>
  <c r="G306" i="14"/>
  <c r="E322" i="14"/>
  <c r="L424" i="14"/>
  <c r="G334" i="14"/>
  <c r="D309" i="14"/>
  <c r="D431" i="14"/>
  <c r="I376" i="14"/>
  <c r="K325" i="14"/>
  <c r="K384" i="14"/>
  <c r="L379" i="14"/>
  <c r="P366" i="14"/>
  <c r="C293" i="14"/>
  <c r="H260" i="14"/>
  <c r="D267" i="14"/>
  <c r="G284" i="14"/>
  <c r="R244" i="14"/>
  <c r="L235" i="14"/>
  <c r="E236" i="14"/>
  <c r="D291" i="14"/>
  <c r="R243" i="14"/>
  <c r="J235" i="14"/>
  <c r="D266" i="14"/>
  <c r="C268" i="14"/>
  <c r="H246" i="14"/>
  <c r="R234" i="14"/>
  <c r="D241" i="14"/>
  <c r="L134" i="14"/>
  <c r="L146" i="14"/>
  <c r="L162" i="14"/>
  <c r="K169" i="14"/>
  <c r="K179" i="14"/>
  <c r="K137" i="14"/>
  <c r="G131" i="14"/>
  <c r="G191" i="14"/>
  <c r="G179" i="14"/>
  <c r="P134" i="14"/>
  <c r="P140" i="14"/>
  <c r="P139" i="14"/>
  <c r="C155" i="14"/>
  <c r="C164" i="14"/>
  <c r="C193" i="14"/>
  <c r="C31" i="14"/>
  <c r="P106" i="14"/>
  <c r="D115" i="14"/>
  <c r="C112" i="14"/>
  <c r="L59" i="14"/>
  <c r="L87" i="14"/>
  <c r="C94" i="14"/>
  <c r="S246" i="14"/>
  <c r="E238" i="14"/>
  <c r="L145" i="14"/>
  <c r="K131" i="14"/>
  <c r="G152" i="14"/>
  <c r="G138" i="14"/>
  <c r="P137" i="14"/>
  <c r="C184" i="14"/>
  <c r="Q114" i="14"/>
  <c r="L79" i="14"/>
  <c r="L70" i="14"/>
  <c r="L390" i="14"/>
  <c r="D315" i="14"/>
  <c r="C269" i="14"/>
  <c r="H343" i="14"/>
  <c r="H332" i="14"/>
  <c r="K259" i="14"/>
  <c r="P300" i="14"/>
  <c r="L306" i="14"/>
  <c r="D247" i="14"/>
  <c r="K190" i="14"/>
  <c r="C153" i="14"/>
  <c r="G97" i="14"/>
  <c r="P160" i="14"/>
  <c r="L418" i="14"/>
  <c r="R241" i="14"/>
  <c r="E349" i="14"/>
  <c r="Q121" i="14"/>
  <c r="C115" i="14"/>
  <c r="J244" i="14"/>
  <c r="C96" i="14"/>
  <c r="F246" i="14"/>
  <c r="D324" i="14"/>
  <c r="K178" i="14"/>
  <c r="L272" i="14"/>
  <c r="P175" i="14"/>
  <c r="C171" i="14"/>
  <c r="L329" i="14"/>
  <c r="R239" i="14"/>
  <c r="D118" i="14"/>
  <c r="L133" i="14"/>
  <c r="G149" i="14"/>
  <c r="P192" i="14"/>
  <c r="K306" i="14"/>
  <c r="Q234" i="14"/>
  <c r="L171" i="14"/>
  <c r="P267" i="14"/>
  <c r="K254" i="14"/>
  <c r="D262" i="14"/>
  <c r="K243" i="14"/>
  <c r="H314" i="14"/>
  <c r="L89" i="14"/>
  <c r="D319" i="14"/>
  <c r="K184" i="14"/>
  <c r="L275" i="14"/>
  <c r="G274" i="14"/>
  <c r="I316" i="14"/>
  <c r="G244" i="14"/>
  <c r="L72" i="14"/>
  <c r="Q270" i="14"/>
  <c r="G143" i="14"/>
  <c r="C176" i="14"/>
  <c r="I325" i="14"/>
  <c r="P196" i="14"/>
  <c r="D302" i="14"/>
  <c r="G272" i="14"/>
  <c r="D239" i="14"/>
  <c r="C332" i="14"/>
  <c r="K147" i="14"/>
  <c r="G176" i="14"/>
  <c r="C177" i="14"/>
  <c r="L129" i="14"/>
  <c r="G293" i="14"/>
  <c r="P293" i="14"/>
  <c r="H268" i="14"/>
  <c r="P287" i="14"/>
  <c r="C42" i="14"/>
  <c r="C266" i="14"/>
  <c r="D290" i="14"/>
  <c r="K67" i="14"/>
  <c r="K78" i="14"/>
  <c r="C65" i="14"/>
  <c r="C73" i="14"/>
  <c r="C58" i="14"/>
  <c r="P77" i="14"/>
  <c r="P64" i="14"/>
  <c r="G71" i="14"/>
  <c r="K73" i="14"/>
  <c r="K72" i="14"/>
  <c r="C82" i="14"/>
  <c r="P76" i="14"/>
  <c r="C63" i="14"/>
  <c r="P88" i="14"/>
  <c r="P72" i="14"/>
  <c r="G59" i="14"/>
  <c r="K89" i="14"/>
  <c r="K77" i="14"/>
  <c r="G77" i="14"/>
  <c r="C77" i="14"/>
  <c r="C78" i="14"/>
  <c r="P84" i="14"/>
  <c r="P86" i="14"/>
  <c r="K71" i="14"/>
  <c r="C80" i="14"/>
  <c r="G88" i="14"/>
  <c r="P63" i="14"/>
  <c r="P69" i="14"/>
  <c r="K88" i="14"/>
  <c r="G58" i="14"/>
  <c r="G85" i="14"/>
  <c r="P89" i="14"/>
  <c r="K65" i="14"/>
  <c r="G78" i="14"/>
  <c r="P56" i="14"/>
  <c r="G82" i="14"/>
  <c r="K64" i="14"/>
  <c r="P87" i="14"/>
  <c r="C88" i="14"/>
  <c r="D9" i="14"/>
  <c r="G61" i="14"/>
  <c r="G63" i="14"/>
  <c r="P73" i="14"/>
  <c r="P92" i="14"/>
  <c r="K66" i="14"/>
  <c r="G66" i="14"/>
  <c r="C68" i="14"/>
  <c r="G86" i="14"/>
  <c r="C3" i="14"/>
  <c r="C69" i="14"/>
  <c r="G60" i="14"/>
  <c r="P66" i="14"/>
  <c r="K85" i="14"/>
  <c r="K62" i="14"/>
  <c r="G89" i="14"/>
  <c r="K76" i="14"/>
  <c r="P67" i="14"/>
  <c r="K75" i="14"/>
  <c r="P81" i="14"/>
  <c r="K87" i="14"/>
  <c r="C70" i="14"/>
  <c r="C84" i="14"/>
  <c r="C59" i="14"/>
  <c r="K63" i="14"/>
  <c r="P58" i="14"/>
  <c r="C89" i="14"/>
  <c r="G65" i="14"/>
  <c r="P93" i="14"/>
  <c r="P96" i="14"/>
  <c r="C75" i="14"/>
  <c r="P70" i="14"/>
  <c r="P82" i="14"/>
  <c r="P61" i="14"/>
  <c r="K86" i="14"/>
  <c r="C90" i="14"/>
  <c r="G90" i="14"/>
  <c r="C9" i="14"/>
  <c r="P99" i="14"/>
  <c r="K61" i="14"/>
  <c r="C81" i="14"/>
  <c r="P97" i="14"/>
  <c r="K68" i="14"/>
  <c r="K74" i="14"/>
  <c r="C86" i="14"/>
  <c r="C87" i="14"/>
  <c r="G64" i="14"/>
  <c r="P74" i="14"/>
  <c r="C15" i="14"/>
  <c r="G57" i="14"/>
  <c r="C60" i="14"/>
  <c r="G83" i="14"/>
  <c r="K56" i="14"/>
  <c r="C62" i="14"/>
  <c r="G69" i="14"/>
  <c r="P78" i="14"/>
  <c r="C76" i="14"/>
  <c r="K83" i="14"/>
  <c r="G70" i="14"/>
  <c r="K84" i="14"/>
  <c r="G62" i="14"/>
  <c r="G74" i="14"/>
  <c r="G56" i="14"/>
  <c r="K57" i="14"/>
  <c r="P94" i="14"/>
  <c r="C74" i="14"/>
  <c r="P65" i="14"/>
  <c r="C67" i="14"/>
  <c r="G67" i="14"/>
  <c r="K60" i="14"/>
  <c r="C61" i="14"/>
  <c r="G81" i="14"/>
  <c r="G73" i="14"/>
  <c r="P80" i="14"/>
  <c r="K82" i="14"/>
  <c r="K58" i="14"/>
  <c r="P60" i="14"/>
  <c r="P68" i="14"/>
  <c r="P95" i="14"/>
  <c r="C56" i="14"/>
  <c r="G68" i="14"/>
  <c r="P62" i="14"/>
  <c r="G72" i="14"/>
  <c r="K59" i="14"/>
  <c r="P98" i="14"/>
  <c r="G84" i="14"/>
  <c r="C64" i="14"/>
  <c r="P57" i="14"/>
  <c r="P83" i="14"/>
  <c r="K81" i="14"/>
  <c r="C57" i="14"/>
  <c r="C71" i="14"/>
  <c r="C85" i="14"/>
  <c r="P71" i="14"/>
  <c r="P79" i="14"/>
  <c r="C79" i="14"/>
  <c r="K80" i="14"/>
  <c r="G76" i="14"/>
  <c r="C83" i="14"/>
  <c r="P59" i="14"/>
  <c r="K90" i="14"/>
  <c r="K79" i="14"/>
  <c r="G87" i="14"/>
  <c r="G80" i="14"/>
  <c r="G79" i="14"/>
  <c r="P75" i="14"/>
  <c r="P90" i="14"/>
  <c r="K69" i="14"/>
  <c r="C66" i="14"/>
  <c r="C72" i="14"/>
  <c r="P85" i="14"/>
  <c r="K70" i="14"/>
  <c r="G75" i="14"/>
  <c r="E10" i="41" l="1"/>
  <c r="E11" i="41"/>
  <c r="E8" i="41"/>
  <c r="E9" i="41"/>
  <c r="E7" i="41"/>
  <c r="E6" i="41"/>
  <c r="E5" i="41"/>
  <c r="K40" i="2"/>
  <c r="E314" i="40"/>
  <c r="E344" i="40"/>
  <c r="E305" i="40"/>
  <c r="E340" i="40"/>
  <c r="E128" i="40"/>
  <c r="E312" i="40"/>
  <c r="E125" i="40"/>
  <c r="E304" i="40"/>
  <c r="E123" i="40"/>
  <c r="E301" i="40"/>
  <c r="E126" i="40"/>
  <c r="E306" i="40"/>
  <c r="E127" i="40"/>
  <c r="E307" i="40"/>
  <c r="E124" i="40"/>
  <c r="E303" i="40"/>
  <c r="AE194" i="14"/>
  <c r="F296" i="40" s="1"/>
  <c r="E296" i="40"/>
  <c r="AE228" i="14"/>
  <c r="E236" i="40"/>
  <c r="AE216" i="14"/>
  <c r="E224" i="40"/>
  <c r="AE217" i="14"/>
  <c r="E225" i="40"/>
  <c r="AE212" i="14"/>
  <c r="F344" i="40" s="1"/>
  <c r="E220" i="40"/>
  <c r="AE215" i="14"/>
  <c r="E223" i="40"/>
  <c r="AE218" i="14"/>
  <c r="E226" i="40"/>
  <c r="AE219" i="14"/>
  <c r="E227" i="40"/>
  <c r="AE229" i="14"/>
  <c r="E237" i="40"/>
  <c r="AE222" i="14"/>
  <c r="E230" i="40"/>
  <c r="AE220" i="14"/>
  <c r="E228" i="40"/>
  <c r="AE223" i="14"/>
  <c r="E231" i="40"/>
  <c r="AE224" i="14"/>
  <c r="E232" i="40"/>
  <c r="AE213" i="14"/>
  <c r="E221" i="40"/>
  <c r="AE225" i="14"/>
  <c r="E233" i="40"/>
  <c r="AE226" i="14"/>
  <c r="E234" i="40"/>
  <c r="AE214" i="14"/>
  <c r="E222" i="40"/>
  <c r="AE211" i="14"/>
  <c r="E219" i="40"/>
  <c r="AE221" i="14"/>
  <c r="E229" i="40"/>
  <c r="AE227" i="14"/>
  <c r="E235" i="40"/>
  <c r="AE204" i="14"/>
  <c r="E77" i="40"/>
  <c r="AE205" i="14"/>
  <c r="E78" i="40"/>
  <c r="AE210" i="14"/>
  <c r="E83" i="40"/>
  <c r="AE206" i="14"/>
  <c r="E79" i="40"/>
  <c r="AE203" i="14"/>
  <c r="F301" i="40" s="1"/>
  <c r="E76" i="40"/>
  <c r="AE207" i="14"/>
  <c r="F340" i="40" s="1"/>
  <c r="E80" i="40"/>
  <c r="AE208" i="14"/>
  <c r="E81" i="40"/>
  <c r="AE209" i="14"/>
  <c r="E82" i="40"/>
  <c r="AE399" i="14"/>
  <c r="AD399" i="14"/>
  <c r="T399" i="14"/>
  <c r="N381" i="14"/>
  <c r="AE435" i="14"/>
  <c r="F282" i="40" s="1"/>
  <c r="AE373" i="14"/>
  <c r="AE376" i="14"/>
  <c r="F46" i="40" s="1"/>
  <c r="AE375" i="14"/>
  <c r="F45" i="40" s="1"/>
  <c r="AE370" i="14"/>
  <c r="AE372" i="14"/>
  <c r="F42" i="40" s="1"/>
  <c r="AE369" i="14"/>
  <c r="AE374" i="14"/>
  <c r="F44" i="40" s="1"/>
  <c r="AE379" i="14"/>
  <c r="F246" i="40" s="1"/>
  <c r="AE388" i="14"/>
  <c r="AE387" i="14"/>
  <c r="AE386" i="14"/>
  <c r="AE382" i="14"/>
  <c r="AE383" i="14"/>
  <c r="AE385" i="14"/>
  <c r="AE384" i="14"/>
  <c r="AE380" i="14"/>
  <c r="F247" i="40" s="1"/>
  <c r="AE378" i="14"/>
  <c r="F245" i="40" s="1"/>
  <c r="AE398" i="14"/>
  <c r="AE418" i="14"/>
  <c r="F59" i="40" s="1"/>
  <c r="AE413" i="14"/>
  <c r="F58" i="40" s="1"/>
  <c r="AE410" i="14"/>
  <c r="F55" i="40" s="1"/>
  <c r="AE411" i="14"/>
  <c r="F56" i="40" s="1"/>
  <c r="AE415" i="14"/>
  <c r="F250" i="40" s="1"/>
  <c r="AE412" i="14"/>
  <c r="F57" i="40" s="1"/>
  <c r="AE403" i="14"/>
  <c r="F48" i="40" s="1"/>
  <c r="AE407" i="14"/>
  <c r="F52" i="40" s="1"/>
  <c r="AE417" i="14"/>
  <c r="F252" i="40" s="1"/>
  <c r="AE414" i="14"/>
  <c r="F249" i="40" s="1"/>
  <c r="AE406" i="14"/>
  <c r="F51" i="40" s="1"/>
  <c r="AE416" i="14"/>
  <c r="F251" i="40" s="1"/>
  <c r="AE419" i="14"/>
  <c r="F60" i="40" s="1"/>
  <c r="AE408" i="14"/>
  <c r="F53" i="40" s="1"/>
  <c r="AE405" i="14"/>
  <c r="F50" i="40" s="1"/>
  <c r="AE409" i="14"/>
  <c r="F54" i="40" s="1"/>
  <c r="AE404" i="14"/>
  <c r="F49" i="40" s="1"/>
  <c r="AE402" i="14"/>
  <c r="F47" i="40" s="1"/>
  <c r="AE424" i="14"/>
  <c r="F153" i="40" s="1"/>
  <c r="AE426" i="14"/>
  <c r="F62" i="40" s="1"/>
  <c r="AE432" i="14"/>
  <c r="AE431" i="14"/>
  <c r="AE425" i="14"/>
  <c r="F61" i="40" s="1"/>
  <c r="AE427" i="14"/>
  <c r="F63" i="40" s="1"/>
  <c r="AE428" i="14"/>
  <c r="F86" i="40" s="1"/>
  <c r="AE423" i="14"/>
  <c r="F152" i="40" s="1"/>
  <c r="AE430" i="14"/>
  <c r="F253" i="40" s="1"/>
  <c r="AE429" i="14"/>
  <c r="F202" i="40" s="1"/>
  <c r="AE422" i="14"/>
  <c r="AE421" i="14"/>
  <c r="AE392" i="14"/>
  <c r="AE391" i="14"/>
  <c r="W349" i="14"/>
  <c r="V349" i="14"/>
  <c r="U349" i="14"/>
  <c r="A340" i="14"/>
  <c r="A299" i="14"/>
  <c r="T339" i="14"/>
  <c r="V362" i="14"/>
  <c r="W362" i="14"/>
  <c r="C43" i="14"/>
  <c r="C44" i="14" s="1"/>
  <c r="T147" i="14"/>
  <c r="V239" i="14"/>
  <c r="V302" i="14"/>
  <c r="U176" i="14"/>
  <c r="AD176" i="14" s="1"/>
  <c r="T243" i="14"/>
  <c r="T254" i="14"/>
  <c r="T306" i="14"/>
  <c r="X246" i="14"/>
  <c r="U96" i="14"/>
  <c r="AD96" i="14" s="1"/>
  <c r="AE96" i="14" s="1"/>
  <c r="U153" i="14"/>
  <c r="AD153" i="14" s="1"/>
  <c r="T190" i="14"/>
  <c r="T259" i="14"/>
  <c r="T131" i="14"/>
  <c r="U94" i="14"/>
  <c r="AD94" i="14" s="1"/>
  <c r="C32" i="14"/>
  <c r="C33" i="14" s="1"/>
  <c r="U193" i="14"/>
  <c r="AD193" i="14" s="1"/>
  <c r="U155" i="14"/>
  <c r="AD155" i="14" s="1"/>
  <c r="T137" i="14"/>
  <c r="T169" i="14"/>
  <c r="V241" i="14"/>
  <c r="E248" i="14"/>
  <c r="T289" i="14"/>
  <c r="V309" i="14"/>
  <c r="T304" i="14"/>
  <c r="T325" i="14"/>
  <c r="T349" i="14"/>
  <c r="W384" i="14"/>
  <c r="T384" i="14"/>
  <c r="U407" i="14"/>
  <c r="V431" i="14"/>
  <c r="T428" i="14"/>
  <c r="T404" i="14"/>
  <c r="U93" i="14"/>
  <c r="AD93" i="14" s="1"/>
  <c r="E140" i="40" s="1"/>
  <c r="E43" i="14"/>
  <c r="E44" i="14" s="1"/>
  <c r="U190" i="14"/>
  <c r="AD190" i="14" s="1"/>
  <c r="U154" i="14"/>
  <c r="AD154" i="14" s="1"/>
  <c r="T154" i="14"/>
  <c r="T140" i="14"/>
  <c r="U234" i="14"/>
  <c r="X234" i="14"/>
  <c r="T261" i="14"/>
  <c r="T316" i="14"/>
  <c r="T315" i="14"/>
  <c r="V387" i="14"/>
  <c r="T391" i="14"/>
  <c r="T432" i="14"/>
  <c r="T427" i="14"/>
  <c r="T380" i="14"/>
  <c r="D43" i="14"/>
  <c r="D44" i="14" s="1"/>
  <c r="U146" i="14"/>
  <c r="AD146" i="14" s="1"/>
  <c r="U169" i="14"/>
  <c r="AD169" i="14" s="1"/>
  <c r="E263" i="40" s="1"/>
  <c r="T163" i="14"/>
  <c r="T192" i="14"/>
  <c r="T182" i="14"/>
  <c r="U242" i="14"/>
  <c r="V234" i="14"/>
  <c r="W243" i="14"/>
  <c r="T282" i="14"/>
  <c r="W300" i="14"/>
  <c r="T334" i="14"/>
  <c r="T329" i="14"/>
  <c r="T350" i="14"/>
  <c r="V388" i="14"/>
  <c r="U383" i="14"/>
  <c r="T373" i="14"/>
  <c r="T402" i="14"/>
  <c r="T415" i="14"/>
  <c r="T103" i="14"/>
  <c r="U311" i="14"/>
  <c r="W310" i="14"/>
  <c r="T300" i="14"/>
  <c r="T303" i="14"/>
  <c r="T353" i="14"/>
  <c r="U374" i="14"/>
  <c r="V378" i="14"/>
  <c r="T385" i="14"/>
  <c r="T119" i="14"/>
  <c r="X240" i="14"/>
  <c r="U105" i="14"/>
  <c r="D32" i="14"/>
  <c r="D33" i="14" s="1"/>
  <c r="T130" i="14"/>
  <c r="U240" i="14"/>
  <c r="W234" i="14"/>
  <c r="T241" i="14"/>
  <c r="T265" i="14"/>
  <c r="V326" i="14"/>
  <c r="T310" i="14"/>
  <c r="W369" i="14"/>
  <c r="W375" i="14"/>
  <c r="AD375" i="14" s="1"/>
  <c r="E45" i="40" s="1"/>
  <c r="T379" i="14"/>
  <c r="V435" i="14"/>
  <c r="T425" i="14"/>
  <c r="T435" i="14"/>
  <c r="T118" i="14"/>
  <c r="E32" i="14"/>
  <c r="E33" i="14" s="1"/>
  <c r="W246" i="14"/>
  <c r="T257" i="14"/>
  <c r="U327" i="14"/>
  <c r="C26" i="14"/>
  <c r="C27" i="14" s="1"/>
  <c r="C28" i="14" s="1"/>
  <c r="U167" i="14"/>
  <c r="AD167" i="14" s="1"/>
  <c r="E261" i="40" s="1"/>
  <c r="T191" i="14"/>
  <c r="T139" i="14"/>
  <c r="V246" i="14"/>
  <c r="W242" i="14"/>
  <c r="V294" i="14"/>
  <c r="T270" i="14"/>
  <c r="T255" i="14"/>
  <c r="U302" i="14"/>
  <c r="W329" i="14"/>
  <c r="U307" i="14"/>
  <c r="T301" i="14"/>
  <c r="T330" i="14"/>
  <c r="T309" i="14"/>
  <c r="T345" i="14"/>
  <c r="U384" i="14"/>
  <c r="T376" i="14"/>
  <c r="U431" i="14"/>
  <c r="U435" i="14"/>
  <c r="T416" i="14"/>
  <c r="T120" i="14"/>
  <c r="C21" i="14"/>
  <c r="C22" i="14" s="1"/>
  <c r="U142" i="14"/>
  <c r="AD142" i="14" s="1"/>
  <c r="T161" i="14"/>
  <c r="T174" i="14"/>
  <c r="U241" i="14"/>
  <c r="W240" i="14"/>
  <c r="T246" i="14"/>
  <c r="V254" i="14"/>
  <c r="T274" i="14"/>
  <c r="T277" i="14"/>
  <c r="T314" i="14"/>
  <c r="W391" i="14"/>
  <c r="W374" i="14"/>
  <c r="AD374" i="14" s="1"/>
  <c r="E44" i="40" s="1"/>
  <c r="T387" i="14"/>
  <c r="U405" i="14"/>
  <c r="T406" i="14"/>
  <c r="T116" i="14"/>
  <c r="V407" i="14"/>
  <c r="T129" i="14"/>
  <c r="V376" i="14"/>
  <c r="V374" i="14"/>
  <c r="T117" i="14"/>
  <c r="F21" i="14"/>
  <c r="F22" i="14" s="1"/>
  <c r="U160" i="14"/>
  <c r="AD160" i="14" s="1"/>
  <c r="E257" i="40" s="1"/>
  <c r="U129" i="14"/>
  <c r="AD129" i="14" s="1"/>
  <c r="AE129" i="14" s="1"/>
  <c r="T148" i="14"/>
  <c r="T170" i="14"/>
  <c r="T155" i="14"/>
  <c r="T242" i="14"/>
  <c r="T285" i="14"/>
  <c r="T271" i="14"/>
  <c r="T333" i="14"/>
  <c r="T311" i="14"/>
  <c r="V369" i="14"/>
  <c r="U387" i="14"/>
  <c r="V391" i="14"/>
  <c r="T383" i="14"/>
  <c r="T398" i="14"/>
  <c r="T405" i="14"/>
  <c r="T115" i="14"/>
  <c r="E21" i="14"/>
  <c r="E22" i="14" s="1"/>
  <c r="U163" i="14"/>
  <c r="AD163" i="14" s="1"/>
  <c r="T189" i="14"/>
  <c r="T168" i="14"/>
  <c r="T239" i="14"/>
  <c r="T281" i="14"/>
  <c r="T276" i="14"/>
  <c r="V311" i="14"/>
  <c r="V310" i="14"/>
  <c r="U329" i="14"/>
  <c r="T313" i="14"/>
  <c r="V383" i="14"/>
  <c r="T388" i="14"/>
  <c r="T114" i="14"/>
  <c r="T133" i="14"/>
  <c r="T92" i="14"/>
  <c r="V114" i="14"/>
  <c r="D21" i="14"/>
  <c r="D22" i="14" s="1"/>
  <c r="U135" i="14"/>
  <c r="AD135" i="14" s="1"/>
  <c r="AE135" i="14" s="1"/>
  <c r="U196" i="14"/>
  <c r="AD196" i="14" s="1"/>
  <c r="E264" i="40" s="1"/>
  <c r="T132" i="14"/>
  <c r="T141" i="14"/>
  <c r="X241" i="14"/>
  <c r="T238" i="14"/>
  <c r="U254" i="14"/>
  <c r="T260" i="14"/>
  <c r="T275" i="14"/>
  <c r="W328" i="14"/>
  <c r="W326" i="14"/>
  <c r="T305" i="14"/>
  <c r="T322" i="14"/>
  <c r="U347" i="14"/>
  <c r="T357" i="14"/>
  <c r="T347" i="14"/>
  <c r="U386" i="14"/>
  <c r="V375" i="14"/>
  <c r="T386" i="14"/>
  <c r="T424" i="14"/>
  <c r="T113" i="14"/>
  <c r="T268" i="14"/>
  <c r="T409" i="14"/>
  <c r="C37" i="14"/>
  <c r="C38" i="14" s="1"/>
  <c r="U168" i="14"/>
  <c r="AD168" i="14" s="1"/>
  <c r="E262" i="40" s="1"/>
  <c r="T173" i="14"/>
  <c r="T159" i="14"/>
  <c r="T237" i="14"/>
  <c r="T258" i="14"/>
  <c r="T269" i="14"/>
  <c r="V307" i="14"/>
  <c r="W327" i="14"/>
  <c r="T327" i="14"/>
  <c r="T318" i="14"/>
  <c r="V382" i="14"/>
  <c r="W388" i="14"/>
  <c r="T375" i="14"/>
  <c r="T403" i="14"/>
  <c r="T408" i="14"/>
  <c r="U362" i="14"/>
  <c r="T112" i="14"/>
  <c r="T99" i="14"/>
  <c r="T96" i="14"/>
  <c r="D37" i="14"/>
  <c r="D38" i="14" s="1"/>
  <c r="U147" i="14"/>
  <c r="AD147" i="14" s="1"/>
  <c r="T176" i="14"/>
  <c r="T134" i="14"/>
  <c r="T135" i="14"/>
  <c r="V242" i="14"/>
  <c r="T256" i="14"/>
  <c r="T291" i="14"/>
  <c r="U300" i="14"/>
  <c r="U310" i="14"/>
  <c r="V327" i="14"/>
  <c r="T331" i="14"/>
  <c r="T344" i="14"/>
  <c r="T351" i="14"/>
  <c r="W387" i="14"/>
  <c r="W382" i="14"/>
  <c r="W376" i="14"/>
  <c r="AD376" i="14" s="1"/>
  <c r="E46" i="40" s="1"/>
  <c r="T372" i="14"/>
  <c r="T411" i="14"/>
  <c r="T420" i="14"/>
  <c r="T111" i="14"/>
  <c r="E37" i="14"/>
  <c r="E38" i="14" s="1"/>
  <c r="T175" i="14"/>
  <c r="T198" i="14"/>
  <c r="V240" i="14"/>
  <c r="X239" i="14"/>
  <c r="T262" i="14"/>
  <c r="T288" i="14"/>
  <c r="V301" i="14"/>
  <c r="T335" i="14"/>
  <c r="T355" i="14"/>
  <c r="T354" i="14"/>
  <c r="T392" i="14"/>
  <c r="V405" i="14"/>
  <c r="V404" i="14"/>
  <c r="T421" i="14"/>
  <c r="T419" i="14"/>
  <c r="T110" i="14"/>
  <c r="U246" i="14"/>
  <c r="T94" i="14"/>
  <c r="T98" i="14"/>
  <c r="U109" i="14"/>
  <c r="C48" i="14"/>
  <c r="C49" i="14" s="1"/>
  <c r="T138" i="14"/>
  <c r="T180" i="14"/>
  <c r="T164" i="14"/>
  <c r="T247" i="14"/>
  <c r="T283" i="14"/>
  <c r="T264" i="14"/>
  <c r="W307" i="14"/>
  <c r="W302" i="14"/>
  <c r="W347" i="14"/>
  <c r="T358" i="14"/>
  <c r="W386" i="14"/>
  <c r="T378" i="14"/>
  <c r="T414" i="14"/>
  <c r="T410" i="14"/>
  <c r="T109" i="14"/>
  <c r="T142" i="14"/>
  <c r="T193" i="14"/>
  <c r="T272" i="14"/>
  <c r="T290" i="14"/>
  <c r="V300" i="14"/>
  <c r="T298" i="14"/>
  <c r="T319" i="14"/>
  <c r="W378" i="14"/>
  <c r="AD378" i="14" s="1"/>
  <c r="E245" i="40" s="1"/>
  <c r="T374" i="14"/>
  <c r="U408" i="14"/>
  <c r="V406" i="14"/>
  <c r="T108" i="14"/>
  <c r="V105" i="14"/>
  <c r="T97" i="14"/>
  <c r="D48" i="14"/>
  <c r="D49" i="14" s="1"/>
  <c r="T95" i="14"/>
  <c r="U161" i="14"/>
  <c r="AD161" i="14" s="1"/>
  <c r="E258" i="40" s="1"/>
  <c r="U159" i="14"/>
  <c r="AD159" i="14" s="1"/>
  <c r="E256" i="40" s="1"/>
  <c r="T181" i="14"/>
  <c r="T153" i="14"/>
  <c r="F248" i="14"/>
  <c r="T240" i="14"/>
  <c r="T273" i="14"/>
  <c r="T287" i="14"/>
  <c r="T294" i="14"/>
  <c r="W301" i="14"/>
  <c r="U326" i="14"/>
  <c r="W311" i="14"/>
  <c r="T346" i="14"/>
  <c r="U382" i="14"/>
  <c r="U369" i="14"/>
  <c r="T369" i="14"/>
  <c r="U406" i="14"/>
  <c r="T412" i="14"/>
  <c r="T107" i="14"/>
  <c r="T93" i="14"/>
  <c r="U106" i="14"/>
  <c r="V109" i="14"/>
  <c r="U175" i="14"/>
  <c r="AD175" i="14" s="1"/>
  <c r="T146" i="14"/>
  <c r="T166" i="14"/>
  <c r="T158" i="14"/>
  <c r="U239" i="14"/>
  <c r="X243" i="14"/>
  <c r="T234" i="14"/>
  <c r="T280" i="14"/>
  <c r="T263" i="14"/>
  <c r="U301" i="14"/>
  <c r="T307" i="14"/>
  <c r="T328" i="14"/>
  <c r="T312" i="14"/>
  <c r="T302" i="14"/>
  <c r="U375" i="14"/>
  <c r="V386" i="14"/>
  <c r="T368" i="14"/>
  <c r="T423" i="14"/>
  <c r="T413" i="14"/>
  <c r="T422" i="14"/>
  <c r="T430" i="14"/>
  <c r="T362" i="14"/>
  <c r="T106" i="14"/>
  <c r="U294" i="14"/>
  <c r="T167" i="14"/>
  <c r="T172" i="14"/>
  <c r="X242" i="14"/>
  <c r="T236" i="14"/>
  <c r="T279" i="14"/>
  <c r="T286" i="14"/>
  <c r="T317" i="14"/>
  <c r="T299" i="14"/>
  <c r="T356" i="14"/>
  <c r="U391" i="14"/>
  <c r="W383" i="14"/>
  <c r="T390" i="14"/>
  <c r="U409" i="14"/>
  <c r="T121" i="14"/>
  <c r="U138" i="14"/>
  <c r="AD138" i="14" s="1"/>
  <c r="U97" i="14"/>
  <c r="AD97" i="14" s="1"/>
  <c r="E192" i="40" s="1"/>
  <c r="V106" i="14"/>
  <c r="T136" i="14"/>
  <c r="T160" i="14"/>
  <c r="D248" i="14"/>
  <c r="T278" i="14"/>
  <c r="T253" i="14"/>
  <c r="V329" i="14"/>
  <c r="T324" i="14"/>
  <c r="T320" i="14"/>
  <c r="U388" i="14"/>
  <c r="T382" i="14"/>
  <c r="U404" i="14"/>
  <c r="V409" i="14"/>
  <c r="T407" i="14"/>
  <c r="T105" i="14"/>
  <c r="D26" i="14"/>
  <c r="D27" i="14" s="1"/>
  <c r="W241" i="14"/>
  <c r="U309" i="14"/>
  <c r="T352" i="14"/>
  <c r="U98" i="14"/>
  <c r="AD98" i="14" s="1"/>
  <c r="F10" i="41" s="1"/>
  <c r="G10" i="41" s="1"/>
  <c r="U124" i="14"/>
  <c r="U134" i="14"/>
  <c r="AD134" i="14" s="1"/>
  <c r="AE134" i="14" s="1"/>
  <c r="T196" i="14"/>
  <c r="U243" i="14"/>
  <c r="W239" i="14"/>
  <c r="T235" i="14"/>
  <c r="T284" i="14"/>
  <c r="T252" i="14"/>
  <c r="V328" i="14"/>
  <c r="T321" i="14"/>
  <c r="V347" i="14"/>
  <c r="T359" i="14"/>
  <c r="U378" i="14"/>
  <c r="T389" i="14"/>
  <c r="T417" i="14"/>
  <c r="T104" i="14"/>
  <c r="U114" i="14"/>
  <c r="T197" i="14"/>
  <c r="C248" i="14"/>
  <c r="T267" i="14"/>
  <c r="W309" i="14"/>
  <c r="T332" i="14"/>
  <c r="T326" i="14"/>
  <c r="T381" i="14"/>
  <c r="T431" i="14"/>
  <c r="T418" i="14"/>
  <c r="T429" i="14"/>
  <c r="T370" i="14"/>
  <c r="U95" i="14"/>
  <c r="AD95" i="14" s="1"/>
  <c r="AE95" i="14" s="1"/>
  <c r="V124" i="14"/>
  <c r="U99" i="14"/>
  <c r="AD99" i="14" s="1"/>
  <c r="U148" i="14"/>
  <c r="AD148" i="14" s="1"/>
  <c r="U131" i="14"/>
  <c r="AD131" i="14" s="1"/>
  <c r="T171" i="14"/>
  <c r="T162" i="14"/>
  <c r="T165" i="14"/>
  <c r="V243" i="14"/>
  <c r="T266" i="14"/>
  <c r="U328" i="14"/>
  <c r="T308" i="14"/>
  <c r="T323" i="14"/>
  <c r="T343" i="14"/>
  <c r="V384" i="14"/>
  <c r="U376" i="14"/>
  <c r="T377" i="14"/>
  <c r="V408" i="14"/>
  <c r="T426" i="14"/>
  <c r="T124" i="14"/>
  <c r="U85" i="14"/>
  <c r="AD85" i="14" s="1"/>
  <c r="E142" i="40" s="1"/>
  <c r="U84" i="14"/>
  <c r="AD84" i="14" s="1"/>
  <c r="E141" i="40" s="1"/>
  <c r="U82" i="14"/>
  <c r="AD82" i="14" s="1"/>
  <c r="U74" i="14"/>
  <c r="AD74" i="14" s="1"/>
  <c r="E119" i="40" s="1"/>
  <c r="T84" i="14"/>
  <c r="T85" i="14"/>
  <c r="T82" i="14"/>
  <c r="U83" i="14"/>
  <c r="AD83" i="14" s="1"/>
  <c r="T83" i="14"/>
  <c r="U61" i="14"/>
  <c r="AD61" i="14" s="1"/>
  <c r="AE61" i="14" s="1"/>
  <c r="U60" i="14"/>
  <c r="AD60" i="14" s="1"/>
  <c r="AE60" i="14" s="1"/>
  <c r="T69" i="14"/>
  <c r="T72" i="14"/>
  <c r="T73" i="14"/>
  <c r="T74" i="14"/>
  <c r="T75" i="14"/>
  <c r="T76" i="14"/>
  <c r="T71" i="14"/>
  <c r="T77" i="14"/>
  <c r="T78" i="14"/>
  <c r="T79" i="14"/>
  <c r="T80" i="14"/>
  <c r="T57" i="14"/>
  <c r="T81" i="14"/>
  <c r="T58" i="14"/>
  <c r="T59" i="14"/>
  <c r="T60" i="14"/>
  <c r="T70" i="14"/>
  <c r="T61" i="14"/>
  <c r="T62" i="14"/>
  <c r="T63" i="14"/>
  <c r="T87" i="14"/>
  <c r="T68" i="14"/>
  <c r="T65" i="14"/>
  <c r="T88" i="14"/>
  <c r="T66" i="14"/>
  <c r="T89" i="14"/>
  <c r="T67" i="14"/>
  <c r="T90" i="14"/>
  <c r="T56" i="14"/>
  <c r="C16" i="14"/>
  <c r="C17" i="14" s="1"/>
  <c r="D10" i="14"/>
  <c r="D11" i="14" s="1"/>
  <c r="D12" i="14" s="1"/>
  <c r="C10" i="14"/>
  <c r="C11" i="14" s="1"/>
  <c r="C12" i="14" s="1"/>
  <c r="C6" i="14"/>
  <c r="C4" i="14"/>
  <c r="L381" i="14"/>
  <c r="M381" i="14"/>
  <c r="U427" i="14"/>
  <c r="V303" i="14"/>
  <c r="U265" i="14"/>
  <c r="V277" i="14"/>
  <c r="V313" i="14"/>
  <c r="V260" i="14"/>
  <c r="U318" i="14"/>
  <c r="V291" i="14"/>
  <c r="U411" i="14"/>
  <c r="V335" i="14"/>
  <c r="U414" i="14"/>
  <c r="U317" i="14"/>
  <c r="V278" i="14"/>
  <c r="W352" i="14"/>
  <c r="U165" i="14"/>
  <c r="V426" i="14"/>
  <c r="U70" i="14"/>
  <c r="V422" i="14"/>
  <c r="W381" i="14"/>
  <c r="U426" i="14"/>
  <c r="U322" i="14"/>
  <c r="U429" i="14"/>
  <c r="U380" i="14"/>
  <c r="U277" i="14"/>
  <c r="W313" i="14"/>
  <c r="V275" i="14"/>
  <c r="U113" i="14"/>
  <c r="V108" i="14"/>
  <c r="W346" i="14"/>
  <c r="U278" i="14"/>
  <c r="V352" i="14"/>
  <c r="U92" i="14"/>
  <c r="V289" i="14"/>
  <c r="U140" i="14"/>
  <c r="U353" i="14"/>
  <c r="U350" i="14"/>
  <c r="U170" i="14"/>
  <c r="U191" i="14"/>
  <c r="V398" i="14"/>
  <c r="U313" i="14"/>
  <c r="U268" i="14"/>
  <c r="V411" i="14"/>
  <c r="W354" i="14"/>
  <c r="U410" i="14"/>
  <c r="U108" i="14"/>
  <c r="V346" i="14"/>
  <c r="U422" i="14"/>
  <c r="V356" i="14"/>
  <c r="V253" i="14"/>
  <c r="U352" i="14"/>
  <c r="V417" i="14"/>
  <c r="V381" i="14"/>
  <c r="U67" i="14"/>
  <c r="V104" i="14"/>
  <c r="U120" i="14"/>
  <c r="V284" i="14"/>
  <c r="V343" i="14"/>
  <c r="U289" i="14"/>
  <c r="W380" i="14"/>
  <c r="W350" i="14"/>
  <c r="W353" i="14"/>
  <c r="W314" i="14"/>
  <c r="U398" i="14"/>
  <c r="U275" i="14"/>
  <c r="V268" i="14"/>
  <c r="V354" i="14"/>
  <c r="U180" i="14"/>
  <c r="V410" i="14"/>
  <c r="U346" i="14"/>
  <c r="V280" i="14"/>
  <c r="W356" i="14"/>
  <c r="U417" i="14"/>
  <c r="U381" i="14"/>
  <c r="V266" i="14"/>
  <c r="U65" i="14"/>
  <c r="U266" i="14"/>
  <c r="V111" i="14"/>
  <c r="U59" i="14"/>
  <c r="U104" i="14"/>
  <c r="U58" i="14"/>
  <c r="V319" i="14"/>
  <c r="V332" i="14"/>
  <c r="V380" i="14"/>
  <c r="V350" i="14"/>
  <c r="V353" i="14"/>
  <c r="U139" i="14"/>
  <c r="V314" i="14"/>
  <c r="U354" i="14"/>
  <c r="U280" i="14"/>
  <c r="U356" i="14"/>
  <c r="U253" i="14"/>
  <c r="U66" i="14"/>
  <c r="U430" i="14"/>
  <c r="V418" i="14"/>
  <c r="U418" i="14"/>
  <c r="V324" i="14"/>
  <c r="W379" i="14"/>
  <c r="U314" i="14"/>
  <c r="V403" i="14"/>
  <c r="U164" i="14"/>
  <c r="U263" i="14"/>
  <c r="W304" i="14"/>
  <c r="U261" i="14"/>
  <c r="V416" i="14"/>
  <c r="V285" i="14"/>
  <c r="V115" i="14"/>
  <c r="U403" i="14"/>
  <c r="U331" i="14"/>
  <c r="U111" i="14"/>
  <c r="W392" i="14"/>
  <c r="V263" i="14"/>
  <c r="V430" i="14"/>
  <c r="W324" i="14"/>
  <c r="V304" i="14"/>
  <c r="V261" i="14"/>
  <c r="W385" i="14"/>
  <c r="V379" i="14"/>
  <c r="U416" i="14"/>
  <c r="U285" i="14"/>
  <c r="U115" i="14"/>
  <c r="V331" i="14"/>
  <c r="V392" i="14"/>
  <c r="U373" i="14"/>
  <c r="V385" i="14"/>
  <c r="U379" i="14"/>
  <c r="V270" i="14"/>
  <c r="U133" i="14"/>
  <c r="W322" i="14"/>
  <c r="U173" i="14"/>
  <c r="W331" i="14"/>
  <c r="U392" i="14"/>
  <c r="V283" i="14"/>
  <c r="W308" i="14"/>
  <c r="W373" i="14"/>
  <c r="V321" i="14"/>
  <c r="U304" i="14"/>
  <c r="U316" i="14"/>
  <c r="V373" i="14"/>
  <c r="U385" i="14"/>
  <c r="V120" i="14"/>
  <c r="U271" i="14"/>
  <c r="V322" i="14"/>
  <c r="U112" i="14"/>
  <c r="V344" i="14"/>
  <c r="U283" i="14"/>
  <c r="V272" i="14"/>
  <c r="U412" i="14"/>
  <c r="U324" i="14"/>
  <c r="V429" i="14"/>
  <c r="U308" i="14"/>
  <c r="U192" i="14"/>
  <c r="V425" i="14"/>
  <c r="U270" i="14"/>
  <c r="V271" i="14"/>
  <c r="V320" i="14"/>
  <c r="W316" i="14"/>
  <c r="U182" i="14"/>
  <c r="U425" i="14"/>
  <c r="V255" i="14"/>
  <c r="V112" i="14"/>
  <c r="U344" i="14"/>
  <c r="U198" i="14"/>
  <c r="U264" i="14"/>
  <c r="U272" i="14"/>
  <c r="U181" i="14"/>
  <c r="V412" i="14"/>
  <c r="U172" i="14"/>
  <c r="U320" i="14"/>
  <c r="W323" i="14"/>
  <c r="U89" i="14"/>
  <c r="U284" i="14"/>
  <c r="W370" i="14"/>
  <c r="U90" i="14"/>
  <c r="U419" i="14"/>
  <c r="U279" i="14"/>
  <c r="V316" i="14"/>
  <c r="V402" i="14"/>
  <c r="U119" i="14"/>
  <c r="V116" i="14"/>
  <c r="V333" i="14"/>
  <c r="U189" i="14"/>
  <c r="W357" i="14"/>
  <c r="U258" i="14"/>
  <c r="U421" i="14"/>
  <c r="V290" i="14"/>
  <c r="U107" i="14"/>
  <c r="W312" i="14"/>
  <c r="U267" i="14"/>
  <c r="U323" i="14"/>
  <c r="U259" i="14"/>
  <c r="U402" i="14"/>
  <c r="V119" i="14"/>
  <c r="U255" i="14"/>
  <c r="U116" i="14"/>
  <c r="U333" i="14"/>
  <c r="V357" i="14"/>
  <c r="V258" i="14"/>
  <c r="V421" i="14"/>
  <c r="V264" i="14"/>
  <c r="U290" i="14"/>
  <c r="V107" i="14"/>
  <c r="V312" i="14"/>
  <c r="W320" i="14"/>
  <c r="V267" i="14"/>
  <c r="V370" i="14"/>
  <c r="V323" i="14"/>
  <c r="U75" i="14"/>
  <c r="U370" i="14"/>
  <c r="U76" i="14"/>
  <c r="U130" i="14"/>
  <c r="U141" i="14"/>
  <c r="V288" i="14"/>
  <c r="W358" i="14"/>
  <c r="W315" i="14"/>
  <c r="W333" i="14"/>
  <c r="U357" i="14"/>
  <c r="W351" i="14"/>
  <c r="U312" i="14"/>
  <c r="U79" i="14"/>
  <c r="V259" i="14"/>
  <c r="V315" i="14"/>
  <c r="V415" i="14"/>
  <c r="U118" i="14"/>
  <c r="V281" i="14"/>
  <c r="U132" i="14"/>
  <c r="V269" i="14"/>
  <c r="V351" i="14"/>
  <c r="V262" i="14"/>
  <c r="V273" i="14"/>
  <c r="V279" i="14"/>
  <c r="V121" i="14"/>
  <c r="W321" i="14"/>
  <c r="W332" i="14"/>
  <c r="U343" i="14"/>
  <c r="U77" i="14"/>
  <c r="U269" i="14"/>
  <c r="U273" i="14"/>
  <c r="U121" i="14"/>
  <c r="U281" i="14"/>
  <c r="U315" i="14"/>
  <c r="U282" i="14"/>
  <c r="U415" i="14"/>
  <c r="V118" i="14"/>
  <c r="U174" i="14"/>
  <c r="U351" i="14"/>
  <c r="U262" i="14"/>
  <c r="V419" i="14"/>
  <c r="W343" i="14"/>
  <c r="U78" i="14"/>
  <c r="V428" i="14"/>
  <c r="V282" i="14"/>
  <c r="U428" i="14"/>
  <c r="U330" i="14"/>
  <c r="U288" i="14"/>
  <c r="V110" i="14"/>
  <c r="V358" i="14"/>
  <c r="W319" i="14"/>
  <c r="U287" i="14"/>
  <c r="U321" i="14"/>
  <c r="U332" i="14"/>
  <c r="U80" i="14"/>
  <c r="U69" i="14"/>
  <c r="V432" i="14"/>
  <c r="V257" i="14"/>
  <c r="V330" i="14"/>
  <c r="V117" i="14"/>
  <c r="U276" i="14"/>
  <c r="U110" i="14"/>
  <c r="U358" i="14"/>
  <c r="U319" i="14"/>
  <c r="V287" i="14"/>
  <c r="U423" i="14"/>
  <c r="V286" i="14"/>
  <c r="U81" i="14"/>
  <c r="V359" i="14"/>
  <c r="U73" i="14"/>
  <c r="U68" i="14"/>
  <c r="U432" i="14"/>
  <c r="W334" i="14"/>
  <c r="U257" i="14"/>
  <c r="W330" i="14"/>
  <c r="U117" i="14"/>
  <c r="V276" i="14"/>
  <c r="U424" i="14"/>
  <c r="V256" i="14"/>
  <c r="W372" i="14"/>
  <c r="U166" i="14"/>
  <c r="V423" i="14"/>
  <c r="U286" i="14"/>
  <c r="U171" i="14"/>
  <c r="U137" i="14"/>
  <c r="V334" i="14"/>
  <c r="W303" i="14"/>
  <c r="U274" i="14"/>
  <c r="V424" i="14"/>
  <c r="U256" i="14"/>
  <c r="W359" i="14"/>
  <c r="U72" i="14"/>
  <c r="U334" i="14"/>
  <c r="U303" i="14"/>
  <c r="V265" i="14"/>
  <c r="V274" i="14"/>
  <c r="U260" i="14"/>
  <c r="W318" i="14"/>
  <c r="V372" i="14"/>
  <c r="W335" i="14"/>
  <c r="V413" i="14"/>
  <c r="W317" i="14"/>
  <c r="U71" i="14"/>
  <c r="V308" i="14"/>
  <c r="V427" i="14"/>
  <c r="V113" i="14"/>
  <c r="V318" i="14"/>
  <c r="U291" i="14"/>
  <c r="U372" i="14"/>
  <c r="U335" i="14"/>
  <c r="V414" i="14"/>
  <c r="U413" i="14"/>
  <c r="V317" i="14"/>
  <c r="U359" i="14"/>
  <c r="U162" i="14"/>
  <c r="AD382" i="14" l="1"/>
  <c r="F11" i="41"/>
  <c r="G11" i="41" s="1"/>
  <c r="F307" i="40"/>
  <c r="F342" i="40"/>
  <c r="F234" i="40"/>
  <c r="F334" i="40"/>
  <c r="F306" i="40"/>
  <c r="F341" i="40"/>
  <c r="F236" i="40"/>
  <c r="F336" i="40"/>
  <c r="F304" i="40"/>
  <c r="F339" i="40"/>
  <c r="F312" i="40"/>
  <c r="F343" i="40"/>
  <c r="F303" i="40"/>
  <c r="F338" i="40"/>
  <c r="F237" i="40"/>
  <c r="F337" i="40"/>
  <c r="F235" i="40"/>
  <c r="F335" i="40"/>
  <c r="F233" i="40"/>
  <c r="F330" i="40"/>
  <c r="F232" i="40"/>
  <c r="F329" i="40"/>
  <c r="F231" i="40"/>
  <c r="F328" i="40"/>
  <c r="F228" i="40"/>
  <c r="F325" i="40"/>
  <c r="F230" i="40"/>
  <c r="F327" i="40"/>
  <c r="F227" i="40"/>
  <c r="F324" i="40"/>
  <c r="F229" i="40"/>
  <c r="F326" i="40"/>
  <c r="F226" i="40"/>
  <c r="F323" i="40"/>
  <c r="F219" i="40"/>
  <c r="F313" i="40"/>
  <c r="F223" i="40"/>
  <c r="F317" i="40"/>
  <c r="F222" i="40"/>
  <c r="F316" i="40"/>
  <c r="F220" i="40"/>
  <c r="F314" i="40"/>
  <c r="F225" i="40"/>
  <c r="F319" i="40"/>
  <c r="F224" i="40"/>
  <c r="F318" i="40"/>
  <c r="F221" i="40"/>
  <c r="F315" i="40"/>
  <c r="F80" i="40"/>
  <c r="F305" i="40"/>
  <c r="F77" i="40"/>
  <c r="F302" i="40"/>
  <c r="AD362" i="14"/>
  <c r="E281" i="40" s="1"/>
  <c r="AE190" i="14"/>
  <c r="F291" i="40" s="1"/>
  <c r="E291" i="40"/>
  <c r="AE193" i="14"/>
  <c r="F286" i="40" s="1"/>
  <c r="E286" i="40"/>
  <c r="AE176" i="14"/>
  <c r="F274" i="40" s="1"/>
  <c r="E274" i="40"/>
  <c r="E205" i="40"/>
  <c r="E212" i="40"/>
  <c r="AE196" i="14"/>
  <c r="E218" i="40"/>
  <c r="AE175" i="14"/>
  <c r="F217" i="40" s="1"/>
  <c r="E217" i="40"/>
  <c r="AE131" i="14"/>
  <c r="F190" i="40" s="1"/>
  <c r="E190" i="40"/>
  <c r="E15" i="40"/>
  <c r="E194" i="40"/>
  <c r="E14" i="40"/>
  <c r="E193" i="40"/>
  <c r="F150" i="40"/>
  <c r="F180" i="40"/>
  <c r="F43" i="40"/>
  <c r="F174" i="40"/>
  <c r="AE168" i="14"/>
  <c r="E171" i="40"/>
  <c r="AD388" i="14"/>
  <c r="AE167" i="14"/>
  <c r="E170" i="40"/>
  <c r="AE169" i="14"/>
  <c r="E172" i="40"/>
  <c r="AE159" i="14"/>
  <c r="E159" i="40"/>
  <c r="AE161" i="14"/>
  <c r="E161" i="40"/>
  <c r="AE142" i="14"/>
  <c r="F157" i="40" s="1"/>
  <c r="E157" i="40"/>
  <c r="AE146" i="14"/>
  <c r="F212" i="40" s="1"/>
  <c r="E158" i="40"/>
  <c r="AE160" i="14"/>
  <c r="E160" i="40"/>
  <c r="AE163" i="14"/>
  <c r="F163" i="40" s="1"/>
  <c r="E163" i="40"/>
  <c r="E6" i="40"/>
  <c r="E138" i="40"/>
  <c r="E70" i="40"/>
  <c r="E137" i="40"/>
  <c r="F100" i="40"/>
  <c r="F151" i="40"/>
  <c r="AE138" i="14"/>
  <c r="F145" i="40" s="1"/>
  <c r="E145" i="40"/>
  <c r="AE147" i="14"/>
  <c r="F121" i="40" s="1"/>
  <c r="E121" i="40"/>
  <c r="F82" i="40"/>
  <c r="F127" i="40"/>
  <c r="F81" i="40"/>
  <c r="F126" i="40"/>
  <c r="AE148" i="14"/>
  <c r="F122" i="40" s="1"/>
  <c r="E122" i="40"/>
  <c r="F76" i="40"/>
  <c r="F123" i="40"/>
  <c r="F79" i="40"/>
  <c r="F125" i="40"/>
  <c r="F83" i="40"/>
  <c r="F128" i="40"/>
  <c r="F78" i="40"/>
  <c r="F124" i="40"/>
  <c r="E19" i="40"/>
  <c r="E74" i="40"/>
  <c r="AE74" i="14"/>
  <c r="E69" i="40"/>
  <c r="E7" i="40"/>
  <c r="E71" i="40"/>
  <c r="E8" i="40"/>
  <c r="E72" i="40"/>
  <c r="E20" i="40"/>
  <c r="E75" i="40"/>
  <c r="AE97" i="14"/>
  <c r="E13" i="40"/>
  <c r="AE153" i="14"/>
  <c r="F18" i="40" s="1"/>
  <c r="E18" i="40"/>
  <c r="AE93" i="14"/>
  <c r="E12" i="40"/>
  <c r="AE82" i="14"/>
  <c r="E5" i="40"/>
  <c r="AE99" i="14"/>
  <c r="AE84" i="14"/>
  <c r="AE85" i="14"/>
  <c r="AE155" i="14"/>
  <c r="F75" i="40" s="1"/>
  <c r="AE98" i="14"/>
  <c r="AE94" i="14"/>
  <c r="AE154" i="14"/>
  <c r="F74" i="40" s="1"/>
  <c r="AE83" i="14"/>
  <c r="AD387" i="14"/>
  <c r="AD369" i="14"/>
  <c r="AD391" i="14"/>
  <c r="AD359" i="14"/>
  <c r="AD358" i="14"/>
  <c r="E115" i="40" s="1"/>
  <c r="AD357" i="14"/>
  <c r="E99" i="40" s="1"/>
  <c r="AD356" i="14"/>
  <c r="E41" i="40" s="1"/>
  <c r="AD351" i="14"/>
  <c r="E37" i="40" s="1"/>
  <c r="AD354" i="14"/>
  <c r="E40" i="40" s="1"/>
  <c r="AD346" i="14"/>
  <c r="AD352" i="14"/>
  <c r="E38" i="40" s="1"/>
  <c r="AD350" i="14"/>
  <c r="E36" i="40" s="1"/>
  <c r="AD353" i="14"/>
  <c r="E39" i="40" s="1"/>
  <c r="AD340" i="14"/>
  <c r="AD349" i="14"/>
  <c r="AD348" i="14"/>
  <c r="AD343" i="14"/>
  <c r="AD341" i="14"/>
  <c r="AD342" i="14"/>
  <c r="AD347" i="14"/>
  <c r="AD372" i="14"/>
  <c r="E42" i="40" s="1"/>
  <c r="AD370" i="14"/>
  <c r="AD373" i="14"/>
  <c r="AD386" i="14"/>
  <c r="AD392" i="14"/>
  <c r="AD384" i="14"/>
  <c r="AD383" i="14"/>
  <c r="AD385" i="14"/>
  <c r="AD379" i="14"/>
  <c r="E246" i="40" s="1"/>
  <c r="AD380" i="14"/>
  <c r="E247" i="40" s="1"/>
  <c r="AD381" i="14"/>
  <c r="E248" i="40" s="1"/>
  <c r="AE381" i="14"/>
  <c r="F248" i="40" s="1"/>
  <c r="AD312" i="14"/>
  <c r="AD300" i="14"/>
  <c r="AE300" i="14" s="1"/>
  <c r="AD239" i="14"/>
  <c r="AD240" i="14"/>
  <c r="AD234" i="14"/>
  <c r="AE234" i="14" s="1"/>
  <c r="AD294" i="14"/>
  <c r="AD180" i="14"/>
  <c r="AD139" i="14"/>
  <c r="AD78" i="14"/>
  <c r="AD404" i="14"/>
  <c r="E49" i="40" s="1"/>
  <c r="AD431" i="14"/>
  <c r="AD409" i="14"/>
  <c r="E54" i="40" s="1"/>
  <c r="AD424" i="14"/>
  <c r="E153" i="40" s="1"/>
  <c r="AD432" i="14"/>
  <c r="AD423" i="14"/>
  <c r="E152" i="40" s="1"/>
  <c r="AD428" i="14"/>
  <c r="E86" i="40" s="1"/>
  <c r="AD421" i="14"/>
  <c r="AD425" i="14"/>
  <c r="E61" i="40" s="1"/>
  <c r="AD430" i="14"/>
  <c r="E253" i="40" s="1"/>
  <c r="AD422" i="14"/>
  <c r="AD429" i="14"/>
  <c r="E202" i="40" s="1"/>
  <c r="AD426" i="14"/>
  <c r="E62" i="40" s="1"/>
  <c r="AD427" i="14"/>
  <c r="E63" i="40" s="1"/>
  <c r="AD405" i="14"/>
  <c r="E50" i="40" s="1"/>
  <c r="AD407" i="14"/>
  <c r="E52" i="40" s="1"/>
  <c r="AD408" i="14"/>
  <c r="E53" i="40" s="1"/>
  <c r="AD406" i="14"/>
  <c r="E51" i="40" s="1"/>
  <c r="AD413" i="14"/>
  <c r="E58" i="40" s="1"/>
  <c r="AD415" i="14"/>
  <c r="E250" i="40" s="1"/>
  <c r="AD419" i="14"/>
  <c r="E60" i="40" s="1"/>
  <c r="AD412" i="14"/>
  <c r="E57" i="40" s="1"/>
  <c r="AD416" i="14"/>
  <c r="E251" i="40" s="1"/>
  <c r="AD403" i="14"/>
  <c r="E48" i="40" s="1"/>
  <c r="AD418" i="14"/>
  <c r="E59" i="40" s="1"/>
  <c r="AD417" i="14"/>
  <c r="E252" i="40" s="1"/>
  <c r="AD410" i="14"/>
  <c r="E55" i="40" s="1"/>
  <c r="AD414" i="14"/>
  <c r="E249" i="40" s="1"/>
  <c r="AD411" i="14"/>
  <c r="E56" i="40" s="1"/>
  <c r="AD402" i="14"/>
  <c r="E47" i="40" s="1"/>
  <c r="AD398" i="14"/>
  <c r="AD435" i="14"/>
  <c r="E282" i="40" s="1"/>
  <c r="AD309" i="14"/>
  <c r="AE309" i="14" s="1"/>
  <c r="AD328" i="14"/>
  <c r="E28" i="40" s="1"/>
  <c r="AD335" i="14"/>
  <c r="AD303" i="14"/>
  <c r="AD334" i="14"/>
  <c r="E34" i="40" s="1"/>
  <c r="AD332" i="14"/>
  <c r="E32" i="40" s="1"/>
  <c r="AD330" i="14"/>
  <c r="E30" i="40" s="1"/>
  <c r="AD333" i="14"/>
  <c r="E33" i="40" s="1"/>
  <c r="AD308" i="14"/>
  <c r="AD304" i="14"/>
  <c r="AE304" i="14" s="1"/>
  <c r="AD331" i="14"/>
  <c r="E31" i="40" s="1"/>
  <c r="AD326" i="14"/>
  <c r="AD311" i="14"/>
  <c r="AE311" i="14" s="1"/>
  <c r="AD310" i="14"/>
  <c r="AE310" i="14" s="1"/>
  <c r="AD307" i="14"/>
  <c r="AD329" i="14"/>
  <c r="E29" i="40" s="1"/>
  <c r="AD327" i="14"/>
  <c r="E27" i="40" s="1"/>
  <c r="AD246" i="14"/>
  <c r="AD291" i="14"/>
  <c r="AE291" i="14" s="1"/>
  <c r="AD260" i="14"/>
  <c r="AD256" i="14"/>
  <c r="AD274" i="14"/>
  <c r="AD286" i="14"/>
  <c r="AD257" i="14"/>
  <c r="AD276" i="14"/>
  <c r="AD287" i="14"/>
  <c r="AD288" i="14"/>
  <c r="AD262" i="14"/>
  <c r="AD282" i="14"/>
  <c r="AD281" i="14"/>
  <c r="AD273" i="14"/>
  <c r="AD269" i="14"/>
  <c r="E22" i="40" s="1"/>
  <c r="AD290" i="14"/>
  <c r="E320" i="40" s="1"/>
  <c r="AD255" i="14"/>
  <c r="AD259" i="14"/>
  <c r="AD267" i="14"/>
  <c r="AD258" i="14"/>
  <c r="AD279" i="14"/>
  <c r="AD284" i="14"/>
  <c r="AD272" i="14"/>
  <c r="E207" i="40" s="1"/>
  <c r="AD264" i="14"/>
  <c r="AD270" i="14"/>
  <c r="E23" i="40" s="1"/>
  <c r="AD283" i="14"/>
  <c r="AD271" i="14"/>
  <c r="E24" i="40" s="1"/>
  <c r="AD285" i="14"/>
  <c r="AD261" i="14"/>
  <c r="AD263" i="14"/>
  <c r="AD253" i="14"/>
  <c r="AE253" i="14" s="1"/>
  <c r="AD280" i="14"/>
  <c r="AD266" i="14"/>
  <c r="AD275" i="14"/>
  <c r="AD289" i="14"/>
  <c r="E345" i="40" s="1"/>
  <c r="AD268" i="14"/>
  <c r="AD278" i="14"/>
  <c r="AD277" i="14"/>
  <c r="AD265" i="14"/>
  <c r="AD254" i="14"/>
  <c r="AE254" i="14" s="1"/>
  <c r="AD114" i="14"/>
  <c r="AD124" i="14"/>
  <c r="AD117" i="14"/>
  <c r="AD110" i="14"/>
  <c r="AD121" i="14"/>
  <c r="AE121" i="14" s="1"/>
  <c r="AD118" i="14"/>
  <c r="AD116" i="14"/>
  <c r="AD119" i="14"/>
  <c r="AD112" i="14"/>
  <c r="F8" i="41" s="1"/>
  <c r="G8" i="41" s="1"/>
  <c r="AD115" i="14"/>
  <c r="AD111" i="14"/>
  <c r="AD113" i="14"/>
  <c r="AD120" i="14"/>
  <c r="AD243" i="14"/>
  <c r="AD241" i="14"/>
  <c r="AD242" i="14"/>
  <c r="AD162" i="14"/>
  <c r="E259" i="40" s="1"/>
  <c r="AD137" i="14"/>
  <c r="AD171" i="14"/>
  <c r="AD166" i="14"/>
  <c r="AD174" i="14"/>
  <c r="AD132" i="14"/>
  <c r="AE141" i="14"/>
  <c r="AD130" i="14"/>
  <c r="AD189" i="14"/>
  <c r="AD172" i="14"/>
  <c r="AD198" i="14"/>
  <c r="AE198" i="14" s="1"/>
  <c r="AD192" i="14"/>
  <c r="AD173" i="14"/>
  <c r="AD133" i="14"/>
  <c r="AE133" i="14" s="1"/>
  <c r="AD164" i="14"/>
  <c r="AD191" i="14"/>
  <c r="AE191" i="14" s="1"/>
  <c r="AD170" i="14"/>
  <c r="AE140" i="14"/>
  <c r="AD165" i="14"/>
  <c r="E260" i="40" s="1"/>
  <c r="AD107" i="14"/>
  <c r="AE107" i="14" s="1"/>
  <c r="AD108" i="14"/>
  <c r="AD106" i="14"/>
  <c r="AE106" i="14" s="1"/>
  <c r="AD105" i="14"/>
  <c r="AE105" i="14" s="1"/>
  <c r="AD109" i="14"/>
  <c r="AD104" i="14"/>
  <c r="AE104" i="14" s="1"/>
  <c r="AD92" i="14"/>
  <c r="AD71" i="14"/>
  <c r="AD72" i="14"/>
  <c r="AD68" i="14"/>
  <c r="AD73" i="14"/>
  <c r="E118" i="40" s="1"/>
  <c r="AD81" i="14"/>
  <c r="E107" i="40" s="1"/>
  <c r="AD69" i="14"/>
  <c r="AD77" i="14"/>
  <c r="E177" i="40" s="1"/>
  <c r="AD76" i="14"/>
  <c r="AD75" i="14"/>
  <c r="AD90" i="14"/>
  <c r="AD89" i="14"/>
  <c r="AD66" i="14"/>
  <c r="AD59" i="14"/>
  <c r="AD65" i="14"/>
  <c r="AD67" i="14"/>
  <c r="AD70" i="14"/>
  <c r="AD58" i="14"/>
  <c r="D50" i="14"/>
  <c r="C50" i="14"/>
  <c r="E39" i="14"/>
  <c r="D39" i="14"/>
  <c r="C39" i="14"/>
  <c r="U248" i="14"/>
  <c r="V248" i="14"/>
  <c r="X248" i="14"/>
  <c r="W248" i="14"/>
  <c r="D28" i="14"/>
  <c r="C5" i="14"/>
  <c r="W344" i="14"/>
  <c r="AE362" i="14" l="1"/>
  <c r="F281" i="40" s="1"/>
  <c r="E17" i="40"/>
  <c r="F9" i="41"/>
  <c r="G9" i="41" s="1"/>
  <c r="AE108" i="14"/>
  <c r="F7" i="41"/>
  <c r="G7" i="41" s="1"/>
  <c r="AE59" i="14"/>
  <c r="F6" i="41"/>
  <c r="G6" i="41" s="1"/>
  <c r="F5" i="41"/>
  <c r="G5" i="41" s="1"/>
  <c r="AE286" i="14"/>
  <c r="F331" i="40" s="1"/>
  <c r="E331" i="40"/>
  <c r="E131" i="40"/>
  <c r="E308" i="40"/>
  <c r="E132" i="40"/>
  <c r="E309" i="40"/>
  <c r="AE284" i="14"/>
  <c r="F295" i="40" s="1"/>
  <c r="E295" i="40"/>
  <c r="AE283" i="14"/>
  <c r="F292" i="40" s="1"/>
  <c r="E292" i="40"/>
  <c r="AE189" i="14"/>
  <c r="F290" i="40" s="1"/>
  <c r="E290" i="40"/>
  <c r="AE285" i="14"/>
  <c r="F287" i="40" s="1"/>
  <c r="E287" i="40"/>
  <c r="AE192" i="14"/>
  <c r="F285" i="40" s="1"/>
  <c r="E285" i="40"/>
  <c r="AE282" i="14"/>
  <c r="F277" i="40" s="1"/>
  <c r="E277" i="40"/>
  <c r="AE180" i="14"/>
  <c r="F275" i="40" s="1"/>
  <c r="E275" i="40"/>
  <c r="AE294" i="14"/>
  <c r="F280" i="40" s="1"/>
  <c r="E280" i="40"/>
  <c r="AE124" i="14"/>
  <c r="F279" i="40" s="1"/>
  <c r="E279" i="40"/>
  <c r="AE281" i="14"/>
  <c r="F276" i="40" s="1"/>
  <c r="E276" i="40"/>
  <c r="F159" i="40"/>
  <c r="F256" i="40"/>
  <c r="F172" i="40"/>
  <c r="F263" i="40"/>
  <c r="F170" i="40"/>
  <c r="F261" i="40"/>
  <c r="F171" i="40"/>
  <c r="F262" i="40"/>
  <c r="AE278" i="14"/>
  <c r="F268" i="40" s="1"/>
  <c r="E268" i="40"/>
  <c r="AE276" i="14"/>
  <c r="F266" i="40" s="1"/>
  <c r="E266" i="40"/>
  <c r="AE280" i="14"/>
  <c r="F270" i="40" s="1"/>
  <c r="E270" i="40"/>
  <c r="AE277" i="14"/>
  <c r="F267" i="40" s="1"/>
  <c r="E267" i="40"/>
  <c r="F160" i="40"/>
  <c r="F257" i="40"/>
  <c r="AE279" i="14"/>
  <c r="F269" i="40" s="1"/>
  <c r="E269" i="40"/>
  <c r="F218" i="40"/>
  <c r="F264" i="40"/>
  <c r="F161" i="40"/>
  <c r="F258" i="40"/>
  <c r="AE171" i="14"/>
  <c r="F214" i="40" s="1"/>
  <c r="E214" i="40"/>
  <c r="AE275" i="14"/>
  <c r="F243" i="40" s="1"/>
  <c r="E243" i="40"/>
  <c r="AE266" i="14"/>
  <c r="F241" i="40" s="1"/>
  <c r="E241" i="40"/>
  <c r="AE170" i="14"/>
  <c r="F213" i="40" s="1"/>
  <c r="E213" i="40"/>
  <c r="AE173" i="14"/>
  <c r="F216" i="40" s="1"/>
  <c r="E216" i="40"/>
  <c r="AE267" i="14"/>
  <c r="F242" i="40" s="1"/>
  <c r="E242" i="40"/>
  <c r="AE240" i="14"/>
  <c r="F239" i="40" s="1"/>
  <c r="E239" i="40"/>
  <c r="AE172" i="14"/>
  <c r="F215" i="40" s="1"/>
  <c r="E215" i="40"/>
  <c r="AE290" i="14"/>
  <c r="E244" i="40"/>
  <c r="AE239" i="14"/>
  <c r="F238" i="40" s="1"/>
  <c r="E238" i="40"/>
  <c r="AE265" i="14"/>
  <c r="F240" i="40" s="1"/>
  <c r="E240" i="40"/>
  <c r="F158" i="40"/>
  <c r="F205" i="40"/>
  <c r="AE273" i="14"/>
  <c r="F208" i="40" s="1"/>
  <c r="E208" i="40"/>
  <c r="AE174" i="14"/>
  <c r="F206" i="40" s="1"/>
  <c r="E206" i="40"/>
  <c r="AE274" i="14"/>
  <c r="F209" i="40" s="1"/>
  <c r="E209" i="40"/>
  <c r="E11" i="40"/>
  <c r="E189" i="40"/>
  <c r="AE258" i="14"/>
  <c r="F201" i="40" s="1"/>
  <c r="E201" i="40"/>
  <c r="F13" i="40"/>
  <c r="F192" i="40"/>
  <c r="AE242" i="14"/>
  <c r="F196" i="40" s="1"/>
  <c r="E196" i="40"/>
  <c r="AE241" i="14"/>
  <c r="F195" i="40" s="1"/>
  <c r="E195" i="40"/>
  <c r="AE257" i="14"/>
  <c r="F200" i="40" s="1"/>
  <c r="E200" i="40"/>
  <c r="AE243" i="14"/>
  <c r="F197" i="40" s="1"/>
  <c r="E197" i="40"/>
  <c r="F14" i="40"/>
  <c r="F193" i="40"/>
  <c r="AE132" i="14"/>
  <c r="F191" i="40" s="1"/>
  <c r="E191" i="40"/>
  <c r="AE246" i="14"/>
  <c r="F198" i="40" s="1"/>
  <c r="E198" i="40"/>
  <c r="F15" i="40"/>
  <c r="F194" i="40"/>
  <c r="E178" i="40"/>
  <c r="E183" i="40"/>
  <c r="E35" i="40"/>
  <c r="E185" i="40"/>
  <c r="E179" i="40"/>
  <c r="E184" i="40"/>
  <c r="E150" i="40"/>
  <c r="E180" i="40"/>
  <c r="AE166" i="14"/>
  <c r="F169" i="40" s="1"/>
  <c r="E169" i="40"/>
  <c r="E43" i="40"/>
  <c r="E174" i="40"/>
  <c r="AE264" i="14"/>
  <c r="F173" i="40" s="1"/>
  <c r="E173" i="40"/>
  <c r="AE165" i="14"/>
  <c r="E168" i="40"/>
  <c r="AE262" i="14"/>
  <c r="F164" i="40" s="1"/>
  <c r="E164" i="40"/>
  <c r="AE162" i="14"/>
  <c r="E162" i="40"/>
  <c r="AE263" i="14"/>
  <c r="F165" i="40" s="1"/>
  <c r="E165" i="40"/>
  <c r="AE139" i="14"/>
  <c r="F156" i="40" s="1"/>
  <c r="E156" i="40"/>
  <c r="F70" i="40"/>
  <c r="F137" i="40"/>
  <c r="F6" i="40"/>
  <c r="F138" i="40"/>
  <c r="AE260" i="14"/>
  <c r="F148" i="40" s="1"/>
  <c r="E148" i="40"/>
  <c r="F72" i="40"/>
  <c r="F142" i="40"/>
  <c r="AE164" i="14"/>
  <c r="F146" i="40" s="1"/>
  <c r="E146" i="40"/>
  <c r="F71" i="40"/>
  <c r="F141" i="40"/>
  <c r="AE259" i="14"/>
  <c r="F147" i="40" s="1"/>
  <c r="E147" i="40"/>
  <c r="F12" i="40"/>
  <c r="F140" i="40"/>
  <c r="AE130" i="14"/>
  <c r="F184" i="40" s="1"/>
  <c r="E143" i="40"/>
  <c r="E100" i="40"/>
  <c r="E151" i="40"/>
  <c r="AE92" i="14"/>
  <c r="F139" i="40" s="1"/>
  <c r="E139" i="40"/>
  <c r="AE137" i="14"/>
  <c r="F144" i="40" s="1"/>
  <c r="E144" i="40"/>
  <c r="AE261" i="14"/>
  <c r="F149" i="40" s="1"/>
  <c r="E149" i="40"/>
  <c r="AE289" i="14"/>
  <c r="E133" i="40"/>
  <c r="AE109" i="14"/>
  <c r="F120" i="40" s="1"/>
  <c r="E120" i="40"/>
  <c r="F69" i="40"/>
  <c r="F119" i="40"/>
  <c r="AE256" i="14"/>
  <c r="F130" i="40" s="1"/>
  <c r="E130" i="40"/>
  <c r="AE255" i="14"/>
  <c r="F129" i="40" s="1"/>
  <c r="E129" i="40"/>
  <c r="AE115" i="14"/>
  <c r="F108" i="40" s="1"/>
  <c r="E108" i="40"/>
  <c r="AE119" i="14"/>
  <c r="F112" i="40" s="1"/>
  <c r="E112" i="40"/>
  <c r="AE118" i="14"/>
  <c r="F111" i="40" s="1"/>
  <c r="E111" i="40"/>
  <c r="AE78" i="14"/>
  <c r="F183" i="40" s="1"/>
  <c r="E106" i="40"/>
  <c r="AE116" i="14"/>
  <c r="F109" i="40" s="1"/>
  <c r="E109" i="40"/>
  <c r="AE75" i="14"/>
  <c r="F103" i="40" s="1"/>
  <c r="E103" i="40"/>
  <c r="AE117" i="14"/>
  <c r="F110" i="40" s="1"/>
  <c r="E110" i="40"/>
  <c r="AE76" i="14"/>
  <c r="F104" i="40" s="1"/>
  <c r="E104" i="40"/>
  <c r="AE77" i="14"/>
  <c r="E105" i="40"/>
  <c r="AE81" i="14"/>
  <c r="F107" i="40" s="1"/>
  <c r="AE303" i="14"/>
  <c r="F114" i="40" s="1"/>
  <c r="E114" i="40"/>
  <c r="AE120" i="14"/>
  <c r="F113" i="40" s="1"/>
  <c r="E113" i="40"/>
  <c r="AE65" i="14"/>
  <c r="F90" i="40" s="1"/>
  <c r="E90" i="40"/>
  <c r="AE66" i="14"/>
  <c r="F91" i="40" s="1"/>
  <c r="E91" i="40"/>
  <c r="AE307" i="14"/>
  <c r="F97" i="40" s="1"/>
  <c r="E97" i="40"/>
  <c r="AE70" i="14"/>
  <c r="F95" i="40" s="1"/>
  <c r="E95" i="40"/>
  <c r="AE308" i="14"/>
  <c r="F98" i="40" s="1"/>
  <c r="E98" i="40"/>
  <c r="AE67" i="14"/>
  <c r="F92" i="40" s="1"/>
  <c r="E92" i="40"/>
  <c r="AE69" i="14"/>
  <c r="F94" i="40" s="1"/>
  <c r="E94" i="40"/>
  <c r="AE68" i="14"/>
  <c r="F93" i="40" s="1"/>
  <c r="E93" i="40"/>
  <c r="AE58" i="14"/>
  <c r="F89" i="40" s="1"/>
  <c r="E89" i="40"/>
  <c r="AE111" i="14"/>
  <c r="F96" i="40" s="1"/>
  <c r="E96" i="40"/>
  <c r="AE288" i="14"/>
  <c r="F309" i="40" s="1"/>
  <c r="E85" i="40"/>
  <c r="AE287" i="14"/>
  <c r="F308" i="40" s="1"/>
  <c r="E84" i="40"/>
  <c r="AE72" i="14"/>
  <c r="F67" i="40" s="1"/>
  <c r="E67" i="40"/>
  <c r="AE71" i="14"/>
  <c r="F66" i="40" s="1"/>
  <c r="E66" i="40"/>
  <c r="AE73" i="14"/>
  <c r="E68" i="40"/>
  <c r="AE110" i="14"/>
  <c r="F73" i="40" s="1"/>
  <c r="E73" i="40"/>
  <c r="F19" i="40"/>
  <c r="F20" i="40"/>
  <c r="F8" i="40"/>
  <c r="F7" i="40"/>
  <c r="F5" i="40"/>
  <c r="AE268" i="14"/>
  <c r="F21" i="40" s="1"/>
  <c r="E21" i="40"/>
  <c r="AE112" i="14"/>
  <c r="F16" i="40" s="1"/>
  <c r="E16" i="40"/>
  <c r="AE326" i="14"/>
  <c r="F26" i="40" s="1"/>
  <c r="E26" i="40"/>
  <c r="AE312" i="14"/>
  <c r="F25" i="40" s="1"/>
  <c r="E25" i="40"/>
  <c r="AE334" i="14"/>
  <c r="F34" i="40" s="1"/>
  <c r="AE332" i="14"/>
  <c r="F32" i="40" s="1"/>
  <c r="AE335" i="14"/>
  <c r="AE328" i="14"/>
  <c r="F28" i="40" s="1"/>
  <c r="AE113" i="14"/>
  <c r="F17" i="40" s="1"/>
  <c r="AE271" i="14"/>
  <c r="F24" i="40" s="1"/>
  <c r="AE270" i="14"/>
  <c r="F23" i="40" s="1"/>
  <c r="AE327" i="14"/>
  <c r="F27" i="40" s="1"/>
  <c r="AE329" i="14"/>
  <c r="F29" i="40" s="1"/>
  <c r="AE272" i="14"/>
  <c r="F207" i="40" s="1"/>
  <c r="AE89" i="14"/>
  <c r="AE90" i="14"/>
  <c r="AE331" i="14"/>
  <c r="F31" i="40" s="1"/>
  <c r="AE114" i="14"/>
  <c r="AE269" i="14"/>
  <c r="F22" i="40" s="1"/>
  <c r="AE333" i="14"/>
  <c r="F33" i="40" s="1"/>
  <c r="AE330" i="14"/>
  <c r="F30" i="40" s="1"/>
  <c r="AD344" i="14"/>
  <c r="AD248" i="14"/>
  <c r="C32" i="6"/>
  <c r="C29" i="6"/>
  <c r="C36" i="6" s="1"/>
  <c r="C28" i="6"/>
  <c r="C35" i="6" s="1"/>
  <c r="C27" i="6"/>
  <c r="C26" i="6"/>
  <c r="X4" i="5"/>
  <c r="U88" i="14"/>
  <c r="U87" i="14"/>
  <c r="K47" i="2" l="1"/>
  <c r="G207" i="40"/>
  <c r="G323" i="40"/>
  <c r="G331" i="40"/>
  <c r="G325" i="40"/>
  <c r="G327" i="40"/>
  <c r="G324" i="40"/>
  <c r="G326" i="40"/>
  <c r="G330" i="40"/>
  <c r="G329" i="40"/>
  <c r="G328" i="40"/>
  <c r="G301" i="40"/>
  <c r="G308" i="40"/>
  <c r="G309" i="40"/>
  <c r="G307" i="40"/>
  <c r="G305" i="40"/>
  <c r="G302" i="40"/>
  <c r="G306" i="40"/>
  <c r="G304" i="40"/>
  <c r="G303" i="40"/>
  <c r="G295" i="40"/>
  <c r="G297" i="40"/>
  <c r="G296" i="40"/>
  <c r="G292" i="40"/>
  <c r="G290" i="40"/>
  <c r="G291" i="40"/>
  <c r="G286" i="40"/>
  <c r="G287" i="40"/>
  <c r="G280" i="40"/>
  <c r="G285" i="40"/>
  <c r="G274" i="40"/>
  <c r="G275" i="40"/>
  <c r="G277" i="40"/>
  <c r="G276" i="40"/>
  <c r="G282" i="40"/>
  <c r="G279" i="40"/>
  <c r="G281" i="40"/>
  <c r="G278" i="40"/>
  <c r="G184" i="40"/>
  <c r="G209" i="40"/>
  <c r="G206" i="40"/>
  <c r="G208" i="40"/>
  <c r="G205" i="40"/>
  <c r="G185" i="40"/>
  <c r="G183" i="40"/>
  <c r="G97" i="40"/>
  <c r="G91" i="40"/>
  <c r="G90" i="40"/>
  <c r="G96" i="40"/>
  <c r="G93" i="40"/>
  <c r="G94" i="40"/>
  <c r="G92" i="40"/>
  <c r="G99" i="40"/>
  <c r="G98" i="40"/>
  <c r="G95" i="40"/>
  <c r="G100" i="40"/>
  <c r="G89" i="40"/>
  <c r="F133" i="40"/>
  <c r="F345" i="40"/>
  <c r="F244" i="40"/>
  <c r="G213" i="40" s="1"/>
  <c r="F320" i="40"/>
  <c r="F162" i="40"/>
  <c r="G160" i="40" s="1"/>
  <c r="F259" i="40"/>
  <c r="F168" i="40"/>
  <c r="F260" i="40"/>
  <c r="E199" i="40"/>
  <c r="E265" i="40"/>
  <c r="F11" i="40"/>
  <c r="F189" i="40"/>
  <c r="F106" i="40"/>
  <c r="F178" i="40"/>
  <c r="F143" i="40"/>
  <c r="F179" i="40"/>
  <c r="F105" i="40"/>
  <c r="F177" i="40"/>
  <c r="F68" i="40"/>
  <c r="F118" i="40"/>
  <c r="F84" i="40"/>
  <c r="F131" i="40"/>
  <c r="F85" i="40"/>
  <c r="F132" i="40"/>
  <c r="AD87" i="14"/>
  <c r="AD88" i="14"/>
  <c r="E10" i="40" s="1"/>
  <c r="C34" i="6"/>
  <c r="C33" i="6"/>
  <c r="AE6" i="5"/>
  <c r="AG6" i="5"/>
  <c r="AH6" i="5"/>
  <c r="AI6" i="5"/>
  <c r="AJ6" i="5"/>
  <c r="AK6" i="5"/>
  <c r="AL6" i="5"/>
  <c r="L6" i="5"/>
  <c r="M6" i="5" s="1"/>
  <c r="K6" i="5"/>
  <c r="AA6" i="5" s="1"/>
  <c r="AL5" i="5"/>
  <c r="AK5" i="5"/>
  <c r="AJ5" i="5"/>
  <c r="AI5" i="5"/>
  <c r="AH5" i="5"/>
  <c r="AG5" i="5"/>
  <c r="AF5" i="5"/>
  <c r="AE5" i="5"/>
  <c r="AD5" i="5"/>
  <c r="AC5" i="5"/>
  <c r="AB5" i="5"/>
  <c r="AA5" i="5"/>
  <c r="AD4" i="5"/>
  <c r="AE4" i="5"/>
  <c r="AF4" i="5"/>
  <c r="AG4" i="5"/>
  <c r="AH4" i="5"/>
  <c r="AI4" i="5"/>
  <c r="AJ4" i="5"/>
  <c r="AK4" i="5"/>
  <c r="AL4" i="5"/>
  <c r="AC4" i="5"/>
  <c r="Q1" i="5"/>
  <c r="L1" i="5"/>
  <c r="M1" i="5"/>
  <c r="N1" i="5"/>
  <c r="O1" i="5"/>
  <c r="P1" i="5"/>
  <c r="AB4" i="5"/>
  <c r="AA4" i="5"/>
  <c r="D25" i="5"/>
  <c r="D26" i="5"/>
  <c r="D27" i="5"/>
  <c r="D28" i="5"/>
  <c r="D29" i="5"/>
  <c r="D24" i="5"/>
  <c r="B5" i="5"/>
  <c r="B6" i="5"/>
  <c r="B7" i="5"/>
  <c r="B8" i="5"/>
  <c r="B9" i="5"/>
  <c r="B10" i="5"/>
  <c r="B11" i="5"/>
  <c r="B12" i="5"/>
  <c r="B13" i="5"/>
  <c r="B14" i="5"/>
  <c r="B15" i="5"/>
  <c r="B16" i="5"/>
  <c r="B17" i="5"/>
  <c r="B18" i="5"/>
  <c r="B19" i="5"/>
  <c r="B20" i="5"/>
  <c r="B21" i="5"/>
  <c r="B22" i="5"/>
  <c r="B23" i="5"/>
  <c r="B24" i="5"/>
  <c r="B25" i="5"/>
  <c r="B26" i="5"/>
  <c r="B27" i="5"/>
  <c r="B28" i="5"/>
  <c r="B29" i="5"/>
  <c r="B111" i="5"/>
  <c r="B112" i="5"/>
  <c r="B113" i="5"/>
  <c r="B114" i="5"/>
  <c r="B115" i="5"/>
  <c r="B116" i="5"/>
  <c r="B117" i="5"/>
  <c r="B119" i="5"/>
  <c r="B120" i="5"/>
  <c r="B121" i="5"/>
  <c r="B122" i="5"/>
  <c r="B123" i="5"/>
  <c r="B124" i="5"/>
  <c r="B125" i="5"/>
  <c r="B127" i="5"/>
  <c r="B128" i="5"/>
  <c r="B129" i="5"/>
  <c r="B130" i="5"/>
  <c r="B131" i="5"/>
  <c r="B132" i="5"/>
  <c r="B133" i="5"/>
  <c r="B134" i="5"/>
  <c r="B136" i="5"/>
  <c r="B137" i="5"/>
  <c r="B138" i="5"/>
  <c r="B139" i="5"/>
  <c r="B140" i="5"/>
  <c r="B141" i="5"/>
  <c r="B142" i="5"/>
  <c r="B143" i="5"/>
  <c r="B144" i="5"/>
  <c r="B145" i="5"/>
  <c r="B146" i="5"/>
  <c r="B148" i="5"/>
  <c r="B149" i="5"/>
  <c r="B150" i="5"/>
  <c r="B151" i="5"/>
  <c r="B152" i="5"/>
  <c r="B153" i="5"/>
  <c r="B154" i="5"/>
  <c r="B156" i="5"/>
  <c r="B157" i="5"/>
  <c r="B158" i="5"/>
  <c r="B159" i="5"/>
  <c r="B160" i="5"/>
  <c r="B161" i="5"/>
  <c r="B162" i="5"/>
  <c r="B164" i="5"/>
  <c r="B165" i="5"/>
  <c r="B166" i="5"/>
  <c r="B167" i="5"/>
  <c r="B168" i="5"/>
  <c r="B169" i="5"/>
  <c r="B171" i="5"/>
  <c r="B172" i="5"/>
  <c r="B173" i="5"/>
  <c r="B174" i="5"/>
  <c r="B175" i="5"/>
  <c r="B176" i="5"/>
  <c r="B177" i="5"/>
  <c r="B179" i="5"/>
  <c r="B180" i="5"/>
  <c r="B181" i="5"/>
  <c r="B182" i="5"/>
  <c r="B183" i="5"/>
  <c r="B185" i="5"/>
  <c r="B186" i="5"/>
  <c r="B187" i="5"/>
  <c r="B188" i="5"/>
  <c r="B189" i="5"/>
  <c r="B190" i="5"/>
  <c r="B191" i="5"/>
  <c r="I25" i="5"/>
  <c r="I26" i="5"/>
  <c r="I27" i="5"/>
  <c r="I28" i="5"/>
  <c r="I29" i="5"/>
  <c r="I24" i="5"/>
  <c r="I5" i="5"/>
  <c r="I6" i="5"/>
  <c r="I7" i="5"/>
  <c r="I8" i="5"/>
  <c r="I9" i="5"/>
  <c r="I10" i="5"/>
  <c r="I11" i="5"/>
  <c r="I12" i="5"/>
  <c r="I13" i="5"/>
  <c r="I14" i="5"/>
  <c r="I15" i="5"/>
  <c r="I16" i="5"/>
  <c r="I17" i="5"/>
  <c r="I18" i="5"/>
  <c r="I19" i="5"/>
  <c r="I20" i="5"/>
  <c r="I21" i="5"/>
  <c r="I22" i="5"/>
  <c r="I23" i="5"/>
  <c r="I4" i="5"/>
  <c r="N42" i="2"/>
  <c r="O42" i="2"/>
  <c r="P42" i="2"/>
  <c r="Q42" i="2"/>
  <c r="R42" i="2"/>
  <c r="S42" i="2"/>
  <c r="T42" i="2"/>
  <c r="U42" i="2"/>
  <c r="V42" i="2"/>
  <c r="M42" i="2"/>
  <c r="M4" i="2"/>
  <c r="M5" i="2"/>
  <c r="M6" i="2"/>
  <c r="M7" i="2"/>
  <c r="M8" i="2"/>
  <c r="M9" i="2"/>
  <c r="M3" i="2"/>
  <c r="G5" i="2"/>
  <c r="G6" i="2"/>
  <c r="G7" i="2"/>
  <c r="G8" i="2"/>
  <c r="G9" i="2"/>
  <c r="G4" i="2"/>
  <c r="B31" i="2"/>
  <c r="J13" i="2"/>
  <c r="J14" i="2"/>
  <c r="J15" i="2"/>
  <c r="J16" i="2"/>
  <c r="J17" i="2"/>
  <c r="J18" i="2"/>
  <c r="J19" i="2"/>
  <c r="J20" i="2"/>
  <c r="J21" i="2"/>
  <c r="J22" i="2"/>
  <c r="J23" i="2"/>
  <c r="J24" i="2"/>
  <c r="J25" i="2"/>
  <c r="J26" i="2"/>
  <c r="J27" i="2"/>
  <c r="J28" i="2"/>
  <c r="J29" i="2"/>
  <c r="J31" i="2"/>
  <c r="J32" i="2"/>
  <c r="J33" i="2"/>
  <c r="J34" i="2"/>
  <c r="J35" i="2"/>
  <c r="J36" i="2"/>
  <c r="J37" i="2"/>
  <c r="J38" i="2"/>
  <c r="B107" i="1"/>
  <c r="B17" i="2"/>
  <c r="B12" i="2"/>
  <c r="C34" i="2"/>
  <c r="C33" i="2"/>
  <c r="C32" i="2"/>
  <c r="C31" i="2"/>
  <c r="C25" i="2"/>
  <c r="C24" i="2"/>
  <c r="C23" i="2"/>
  <c r="C22" i="2"/>
  <c r="C21" i="2"/>
  <c r="C20" i="2"/>
  <c r="C19" i="2"/>
  <c r="C18" i="2"/>
  <c r="C17" i="2"/>
  <c r="C16" i="2"/>
  <c r="C15" i="2"/>
  <c r="C14" i="2"/>
  <c r="C13" i="2"/>
  <c r="C12" i="2"/>
  <c r="J12" i="2"/>
  <c r="G284" i="40" l="1"/>
  <c r="K45" i="2"/>
  <c r="B333" i="40"/>
  <c r="B322" i="40"/>
  <c r="B311" i="40"/>
  <c r="B289" i="40"/>
  <c r="B294" i="40"/>
  <c r="B273" i="40"/>
  <c r="B284" i="40"/>
  <c r="B255" i="40"/>
  <c r="B211" i="40"/>
  <c r="B65" i="40"/>
  <c r="B204" i="40"/>
  <c r="B188" i="40"/>
  <c r="B182" i="40"/>
  <c r="B176" i="40"/>
  <c r="B167" i="40"/>
  <c r="B155" i="40"/>
  <c r="B136" i="40"/>
  <c r="B88" i="40"/>
  <c r="B117" i="40"/>
  <c r="B4" i="40"/>
  <c r="B102" i="40"/>
  <c r="K43" i="2"/>
  <c r="K44" i="2" s="1"/>
  <c r="E182" i="40"/>
  <c r="K21" i="2" s="1"/>
  <c r="E204" i="40"/>
  <c r="K23" i="2" s="1"/>
  <c r="E88" i="40"/>
  <c r="K14" i="2" s="1"/>
  <c r="E273" i="40"/>
  <c r="K26" i="2" s="1"/>
  <c r="E289" i="40"/>
  <c r="K28" i="2" s="1"/>
  <c r="E284" i="40"/>
  <c r="K27" i="2" s="1"/>
  <c r="E294" i="40"/>
  <c r="K29" i="2" s="1"/>
  <c r="G182" i="40"/>
  <c r="E300" i="40"/>
  <c r="K31" i="2" s="1"/>
  <c r="E322" i="40"/>
  <c r="K33" i="2" s="1"/>
  <c r="G322" i="40"/>
  <c r="G300" i="40"/>
  <c r="G294" i="40"/>
  <c r="G289" i="40"/>
  <c r="G273" i="40"/>
  <c r="G204" i="40"/>
  <c r="G88" i="40"/>
  <c r="G260" i="40"/>
  <c r="G334" i="40"/>
  <c r="G345" i="40"/>
  <c r="G340" i="40"/>
  <c r="G335" i="40"/>
  <c r="G337" i="40"/>
  <c r="G338" i="40"/>
  <c r="G343" i="40"/>
  <c r="G339" i="40"/>
  <c r="G336" i="40"/>
  <c r="G341" i="40"/>
  <c r="G342" i="40"/>
  <c r="G344" i="40"/>
  <c r="G312" i="40"/>
  <c r="G320" i="40"/>
  <c r="G315" i="40"/>
  <c r="G318" i="40"/>
  <c r="G319" i="40"/>
  <c r="G314" i="40"/>
  <c r="G316" i="40"/>
  <c r="G317" i="40"/>
  <c r="G313" i="40"/>
  <c r="G256" i="40"/>
  <c r="G259" i="40"/>
  <c r="G258" i="40"/>
  <c r="G265" i="40"/>
  <c r="G263" i="40"/>
  <c r="G261" i="40"/>
  <c r="G262" i="40"/>
  <c r="G268" i="40"/>
  <c r="G266" i="40"/>
  <c r="G270" i="40"/>
  <c r="G267" i="40"/>
  <c r="G257" i="40"/>
  <c r="G269" i="40"/>
  <c r="G264" i="40"/>
  <c r="G248" i="40"/>
  <c r="G214" i="40"/>
  <c r="G229" i="40"/>
  <c r="G236" i="40"/>
  <c r="G243" i="40"/>
  <c r="G227" i="40"/>
  <c r="G230" i="40"/>
  <c r="G241" i="40"/>
  <c r="G245" i="40"/>
  <c r="G234" i="40"/>
  <c r="G233" i="40"/>
  <c r="G228" i="40"/>
  <c r="G222" i="40"/>
  <c r="G212" i="40"/>
  <c r="G244" i="40"/>
  <c r="G225" i="40"/>
  <c r="G246" i="40"/>
  <c r="G221" i="40"/>
  <c r="G238" i="40"/>
  <c r="G216" i="40"/>
  <c r="G237" i="40"/>
  <c r="G231" i="40"/>
  <c r="G247" i="40"/>
  <c r="G250" i="40"/>
  <c r="G217" i="40"/>
  <c r="G242" i="40"/>
  <c r="G220" i="40"/>
  <c r="G252" i="40"/>
  <c r="G218" i="40"/>
  <c r="G224" i="40"/>
  <c r="G240" i="40"/>
  <c r="G239" i="40"/>
  <c r="G232" i="40"/>
  <c r="G223" i="40"/>
  <c r="G249" i="40"/>
  <c r="G235" i="40"/>
  <c r="G215" i="40"/>
  <c r="G219" i="40"/>
  <c r="G251" i="40"/>
  <c r="G226" i="40"/>
  <c r="G253" i="40"/>
  <c r="G189" i="40"/>
  <c r="G199" i="40"/>
  <c r="G202" i="40"/>
  <c r="G190" i="40"/>
  <c r="G193" i="40"/>
  <c r="G191" i="40"/>
  <c r="G198" i="40"/>
  <c r="G194" i="40"/>
  <c r="G201" i="40"/>
  <c r="G192" i="40"/>
  <c r="G196" i="40"/>
  <c r="G195" i="40"/>
  <c r="G200" i="40"/>
  <c r="G197" i="40"/>
  <c r="G177" i="40"/>
  <c r="G180" i="40"/>
  <c r="G179" i="40"/>
  <c r="G178" i="40"/>
  <c r="G168" i="40"/>
  <c r="G174" i="40"/>
  <c r="G172" i="40"/>
  <c r="G170" i="40"/>
  <c r="G171" i="40"/>
  <c r="G169" i="40"/>
  <c r="G173" i="40"/>
  <c r="G164" i="40"/>
  <c r="G157" i="40"/>
  <c r="G161" i="40"/>
  <c r="G158" i="40"/>
  <c r="G159" i="40"/>
  <c r="G165" i="40"/>
  <c r="G156" i="40"/>
  <c r="G162" i="40"/>
  <c r="G163" i="40"/>
  <c r="G137" i="40"/>
  <c r="G143" i="40"/>
  <c r="G145" i="40"/>
  <c r="G140" i="40"/>
  <c r="G151" i="40"/>
  <c r="G150" i="40"/>
  <c r="G139" i="40"/>
  <c r="G144" i="40"/>
  <c r="G149" i="40"/>
  <c r="G152" i="40"/>
  <c r="G153" i="40"/>
  <c r="G138" i="40"/>
  <c r="G148" i="40"/>
  <c r="G142" i="40"/>
  <c r="G132" i="40"/>
  <c r="G146" i="40"/>
  <c r="G85" i="40"/>
  <c r="G141" i="40"/>
  <c r="G147" i="40"/>
  <c r="G133" i="40"/>
  <c r="G131" i="40"/>
  <c r="G124" i="40"/>
  <c r="G128" i="40"/>
  <c r="G125" i="40"/>
  <c r="G123" i="40"/>
  <c r="G122" i="40"/>
  <c r="G126" i="40"/>
  <c r="G127" i="40"/>
  <c r="G121" i="40"/>
  <c r="G129" i="40"/>
  <c r="G120" i="40"/>
  <c r="G119" i="40"/>
  <c r="G130" i="40"/>
  <c r="G118" i="40"/>
  <c r="G103" i="40"/>
  <c r="G105" i="40"/>
  <c r="G106" i="40"/>
  <c r="G113" i="40"/>
  <c r="G109" i="40"/>
  <c r="G115" i="40"/>
  <c r="G110" i="40"/>
  <c r="G104" i="40"/>
  <c r="G107" i="40"/>
  <c r="G114" i="40"/>
  <c r="G108" i="40"/>
  <c r="G112" i="40"/>
  <c r="G111" i="40"/>
  <c r="G83" i="40"/>
  <c r="G74" i="40"/>
  <c r="G78" i="40"/>
  <c r="G75" i="40"/>
  <c r="G84" i="40"/>
  <c r="G71" i="40"/>
  <c r="G66" i="40"/>
  <c r="G68" i="40"/>
  <c r="G73" i="40"/>
  <c r="G79" i="40"/>
  <c r="G67" i="40"/>
  <c r="G76" i="40"/>
  <c r="G81" i="40"/>
  <c r="G86" i="40"/>
  <c r="G77" i="40"/>
  <c r="G80" i="40"/>
  <c r="G70" i="40"/>
  <c r="G72" i="40"/>
  <c r="G69" i="40"/>
  <c r="G82" i="40"/>
  <c r="AE87" i="14"/>
  <c r="F9" i="40" s="1"/>
  <c r="E9" i="40"/>
  <c r="AE88" i="14"/>
  <c r="F10" i="40" s="1"/>
  <c r="P6" i="5"/>
  <c r="AF6" i="5" s="1"/>
  <c r="AC6" i="5"/>
  <c r="N6" i="5"/>
  <c r="AD6" i="5" s="1"/>
  <c r="AB6" i="5"/>
  <c r="D14" i="5"/>
  <c r="D13" i="5"/>
  <c r="D23" i="5"/>
  <c r="D22" i="5"/>
  <c r="D21" i="5"/>
  <c r="D20" i="5"/>
  <c r="D19" i="5"/>
  <c r="D18" i="5"/>
  <c r="D17" i="5"/>
  <c r="D16" i="5"/>
  <c r="D15" i="5"/>
  <c r="N45" i="2"/>
  <c r="M43" i="2"/>
  <c r="M44" i="2" s="1"/>
  <c r="V43" i="2"/>
  <c r="V44" i="2" s="1"/>
  <c r="U43" i="2"/>
  <c r="U44" i="2" s="1"/>
  <c r="T43" i="2"/>
  <c r="T44" i="2" s="1"/>
  <c r="S43" i="2"/>
  <c r="S44" i="2" s="1"/>
  <c r="R43" i="2"/>
  <c r="R44" i="2" s="1"/>
  <c r="Q43" i="2"/>
  <c r="Q44" i="2" s="1"/>
  <c r="P43" i="2"/>
  <c r="P44" i="2" s="1"/>
  <c r="O43" i="2"/>
  <c r="O44" i="2" s="1"/>
  <c r="N43" i="2"/>
  <c r="N44" i="2" s="1"/>
  <c r="M45" i="2"/>
  <c r="V45" i="2"/>
  <c r="U45" i="2"/>
  <c r="T45" i="2"/>
  <c r="S45" i="2"/>
  <c r="R45" i="2"/>
  <c r="Q45" i="2"/>
  <c r="P45" i="2"/>
  <c r="O45" i="2"/>
  <c r="I35" i="2"/>
  <c r="I33" i="2"/>
  <c r="B184" i="5" s="1"/>
  <c r="I37" i="2"/>
  <c r="I31" i="2"/>
  <c r="B170" i="5" s="1"/>
  <c r="I29" i="2"/>
  <c r="B163" i="5" s="1"/>
  <c r="I27" i="2"/>
  <c r="B147" i="5" s="1"/>
  <c r="I25" i="2"/>
  <c r="B126" i="5" s="1"/>
  <c r="I22" i="2"/>
  <c r="I16" i="2"/>
  <c r="I15" i="2"/>
  <c r="I38" i="2"/>
  <c r="I13" i="2"/>
  <c r="I36" i="2"/>
  <c r="I34" i="2"/>
  <c r="B192" i="5" s="1"/>
  <c r="I32" i="2"/>
  <c r="B178" i="5" s="1"/>
  <c r="I28" i="2"/>
  <c r="B155" i="5" s="1"/>
  <c r="I26" i="2"/>
  <c r="B135" i="5" s="1"/>
  <c r="I24" i="2"/>
  <c r="B118" i="5" s="1"/>
  <c r="I23" i="2"/>
  <c r="B110" i="5" s="1"/>
  <c r="I21" i="2"/>
  <c r="I20" i="2"/>
  <c r="I19" i="2"/>
  <c r="I18" i="2"/>
  <c r="I17" i="2"/>
  <c r="I14" i="2"/>
  <c r="I12" i="2"/>
  <c r="B4" i="5" s="1"/>
  <c r="E102" i="40" l="1"/>
  <c r="K15" i="2" s="1"/>
  <c r="E117" i="40"/>
  <c r="K16" i="2" s="1"/>
  <c r="E136" i="40"/>
  <c r="K17" i="2" s="1"/>
  <c r="E155" i="40"/>
  <c r="K18" i="2" s="1"/>
  <c r="E167" i="40"/>
  <c r="K19" i="2" s="1"/>
  <c r="E176" i="40"/>
  <c r="K20" i="2" s="1"/>
  <c r="E188" i="40"/>
  <c r="K22" i="2" s="1"/>
  <c r="E211" i="40"/>
  <c r="K24" i="2" s="1"/>
  <c r="E255" i="40"/>
  <c r="K25" i="2" s="1"/>
  <c r="E311" i="40"/>
  <c r="K32" i="2" s="1"/>
  <c r="E333" i="40"/>
  <c r="K34" i="2" s="1"/>
  <c r="G333" i="40"/>
  <c r="G311" i="40"/>
  <c r="G255" i="40"/>
  <c r="G211" i="40"/>
  <c r="G188" i="40"/>
  <c r="G167" i="40"/>
  <c r="G155" i="40"/>
  <c r="G136" i="40"/>
  <c r="G117" i="40"/>
  <c r="G102" i="40"/>
  <c r="G65" i="40"/>
  <c r="G10" i="40"/>
  <c r="G9" i="40"/>
  <c r="G55" i="40"/>
  <c r="G58" i="40"/>
  <c r="G52" i="40"/>
  <c r="G41" i="40"/>
  <c r="G19" i="40"/>
  <c r="G49" i="40"/>
  <c r="G39" i="40"/>
  <c r="G61" i="40"/>
  <c r="G42" i="40"/>
  <c r="G18" i="40"/>
  <c r="G13" i="40"/>
  <c r="G37" i="40"/>
  <c r="G56" i="40"/>
  <c r="G38" i="40"/>
  <c r="G20" i="40"/>
  <c r="G8" i="40"/>
  <c r="G57" i="40"/>
  <c r="G36" i="40"/>
  <c r="G43" i="40"/>
  <c r="G35" i="40"/>
  <c r="G40" i="40"/>
  <c r="G48" i="40"/>
  <c r="G47" i="40"/>
  <c r="G46" i="40"/>
  <c r="G62" i="40"/>
  <c r="G50" i="40"/>
  <c r="G54" i="40"/>
  <c r="G6" i="40"/>
  <c r="G12" i="40"/>
  <c r="G45" i="40"/>
  <c r="G51" i="40"/>
  <c r="G63" i="40"/>
  <c r="G44" i="40"/>
  <c r="G60" i="40"/>
  <c r="G14" i="40"/>
  <c r="G59" i="40"/>
  <c r="G53" i="40"/>
  <c r="G7" i="40"/>
  <c r="G15" i="40"/>
  <c r="G34" i="40"/>
  <c r="G16" i="40"/>
  <c r="G25" i="40"/>
  <c r="G32" i="40"/>
  <c r="G22" i="40"/>
  <c r="G11" i="40"/>
  <c r="G31" i="40"/>
  <c r="G29" i="40"/>
  <c r="G26" i="40"/>
  <c r="G27" i="40"/>
  <c r="G23" i="40"/>
  <c r="G30" i="40"/>
  <c r="G24" i="40"/>
  <c r="G33" i="40"/>
  <c r="G17" i="40"/>
  <c r="G21" i="40"/>
  <c r="G28" i="40"/>
  <c r="G5" i="40"/>
  <c r="D1" i="5"/>
  <c r="B67" i="5"/>
  <c r="B68" i="5"/>
  <c r="B69" i="5"/>
  <c r="B70" i="5"/>
  <c r="B72" i="5"/>
  <c r="B73" i="5"/>
  <c r="B71" i="5"/>
  <c r="B37" i="5"/>
  <c r="B38" i="5"/>
  <c r="B39" i="5"/>
  <c r="B40" i="5"/>
  <c r="B41" i="5"/>
  <c r="B42" i="5"/>
  <c r="B43" i="5"/>
  <c r="B35" i="5"/>
  <c r="B36" i="5"/>
  <c r="B30" i="5"/>
  <c r="B31" i="5"/>
  <c r="B32" i="5"/>
  <c r="B33" i="5"/>
  <c r="B34" i="5"/>
  <c r="B74" i="5"/>
  <c r="B75" i="5"/>
  <c r="B76" i="5"/>
  <c r="B78" i="5"/>
  <c r="B79" i="5"/>
  <c r="B77" i="5"/>
  <c r="B80" i="5"/>
  <c r="B81" i="5"/>
  <c r="B82" i="5"/>
  <c r="B59" i="5"/>
  <c r="B60" i="5"/>
  <c r="B61" i="5"/>
  <c r="B62" i="5"/>
  <c r="B63" i="5"/>
  <c r="B64" i="5"/>
  <c r="B65" i="5"/>
  <c r="B66" i="5"/>
  <c r="B83" i="5"/>
  <c r="B84" i="5"/>
  <c r="B85" i="5"/>
  <c r="B86" i="5"/>
  <c r="B87" i="5"/>
  <c r="B88" i="5"/>
  <c r="B89" i="5"/>
  <c r="B90" i="5"/>
  <c r="B44" i="5"/>
  <c r="B45" i="5"/>
  <c r="B46" i="5"/>
  <c r="B47" i="5"/>
  <c r="B48" i="5"/>
  <c r="B49" i="5"/>
  <c r="B50" i="5"/>
  <c r="B51" i="5"/>
  <c r="B52" i="5"/>
  <c r="B53" i="5"/>
  <c r="B54" i="5"/>
  <c r="B55" i="5"/>
  <c r="B56" i="5"/>
  <c r="B57" i="5"/>
  <c r="B58" i="5"/>
  <c r="B107" i="5"/>
  <c r="B108" i="5"/>
  <c r="B109" i="5"/>
  <c r="B102" i="5"/>
  <c r="B103" i="5"/>
  <c r="B104" i="5"/>
  <c r="B101" i="5"/>
  <c r="B105" i="5"/>
  <c r="B106" i="5"/>
  <c r="B91" i="5"/>
  <c r="B92" i="5"/>
  <c r="B93" i="5"/>
  <c r="B94" i="5"/>
  <c r="B96" i="5"/>
  <c r="B97" i="5"/>
  <c r="B98" i="5"/>
  <c r="B100" i="5"/>
  <c r="B99" i="5"/>
  <c r="B95" i="5"/>
  <c r="N41" i="2"/>
  <c r="N46" i="2" s="1"/>
  <c r="N48" i="2" s="1"/>
  <c r="O41" i="2"/>
  <c r="O46" i="2" s="1"/>
  <c r="O48" i="2" s="1"/>
  <c r="P41" i="2"/>
  <c r="P46" i="2" s="1"/>
  <c r="P48" i="2" s="1"/>
  <c r="Q41" i="2"/>
  <c r="Q46" i="2" s="1"/>
  <c r="Q48" i="2" s="1"/>
  <c r="R41" i="2"/>
  <c r="R46" i="2" s="1"/>
  <c r="R48" i="2" s="1"/>
  <c r="S41" i="2"/>
  <c r="S46" i="2" s="1"/>
  <c r="S48" i="2" s="1"/>
  <c r="T41" i="2"/>
  <c r="T46" i="2" s="1"/>
  <c r="T48" i="2" s="1"/>
  <c r="U41" i="2"/>
  <c r="U46" i="2" s="1"/>
  <c r="U48" i="2" s="1"/>
  <c r="V41" i="2"/>
  <c r="V46" i="2" s="1"/>
  <c r="V48" i="2" s="1"/>
  <c r="M41" i="2"/>
  <c r="M46" i="2" s="1"/>
  <c r="M48" i="2" s="1"/>
  <c r="E65" i="40" l="1"/>
  <c r="K13" i="2" s="1"/>
  <c r="G4" i="40"/>
  <c r="E4" i="40"/>
  <c r="K12" i="2" s="1"/>
  <c r="K41" i="2" l="1"/>
  <c r="K46" i="2" s="1"/>
  <c r="K4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Veytsel</author>
  </authors>
  <commentList>
    <comment ref="AA55" authorId="0" shapeId="0" xr:uid="{64CF19C4-2B24-48D1-AE25-C1698224449F}">
      <text>
        <r>
          <rPr>
            <b/>
            <sz val="9"/>
            <color indexed="81"/>
            <rFont val="Tahoma"/>
            <family val="2"/>
          </rPr>
          <t>Alex Veytsel:</t>
        </r>
        <r>
          <rPr>
            <sz val="9"/>
            <color indexed="81"/>
            <rFont val="Tahoma"/>
            <family val="2"/>
          </rPr>
          <t xml:space="preserve">
Eventually this will be actual min/max from past applications</t>
        </r>
      </text>
    </comment>
    <comment ref="AA102" authorId="0" shapeId="0" xr:uid="{04777818-074D-4B8D-9CF0-DF3FD9EBAB02}">
      <text>
        <r>
          <rPr>
            <b/>
            <sz val="9"/>
            <color indexed="81"/>
            <rFont val="Tahoma"/>
            <family val="2"/>
          </rPr>
          <t>Alex Veytsel:</t>
        </r>
        <r>
          <rPr>
            <sz val="9"/>
            <color indexed="81"/>
            <rFont val="Tahoma"/>
            <family val="2"/>
          </rPr>
          <t xml:space="preserve">
Eventually this will be actual min/max from past applications</t>
        </r>
      </text>
    </comment>
    <comment ref="AA127" authorId="0" shapeId="0" xr:uid="{30E8B787-BC69-45E8-A661-409F2FD742C9}">
      <text>
        <r>
          <rPr>
            <b/>
            <sz val="9"/>
            <color indexed="81"/>
            <rFont val="Tahoma"/>
            <family val="2"/>
          </rPr>
          <t>Alex Veytsel:</t>
        </r>
        <r>
          <rPr>
            <sz val="9"/>
            <color indexed="81"/>
            <rFont val="Tahoma"/>
            <family val="2"/>
          </rPr>
          <t xml:space="preserve">
Eventually this will be actual min/max from past applications</t>
        </r>
      </text>
    </comment>
    <comment ref="AA202" authorId="0" shapeId="0" xr:uid="{646A3246-4C38-461F-8F70-E69036F25AB7}">
      <text>
        <r>
          <rPr>
            <b/>
            <sz val="9"/>
            <color indexed="81"/>
            <rFont val="Tahoma"/>
            <family val="2"/>
          </rPr>
          <t>Alex Veytsel:</t>
        </r>
        <r>
          <rPr>
            <sz val="9"/>
            <color indexed="81"/>
            <rFont val="Tahoma"/>
            <family val="2"/>
          </rPr>
          <t xml:space="preserve">
Eventually this will be actual min/max from past applications</t>
        </r>
      </text>
    </comment>
    <comment ref="AA233" authorId="0" shapeId="0" xr:uid="{DA0E4B85-0F18-4F13-A532-1327F0A20D68}">
      <text>
        <r>
          <rPr>
            <b/>
            <sz val="9"/>
            <color indexed="81"/>
            <rFont val="Tahoma"/>
            <family val="2"/>
          </rPr>
          <t>Alex Veytsel:</t>
        </r>
        <r>
          <rPr>
            <sz val="9"/>
            <color indexed="81"/>
            <rFont val="Tahoma"/>
            <family val="2"/>
          </rPr>
          <t xml:space="preserve">
Eventually this will be actual min/max from past applications</t>
        </r>
      </text>
    </comment>
    <comment ref="AA251" authorId="0" shapeId="0" xr:uid="{5CC78B0A-0F5F-4FA6-808E-3CDCB09B63C5}">
      <text>
        <r>
          <rPr>
            <b/>
            <sz val="9"/>
            <color indexed="81"/>
            <rFont val="Tahoma"/>
            <family val="2"/>
          </rPr>
          <t>Alex Veytsel:</t>
        </r>
        <r>
          <rPr>
            <sz val="9"/>
            <color indexed="81"/>
            <rFont val="Tahoma"/>
            <family val="2"/>
          </rPr>
          <t xml:space="preserve">
Eventually this will be actual min/max from past applications</t>
        </r>
      </text>
    </comment>
    <comment ref="AA297" authorId="0" shapeId="0" xr:uid="{40E46751-5593-4951-A964-E463C52649D2}">
      <text>
        <r>
          <rPr>
            <b/>
            <sz val="9"/>
            <color indexed="81"/>
            <rFont val="Tahoma"/>
            <family val="2"/>
          </rPr>
          <t>Alex Veytsel:</t>
        </r>
        <r>
          <rPr>
            <sz val="9"/>
            <color indexed="81"/>
            <rFont val="Tahoma"/>
            <family val="2"/>
          </rPr>
          <t xml:space="preserve">
Eventually this will be actual min/max from past applications</t>
        </r>
      </text>
    </comment>
    <comment ref="AA338" authorId="0" shapeId="0" xr:uid="{51433DDD-D995-4A1E-95D2-41B19B947907}">
      <text>
        <r>
          <rPr>
            <b/>
            <sz val="9"/>
            <color indexed="81"/>
            <rFont val="Tahoma"/>
            <family val="2"/>
          </rPr>
          <t>Alex Veytsel:</t>
        </r>
        <r>
          <rPr>
            <sz val="9"/>
            <color indexed="81"/>
            <rFont val="Tahoma"/>
            <family val="2"/>
          </rPr>
          <t xml:space="preserve">
Eventually this will be actual min/max from past applications</t>
        </r>
      </text>
    </comment>
    <comment ref="AA365" authorId="0" shapeId="0" xr:uid="{A3426E1B-887C-4102-B8E1-741D84324D68}">
      <text>
        <r>
          <rPr>
            <b/>
            <sz val="9"/>
            <color indexed="81"/>
            <rFont val="Tahoma"/>
            <family val="2"/>
          </rPr>
          <t>Alex Veytsel:</t>
        </r>
        <r>
          <rPr>
            <sz val="9"/>
            <color indexed="81"/>
            <rFont val="Tahoma"/>
            <family val="2"/>
          </rPr>
          <t xml:space="preserve">
Eventually this will be actual min/max from past applications</t>
        </r>
      </text>
    </comment>
    <comment ref="N381" authorId="0" shapeId="0" xr:uid="{0187F17B-D8A3-45FE-A751-5F33674E1130}">
      <text>
        <r>
          <rPr>
            <b/>
            <sz val="9"/>
            <color indexed="81"/>
            <rFont val="Tahoma"/>
            <family val="2"/>
          </rPr>
          <t>Alex Veytsel:</t>
        </r>
        <r>
          <rPr>
            <sz val="9"/>
            <color indexed="81"/>
            <rFont val="Tahoma"/>
            <family val="2"/>
          </rPr>
          <t xml:space="preserve">
Custom formula to make N/As a legit skip</t>
        </r>
      </text>
    </comment>
    <comment ref="AA395" authorId="0" shapeId="0" xr:uid="{89AC35E0-5B5C-4397-8B9E-E912AC1D3A9C}">
      <text>
        <r>
          <rPr>
            <b/>
            <sz val="9"/>
            <color indexed="81"/>
            <rFont val="Tahoma"/>
            <family val="2"/>
          </rPr>
          <t>Alex Veytsel:</t>
        </r>
        <r>
          <rPr>
            <sz val="9"/>
            <color indexed="81"/>
            <rFont val="Tahoma"/>
            <family val="2"/>
          </rPr>
          <t xml:space="preserve">
Eventually this will be actual min/max from past applications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6" authorId="0" shapeId="0" xr:uid="{00000000-0006-0000-0000-000001000000}">
      <text>
        <r>
          <rPr>
            <sz val="10"/>
            <color rgb="FF000000"/>
            <rFont val="Arial"/>
            <scheme val="minor"/>
          </rPr>
          <t>these are follow-on questions for Q-c15 and come from OSS quality indicators explored in https://cybersecurity.springeropen.com/articles/10.1186/s42400-021-00084-8
	-Cameron</t>
        </r>
      </text>
    </comment>
    <comment ref="D39" authorId="0" shapeId="0" xr:uid="{00000000-0006-0000-0000-000004000000}">
      <text>
        <r>
          <rPr>
            <sz val="10"/>
            <color rgb="FF000000"/>
            <rFont val="Arial"/>
            <scheme val="minor"/>
          </rPr>
          <t>Will expand the list of communication services to include those favored outside the crypto community. The thinking here behind the ranking q is that it's less easy to game than simply asking 'Does your organization use telegram?'
	-Cameron</t>
        </r>
      </text>
    </comment>
    <comment ref="D60" authorId="0" shapeId="0" xr:uid="{00000000-0006-0000-0000-000003000000}">
      <text>
        <r>
          <rPr>
            <sz val="10"/>
            <color rgb="FF000000"/>
            <rFont val="Arial"/>
            <scheme val="minor"/>
          </rPr>
          <t>Need insight on whether a list of specific buckets would look like and whether that approach would be helpful.
	-Cameron</t>
        </r>
      </text>
    </comment>
    <comment ref="D69" authorId="0" shapeId="0" xr:uid="{00000000-0006-0000-0000-000002000000}">
      <text>
        <r>
          <rPr>
            <sz val="10"/>
            <color rgb="FF000000"/>
            <rFont val="Arial"/>
            <scheme val="minor"/>
          </rPr>
          <t>Does this list already exist somewhere?
	-Cameron</t>
        </r>
      </text>
    </comment>
  </commentList>
</comments>
</file>

<file path=xl/sharedStrings.xml><?xml version="1.0" encoding="utf-8"?>
<sst xmlns="http://schemas.openxmlformats.org/spreadsheetml/2006/main" count="8104" uniqueCount="2600">
  <si>
    <t>OBJECTIVE EVALUATION SCORECARD</t>
  </si>
  <si>
    <t>Proposer Information</t>
  </si>
  <si>
    <t>Category</t>
  </si>
  <si>
    <t>Dimension</t>
  </si>
  <si>
    <t>Question</t>
  </si>
  <si>
    <t>Measure</t>
  </si>
  <si>
    <t>Follow up</t>
  </si>
  <si>
    <t>Evidence</t>
  </si>
  <si>
    <t>Extra question</t>
  </si>
  <si>
    <t>Proposer Attributes</t>
  </si>
  <si>
    <t>Skill</t>
  </si>
  <si>
    <t xml:space="preserve">How many projects has the organization delivered to a DAO? </t>
  </si>
  <si>
    <t>#</t>
  </si>
  <si>
    <t>Total rewards earned on projects</t>
  </si>
  <si>
    <t>Can you provide case studies / examples / links to prior projects or of like projects? If yes, please attach case study &amp; reference in comments section</t>
  </si>
  <si>
    <t>How many open source projects have you or your team members independently started?</t>
  </si>
  <si>
    <t xml:space="preserve">Does anyone on the team have relevant project examples in a portfolio available on open source platforms? (github, stackoverflow, etc.) </t>
  </si>
  <si>
    <t>yes no</t>
  </si>
  <si>
    <t>Please provide a link(s)</t>
  </si>
  <si>
    <t>How many projects has the team completed that are similar to the project in question?</t>
  </si>
  <si>
    <t>log scale buckets - 0, 1-5, 6-10, 11-50, 51-99, 100+</t>
  </si>
  <si>
    <t>Can you provide an example or links to a like projects? If not a link, please attach case study &amp; reference in comments section</t>
  </si>
  <si>
    <t xml:space="preserve">How many years of experience does the proposed team cumulatively have in the project area's domain? </t>
  </si>
  <si>
    <t xml:space="preserve">sum total </t>
  </si>
  <si>
    <t>What is the average years of experience per team member working in their domain area?</t>
  </si>
  <si>
    <t xml:space="preserve">average per person </t>
  </si>
  <si>
    <t>What is the success rate of the organization for delivering projects on time?</t>
  </si>
  <si>
    <t>Other than open source software, are there publicly available contributions you've made to the project's subject area?</t>
  </si>
  <si>
    <t>yes no: if yes, please specify: white paper, article, study, conference presentation, other</t>
  </si>
  <si>
    <t>Can the organization provide detail on one past example of a relevant project contributed to an open source platform completed by either the organization of staff working on the proposed project?</t>
  </si>
  <si>
    <t>yes no: if yes, please answer the rest of the questions in the rest of the section</t>
  </si>
  <si>
    <t>... For the example project, what open source software license type(s) were chosen?</t>
  </si>
  <si>
    <t xml:space="preserve">... For the example project, how many languages have the OSS documents (like readme files or license files) been translated into?- </t>
  </si>
  <si>
    <t xml:space="preserve"> If yes, please attach example translation(s) in comments section</t>
  </si>
  <si>
    <t>... For the example project, how many weeks has the project been live?</t>
  </si>
  <si>
    <t>... For the example project, what is the total number of downloads?</t>
  </si>
  <si>
    <t>... For the example project, what is the total number of hits?</t>
  </si>
  <si>
    <t>... For the example project, how many subscribers does it have?</t>
  </si>
  <si>
    <t>... For the example project, what is the frequency of updates in days?</t>
  </si>
  <si>
    <t>... For the example project, how many developers were involved in the process?</t>
  </si>
  <si>
    <t>... For the example project, have volunteer developers fixed bugs, added new features, or released new versions frequently or early</t>
  </si>
  <si>
    <t>yes no, if yes then input # of each</t>
  </si>
  <si>
    <t xml:space="preserve">... For the example project, what project systems is it compatible with?       </t>
  </si>
  <si>
    <t>select from list of systems - linux, other</t>
  </si>
  <si>
    <t>... For the example project,  does it have a vulnerability rating as quantified by the Common Vulnerability Scoring System (CVSS)?</t>
  </si>
  <si>
    <t>If yes, what score did it recieve?</t>
  </si>
  <si>
    <t>Capacity</t>
  </si>
  <si>
    <t>How many staff does your organization currently employ?</t>
  </si>
  <si>
    <t># of FTE (log scale buckets - 0, 1-5, 6-10, 11-50, 51-99, 100+)</t>
  </si>
  <si>
    <t>What is the organization's annual revenue?</t>
  </si>
  <si>
    <t>log scale buckets (USD): &lt;99k, 100k-299k, 300-500, 500k-1 million, 1-10m, 11-100m, 100m+</t>
  </si>
  <si>
    <t>Approximately how many days or hours do you expect it will take to complete the project?</t>
  </si>
  <si>
    <t># (drop down specifying hours or days)</t>
  </si>
  <si>
    <t>How many FTE staff will the organization dedicated to the project?</t>
  </si>
  <si>
    <t>How many hours on average will each person dedicate to the project each week?</t>
  </si>
  <si>
    <t>How many staff hours will you be able to contribute post-delivery to support or maintain the project?</t>
  </si>
  <si>
    <t>What percentage of past projects that have been successful in terms of reaching target functionality &amp; customer satisfaction?</t>
  </si>
  <si>
    <t>average %</t>
  </si>
  <si>
    <t>What is the success rate of all prior projects in meeting estimates for; time, scope, budget?</t>
  </si>
  <si>
    <t>Decentralization</t>
  </si>
  <si>
    <t>Does your organization operate as a DAO?</t>
  </si>
  <si>
    <t>rank order top 3 from list; telegram, medium, discourse, discord, email, other</t>
  </si>
  <si>
    <t>Please choose the top communication services used by your organization</t>
  </si>
  <si>
    <t>What is the highest level of level of participation in a DAO</t>
  </si>
  <si>
    <t>dropdown for "none, worked for a DAO, earned rep in a DAO, participated in DAO voting / governance, started a DAO"</t>
  </si>
  <si>
    <t xml:space="preserve">Does your organization accept payments in cryptocurrency? </t>
  </si>
  <si>
    <t>Is your organization financed by cryptocurrency?</t>
  </si>
  <si>
    <t>Has you organization issued a crypto token?</t>
  </si>
  <si>
    <t>Are big organizational issues decided by you or the team collectively?</t>
  </si>
  <si>
    <t xml:space="preserve">collectively, managerially </t>
  </si>
  <si>
    <t>Do all team members have access to detailed financial information such as budgets &amp; individual compensation?</t>
  </si>
  <si>
    <t>How are decision making rights delegated in the team?</t>
  </si>
  <si>
    <t>dropdown for "CEO+Board, CEO, Exec Team, Org-Wide Voting, Rep-Weighted Voting"</t>
  </si>
  <si>
    <t>Has the organization a new revenue generating opportunity or business process that was generated by a non-managerial employee?</t>
  </si>
  <si>
    <t>Have you paid for or reimbursed education &amp; training for staff outside of the core exec team?</t>
  </si>
  <si>
    <t>Diversity</t>
  </si>
  <si>
    <t xml:space="preserve"> </t>
  </si>
  <si>
    <t>Is your organization at least 51% owned, operated and controlled on a daily basis by one or more (in combination) women?</t>
  </si>
  <si>
    <t>Woman-owned business in US law</t>
  </si>
  <si>
    <t>Is your organization at least 51% owned, operated and controlled on a daily basis by one or more (in combination) ethnic or racial minorities in the principal country of operation?</t>
  </si>
  <si>
    <t>Minority business enterprise in US law</t>
  </si>
  <si>
    <t>What is the principal industry your organization operates in?</t>
  </si>
  <si>
    <t>Dropdown - Software, IT Services, Consulting, Academia, Other (please specify)</t>
  </si>
  <si>
    <t>Right-sized team</t>
  </si>
  <si>
    <t>Are the project milestone's are clearly defined?</t>
  </si>
  <si>
    <t>How many project milestones are there?</t>
  </si>
  <si>
    <t>Are work activities within each milestone defined in the project?</t>
  </si>
  <si>
    <t>What are the estimated hourly allotments of capacity for each milestone, including any post-completion support?</t>
  </si>
  <si>
    <t>[For scoring this section, will integrate earlier answers in capacity section for estimated hours, team size, hour per FTE]</t>
  </si>
  <si>
    <t>Proposal Fit</t>
  </si>
  <si>
    <t>Fit to mission</t>
  </si>
  <si>
    <t>What aspects of the mission does this project support?</t>
  </si>
  <si>
    <t>open ended</t>
  </si>
  <si>
    <t>Will the completed project be made accessible on stackoverflow, github, or other open source platforms?</t>
  </si>
  <si>
    <t>Will the project's processes, tools, or documentation be made available on stackoverflow, github, or other open source platforms?</t>
  </si>
  <si>
    <t>Will the results of the project be scalable to other projects?</t>
  </si>
  <si>
    <t>Will the design of the project be replicable to other projects?</t>
  </si>
  <si>
    <t>Does the project leverages and builds upon previous community infrastructure?</t>
  </si>
  <si>
    <t xml:space="preserve">Which infrastructure? </t>
  </si>
  <si>
    <t>Specify proposal(s) #, other (please specify)</t>
  </si>
  <si>
    <t>Fit to known needs</t>
  </si>
  <si>
    <t xml:space="preserve">Which ticket(s) does the project address? </t>
  </si>
  <si>
    <t>ticket #, N/A</t>
  </si>
  <si>
    <t>What outline need in the VA roadmap does this project support?</t>
  </si>
  <si>
    <t>Please specify (open end)</t>
  </si>
  <si>
    <t>What identified Devx Dao outcomes does the project support?</t>
  </si>
  <si>
    <t>List Dao outcomes, other - open ended</t>
  </si>
  <si>
    <t>The organization agrees to collect and communicate data that will show the level of impact on defined outcomes</t>
  </si>
  <si>
    <t>Please list the outcomes</t>
  </si>
  <si>
    <t>please specify</t>
  </si>
  <si>
    <t>What is one type of data that will be collected?</t>
  </si>
  <si>
    <t>The organization identifies the need for the proposed work with data that is verifiable</t>
  </si>
  <si>
    <t>Fit to sponsors</t>
  </si>
  <si>
    <t>Proposer reputation score</t>
  </si>
  <si>
    <t>What are your DevXDao Discourse statistics?</t>
  </si>
  <si>
    <t>NA, list all input boxes for all stats on the discourse stat page</t>
  </si>
  <si>
    <t>Please provide a screenshot of your stat page w/ the current date</t>
  </si>
  <si>
    <t>Who do you know in the DAO that supports this project?</t>
  </si>
  <si>
    <t>input list (Verify screen name match member, retrieve and sum listed person(s) stats)</t>
  </si>
  <si>
    <t>Send message to the listed person asking if they know the proposer</t>
  </si>
  <si>
    <t>What community partners have agreed to mentor you or the team?</t>
  </si>
  <si>
    <t xml:space="preserve">input list </t>
  </si>
  <si>
    <t>Send message to the listed person asking if they know the proposer and that they have agreed to mentor</t>
  </si>
  <si>
    <t>Ecosystem affected</t>
  </si>
  <si>
    <t>If the project is for research or innovation, what industries will the work support?</t>
  </si>
  <si>
    <t>Industry area list: currencies, developer tools, sovereignty, fintech, value exchange, shared data, authenticity, other</t>
  </si>
  <si>
    <t>Will you publish any code generated during the course of the project to open source platforms?</t>
  </si>
  <si>
    <t>yes/no</t>
  </si>
  <si>
    <t>Can you provide a link to past published code?</t>
  </si>
  <si>
    <t>Functioning link with relevant code? yes no</t>
  </si>
  <si>
    <t>If you're writing code, what stack are you affecting?</t>
  </si>
  <si>
    <t>list and define: MEAN, MERN, MEVN, LAMP, Serverless, Flutter, other</t>
  </si>
  <si>
    <t>If an innovation, to what degree will the innovation be applicable?</t>
  </si>
  <si>
    <t>list: internal to this dao, to all DAOs, to all decentralized apps, to all organizations centralized and decentralized</t>
  </si>
  <si>
    <t>Type of deliverables</t>
  </si>
  <si>
    <t>What type of deliverable will be created by the project?</t>
  </si>
  <si>
    <t>checklist: creating code, research, investment, implementation, legal, other.</t>
  </si>
  <si>
    <t>Is there a mockup of the project deliverable?</t>
  </si>
  <si>
    <t>If yes, please attach case study &amp; reference in comments section</t>
  </si>
  <si>
    <t>Cost vs. value vs. risk</t>
  </si>
  <si>
    <t>How much will the project cost?</t>
  </si>
  <si>
    <t>number, USD or casper</t>
  </si>
  <si>
    <t>Does the project require an advanced or front loaded cost?</t>
  </si>
  <si>
    <t>How much</t>
  </si>
  <si>
    <t>[For scoring, will integrate answers from other sections about total hours and calculate average cost per hour]</t>
  </si>
  <si>
    <t>Overlap &amp; Integration</t>
  </si>
  <si>
    <t>Does this project build on existing grants?</t>
  </si>
  <si>
    <t>What previous grants does this project build on?</t>
  </si>
  <si>
    <t>N/A, proposal #, open ended</t>
  </si>
  <si>
    <t>What previous grant proposals will this project integrate with?</t>
  </si>
  <si>
    <t xml:space="preserve">proposal #'s </t>
  </si>
  <si>
    <t>Completeness / helpfulness</t>
  </si>
  <si>
    <t>How many hours are budgeted for support activities that occur after the completion of the main deliverable?</t>
  </si>
  <si>
    <t># (# of hours/total estimated project hours from cell D18, mapped to log scale buckets 0%, 1-3%, 4-5%, 6-10%, 11%+)</t>
  </si>
  <si>
    <t>Will there be instructions included in the final deliverable?</t>
  </si>
  <si>
    <t>How many hours are budgeted for this aspect of the project?</t>
  </si>
  <si>
    <t xml:space="preserve"># (calc = # of hours/Total estimated project hours from cell D18, mapped to log scale buckets 0%, 1-3%, 4-5%, 6-10%, 11%+) </t>
  </si>
  <si>
    <t>Will there be FAQs included in the final deliverable?</t>
  </si>
  <si>
    <t># (calc = # of hours/Total estimated project hours from cell D18, mapped to log scale buckets 0%, 1-3%, 4-5%, 6-10%, 11%+)</t>
  </si>
  <si>
    <t>Will there be explainer videos to help others engage with the solution?</t>
  </si>
  <si>
    <t>Actionability</t>
  </si>
  <si>
    <t xml:space="preserve"> Is there a target metric you're trying to change?</t>
  </si>
  <si>
    <t>Please specify</t>
  </si>
  <si>
    <t>log scale buckets - 0, 1, 2-3, 3-5, 6+</t>
  </si>
  <si>
    <t>What metric(s) will evidence success for this project?</t>
  </si>
  <si>
    <t>open ended list</t>
  </si>
  <si>
    <t xml:space="preserve"> Are there known target adoption targets (including yourself?)</t>
  </si>
  <si>
    <t>Please identify them</t>
  </si>
  <si>
    <t>Does the organization commit to tracking and making transparent data regarding how the project is meeting demonstrated need?</t>
  </si>
  <si>
    <t>Endorsements</t>
  </si>
  <si>
    <t>Did someone within the DAO vouch for or initiate this proposal?</t>
  </si>
  <si>
    <t>If yes, please list person(s)</t>
  </si>
  <si>
    <t>cross reference with member, sum their rep, map to log scale buckets - 0, tbd</t>
  </si>
  <si>
    <t>Did one or more subject matter DAOs review and approve the contents?</t>
  </si>
  <si>
    <t>Did a DXD sponsor initiate or endorse this proposal?</t>
  </si>
  <si>
    <t>Is there another organization that has been confirmed to endorse this?</t>
  </si>
  <si>
    <t xml:space="preserve">If yes, please list   </t>
  </si>
  <si>
    <t>log scale buckets - 0, 1+</t>
  </si>
  <si>
    <t>What is the stake assigned to this project?</t>
  </si>
  <si>
    <t>Program-Level Appendix</t>
  </si>
  <si>
    <t>Ability to support</t>
  </si>
  <si>
    <t>Has the organization committed resources for ongoing support?</t>
  </si>
  <si>
    <t>Yes no</t>
  </si>
  <si>
    <t>What amount of resources have they provided? (hours)</t>
  </si>
  <si>
    <t>For what duration are the resources expected to last?</t>
  </si>
  <si>
    <t>number of months</t>
  </si>
  <si>
    <t>Is there a plan for what happens after those resources run out?</t>
  </si>
  <si>
    <t>Is there optionality to extend resources for support?</t>
  </si>
  <si>
    <t>Is there budget for unexpected problems?</t>
  </si>
  <si>
    <t>Is there budget for unexpected problems that occur after the project is completed?</t>
  </si>
  <si>
    <t>Single points of failure</t>
  </si>
  <si>
    <t>Does the program have contingency plans for unexpected capacity interruption? (turnover)</t>
  </si>
  <si>
    <t>Can you upload and relevant example of sample documentation from this or any past project?</t>
  </si>
  <si>
    <t>If yes, please attach any avaliable documentation in comments section</t>
  </si>
  <si>
    <t>Are there backup plans included?</t>
  </si>
  <si>
    <t>Can you upload and relevant example or sample documentation from past projects?</t>
  </si>
  <si>
    <t>What percentage of licenses needed to deliver project work transferable?</t>
  </si>
  <si>
    <t>%</t>
  </si>
  <si>
    <t>What is the organization's overall staff turnover rate in the last 12 months?</t>
  </si>
  <si>
    <t>SLA</t>
  </si>
  <si>
    <t>Has the organization committed to SLA for response, resolution, changes, uptime, etc.?</t>
  </si>
  <si>
    <t>Are failures backed by penalties or reduced fees?</t>
  </si>
  <si>
    <t>Will you allow the DAO to request removal of underperforming staff without explicit cause / specific incident?</t>
  </si>
  <si>
    <t>Will you allow the DAO to participate in selection or replacement importance staff (e.g. on-site workers)?</t>
  </si>
  <si>
    <t>Transparency</t>
  </si>
  <si>
    <t>If a program, will it be documented well enough for other programs to integrate or to replace the supplier if underperforming?</t>
  </si>
  <si>
    <t>Can you upload and relevant example of sample documentation from any past project</t>
  </si>
  <si>
    <t>Will the organization commit to transition plan if replaced?</t>
  </si>
  <si>
    <t>What percentage of procedures be documented?</t>
  </si>
  <si>
    <t>Will there be support hours dedicated to new supplier in the event the organization is replaced?</t>
  </si>
  <si>
    <t>yes no, #</t>
  </si>
  <si>
    <t>... For the example project, what platform or layer 1 chain was used?</t>
  </si>
  <si>
    <t>Metric</t>
  </si>
  <si>
    <t>Importance 1-10</t>
  </si>
  <si>
    <t>% of Total</t>
  </si>
  <si>
    <t>Reserved for future additions</t>
  </si>
  <si>
    <t>Will you allow the client to participate in selection of high importance staff (e.g. on-site workers)?</t>
  </si>
  <si>
    <t>Will you allow the client to request removal of underpeforming staff without explicit cause / specific incident?</t>
  </si>
  <si>
    <t>Will you provide the client with a SLA penalty for failing to retain staff that the client considers high performing?</t>
  </si>
  <si>
    <t>Can you provide an SLA for avoidance of preventable issues (e.g. security breaches due to unpatched software)? If so, please specify example structure in comments</t>
  </si>
  <si>
    <t>Can you provide a full uptime SLA at the application level? If so, specify example structure in the comments</t>
  </si>
  <si>
    <t>Are failures backed by penalties / reduced fees?</t>
  </si>
  <si>
    <t>has proposer committed to SLA for response, resolution, changes, uptime, etc.?</t>
  </si>
  <si>
    <t>If a program, has proposer committed to SLA for response, resolution, changes, uptime, etc.? Are failures backed by penalties / reduced fees?</t>
  </si>
  <si>
    <t>Present in Offer, Transferable License, # of Customers, 3+ Data Source KM Systems, IT Staff Focused KM Deployments, Non-IT Focused KM Deployments, Integrations with Current Systems, Transferable license, Self serve implementations</t>
  </si>
  <si>
    <t>check all that apply, 1-7</t>
  </si>
  <si>
    <t xml:space="preserve">rank sophistication </t>
  </si>
  <si>
    <t xml:space="preserve">Is there existing process to support knowledge management </t>
  </si>
  <si>
    <t>Does the project timeline estimate account for PTO, illness or other planned leave for team members?</t>
  </si>
  <si>
    <t>sufficient to maintain overall schedule in the event of turnover?</t>
  </si>
  <si>
    <t>Does the program have contingency plans for turnover?</t>
  </si>
  <si>
    <t>If a program, does it have backups for vacation, illness, etc. of critical team members?</t>
  </si>
  <si>
    <t>Is there reasonable amount of budget dedicated to fixing unexpected errors or problems that arise after the project has been delivered?</t>
  </si>
  <si>
    <t>total time, staff, etc</t>
  </si>
  <si>
    <t>What amount of resources have they provided?</t>
  </si>
  <si>
    <t>Has the proposer committed resources for ongoing support?</t>
  </si>
  <si>
    <t>If the proposal is for a program, has proposer committed / allocated sufficient resources for ongoing support?</t>
  </si>
  <si>
    <t>[this might mean we have to list or ID “trusted” orgs. Might mean a whole other pile of upkeep to maintain a list like that. Rep score?]</t>
  </si>
  <si>
    <t>who</t>
  </si>
  <si>
    <t>Is there another trusted organization that has been confirmed to endorse this?</t>
  </si>
  <si>
    <t>Other trusted org</t>
  </si>
  <si>
    <t>Yes/no, how many, who</t>
  </si>
  <si>
    <t>Sponsor</t>
  </si>
  <si>
    <t>How many? Who?</t>
  </si>
  <si>
    <t>DAOs Did one or more subject matter DAOs review and approve the contents?</t>
  </si>
  <si>
    <t>Subject matter DAOs</t>
  </si>
  <si>
    <t>How many? Who? Rep status? Stake?</t>
  </si>
  <si>
    <t>Did someone within the DAO vouch for / initiate this proposal?</t>
  </si>
  <si>
    <t>VAs</t>
  </si>
  <si>
    <t>checkbox</t>
  </si>
  <si>
    <t>What aspects of the mission does this proposal support?</t>
  </si>
  <si>
    <t>Is there a real-world outcome? Is there a target metric you're trying to change? Are there known target adoption targets (including yourself?)</t>
  </si>
  <si>
    <t>who?</t>
  </si>
  <si>
    <t>Will you partner with any other organizations to carry out the project?</t>
  </si>
  <si>
    <t>1-7 scale</t>
  </si>
  <si>
    <t>1-7 likert</t>
  </si>
  <si>
    <t>To what degree is the proposed solution better than what already exists?</t>
  </si>
  <si>
    <t>Nothing, scope, quality, experience, speed, efficiency</t>
  </si>
  <si>
    <t>What differentiates this proposal from existing solutions?</t>
  </si>
  <si>
    <t xml:space="preserve">3high, 2medium, 1low </t>
  </si>
  <si>
    <t>Did the proposal demonstrate awareness of existing grants &amp; ability to integrate with them? Or does this replicate things that already work fine?</t>
  </si>
  <si>
    <t>number</t>
  </si>
  <si>
    <t>1-7 likert scale</t>
  </si>
  <si>
    <t>Validation</t>
  </si>
  <si>
    <t>this is the VA's interpretation on the previous q's to be filled out by the proposer</t>
  </si>
  <si>
    <t>Is the proposed cost in line with what would typically &amp; reasonably be charged for this work?</t>
  </si>
  <si>
    <t>Will the solution be recyclable for use in later projects?</t>
  </si>
  <si>
    <t>Will the content be able to support ongoing efforts?</t>
  </si>
  <si>
    <t>number of years</t>
  </si>
  <si>
    <t>When is the solution expected to become obsolete?</t>
  </si>
  <si>
    <t>in the next year/ within 5 year/ with 10 years? More than 10 years</t>
  </si>
  <si>
    <t>How quickly will the solution degrade?</t>
  </si>
  <si>
    <t>time estimate, months</t>
  </si>
  <si>
    <t>How long will the solution stay good for?</t>
  </si>
  <si>
    <t>Will the expected benefit the project is expected to deliver outweigh the cost of the investment?</t>
  </si>
  <si>
    <t>How quickly is this area of the DAO where the solution will apply evolving?</t>
  </si>
  <si>
    <t>1-7 Likert</t>
  </si>
  <si>
    <t>Grant app quality</t>
  </si>
  <si>
    <t>Proposal Quality</t>
  </si>
  <si>
    <t xml:space="preserve">Propoer is engaged in an ongoing dialogue with the DAO community </t>
  </si>
  <si>
    <t>Proposer has formed an existing network in the DAO community?</t>
  </si>
  <si>
    <t>word count, # of reactions</t>
  </si>
  <si>
    <t>What is the quality or depth of the average post</t>
  </si>
  <si>
    <t>Number</t>
  </si>
  <si>
    <t>What is the full amount of comments made by proposer on previous projects on the discourse?</t>
  </si>
  <si>
    <t>probably replicate this answer from other sections</t>
  </si>
  <si>
    <t>Has the proposer produced projects for the DAO?</t>
  </si>
  <si>
    <t>Yes/no</t>
  </si>
  <si>
    <t>Is the proposer in good standing with the majority of DAO community?</t>
  </si>
  <si>
    <t>Does the proposal work well within the ecosystems that are sponsoring DEVxDAO today?</t>
  </si>
  <si>
    <t>The proposal identifies the need for the proposed work with data that is verifiable</t>
  </si>
  <si>
    <t>What are the outcomes and what data will be collected?</t>
  </si>
  <si>
    <t>The proposer's team will collect and communicate data that will show the level of impact on defined outcomes</t>
  </si>
  <si>
    <t>Add new or improve existing capability? Differentiate on size, quality, experience, or capacity</t>
  </si>
  <si>
    <t>In what way will this proposal improve the DAO?</t>
  </si>
  <si>
    <t>open ended / proposal #</t>
  </si>
  <si>
    <t>What grants does this proposal build from?</t>
  </si>
  <si>
    <t>What identified Devx Dao outcomes does the proposal support?</t>
  </si>
  <si>
    <t xml:space="preserve">Which tickets does the proposal address? </t>
  </si>
  <si>
    <t>Does the proposal answer needs outlined by VAs in ticketing system / roadmap?</t>
  </si>
  <si>
    <t>this one is tricky, but the order may provide insight into aligning the proposer's values with the values of the VA, depending upon how both parties answer this question</t>
  </si>
  <si>
    <t>maybe sum to %100</t>
  </si>
  <si>
    <t xml:space="preserve">Freedom, equity, efficiency, collaborationrank </t>
  </si>
  <si>
    <t>Please rank order the list of values in order of relative importance</t>
  </si>
  <si>
    <t xml:space="preserve">Based on these foundational beliefs, our core values include: 
- FREEDOM - means individual power and includes control of users’ personal info, individual security and privacy 
-  EQUITY - means distributed equitable allocation of power
- EFFICIENCY - means the ratio of the useful work performed by a human, machine, or process to the total energy expended
- COLLABORATION FOR THE COMMON GOOD - means improving power distribution by raising the power of the most individuals without harming the least powerful 
</t>
  </si>
  <si>
    <t>1-7 Likert scale</t>
  </si>
  <si>
    <t>Do the values of your organization align with the values of the Dao?</t>
  </si>
  <si>
    <t>open answer</t>
  </si>
  <si>
    <t>How</t>
  </si>
  <si>
    <t>Will the project have applications to the broader community of DAOs?</t>
  </si>
  <si>
    <t>type list response</t>
  </si>
  <si>
    <t>What decentralization projects will the proposal support?</t>
  </si>
  <si>
    <t>Checkbox aspects</t>
  </si>
  <si>
    <t xml:space="preserve">which aspects of the mission does it support? </t>
  </si>
  <si>
    <t>Does the project support the DevXDao mission?</t>
  </si>
  <si>
    <t>Does the proposal directly serve decentralization / open source / innovation / DxD needs or is it a mental stretch?</t>
  </si>
  <si>
    <t>what is the average change in budget resulting from scope change?</t>
  </si>
  <si>
    <t>New size of project / Original size of project</t>
  </si>
  <si>
    <t>What is the average number of 'change of scope' requests per project across all grant projects in the past 2 years?</t>
  </si>
  <si>
    <t>What is the average job satisfaction of employees at the company?</t>
  </si>
  <si>
    <t>Does diversity penetrate into senior leadership/ board members</t>
  </si>
  <si>
    <t>Will the design of the proposal be replicable to other projects?</t>
  </si>
  <si>
    <t>Will the results of the proposal be scalable to other projects?</t>
  </si>
  <si>
    <t>Does the org have a lifetime learning credit?</t>
  </si>
  <si>
    <t>Does your org have learning modules available to staff?</t>
  </si>
  <si>
    <t>Are incentive structures are transparent and auditable?</t>
  </si>
  <si>
    <t>multiplier</t>
  </si>
  <si>
    <t>What is the ratio of wage ratio between the highest and lowest paid full time staff in the home country of the organization?</t>
  </si>
  <si>
    <t>Are salary banding rates transparent across staff at the same level?</t>
  </si>
  <si>
    <t>Has your company signed any compacts or accords with other organizations pledging effort on a social issue?</t>
  </si>
  <si>
    <t>Do you contribute ESG data to any publicly available platforms?</t>
  </si>
  <si>
    <t>Does your company have any CSR or ESG commitments?</t>
  </si>
  <si>
    <t>links</t>
  </si>
  <si>
    <t>Does your company have a public API?</t>
  </si>
  <si>
    <t>Has anyone on the team published relevant related work on public social media platforms? (facebook, linkedin, youtube, etc.)</t>
  </si>
  <si>
    <t>Has anyone on the team contributed relevant work to opensource communities? (github, stackoverflow, other)</t>
  </si>
  <si>
    <t>Has your company created projects on or for decentralized platforms?</t>
  </si>
  <si>
    <t>Does your company allow customers to purchase products or services in cryptocurrency?</t>
  </si>
  <si>
    <t>Does your company own cryptocurrency?</t>
  </si>
  <si>
    <t>none, non active member, active member, VA...</t>
  </si>
  <si>
    <t>Have you participated in a vote in a DAO?</t>
  </si>
  <si>
    <t xml:space="preserve">Have you worked with DAOs before?
</t>
  </si>
  <si>
    <t>Per Treisman, larger and more populous countries tend to be more vertically decentralized and to have greater fiscal decentralization. Less economically developed countries tend to have more tiers of government; in other words, they are more vertically decentralized. Yet, economic development is positively correlated with the indicators of decision-making decentralization, as well as fiscal decentralization if one controls for country size.</t>
  </si>
  <si>
    <t>amount, for how long</t>
  </si>
  <si>
    <t>drop down for hrs or days, number</t>
  </si>
  <si>
    <t>How many days or hours do you expect it will take to complete the project?</t>
  </si>
  <si>
    <t>time scope budget</t>
  </si>
  <si>
    <t>How often does the company complete contract work for DAOs or open source communities?</t>
  </si>
  <si>
    <t>How many customers do you support with on site staff?</t>
  </si>
  <si>
    <t>amount</t>
  </si>
  <si>
    <t xml:space="preserve">These intrinsic motivation measures really only work in an individual setting. It would be hard for a team or org to gather responses on this. </t>
  </si>
  <si>
    <t>Please provide a link</t>
  </si>
  <si>
    <t>How many customers use your services?</t>
  </si>
  <si>
    <t xml:space="preserve">What is your average net satisfaction score across your US-based customers? </t>
  </si>
  <si>
    <t>What is your average net promoter score across your US-based customers?</t>
  </si>
  <si>
    <t>could make a drop down add list measuring number of projects and a score out of 100% for similiarity in different factors; domain, scope, budget, schedule</t>
  </si>
  <si>
    <t>open ended typed response</t>
  </si>
  <si>
    <t>How many prior projects has the team completed that are similar to the project in question?</t>
  </si>
  <si>
    <t>What percentage of the team possesses an advanced degree?</t>
  </si>
  <si>
    <t>What % of your staff has their training certified (e.g. HDI Help Desk Analyst, STI Knowledge Help Desk or equivalent - specify certification in comments)</t>
  </si>
  <si>
    <t>typed in list</t>
  </si>
  <si>
    <t>What relevant certifications does your team possess?</t>
  </si>
  <si>
    <t xml:space="preserve">Has your organization delivered a project(s) for a DAO before? </t>
  </si>
  <si>
    <t>Has the proposer demonstrated that they'll be able to do the work?</t>
  </si>
  <si>
    <t>notes</t>
  </si>
  <si>
    <t>Follow on question</t>
  </si>
  <si>
    <t>Weight</t>
  </si>
  <si>
    <t>calc</t>
  </si>
  <si>
    <t>Auditor Evaluation</t>
  </si>
  <si>
    <t>answered or not</t>
  </si>
  <si>
    <t>examples</t>
  </si>
  <si>
    <t>Did you implement &amp; maintain performance monitoring tools in previous projects?</t>
  </si>
  <si>
    <t>Will there be support hours dedicated to new supplier in the event the proposer is replaced?</t>
  </si>
  <si>
    <t>Will instructions include operating maps?</t>
  </si>
  <si>
    <t>Will instructions include journey maps?</t>
  </si>
  <si>
    <t>Will there be instructions for documentation?</t>
  </si>
  <si>
    <t>Will there be how-to videos for how to operate the solution?</t>
  </si>
  <si>
    <t>To what extent will processes be explicit?</t>
  </si>
  <si>
    <t>Will procedures be documented</t>
  </si>
  <si>
    <t>Will the proposer commit to transition plan if replaced?</t>
  </si>
  <si>
    <t>Will the program be transparent enough for other programs to integrate or to replace the supplier if underperforming?</t>
  </si>
  <si>
    <t>Will the program be documented well enough for other programs to integrate or to replace the supplier if underperforming?</t>
  </si>
  <si>
    <t>If a program, will it be documented &amp; transparent well enough for other programs to integrate or to replace the supplier if underperforming? Is supplier committed to transition plan if replaced?</t>
  </si>
  <si>
    <t>Will you allow the DAO to request removal of underpeforming staff without explicit cause / specific incident?</t>
  </si>
  <si>
    <t>Has the proposer committed to SLA for response, resolution, changes, uptime, etc.?</t>
  </si>
  <si>
    <t>Will you provide the client with a guarantee that high performing staff will not be reassigned / terminated without good reason?</t>
  </si>
  <si>
    <t>contingency</t>
  </si>
  <si>
    <t>What measures do you take to retain high performing staff?</t>
  </si>
  <si>
    <t>What is your overall staff turnover in the last 12 months?</t>
  </si>
  <si>
    <t>How would you ensure that a sudden staff departure does not require the client to perform new training / knowledge transfer?</t>
  </si>
  <si>
    <t>knowledge transfer</t>
  </si>
  <si>
    <t>To what extent is provided documentation sufficient to train replacement suppliers in conducting project work?</t>
  </si>
  <si>
    <t>What is the success rate of the company for delivering projects on time?</t>
  </si>
  <si>
    <t>Do you have documentation SOPs in place? What’s the depth, breadth, quality of them? Could someone do the job training with them?</t>
  </si>
  <si>
    <t>Would the backup plan sufficiently allow for the original deadlines and quality or overall performance to be maintained? If not, by how much?</t>
  </si>
  <si>
    <t>What is the depth and quality of backup plan?</t>
  </si>
  <si>
    <t>Has the company worked with that 3rd party previously?</t>
  </si>
  <si>
    <t>Are there 3rd party contract resources that can be relied upon if there are unforeseen events that damage the team's ability to deliver work on time?</t>
  </si>
  <si>
    <t>Does the program have contingency plans for unexpected long term losses in capacity?</t>
  </si>
  <si>
    <t>Does the program have contingency plans for unexpected short term losses in capacity?</t>
  </si>
  <si>
    <t>is the amount of resources committed sufficient to effectively run the program for the duration of the committment?</t>
  </si>
  <si>
    <t>Does the proposer commit to tracking and making transparent data regarding how the project is meeting demonstrated need</t>
  </si>
  <si>
    <t>Does the proposal includes metrics that will provide evidence for meeting the identified need</t>
  </si>
  <si>
    <t>Does the proposal demonstrates how project work will meet the identified need</t>
  </si>
  <si>
    <t>how</t>
  </si>
  <si>
    <t>Will this project lead to the creation of new knowledge for the community?</t>
  </si>
  <si>
    <t>What outcomes does the project aim to influence?</t>
  </si>
  <si>
    <t>please identify them</t>
  </si>
  <si>
    <t>Impressions, Quantity of interactions, Follow-on behaviors actions</t>
  </si>
  <si>
    <t>Leads and lags indicators, OKRs - key results, can you find links to them.</t>
  </si>
  <si>
    <t>What metrics will evidence success for this proposal?</t>
  </si>
  <si>
    <t>yes/no, quality meter</t>
  </si>
  <si>
    <t>numer, channel, quality, word count, usability</t>
  </si>
  <si>
    <t>checkboxes, support types</t>
  </si>
  <si>
    <t>What type of support is included after the completion of the main deliverable?</t>
  </si>
  <si>
    <t>Is there forethought in making the end product useful right out of the box? Are manuals, support, UI/UX design, etc. included?</t>
  </si>
  <si>
    <t>if yes, please provide pertinent context</t>
  </si>
  <si>
    <t>Does this proposal replicate things that already work?</t>
  </si>
  <si>
    <t>To what degree does the work integrate with existing grants?</t>
  </si>
  <si>
    <t>please list</t>
  </si>
  <si>
    <t>Does this proposal have links to or build from existing grants?</t>
  </si>
  <si>
    <t>Will the solution architecture be modularized and composable for re-use in other projects?</t>
  </si>
  <si>
    <t>Will the project be paid out in tranches per milestone?</t>
  </si>
  <si>
    <t>how much</t>
  </si>
  <si>
    <t>Does the project require and advanced or front loaded cost?</t>
  </si>
  <si>
    <t>Is the proposed cost in line with what would typically &amp; reasonably be charged for this work? Does it require advances or front load costs?</t>
  </si>
  <si>
    <t>links?</t>
  </si>
  <si>
    <t>Are previously created or reference projects offered as supporting context?</t>
  </si>
  <si>
    <t>Is there a mockup of the proposed deliverable?</t>
  </si>
  <si>
    <t>checklist - creating code, research, investment, implementation, legal, etc.</t>
  </si>
  <si>
    <t>checklist</t>
  </si>
  <si>
    <t>Is the proposal about creating code, research, investment, implementation, legal, etc.?</t>
  </si>
  <si>
    <t>internal to this dao, to all DAOs, to all decentralized apps, to all organizations centralized and decentralized</t>
  </si>
  <si>
    <t>open end list</t>
  </si>
  <si>
    <t>Will the work allow the decentralized ecosystem to be more accessible to new entrants?</t>
  </si>
  <si>
    <t>Will the work allow the DevX community access to new groups or segments?</t>
  </si>
  <si>
    <t>Which, if any, partner organizations that will benefit from this work?</t>
  </si>
  <si>
    <t>open end response</t>
  </si>
  <si>
    <t>What actors do you expect to grow as a result of the work?</t>
  </si>
  <si>
    <t>list industries (checkbox)</t>
  </si>
  <si>
    <t>If the proposal is for research or innovation, what industries will the work support?</t>
  </si>
  <si>
    <t xml:space="preserve">If you're writing code, what stack are you affecting? If research / innovation, what industry? </t>
  </si>
  <si>
    <t>Proposer is committed to actively gathering ongoing feedback from the community on and during project work</t>
  </si>
  <si>
    <t xml:space="preserve">Proposer is committed to engaging new partners in dialogue in the larger decentralized community </t>
  </si>
  <si>
    <t xml:space="preserve">Propoer is committed to engaging in an ongoing dialogue with the DAO community </t>
  </si>
  <si>
    <t xml:space="preserve">Number per month average, and total time since signup </t>
  </si>
  <si>
    <t>What is the cadence of activity by the proposer in the public forum?</t>
  </si>
  <si>
    <t>Sponsor Stake</t>
  </si>
  <si>
    <t>Is the proposer in bad standing with the majority of DAO community?</t>
  </si>
  <si>
    <t>How different is the project from what exists already in the DAO?</t>
  </si>
  <si>
    <t>How similar is the project to what exists already in the DAO?</t>
  </si>
  <si>
    <t>open</t>
  </si>
  <si>
    <t>if yes, please explain necessary context</t>
  </si>
  <si>
    <t>Does this project replicate things that already exists within the DAO?</t>
  </si>
  <si>
    <t>proposal #'s</t>
  </si>
  <si>
    <t>Does the proposer meet but not exceed the cost margin for required expertise?</t>
  </si>
  <si>
    <t>1-7 expert to novice</t>
  </si>
  <si>
    <t>What altitude of expertise is required by the project?</t>
  </si>
  <si>
    <t>Which specific need does the proposal answer?</t>
  </si>
  <si>
    <t>list</t>
  </si>
  <si>
    <t>Do the values of your team members align with the values of the DAO?</t>
  </si>
  <si>
    <t xml:space="preserve">Which ones? </t>
  </si>
  <si>
    <t>Will the project process or tools or documentation be made available on stackoverflow, github, or other open source platforms?</t>
  </si>
  <si>
    <t>Will the project be made accessible on stackoverflow, github, or other open source platforms?</t>
  </si>
  <si>
    <t>Will the project promote decentralization?</t>
  </si>
  <si>
    <t>Are work activities within each milestone clearly linked to the acheivement of the proposal's desired outcome?</t>
  </si>
  <si>
    <t>Are work activities within each milestone defined?</t>
  </si>
  <si>
    <t>Will you track work quality agianst hourly commitment of staff staff on the team?</t>
  </si>
  <si>
    <t>measures how much time individual workers are spending on a project. It’s a measure less of overall progress than of how efficiently your team is working. How you calculate it:Percent of project done / Number of team hours spent on it. Or, if you’re looking at individual efficiency, Percent of project done / Number of individual hours spent on it. Importantly, to be able to measure utilization, you need to have a time tracker system in place, so that you know how many hours it’s taking people to get different jobs done</t>
  </si>
  <si>
    <t>Percent of project done / Number of team hours spent on it</t>
  </si>
  <si>
    <t>What is the your organization's average resource utilization score for contract work in the past year?</t>
  </si>
  <si>
    <t>rank order</t>
  </si>
  <si>
    <t>rank categories</t>
  </si>
  <si>
    <t>What is the team's general prioritization of speed, performance, and cost</t>
  </si>
  <si>
    <t>How many levels of expertise are there on the team between the most junior and most senior person?</t>
  </si>
  <si>
    <t>Is there an operating process in place to make course corrections during the course of delivery?</t>
  </si>
  <si>
    <t>in overlap of processes? Duplication of effort/services/processes/effort</t>
  </si>
  <si>
    <t>Do you have process in place to assess and eliminate redundancy?</t>
  </si>
  <si>
    <t xml:space="preserve">waterfall, agile, devops, product management, other  </t>
  </si>
  <si>
    <t>open end or checklist</t>
  </si>
  <si>
    <t xml:space="preserve">What operating model does the team use? </t>
  </si>
  <si>
    <t>Will roles rotate in and out of the project as demand changes?</t>
  </si>
  <si>
    <t>Will staff rotate in and out of the project as demand changes?</t>
  </si>
  <si>
    <t>How many frontline staff are there for each manager?</t>
  </si>
  <si>
    <t>Does the team  have sufficient capacity to meet deadlines for proposed work?</t>
  </si>
  <si>
    <t>what additional resources are needed?</t>
  </si>
  <si>
    <t>Does the team have sufficient breadth of experience deliver on proposed work?</t>
  </si>
  <si>
    <t>Does the team have sufficient breadth of skills and experience to deliver on proposed work?</t>
  </si>
  <si>
    <t>Is the team as big and only as big as it needs to be?</t>
  </si>
  <si>
    <t>(integrate metrics from capacity section into this area's weighting - team size, if worked together previous, etc.)</t>
  </si>
  <si>
    <t>Dropdown - Software, IT Services, Consulting, Other (please specify)</t>
  </si>
  <si>
    <t>We would be looking for people other than coders - basically</t>
  </si>
  <si>
    <t>Do you have a process in place to evaluate the diversity of your supplier or partner relationships?</t>
  </si>
  <si>
    <t>If so, what is the participation rate?</t>
  </si>
  <si>
    <t xml:space="preserve">Does your commpany have diversity training programs? </t>
  </si>
  <si>
    <t>Does your company have employee resource groups?</t>
  </si>
  <si>
    <t>What is the ratio between job satisfaction of diversity staff compared to all staff?</t>
  </si>
  <si>
    <t>tier selection and levels</t>
  </si>
  <si>
    <t>levels and % input boxes</t>
  </si>
  <si>
    <t xml:space="preserve">What is the proportion of diversity at different levels of the company? 
</t>
  </si>
  <si>
    <t>Can staff self report characteristics of identity?</t>
  </si>
  <si>
    <t>Do the demographic rates change over time</t>
  </si>
  <si>
    <t>Proportion rates for diverse staff</t>
  </si>
  <si>
    <t>Are retention rates for diversity tracked? Transparent?</t>
  </si>
  <si>
    <t>upload figures</t>
  </si>
  <si>
    <t>Are diversity figures transparent internally?</t>
  </si>
  <si>
    <t>Does your measure for ethnicity allow for multiple identities?</t>
  </si>
  <si>
    <t>Ethnic/ racial, Gender, Military association</t>
  </si>
  <si>
    <t xml:space="preserve"> 0 none, 1 dimension, 2 dimensions, 3 or more</t>
  </si>
  <si>
    <t>How many dimensions of diverse identities are tracked (Such as gender, race, soci- economic, etc)</t>
  </si>
  <si>
    <t>This whole section is not about diversity within the grantee but the diversity that is brought to DxD. Maybe we keep one of these questions that can be applicable to a small org, but mostly it doesn't apply</t>
  </si>
  <si>
    <t>Is diversity tracked at your firm?</t>
  </si>
  <si>
    <t>Does the proposer bring new perspectives to the DAO that are not currently well represented?</t>
  </si>
  <si>
    <t>I think this should be in a different section - this is about the team, not the project</t>
  </si>
  <si>
    <t>Ecosystem</t>
  </si>
  <si>
    <t>It's relevant on whether they will use them for the project - but more as a risk. I don't think decentralization as having a third party contractor is useful</t>
  </si>
  <si>
    <t>Does the organization use 3rd party contractors?</t>
  </si>
  <si>
    <t>Geographical decentralization</t>
  </si>
  <si>
    <t>Definitely can't be a yes / no. I'm not sure it matters for decentralization in the way they think of it</t>
  </si>
  <si>
    <t>Is the team spread out geographically?</t>
  </si>
  <si>
    <t xml:space="preserve">money, time allocation, </t>
  </si>
  <si>
    <t>Too easy to say yes</t>
  </si>
  <si>
    <t>Can frontline staff make strategic decisions around identifying new growth opportunities?</t>
  </si>
  <si>
    <t>Decision-making decentralization</t>
  </si>
  <si>
    <t>Don't think this will ever apply</t>
  </si>
  <si>
    <t>Does your company use a franchise model?</t>
  </si>
  <si>
    <t>Vertical decentralization</t>
  </si>
  <si>
    <t>if the lower-tiers have most or all decision-making rights, the system is highly decentralized.</t>
  </si>
  <si>
    <t>sliders, all add up to 100, 0 sum distribution</t>
  </si>
  <si>
    <t>drop downs for addable levels</t>
  </si>
  <si>
    <t>Assumes too much structure; pain in the ass to understand &amp; code</t>
  </si>
  <si>
    <t xml:space="preserve">What proportion of consequential decision making rights does each tier of the grant team have? </t>
  </si>
  <si>
    <t>autonomy</t>
  </si>
  <si>
    <t>See above</t>
  </si>
  <si>
    <t>decentralized support infrastructure</t>
  </si>
  <si>
    <t>It sounds like a yes / no question. I'd merge with next one as "have you paid for / reimbursed education &amp; training for staff outside of the core exec team"</t>
  </si>
  <si>
    <t>Good question, but I'm worried it's too easy to say "yes"</t>
  </si>
  <si>
    <t>Can frontline staff take action on ideas they find in their workflow that is outside of their current scope of work?</t>
  </si>
  <si>
    <t>Agency/decentralized power</t>
  </si>
  <si>
    <t>How much? %,  time per quarter? MBO?</t>
  </si>
  <si>
    <t>Do frontline staff to direct any amount of their workflow in unspecified directions? (example, spot an opportunity to create a customer feature and pitch or create it)</t>
  </si>
  <si>
    <t>Good because it's more concrete</t>
  </si>
  <si>
    <t>Has the company explored a new revenue generating opportunity or business process that was generated by a non-managerial employee?</t>
  </si>
  <si>
    <t>Are frontline staff allowed to pitch new opportunities or product ideas?</t>
  </si>
  <si>
    <t>Do frontline staff have the ability to provide feedback on strategic direction?</t>
  </si>
  <si>
    <t>Is there dedicated time for staff to explore new business opportunities or processes?</t>
  </si>
  <si>
    <t>how sophisticated is this process?</t>
  </si>
  <si>
    <t>Example, What is the lowest level</t>
  </si>
  <si>
    <t>Is there a process for staff to bring forth new strategic ideas from staff?</t>
  </si>
  <si>
    <t>wholly delegated to a particular tier, while others may be delegated on a case-by-case basis, concurrent, radio buttons for Veto or appeal power</t>
  </si>
  <si>
    <t>tbd</t>
  </si>
  <si>
    <t>You could have a dropdown for "CEO+Board, CEO, Exec Team, Org-Wide Voting, Rep-Weighted Voting"</t>
  </si>
  <si>
    <t>Interested to see the options for answers, but I think it probably won't make the cut</t>
  </si>
  <si>
    <t>How much autonomy does the average frontline staff at your organization have?</t>
  </si>
  <si>
    <t>In a very decentralized system, local governments have considerable power to mobilize resources, through taxing authorities accompanied by strong tax bases.</t>
  </si>
  <si>
    <t>proportional, 0 sum, spread across tiers</t>
  </si>
  <si>
    <t>levels and proportion sliders</t>
  </si>
  <si>
    <t>Where is the power to spend and incur debts  shared among actors within the system?</t>
  </si>
  <si>
    <t>Fiscal decentralization</t>
  </si>
  <si>
    <t>Not a bad question, but too easy to say yes</t>
  </si>
  <si>
    <t>We're not going to get orgs where exec pay disparity is going to be a huge thing</t>
  </si>
  <si>
    <t>Ok, but I think can be addressed with the new phrasing proposed in row 69</t>
  </si>
  <si>
    <t>We're probably not talking about large enough teams</t>
  </si>
  <si>
    <t>Inside your organization, are there P&amp;L responsibilities at the team level?</t>
  </si>
  <si>
    <t>checklist or open</t>
  </si>
  <si>
    <t>Nuke unless there's some killer dropdown</t>
  </si>
  <si>
    <t>What is your typical team organizational structure?</t>
  </si>
  <si>
    <t xml:space="preserve">How many management levels are there in your organization? </t>
  </si>
  <si>
    <t>Not sure how it's relevant</t>
  </si>
  <si>
    <t>What degree of self serve implementation does your organization have?</t>
  </si>
  <si>
    <t>EA?</t>
  </si>
  <si>
    <t>To what degree is interoperability considered in your firm's EA?</t>
  </si>
  <si>
    <t>Probably not a philosophical issue here</t>
  </si>
  <si>
    <t>To what degree is composability or modularization considered in building processes?</t>
  </si>
  <si>
    <t>example</t>
  </si>
  <si>
    <t>Some rephrasing to be more specific about the type of information shared</t>
  </si>
  <si>
    <t>Do you share information outside of the organization?</t>
  </si>
  <si>
    <t>Org transparency</t>
  </si>
  <si>
    <t>Maybe rephrase to "do all team members have access to detailed financial information such as budgets &amp; individual compensation"</t>
  </si>
  <si>
    <t>Does low level staff in your organization have access to strategic business information?</t>
  </si>
  <si>
    <t>Not a decentralization issue</t>
  </si>
  <si>
    <t>External Decentralization</t>
  </si>
  <si>
    <t>Has your company undertaken any Environmental and Social Impact Assessments?</t>
  </si>
  <si>
    <t>efficiency, impact, estimation accuracy, success rates, documentation, process flow</t>
  </si>
  <si>
    <t>Do you track ESG or CSR committment data and take active steps to improve performance agianst them?</t>
  </si>
  <si>
    <t>Are there any internal crowdsourcing processes in place to source ideas or solutions from the community of staff?</t>
  </si>
  <si>
    <t>Internal Decentralization</t>
  </si>
  <si>
    <t>example? how many per year on average per FTE?</t>
  </si>
  <si>
    <t>Staff and company are not exactly the right terms - probably rephrase as "Are big org issues decided by you team collectively"</t>
  </si>
  <si>
    <t>Do you allow your staff to vote on any company issues?</t>
  </si>
  <si>
    <t>Companies don't have APIs - specific software packages do</t>
  </si>
  <si>
    <t>First of all, the crypto world would have it on Telegram / Medium. Secondly, not sure if it's relevant at all or any reasonable qualification</t>
  </si>
  <si>
    <t>Already in previous section - we can use the same question for multiple sections, but we should make that explicit</t>
  </si>
  <si>
    <t>Again, not sure what a decentralized platform is</t>
  </si>
  <si>
    <t>Checklist of what? I'm not sure there's any master list of decentralized platforms</t>
  </si>
  <si>
    <t>What decentralized platforms do you use/support?</t>
  </si>
  <si>
    <t>Rephrase to whether you accept payments in cryptocurrency</t>
  </si>
  <si>
    <t>Maybe there's an alternative question about issuing crypto tokens / being financed via crypto. Owning crypto is definitely not a qualification</t>
  </si>
  <si>
    <t>Change scale into: none, worked for a DAO, earned rep in a DAO, participated in DAO voting / governance, started a DAO</t>
  </si>
  <si>
    <t>What is your rep?</t>
  </si>
  <si>
    <t>Wrap into the below question</t>
  </si>
  <si>
    <t>Rephrased</t>
  </si>
  <si>
    <t>Is the proposer demonstrating principles of decentralization - e.g. are they a DAO, existing VA, etc.?</t>
  </si>
  <si>
    <t>need to flesh this out</t>
  </si>
  <si>
    <t>Ditto</t>
  </si>
  <si>
    <t>Active smaller-size contracts as % of total active contracts</t>
  </si>
  <si>
    <t>Size Fit</t>
  </si>
  <si>
    <t>Not sure why this is useful - in enterprise tech it's useful to weed out the mom &amp; pop shops, but here pretty much all we have is mom &amp; pop shops</t>
  </si>
  <si>
    <t>Active similar-size contracts as % of total active contracts</t>
  </si>
  <si>
    <t>avg %</t>
  </si>
  <si>
    <t>Again, probably nuke contracting</t>
  </si>
  <si>
    <t>What is the success rate of all prior contracting projects in meeting estimates for; time, scope, budget?</t>
  </si>
  <si>
    <t>Organization background</t>
  </si>
  <si>
    <t>I don't think "contracting" is something that the audience will resonate with - I'd remove that completely and instead be more specific in what we view as success - e.g. "What is the percentage of past projects that have been successful in terms of reaching target functionality &amp; customer satisfaction?"</t>
  </si>
  <si>
    <t>What is the success rate of all prior contracting projects?</t>
  </si>
  <si>
    <t>Redundant with above, and again, not going to get anyone saying no</t>
  </si>
  <si>
    <t>Are there sufficient resources available to keep the project going after completion?</t>
  </si>
  <si>
    <t>Sustainability</t>
  </si>
  <si>
    <t>this one might belong in the questionnaire for DAO VA's</t>
  </si>
  <si>
    <t>Who would honestly say no?</t>
  </si>
  <si>
    <t>Is there sufficient internal interest and community support inside your organization to keep this project going?</t>
  </si>
  <si>
    <t>Projects rather than contracts</t>
  </si>
  <si>
    <t>How many similar-size projects is the organization actively working on?</t>
  </si>
  <si>
    <t>I'd try to quantify a bit more precisely than yes / no - e.g. "How many staff hours would you be able to contribute post-delivery to support / maintain this project"</t>
  </si>
  <si>
    <t>Are there enough full time staff available to support this project in the future?</t>
  </si>
  <si>
    <t>Probably need to give them an N/A if the team is too small to have statistically significant staff turnover ratios (which is actually where I'd expect most to land)</t>
  </si>
  <si>
    <t>What is the average staff turnover rate for level of staff dedicated to this project?</t>
  </si>
  <si>
    <t>Again, no onsite anything here</t>
  </si>
  <si>
    <t>What is the average staff turnover rate for your on-site staff?</t>
  </si>
  <si>
    <t>What proportion of the team has worked together on the same project in the past?</t>
  </si>
  <si>
    <t>Probably not useful</t>
  </si>
  <si>
    <t>What proportion of staff will rotate in and out of the project?</t>
  </si>
  <si>
    <t>Is it proportion (which I'd think of as %) or number?</t>
  </si>
  <si>
    <t>What proportion of staff will be dedicated to the project full time?</t>
  </si>
  <si>
    <t>How many hours per week will be dedicated to this project across all individuals?</t>
  </si>
  <si>
    <t>Maybe specify that it should be in FTEs</t>
  </si>
  <si>
    <t>How many staff will the organization dedicate to the project?</t>
  </si>
  <si>
    <t>Maybe qualify as approximately</t>
  </si>
  <si>
    <t>I don't know the exact scale you're planning to use, but it seems like</t>
  </si>
  <si>
    <t>Usually you'd want a qualifier like in the last X years. Also, why wouldn't this be in skills instead?</t>
  </si>
  <si>
    <t>How many similar size projects has the organization completed?</t>
  </si>
  <si>
    <t>Success rate</t>
  </si>
  <si>
    <t xml:space="preserve">Not sure what this is really measuring </t>
  </si>
  <si>
    <t>Does the company regularly conduct contract work?</t>
  </si>
  <si>
    <t>Nobody is working on site here</t>
  </si>
  <si>
    <t>For privacy, oftentimes it's useful to have buckets here. Also definitely need to specify currency (USD)</t>
  </si>
  <si>
    <t>Changed company to organization - we should probably have a preamble question that asks whether the submitter is an individual or representing an organization</t>
  </si>
  <si>
    <t>How many staff does your organization currently employ (FTE)?</t>
  </si>
  <si>
    <t>Will the proposer have the ability to deliver quickly and/or at scale?</t>
  </si>
  <si>
    <t>Please upload any supporting evidence</t>
  </si>
  <si>
    <t>Is the right metric here customers or downloads? Also, we need to think ahead - are we talking about B2B customers, where 5-10 might be useful; or consumers, where you'd need to be in the hundreds or thousands to leave any mark. Maybe we have it in separate questions</t>
  </si>
  <si>
    <t>External performance validation</t>
  </si>
  <si>
    <t>Let's dig into quality metrics available via github instead - see paper I linked above</t>
  </si>
  <si>
    <t>First, US-based customers is not a thing in the crypto world because of regulatory issues that often make projects nominally unavailable in the US. Secondly, I don't think people collect net promoter scores</t>
  </si>
  <si>
    <t>I'd wrap this into the open source section - not sure if it's needed other than to say "other than open source software, are there publicly available contributions you've made to the project's subject area (e.g. white paper, article, study, conference presentation)"</t>
  </si>
  <si>
    <t>Has anyone on the team produced work in this area for free that is publicly avaliable?</t>
  </si>
  <si>
    <t>Motivation</t>
  </si>
  <si>
    <t>7 point scale</t>
  </si>
  <si>
    <t>Would the team be open to returning to this project later after the contract has been completed for subsequent work?</t>
  </si>
  <si>
    <t>How willing would the team be to return to a previous project if there was an issue that merited subsequent work?</t>
  </si>
  <si>
    <t>give team questionnaire, average results?</t>
  </si>
  <si>
    <t>To what extent did the members of the team enjoy working on their last project, on average?</t>
  </si>
  <si>
    <t>number entry boxes for all measures</t>
  </si>
  <si>
    <t>numbers and drop down lists</t>
  </si>
  <si>
    <t>I highly doubt you're going to get any 3-tier org structures here</t>
  </si>
  <si>
    <t>What are typical minimum qualifications for team managers? (years xp, education, other talent factor)</t>
  </si>
  <si>
    <t>Qualifications</t>
  </si>
  <si>
    <t>I'd present this to the community cautiously - specifying that we don't want to be elitist, but there are some qualities associated with higher education levels</t>
  </si>
  <si>
    <t>What percentage of the team possesses a bachelors degree?</t>
  </si>
  <si>
    <t>Would a better question be around</t>
  </si>
  <si>
    <t>What are typical minimum qualifications for team leads? (years xp, education, other talent factor)</t>
  </si>
  <si>
    <t>numbers and drop down lists, open end</t>
  </si>
  <si>
    <t>I get where this is coming from, but I don't think we'll deal with the types of orgs that have structured hiring policies - these are going to be solo practictioners or startup-type orgs</t>
  </si>
  <si>
    <t>What are typical minimum qualifications for team members? (years xp, education, other talent factor)</t>
  </si>
  <si>
    <t>Are there certs that are useful in open source / blockchain dev? Also, what's the difference between this and the follow-on? I don't think helpdesk certs will be useful, but if there are examples of certifications that help, we could ask about them specifically</t>
  </si>
  <si>
    <t>If a team, how many years of experience does the team's lead or manager have in that role?</t>
  </si>
  <si>
    <t>Experience</t>
  </si>
  <si>
    <t>sum total years</t>
  </si>
  <si>
    <t>What were those projects? Please detail</t>
  </si>
  <si>
    <t>Ok, but why open ended? Seems like something that should be a number or log scale buckets (0, 1-5, 5-10, 10-50, 50-100, 100+)</t>
  </si>
  <si>
    <t>Again, there's a problem with using quantity - you could only contribute to one project, but if that one project happens to be the Linux kernel, that would be pretty damn impressive</t>
  </si>
  <si>
    <t>How many open source projects have you or your team members contributed significantly to?</t>
  </si>
  <si>
    <t>Since DAOs are new, we want to cover on open source more generally. However, there should probably be a quality threshold of some sorts for this - e.g. number of downloads. See https://cybersecurity.springeropen.com/articles/10.1186/s42400-021-00084-8 for potential targets</t>
  </si>
  <si>
    <t>Changed the category - think we need to expand &amp; cover quality here</t>
  </si>
  <si>
    <t>How many? When? Project, time scope budget? Successful? Links?</t>
  </si>
  <si>
    <t>You could rephrase directly into how many projects were delivered - and as follow-ups total rewards earned</t>
  </si>
  <si>
    <t>AV Comment</t>
  </si>
  <si>
    <t>Theme</t>
  </si>
  <si>
    <t>Proposal 1</t>
  </si>
  <si>
    <t>Proposal 2</t>
  </si>
  <si>
    <t>Proposal 3</t>
  </si>
  <si>
    <t>Proposal 4</t>
  </si>
  <si>
    <t>Proposal 5</t>
  </si>
  <si>
    <t>Proposal 6</t>
  </si>
  <si>
    <t>Proposal 7</t>
  </si>
  <si>
    <t>Proposal 8</t>
  </si>
  <si>
    <t>Proposal 9</t>
  </si>
  <si>
    <t>Proposal 10</t>
  </si>
  <si>
    <t>Net Score</t>
  </si>
  <si>
    <t>n/a</t>
  </si>
  <si>
    <r>
      <t>&lt;</t>
    </r>
    <r>
      <rPr>
        <sz val="10"/>
        <color rgb="FF000000"/>
        <rFont val="Arial"/>
        <family val="2"/>
      </rPr>
      <t xml:space="preserve">10 000 € </t>
    </r>
  </si>
  <si>
    <t xml:space="preserve">10 000-49 999 € </t>
  </si>
  <si>
    <t xml:space="preserve">50 000-99 999 € </t>
  </si>
  <si>
    <t xml:space="preserve">100 000-249 999 € </t>
  </si>
  <si>
    <t xml:space="preserve">250 000-999 999 € </t>
  </si>
  <si>
    <t xml:space="preserve">1 000 000-2 499 999 € </t>
  </si>
  <si>
    <t xml:space="preserve">2 500 000+ € </t>
  </si>
  <si>
    <t>Funds Requested (in € )</t>
  </si>
  <si>
    <t>Net Score for "Yes"  by Grant Size</t>
  </si>
  <si>
    <t>Threshold Met?</t>
  </si>
  <si>
    <t>1-5 from fully disagree to fully agree</t>
  </si>
  <si>
    <t>The code examined from the proposer was functional</t>
  </si>
  <si>
    <t>It was well written, elegant, and easy to follow</t>
  </si>
  <si>
    <t>It demonstrated strong security principles</t>
  </si>
  <si>
    <t>It appeared to scale well</t>
  </si>
  <si>
    <t>It was annotated properly</t>
  </si>
  <si>
    <t>It was free from apparent unremedied bugs / errors / uncaught exceptions</t>
  </si>
  <si>
    <t>The proposer introduced me to this number of clueful staff members</t>
  </si>
  <si>
    <t>Bucket ranges</t>
  </si>
  <si>
    <t>The number &amp; scale of past projects indicates a dev team of this approximate size</t>
  </si>
  <si>
    <t>The corporate structure of the proposer</t>
  </si>
  <si>
    <t>Dropdown list with higher weights for Swiss Association, Partnership, and other non-hierarchical structures</t>
  </si>
  <si>
    <t>Decision-making structure from discussions with proposer</t>
  </si>
  <si>
    <t>History of incomplete projects</t>
  </si>
  <si>
    <t>Use of DAO structures within the proposer org</t>
  </si>
  <si>
    <t>Verified financing amount</t>
  </si>
  <si>
    <t>Crypto financing</t>
  </si>
  <si>
    <t>New perspectives added - demographic</t>
  </si>
  <si>
    <t>New perspectives added - industry</t>
  </si>
  <si>
    <t>New perspectives added - geography</t>
  </si>
  <si>
    <t>New perspectives added - social impact focus</t>
  </si>
  <si>
    <t>New perspectives added - organization size / maturity</t>
  </si>
  <si>
    <t>Yes / no</t>
  </si>
  <si>
    <t>Dropdown list</t>
  </si>
  <si>
    <t>Blockchain is an integral part of past projects</t>
  </si>
  <si>
    <t>There is a sufficient number of qualified team members to deliver the project as scoped</t>
  </si>
  <si>
    <t>There isn't excessive overhead or dead weight for the scope of the project</t>
  </si>
  <si>
    <t>The proposal directly serves decentralization</t>
  </si>
  <si>
    <t>The proposal directly serves open source</t>
  </si>
  <si>
    <t>The proposal directly serves innovation</t>
  </si>
  <si>
    <t>The proposal directly serves DxD needs</t>
  </si>
  <si>
    <t>The proposal directly addresses a strategic objective for DxD</t>
  </si>
  <si>
    <t>The proposal directly answers a known tactical need for DxD</t>
  </si>
  <si>
    <t>The proposal indirectly supports a known tactical need</t>
  </si>
  <si>
    <t>The proposal indirectly supports a strategic objective</t>
  </si>
  <si>
    <t>The proposal uses Casper (or other sponsor) as a Layer 1 chain</t>
  </si>
  <si>
    <t>The proposer has built projects on Casper (or other sponsor) previously</t>
  </si>
  <si>
    <t>The proposer has built projects on other Layer 1 chains previously but will switch as a result of this grant funding</t>
  </si>
  <si>
    <t>The application was filled out completely</t>
  </si>
  <si>
    <t>The application is clear</t>
  </si>
  <si>
    <t>The milestones are well defined</t>
  </si>
  <si>
    <t>Sufficient background information on the team qualifications was provided</t>
  </si>
  <si>
    <t>The compensation requested is appropriate to the expected workload</t>
  </si>
  <si>
    <t>The value to the DxD ecosystem is appropriate to the grant amount</t>
  </si>
  <si>
    <t>There is a high probability that the project will be delivered on time &amp; on budget</t>
  </si>
  <si>
    <t>Did you examine the bios / LinkedIn of the project participants?</t>
  </si>
  <si>
    <t>Did you examine sample code / past projects?</t>
  </si>
  <si>
    <t>Did you see a past project in action (demo or live use)?</t>
  </si>
  <si>
    <t>Did you interview project participants to discern their qualifications?</t>
  </si>
  <si>
    <t>1-5 from fully disagree to fully agree, 0 if info was not provided / examined</t>
  </si>
  <si>
    <t>Past projects indicated likelihood of success in this project</t>
  </si>
  <si>
    <t>Past projects demonstrated qualifications for this project</t>
  </si>
  <si>
    <t>Qualifications appear to be sufficient for the project</t>
  </si>
  <si>
    <t>The proposal builds on existing grants</t>
  </si>
  <si>
    <t>The proposal does not replicate anything that already exists in the ecosystem</t>
  </si>
  <si>
    <t>The proposal integrates with existing projects</t>
  </si>
  <si>
    <t>The proposal is aware of the integrated user experience between different projects</t>
  </si>
  <si>
    <t>The proposal includes support for maintaining integrations in the future</t>
  </si>
  <si>
    <t>There is a real world outcome that will result from this project</t>
  </si>
  <si>
    <t>A performance indicator or metric you care about will shift as a result of it</t>
  </si>
  <si>
    <t>You will use the product if it's delivered</t>
  </si>
  <si>
    <t>Other people you know personally will use the product when it's delivered</t>
  </si>
  <si>
    <t>There is a broader audience for this project that you see</t>
  </si>
  <si>
    <t>Top-reputation VAs (Wulf K, Tim M, Michael S, others) have vetted / endorsed the project</t>
  </si>
  <si>
    <t>Other VAs with solid reputations have vetted / endorsed the project</t>
  </si>
  <si>
    <t>Score from Code Review DAO</t>
  </si>
  <si>
    <t xml:space="preserve"> 1 - 5</t>
  </si>
  <si>
    <t>Casper or other sponsor has vetted / endorsed the project</t>
  </si>
  <si>
    <t>Other trusted organization has vetted / endorsed the project</t>
  </si>
  <si>
    <t>Subcategory</t>
  </si>
  <si>
    <t>Source</t>
  </si>
  <si>
    <t>Program-Level Appendix (used only for ongoing programs)</t>
  </si>
  <si>
    <t>Recommended Action</t>
  </si>
  <si>
    <t>No</t>
  </si>
  <si>
    <t>Yes</t>
  </si>
  <si>
    <t>Does proposal trigger dealbreakers (only applies if you set them)?</t>
  </si>
  <si>
    <t>Dummy Proposal - Best Possible</t>
  </si>
  <si>
    <t>Dummy Proposal - Worst Possible</t>
  </si>
  <si>
    <t>Answers</t>
  </si>
  <si>
    <t>Weights</t>
  </si>
  <si>
    <t>Sub</t>
  </si>
  <si>
    <t>Dealbreaker Criteria (Use Sparingly)</t>
  </si>
  <si>
    <t>Threshold Required for Yes (Configurable Above)</t>
  </si>
  <si>
    <t>Proposer</t>
  </si>
  <si>
    <t>Auditor</t>
  </si>
  <si>
    <t>Evaluation Rules</t>
  </si>
  <si>
    <t>50% Credit for &gt;0; Higher is Better (Log)</t>
  </si>
  <si>
    <t>Evaluation Scores</t>
  </si>
  <si>
    <t>Lookup Table 1</t>
  </si>
  <si>
    <t>Yes - Link Provided</t>
  </si>
  <si>
    <t>Table</t>
  </si>
  <si>
    <t>Answer</t>
  </si>
  <si>
    <t>Score</t>
  </si>
  <si>
    <t>Excel treats blank as =0</t>
  </si>
  <si>
    <t>Expected number of on-chain transactions</t>
  </si>
  <si>
    <t>Geographic distribution of on-chain transactions</t>
  </si>
  <si>
    <t>Dealbreaker triggered</t>
  </si>
  <si>
    <t>What percentage of the total budget?</t>
  </si>
  <si>
    <t>How many projects has the organization delivered to a DAO?</t>
  </si>
  <si>
    <t>&gt;10</t>
  </si>
  <si>
    <t>51-99</t>
  </si>
  <si>
    <t>&gt;100</t>
  </si>
  <si>
    <t>Does anyone on the team have relevant project examples in a portfolio available on open source platforms? (github, stackoverflow, etc.)</t>
  </si>
  <si>
    <t>yes</t>
  </si>
  <si>
    <t>If yes, please provide a link(s)</t>
  </si>
  <si>
    <t>no</t>
  </si>
  <si>
    <t>&gt; 1</t>
  </si>
  <si>
    <t>How many years of experience does the proposed team cumulatively have in the project area's domain?</t>
  </si>
  <si>
    <t>&gt; 10</t>
  </si>
  <si>
    <t>10+</t>
  </si>
  <si>
    <t>88%-100%</t>
  </si>
  <si>
    <t>73%-87%</t>
  </si>
  <si>
    <t>57%-72%</t>
  </si>
  <si>
    <t>41%-56%</t>
  </si>
  <si>
    <t>25%-40%</t>
  </si>
  <si>
    <t>0%-24%</t>
  </si>
  <si>
    <t>has link(s)</t>
  </si>
  <si>
    <t>extra 50%</t>
  </si>
  <si>
    <t>no link</t>
  </si>
  <si>
    <t>Go to next question</t>
  </si>
  <si>
    <t>Which layer 1 chain was used?</t>
  </si>
  <si>
    <t>Bitcoin</t>
  </si>
  <si>
    <t>Ethereum</t>
  </si>
  <si>
    <t>BNB</t>
  </si>
  <si>
    <t>XRP</t>
  </si>
  <si>
    <t>Cardano</t>
  </si>
  <si>
    <t>Dogecoin</t>
  </si>
  <si>
    <t>Polkadot</t>
  </si>
  <si>
    <t>OKB</t>
  </si>
  <si>
    <t>Tron</t>
  </si>
  <si>
    <t>Litecoin</t>
  </si>
  <si>
    <t>Solana</t>
  </si>
  <si>
    <t>Avalanche</t>
  </si>
  <si>
    <t>Cosmos</t>
  </si>
  <si>
    <t>Etherium Classic</t>
  </si>
  <si>
    <t>Monero</t>
  </si>
  <si>
    <t>Algorand</t>
  </si>
  <si>
    <t>Stellar</t>
  </si>
  <si>
    <t>Cronos</t>
  </si>
  <si>
    <t>Vechain</t>
  </si>
  <si>
    <t>Flow</t>
  </si>
  <si>
    <t>Other</t>
  </si>
  <si>
    <t>Eclipse Public License 1.0/ European Union Public License 1.1</t>
  </si>
  <si>
    <t>GNU Affero General Public License v3.0/ Creative Commons Attribution Share Alike 4.0</t>
  </si>
  <si>
    <t>GNU General Public License v2.0 / GNU General Public License v3.0</t>
  </si>
  <si>
    <t>LaTeX Project Public License v1.3c / Microsoft Reciprocal License</t>
  </si>
  <si>
    <t>Mozilla Public License 2.0 / SIL Open Font License 1.1 / Open Software License 3.0</t>
  </si>
  <si>
    <t>GNU Lesser General Public License v2.1 / GNU Lesser General Public License v3.0</t>
  </si>
  <si>
    <t>BSD 3-clause Clear License / Apache License 2.0 / Artistic License 2.0</t>
  </si>
  <si>
    <t>Creative Commons Attribution 4.0 / Creative Commons Zero v1.0 Universal</t>
  </si>
  <si>
    <t>Academic Free License v3.0 / Microsoft Public License</t>
  </si>
  <si>
    <t>BSD 2-clause “Simplified” License / BSD 3-clause “New” or “Revised” License</t>
  </si>
  <si>
    <t>ISC License / MIT License / The Unlicense /zlib License</t>
  </si>
  <si>
    <t>other</t>
  </si>
  <si>
    <t>Is the license copyleft or permissive?</t>
  </si>
  <si>
    <t>Copyleft</t>
  </si>
  <si>
    <t>Permissive</t>
  </si>
  <si>
    <t>N/A</t>
  </si>
  <si>
    <t>... For the example project, how many languages have the OSS documents (like readme files or license files) been translated into?-</t>
  </si>
  <si>
    <t>If yes, please attach example translation(s) in comments section</t>
  </si>
  <si>
    <t>has attachment</t>
  </si>
  <si>
    <t>no attachment</t>
  </si>
  <si>
    <t>26-52</t>
  </si>
  <si>
    <t>52-156</t>
  </si>
  <si>
    <t>157+</t>
  </si>
  <si>
    <t>&gt; 500</t>
  </si>
  <si>
    <t>401-499</t>
  </si>
  <si>
    <t>301-400</t>
  </si>
  <si>
    <t>201-300</t>
  </si>
  <si>
    <t>101-200</t>
  </si>
  <si>
    <t>1-100</t>
  </si>
  <si>
    <t>&lt;1000</t>
  </si>
  <si>
    <t>1001-10,000</t>
  </si>
  <si>
    <t>10,000-100,000</t>
  </si>
  <si>
    <t>100,001-999,000</t>
  </si>
  <si>
    <t>&gt; 1,000,000</t>
  </si>
  <si>
    <t>0-10</t>
  </si>
  <si>
    <t>10-100</t>
  </si>
  <si>
    <t>101-1000</t>
  </si>
  <si>
    <t>&gt; 10000</t>
  </si>
  <si>
    <t>0-7</t>
  </si>
  <si>
    <t>https://www.faros.ai/blog/the-state-of-open-source-software</t>
  </si>
  <si>
    <t>31-179,</t>
  </si>
  <si>
    <t>&gt; 180</t>
  </si>
  <si>
    <t>1 or 2 40%</t>
  </si>
  <si>
    <t>&gt; 20</t>
  </si>
  <si>
    <t>Since launch, approximately how many bugs have been fixed by volunteers?</t>
  </si>
  <si>
    <t>If the number of volunteer fixes is greater than the number fixed by the core team, then 100% of the score is awarded.</t>
  </si>
  <si>
    <t>Since launch, approximately how many bugs have been fixed by the core development team?</t>
  </si>
  <si>
    <t>If volunteers have fixed more than 10%</t>
  </si>
  <si>
    <t>If vilunteers have fixed &lt;10%</t>
  </si>
  <si>
    <t>... For the example project, what project systems is it compatible with?</t>
  </si>
  <si>
    <t>linux</t>
  </si>
  <si>
    <t>anything other than linux</t>
  </si>
  <si>
    <t>... For the example project, does it have a vulnerability rating as quantified by the Common Vulnerability Scoring System (CVSS)?</t>
  </si>
  <si>
    <t>0.1 – 3.9</t>
  </si>
  <si>
    <t>4.0 – 6.9</t>
  </si>
  <si>
    <t>7.0 – 8.9</t>
  </si>
  <si>
    <t>9.0 – 10.0</t>
  </si>
  <si>
    <t>If a github project, how many stars?</t>
  </si>
  <si>
    <t>11-100</t>
  </si>
  <si>
    <t>&gt;1000</t>
  </si>
  <si>
    <t>&gt; 100</t>
  </si>
  <si>
    <t>&lt; 99k</t>
  </si>
  <si>
    <t>100k-299k</t>
  </si>
  <si>
    <t>300k-500k</t>
  </si>
  <si>
    <t>500k-1 million</t>
  </si>
  <si>
    <t>1-10m</t>
  </si>
  <si>
    <t>11-100m</t>
  </si>
  <si>
    <t>100m+</t>
  </si>
  <si>
    <t>Approximately how many days do you expect it will take the full team to complete the project?</t>
  </si>
  <si>
    <t>Within 15% of breakeven cost</t>
  </si>
  <si>
    <t>Not within 15% of breakeven cost</t>
  </si>
  <si>
    <t>13-20</t>
  </si>
  <si>
    <t>0-5</t>
  </si>
  <si>
    <t>21-35</t>
  </si>
  <si>
    <t>36-40</t>
  </si>
  <si>
    <t>&gt; 40</t>
  </si>
  <si>
    <t>&lt; 11</t>
  </si>
  <si>
    <t>25-100</t>
  </si>
  <si>
    <t>0-40%</t>
  </si>
  <si>
    <t>41-60%</t>
  </si>
  <si>
    <t>61-80%</t>
  </si>
  <si>
    <t>81-100%</t>
  </si>
  <si>
    <t>What percentage of past projects that have been successful in terms of reaching target functionality?</t>
  </si>
  <si>
    <t>92%-100%</t>
  </si>
  <si>
    <t>79%-91%</t>
  </si>
  <si>
    <t>64%-78%</t>
  </si>
  <si>
    <t>49%-63%</t>
  </si>
  <si>
    <t>34%-48%</t>
  </si>
  <si>
    <t>0%-33%</t>
  </si>
  <si>
    <t>time</t>
  </si>
  <si>
    <t>scope</t>
  </si>
  <si>
    <t>86%-100%</t>
  </si>
  <si>
    <t>73%-85%</t>
  </si>
  <si>
    <t>60%-72%</t>
  </si>
  <si>
    <t>46%-59%</t>
  </si>
  <si>
    <t>33%-45%</t>
  </si>
  <si>
    <t>0%-32%</t>
  </si>
  <si>
    <t>budget</t>
  </si>
  <si>
    <t>90%-100%</t>
  </si>
  <si>
    <t>75%-89%</t>
  </si>
  <si>
    <t>58%-74%</t>
  </si>
  <si>
    <t>42%-57%</t>
  </si>
  <si>
    <t>26%-41%</t>
  </si>
  <si>
    <t>0%-25%</t>
  </si>
  <si>
    <t>Please choose the top 3 communication services used by your organization</t>
  </si>
  <si>
    <t>Telegram</t>
  </si>
  <si>
    <t>Medium</t>
  </si>
  <si>
    <t>Discourse</t>
  </si>
  <si>
    <t>Discord</t>
  </si>
  <si>
    <t>Email</t>
  </si>
  <si>
    <t>Microsoft teams</t>
  </si>
  <si>
    <t>Slack</t>
  </si>
  <si>
    <t>Google messaging</t>
  </si>
  <si>
    <t>Skype</t>
  </si>
  <si>
    <t>None</t>
  </si>
  <si>
    <t>Worked for a DAO</t>
  </si>
  <si>
    <t>Earned rep in a DAO</t>
  </si>
  <si>
    <t>Participated in DAO voting or governance</t>
  </si>
  <si>
    <t>Started a DAO</t>
  </si>
  <si>
    <t>Does your organization accept payments in cryptocurrency?</t>
  </si>
  <si>
    <t>collectively</t>
  </si>
  <si>
    <t>managerially</t>
  </si>
  <si>
    <t>CEO</t>
  </si>
  <si>
    <t>Executive Team</t>
  </si>
  <si>
    <t>Org-Wide Voting</t>
  </si>
  <si>
    <t>Rep-Weighted Voting</t>
  </si>
  <si>
    <t>Software</t>
  </si>
  <si>
    <t>IT Services</t>
  </si>
  <si>
    <t>Consulting</t>
  </si>
  <si>
    <t>Academia</t>
  </si>
  <si>
    <t>Other (please specify)</t>
  </si>
  <si>
    <t>Any meaningful response</t>
  </si>
  <si>
    <t>no meaningful response</t>
  </si>
  <si>
    <t>Which infrastructure?</t>
  </si>
  <si>
    <t>Any meaningful entry</t>
  </si>
  <si>
    <t>Which ticket(s) does the project address?</t>
  </si>
  <si>
    <t>any ticket number</t>
  </si>
  <si>
    <t>What outline need(s) in the VA roadmap does this project support?</t>
  </si>
  <si>
    <t>Any meaningful outcome listed</t>
  </si>
  <si>
    <t>Please list the data</t>
  </si>
  <si>
    <t>Total rep of names listed greater than XX number</t>
  </si>
  <si>
    <t>Total rep of names listed is between XX-XX</t>
  </si>
  <si>
    <t>Total rep of names listed is greater than XX</t>
  </si>
  <si>
    <t>0-100,000</t>
  </si>
  <si>
    <t>101,000-1,000,000</t>
  </si>
  <si>
    <t>1,00,001-1,000,000,000</t>
  </si>
  <si>
    <t>&gt;1,000,000,000</t>
  </si>
  <si>
    <t>1 country</t>
  </si>
  <si>
    <t>2-3 countries</t>
  </si>
  <si>
    <t>more than 3 countries</t>
  </si>
  <si>
    <t>Days Visited</t>
  </si>
  <si>
    <t>&gt; 0</t>
  </si>
  <si>
    <t>Has attachment</t>
  </si>
  <si>
    <t>Read Time</t>
  </si>
  <si>
    <t>Does not have attachment</t>
  </si>
  <si>
    <t>Posts Read</t>
  </si>
  <si>
    <t>Hearts Received</t>
  </si>
  <si>
    <t>Hearts Given</t>
  </si>
  <si>
    <t>Topics Created</t>
  </si>
  <si>
    <t>Verified</t>
  </si>
  <si>
    <t>extra 25%</t>
  </si>
  <si>
    <t>Total rep of names listed greater than XX</t>
  </si>
  <si>
    <t>Unverified</t>
  </si>
  <si>
    <t>Total rep of names listed XX-XX</t>
  </si>
  <si>
    <t>Total rep of names listed XX-XXX</t>
  </si>
  <si>
    <t>Total rep of names listed is between XX-XXX</t>
  </si>
  <si>
    <t>currencies</t>
  </si>
  <si>
    <t>developer tools</t>
  </si>
  <si>
    <t>sovereignty</t>
  </si>
  <si>
    <t>fintech</t>
  </si>
  <si>
    <t>value exchange</t>
  </si>
  <si>
    <t>authenticity</t>
  </si>
  <si>
    <t>Any answer</t>
  </si>
  <si>
    <t>None of the above</t>
  </si>
  <si>
    <t>no answer</t>
  </si>
  <si>
    <t>MEAN</t>
  </si>
  <si>
    <t>2nd most popular OSS stack, good for cloud</t>
  </si>
  <si>
    <t>MERN</t>
  </si>
  <si>
    <t>Sacrificing some functionality without a full framework</t>
  </si>
  <si>
    <t>MEVN</t>
  </si>
  <si>
    <t>Lacks resources as the less popular</t>
  </si>
  <si>
    <t>LAMP</t>
  </si>
  <si>
    <t>most popular OSS stack</t>
  </si>
  <si>
    <t>Serverless</t>
  </si>
  <si>
    <t>Less control over what technologies are in the stack</t>
  </si>
  <si>
    <t>Flutter</t>
  </si>
  <si>
    <t>The SDK also perfectly fits into the startup ecosystem since it’s open-source, feature-rich, and cost-effective.</t>
  </si>
  <si>
    <t>internal to this dao</t>
  </si>
  <si>
    <t>to all DAOs</t>
  </si>
  <si>
    <t>to all decentralized apps</t>
  </si>
  <si>
    <t>to all organizations centralized and decentralized</t>
  </si>
  <si>
    <t>creating code</t>
  </si>
  <si>
    <t>research</t>
  </si>
  <si>
    <t>investment</t>
  </si>
  <si>
    <t>implementation</t>
  </si>
  <si>
    <t>legal</t>
  </si>
  <si>
    <t>0-150$</t>
  </si>
  <si>
    <t>151-300$/</t>
  </si>
  <si>
    <t>301-400$</t>
  </si>
  <si>
    <t>401-600$</t>
  </si>
  <si>
    <t>601-800$</t>
  </si>
  <si>
    <t>&gt; 800$</t>
  </si>
  <si>
    <t>20% or less of total cost</t>
  </si>
  <si>
    <t>100%%</t>
  </si>
  <si>
    <t>&gt;20% of total cost of project</t>
  </si>
  <si>
    <t>Any valid grant number(s)</t>
  </si>
  <si>
    <t>Any valid proposal number(s)</t>
  </si>
  <si>
    <t>21-39</t>
  </si>
  <si>
    <t>40-59</t>
  </si>
  <si>
    <t>60-79</t>
  </si>
  <si>
    <t>80-99</t>
  </si>
  <si>
    <t>100+</t>
  </si>
  <si>
    <t>go to next question</t>
  </si>
  <si>
    <t>How many hours are budgeted for this aspect of the project? # (calc = # of hours/Total estimated project hours</t>
  </si>
  <si>
    <t>0% or N/A</t>
  </si>
  <si>
    <t>1-3%</t>
  </si>
  <si>
    <t>4-5%</t>
  </si>
  <si>
    <t>6-10%</t>
  </si>
  <si>
    <t>11%+</t>
  </si>
  <si>
    <t>0 or N/A</t>
  </si>
  <si>
    <t>Is there a target metric you're trying to change?</t>
  </si>
  <si>
    <t>6+</t>
  </si>
  <si>
    <t>Please specify metrics</t>
  </si>
  <si>
    <t>Are there known target adoption targets (including yourself?)</t>
  </si>
  <si>
    <t>Any meaningful answer</t>
  </si>
  <si>
    <t>no meaningful answer</t>
  </si>
  <si>
    <t>If yes, please list</t>
  </si>
  <si>
    <t>1+</t>
  </si>
  <si>
    <t>any amount listed</t>
  </si>
  <si>
    <t>no amount listed</t>
  </si>
  <si>
    <t>Hourly expenses of the team over time are within 80%-120% of the total price of the project</t>
  </si>
  <si>
    <t>Hourly expenses of the team over time are not within 80%-120% of the total price of the project</t>
  </si>
  <si>
    <t>0%%</t>
  </si>
  <si>
    <t>What percetage of the total budget?</t>
  </si>
  <si>
    <t>90-99%</t>
  </si>
  <si>
    <t>75-89%</t>
  </si>
  <si>
    <t>50-74%</t>
  </si>
  <si>
    <t>26-49%</t>
  </si>
  <si>
    <t>15%-25%</t>
  </si>
  <si>
    <t>0%-14%</t>
  </si>
  <si>
    <t>0-25%</t>
  </si>
  <si>
    <t>50%-100%</t>
  </si>
  <si>
    <t>Has attachement</t>
  </si>
  <si>
    <t>No attachment</t>
  </si>
  <si>
    <t>What percentage of procedures will be documented?</t>
  </si>
  <si>
    <t>10%%</t>
  </si>
  <si>
    <t>How many hours will be dedicated?</t>
  </si>
  <si>
    <t>0 (0%)</t>
  </si>
  <si>
    <t>1-3</t>
  </si>
  <si>
    <t>4-6</t>
  </si>
  <si>
    <t>7-10</t>
  </si>
  <si>
    <t>1-5</t>
  </si>
  <si>
    <t>6-10</t>
  </si>
  <si>
    <t>11-50</t>
  </si>
  <si>
    <t>Please fill out all the details of this profile, which will be used, in part, to evaluate your future grant requests. You may go back and revise it at any time to reflect additional experience or other new information</t>
  </si>
  <si>
    <t>Individual</t>
  </si>
  <si>
    <t>Sole proprietor corporation</t>
  </si>
  <si>
    <t>For-profit corporation (LLC, GmbH, Inc., etc.)</t>
  </si>
  <si>
    <t>Government organization</t>
  </si>
  <si>
    <t>Public benefit corporation (PBC)</t>
  </si>
  <si>
    <t>Non-profit organization / NGO</t>
  </si>
  <si>
    <t>Organization Type</t>
  </si>
  <si>
    <t>Organization Name</t>
  </si>
  <si>
    <t>Afghanistan</t>
  </si>
  <si>
    <t>Albania</t>
  </si>
  <si>
    <t>Algeria</t>
  </si>
  <si>
    <t>Andorra</t>
  </si>
  <si>
    <t>Angola</t>
  </si>
  <si>
    <t>Antigua and Barbuda</t>
  </si>
  <si>
    <t>Argentina</t>
  </si>
  <si>
    <t>Armenia</t>
  </si>
  <si>
    <t>Austria</t>
  </si>
  <si>
    <t>Azerbaijan</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</si>
  <si>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</si>
  <si>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</si>
  <si>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</si>
  <si>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</si>
  <si>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</si>
  <si>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</si>
  <si>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</si>
  <si>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</si>
  <si>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</si>
  <si>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</si>
  <si>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</si>
  <si>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</si>
  <si>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</si>
  <si>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</si>
  <si>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</si>
  <si>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</si>
  <si>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</si>
  <si>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</si>
  <si>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</si>
  <si>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</si>
  <si>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</si>
  <si>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</si>
  <si>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Channel Islands</t>
  </si>
  <si>
    <t>Chile</t>
  </si>
  <si>
    <t>China</t>
  </si>
  <si>
    <t>Colombia</t>
  </si>
  <si>
    <t>Comoros</t>
  </si>
  <si>
    <t>Congo</t>
  </si>
  <si>
    <t>Costa Rica</t>
  </si>
  <si>
    <t>Côte d'Ivoire</t>
  </si>
  <si>
    <t>Croatia</t>
  </si>
  <si>
    <t>Cuba</t>
  </si>
  <si>
    <t>Cyprus</t>
  </si>
  <si>
    <t>Czech Republic</t>
  </si>
  <si>
    <t>Denmark</t>
  </si>
  <si>
    <t>Djibouti</t>
  </si>
  <si>
    <t>Dominica</t>
  </si>
  <si>
    <t>Dominican Republic</t>
  </si>
  <si>
    <t>DR Congo</t>
  </si>
  <si>
    <t>Ecuador</t>
  </si>
  <si>
    <t>Egypt</t>
  </si>
  <si>
    <t>El Salvador</t>
  </si>
  <si>
    <t>Equatorial Guinea</t>
  </si>
  <si>
    <t>Eritrea</t>
  </si>
  <si>
    <t>Estonia</t>
  </si>
  <si>
    <t>Eswatini</t>
  </si>
  <si>
    <t>Ethiopia</t>
  </si>
  <si>
    <t>Faeroe Islands</t>
  </si>
  <si>
    <t>Finland</t>
  </si>
  <si>
    <t>France</t>
  </si>
  <si>
    <t>French Guiana</t>
  </si>
  <si>
    <t>Gabon</t>
  </si>
  <si>
    <t>Gambia</t>
  </si>
  <si>
    <t>Georgia</t>
  </si>
  <si>
    <t>Germany</t>
  </si>
  <si>
    <t>Ghana</t>
  </si>
  <si>
    <t>Gibraltar</t>
  </si>
  <si>
    <t>Greece</t>
  </si>
  <si>
    <t>Grenada</t>
  </si>
  <si>
    <t>Guatemala</t>
  </si>
  <si>
    <t>Guinea</t>
  </si>
  <si>
    <t>Guinea-Bissau</t>
  </si>
  <si>
    <t>Guyana</t>
  </si>
  <si>
    <t>Haiti</t>
  </si>
  <si>
    <t>Holy See</t>
  </si>
  <si>
    <t>Honduras</t>
  </si>
  <si>
    <t>Hong Kong</t>
  </si>
  <si>
    <t>Hungary</t>
  </si>
  <si>
    <t>Iceland</t>
  </si>
  <si>
    <t>India</t>
  </si>
  <si>
    <t>Indonesia</t>
  </si>
  <si>
    <t>Iran</t>
  </si>
  <si>
    <t>Iraq</t>
  </si>
  <si>
    <t>Ireland</t>
  </si>
  <si>
    <t>Isle of Man</t>
  </si>
  <si>
    <t>Israel</t>
  </si>
  <si>
    <t>Italy</t>
  </si>
  <si>
    <t>Jamaica</t>
  </si>
  <si>
    <t>Japan</t>
  </si>
  <si>
    <t>Jordan</t>
  </si>
  <si>
    <t>Kazakhstan</t>
  </si>
  <si>
    <t>Kenya</t>
  </si>
  <si>
    <t>Kuwait</t>
  </si>
  <si>
    <t>Kyrgyzstan</t>
  </si>
  <si>
    <t>Laos</t>
  </si>
  <si>
    <t>Latvia</t>
  </si>
  <si>
    <t>Lebanon</t>
  </si>
  <si>
    <t>Lesotho</t>
  </si>
  <si>
    <t>Liberia</t>
  </si>
  <si>
    <t>Libya</t>
  </si>
  <si>
    <t>Liechtenstein</t>
  </si>
  <si>
    <t>Lithuania</t>
  </si>
  <si>
    <t>Luxembourg</t>
  </si>
  <si>
    <t>Macao</t>
  </si>
  <si>
    <t>Madagascar</t>
  </si>
  <si>
    <t>Malawi</t>
  </si>
  <si>
    <t>Malaysia</t>
  </si>
  <si>
    <t>Maldives</t>
  </si>
  <si>
    <t>Mali</t>
  </si>
  <si>
    <t>Malta</t>
  </si>
  <si>
    <t>Mauritania</t>
  </si>
  <si>
    <t>Mauritius</t>
  </si>
  <si>
    <t>Mayotte</t>
  </si>
  <si>
    <t>Mexico</t>
  </si>
  <si>
    <t>Moldova</t>
  </si>
  <si>
    <t>Monaco</t>
  </si>
  <si>
    <t>Mongolia</t>
  </si>
  <si>
    <t>Montenegro</t>
  </si>
  <si>
    <t>Morocco</t>
  </si>
  <si>
    <t>Mozambique</t>
  </si>
  <si>
    <t>Myanmar</t>
  </si>
  <si>
    <t>Namibia</t>
  </si>
  <si>
    <t>Nepal</t>
  </si>
  <si>
    <t>Netherlands</t>
  </si>
  <si>
    <t>Nicaragua</t>
  </si>
  <si>
    <t>Niger</t>
  </si>
  <si>
    <t>Nigeria</t>
  </si>
  <si>
    <t>North Korea</t>
  </si>
  <si>
    <t>North Macedonia</t>
  </si>
  <si>
    <t>Norway</t>
  </si>
  <si>
    <t>Oman</t>
  </si>
  <si>
    <t>Pakistan</t>
  </si>
  <si>
    <t>Panama</t>
  </si>
  <si>
    <t>Paraguay</t>
  </si>
  <si>
    <t>Peru</t>
  </si>
  <si>
    <t>Philippines</t>
  </si>
  <si>
    <t>Poland</t>
  </si>
  <si>
    <t>Portugal</t>
  </si>
  <si>
    <t>Qatar</t>
  </si>
  <si>
    <t>Réunion</t>
  </si>
  <si>
    <t>Romania</t>
  </si>
  <si>
    <t>Russia</t>
  </si>
  <si>
    <t>Rwanda</t>
  </si>
  <si>
    <t>Saint Helena</t>
  </si>
  <si>
    <t>Saint Kitts and Nevis</t>
  </si>
  <si>
    <t>Saint Lucia</t>
  </si>
  <si>
    <t>Saint Vincent and the Grenadines</t>
  </si>
  <si>
    <t>San Marino</t>
  </si>
  <si>
    <t>Sao Tome &amp; Principe</t>
  </si>
  <si>
    <t>Saudi Arabia</t>
  </si>
  <si>
    <t>Senegal</t>
  </si>
  <si>
    <t>Serbia</t>
  </si>
  <si>
    <t>Seychelles</t>
  </si>
  <si>
    <t>Sierra Leone</t>
  </si>
  <si>
    <t>Singapore</t>
  </si>
  <si>
    <t>Slovakia</t>
  </si>
  <si>
    <t>Slovenia</t>
  </si>
  <si>
    <t>Somalia</t>
  </si>
  <si>
    <t>South Africa</t>
  </si>
  <si>
    <t>South Korea</t>
  </si>
  <si>
    <t>South Sudan</t>
  </si>
  <si>
    <t>Spain</t>
  </si>
  <si>
    <t>Sri Lanka</t>
  </si>
  <si>
    <t>State of Palestine</t>
  </si>
  <si>
    <t>Sudan</t>
  </si>
  <si>
    <t>Suriname</t>
  </si>
  <si>
    <t>Sweden</t>
  </si>
  <si>
    <t>Switzerland</t>
  </si>
  <si>
    <t>Syria</t>
  </si>
  <si>
    <t>Taiwan</t>
  </si>
  <si>
    <t>Tajikistan</t>
  </si>
  <si>
    <t>Tanzania</t>
  </si>
  <si>
    <t>Thailand</t>
  </si>
  <si>
    <t>The Bahamas</t>
  </si>
  <si>
    <t>Timor-Leste</t>
  </si>
  <si>
    <t>Togo</t>
  </si>
  <si>
    <t>Trinidad and Tobago</t>
  </si>
  <si>
    <t>Tunisia</t>
  </si>
  <si>
    <t>Turkey</t>
  </si>
  <si>
    <t>Turkmenistan</t>
  </si>
  <si>
    <t>Uganda</t>
  </si>
  <si>
    <t>Ukraine</t>
  </si>
  <si>
    <t>United Arab Emirates</t>
  </si>
  <si>
    <t>United Kingdom</t>
  </si>
  <si>
    <t>United States</t>
  </si>
  <si>
    <t>Uruguay</t>
  </si>
  <si>
    <t>Uzbekistan</t>
  </si>
  <si>
    <t>Venezuela</t>
  </si>
  <si>
    <t>Vietnam</t>
  </si>
  <si>
    <t>Western Sahara</t>
  </si>
  <si>
    <t>Yemen</t>
  </si>
  <si>
    <t>Zambia</t>
  </si>
  <si>
    <t>Zimbabwe</t>
  </si>
  <si>
    <t>Comment / Other</t>
  </si>
  <si>
    <t>Organization Registered Country (note that participation from some countries under embargo may not be possible to maintain regulatory compliance in the jurisdictions where other DAO members operate)</t>
  </si>
  <si>
    <t>Primary Contact Name</t>
  </si>
  <si>
    <t>Primary Contact E-mail</t>
  </si>
  <si>
    <t>Primary Contact Phone</t>
  </si>
  <si>
    <t>How many open source projects has the organization and its key team members started?</t>
  </si>
  <si>
    <t>How many open source projects has the organization and its key team members contributed code to?</t>
  </si>
  <si>
    <t>Does the organization operate as a DAO or other collective / community organization</t>
  </si>
  <si>
    <t>Countries</t>
  </si>
  <si>
    <t>Centralization</t>
  </si>
  <si>
    <t>Table Name</t>
  </si>
  <si>
    <t>Fully a DAO</t>
  </si>
  <si>
    <t>Other decentralized (e.g. Co-op)</t>
  </si>
  <si>
    <t>Hybrid (e.g. non-profit DAO and for-profit corp)</t>
  </si>
  <si>
    <t>Fully centralized</t>
  </si>
  <si>
    <t>Centralized with DAO elements (rep, voting)</t>
  </si>
  <si>
    <t>Centralized with employees owning &gt;50% of stock</t>
  </si>
  <si>
    <t>Not applicable (e.g. individual / sole proprietor)</t>
  </si>
  <si>
    <t>Primary Contact Telegram</t>
  </si>
  <si>
    <t>What percentage of client projects in the last year were delivered within 10% of committed timelines?</t>
  </si>
  <si>
    <t>What percentage of completed projects in the last year were approved by the client as meeting specs?</t>
  </si>
  <si>
    <t>Section</t>
  </si>
  <si>
    <t>Basic org info</t>
  </si>
  <si>
    <t>What is the highest level of participation in a DAO you have had to date?</t>
  </si>
  <si>
    <t>What is the highest level of participation in a DAO your org or its team members have had to date?</t>
  </si>
  <si>
    <t>Founded a DAO with &gt;5 members</t>
  </si>
  <si>
    <t>DAO_Experience</t>
  </si>
  <si>
    <t>Scale</t>
  </si>
  <si>
    <t>Has your organization issued its own token on a public blockchain?</t>
  </si>
  <si>
    <t>YES_No_Link</t>
  </si>
  <si>
    <t>YES_No</t>
  </si>
  <si>
    <t>Expand for more</t>
  </si>
  <si>
    <t>Yes is good</t>
  </si>
  <si>
    <t>No is good</t>
  </si>
  <si>
    <t>Supporting info required for yes to be fully valid</t>
  </si>
  <si>
    <t>Answer (Gray cells include dropdown)</t>
  </si>
  <si>
    <t>Org_Type</t>
  </si>
  <si>
    <t>Decisions</t>
  </si>
  <si>
    <t>Other Centralized</t>
  </si>
  <si>
    <t>Other Decentralized</t>
  </si>
  <si>
    <t>Who makes material decisions about the organization's future?</t>
  </si>
  <si>
    <t>Do all employees have access to detailed financial &amp; compensation information?</t>
  </si>
  <si>
    <t>Is your organization at least 51% owned, operated, and controlled by one or more women?</t>
  </si>
  <si>
    <t>What industry is your organization primarily operating in?</t>
  </si>
  <si>
    <t>Software development</t>
  </si>
  <si>
    <t>IT services</t>
  </si>
  <si>
    <t>Consulting services</t>
  </si>
  <si>
    <t>Education / academia</t>
  </si>
  <si>
    <t>Other in blockchain</t>
  </si>
  <si>
    <t>Other, non-blockchain (please specify)</t>
  </si>
  <si>
    <t>Augmentation of existing DxD software</t>
  </si>
  <si>
    <t>New software for DAO operations</t>
  </si>
  <si>
    <t>What types of projects do you primarily intend to propose (Select up to 3)?</t>
  </si>
  <si>
    <t>Open-source software not related to DAOs</t>
  </si>
  <si>
    <t>Research on decentralization</t>
  </si>
  <si>
    <t>Services provided to DxD</t>
  </si>
  <si>
    <t>Startup operating on DAO model</t>
  </si>
  <si>
    <t>Established org converting to DAO</t>
  </si>
  <si>
    <t>Other - decentralization related (please specify)</t>
  </si>
  <si>
    <t>Other - open source related (please specify)</t>
  </si>
  <si>
    <t>Other - not open source or decentralization (specify)</t>
  </si>
  <si>
    <t>Focus_Area_Fit</t>
  </si>
  <si>
    <t>Focus_Area_Diversity</t>
  </si>
  <si>
    <t>Fit to mission - doing more of what DxD has already done</t>
  </si>
  <si>
    <t>Increasing diversity - doing more of what DxD hasn't done but is part of mission</t>
  </si>
  <si>
    <t>Track Record</t>
  </si>
  <si>
    <t>Client_Type</t>
  </si>
  <si>
    <t>DEVxDAO</t>
  </si>
  <si>
    <t>Other DAOs</t>
  </si>
  <si>
    <t>Large enterprise (Fortune 1000)</t>
  </si>
  <si>
    <t>Small-mid-size corporations</t>
  </si>
  <si>
    <t>Non-profits</t>
  </si>
  <si>
    <t>Open source project founders / leads</t>
  </si>
  <si>
    <t>No references available</t>
  </si>
  <si>
    <t>High_Percent_Good</t>
  </si>
  <si>
    <t>Low_Percent_Good</t>
  </si>
  <si>
    <t>75%-99%</t>
  </si>
  <si>
    <t>50%-74%</t>
  </si>
  <si>
    <t>25%-49%</t>
  </si>
  <si>
    <t>1%-24%</t>
  </si>
  <si>
    <t>What types of clients will you primarily provide as references if we need to validate your capabilities (e.g. for a large or important grant)?</t>
  </si>
  <si>
    <t>What percentage of completed projects in the last year were delivered within initial budgeted cost?</t>
  </si>
  <si>
    <t>Of these, how many will be actively participating in your activities for the DAO?</t>
  </si>
  <si>
    <t>Numerical (Larger is better, log scale)</t>
  </si>
  <si>
    <t>Please describe the type of work you've done for DAOs in the past</t>
  </si>
  <si>
    <t>Non-blank is better</t>
  </si>
  <si>
    <t>Answer Validation / Scoring: Blue = Dropdown; Yellow = Numerical formula; green=text response</t>
  </si>
  <si>
    <t>Please provide links to your github profile(s) if available</t>
  </si>
  <si>
    <t>Basic Project Info</t>
  </si>
  <si>
    <t>Project Name</t>
  </si>
  <si>
    <t>Project Type</t>
  </si>
  <si>
    <t>Existing_Problems</t>
  </si>
  <si>
    <t>No existing problem ticket</t>
  </si>
  <si>
    <t>Target 1:…</t>
  </si>
  <si>
    <t>Target 2:…</t>
  </si>
  <si>
    <t>Target 3:…</t>
  </si>
  <si>
    <t>To be expanded and linked to a problem ticket system where needs in the DAO are listed by VAs (and potentially voted on)</t>
  </si>
  <si>
    <t>Project name</t>
  </si>
  <si>
    <t>Primary contact for your org</t>
  </si>
  <si>
    <t>Basic info</t>
  </si>
  <si>
    <t>Country you're in (note that participation from some countries under embargo may not be possible to maintain regulatory compliance in the jurisdictions where other DAO members operate)</t>
  </si>
  <si>
    <t>E-mail</t>
  </si>
  <si>
    <t>Prefer not to say</t>
  </si>
  <si>
    <t>Your name</t>
  </si>
  <si>
    <t>Your e-mail</t>
  </si>
  <si>
    <t>Your phone</t>
  </si>
  <si>
    <t>Your telegram</t>
  </si>
  <si>
    <t>Your role</t>
  </si>
  <si>
    <t>Preferred contact method</t>
  </si>
  <si>
    <t>Contact_Methods</t>
  </si>
  <si>
    <t>Phone</t>
  </si>
  <si>
    <t>Your job title in you primary organization</t>
  </si>
  <si>
    <t>Personal_Talent</t>
  </si>
  <si>
    <t>Writing: specs, grants, policies, etc.</t>
  </si>
  <si>
    <t>Coding</t>
  </si>
  <si>
    <t>Research</t>
  </si>
  <si>
    <t>Marketing &amp; promotional</t>
  </si>
  <si>
    <t>Organizational / DAO expertise</t>
  </si>
  <si>
    <t>Project management &amp; coordination</t>
  </si>
  <si>
    <t xml:space="preserve">Sponsor support </t>
  </si>
  <si>
    <t>Organization Name (please choose an existing profile if available or create a new one)</t>
  </si>
  <si>
    <t>Reference Project(s)</t>
  </si>
  <si>
    <t>Please provide details of one or more past projects that you believe establish your qualifications for current or future DEVxDAO grants</t>
  </si>
  <si>
    <t>Brief description of the project</t>
  </si>
  <si>
    <t>Org name</t>
  </si>
  <si>
    <t>Org-Level Audit</t>
  </si>
  <si>
    <t>Auditor note: please submit verification information for each of the below fields.</t>
  </si>
  <si>
    <t>Audit</t>
  </si>
  <si>
    <t>Organization URL</t>
  </si>
  <si>
    <t>There is enough information to validate the diversity claims (if any) made by the org</t>
  </si>
  <si>
    <t>I have no existing business relationships or conflicts of interest with the org being audited</t>
  </si>
  <si>
    <t>Auditor name (DxD user name)</t>
  </si>
  <si>
    <t>There is enough information to validate the decentralization claims (if any) made by the org</t>
  </si>
  <si>
    <t>E-mail is confirmed</t>
  </si>
  <si>
    <t>Phone is confirmed</t>
  </si>
  <si>
    <t>Telegram is confirmed</t>
  </si>
  <si>
    <t>Organization admin confirmed membership in org</t>
  </si>
  <si>
    <t>Instructions - Organizational Profile (One per org)</t>
  </si>
  <si>
    <t>Instructions - Contributor Profile (One per individual)</t>
  </si>
  <si>
    <t>Please provide links to open source projects you have initiated / built</t>
  </si>
  <si>
    <t>Please provide links to open source projects you have contributed to personally</t>
  </si>
  <si>
    <t>Coding track record (only opens if "Coding" is listed as an area of strength</t>
  </si>
  <si>
    <t>Years of experience in software development</t>
  </si>
  <si>
    <t>Briefly list describe any closed source projects you have built or contributed to</t>
  </si>
  <si>
    <t>Your LinkedIn profile</t>
  </si>
  <si>
    <t>Contact info</t>
  </si>
  <si>
    <t>How you heard about DEVxDAO</t>
  </si>
  <si>
    <t>Invited by current DAO member</t>
  </si>
  <si>
    <t>Invited by my employer</t>
  </si>
  <si>
    <t>Invited by Casper or ETA</t>
  </si>
  <si>
    <t>Introduced by someone else</t>
  </si>
  <si>
    <t>Saw on the Web</t>
  </si>
  <si>
    <t>Invite_Source</t>
  </si>
  <si>
    <t>Why you want to join / have joined DEVxDAO</t>
  </si>
  <si>
    <t>What you have done and/or expect to do for the DAO</t>
  </si>
  <si>
    <t>Coding Audit</t>
  </si>
  <si>
    <t>YES_No_NA</t>
  </si>
  <si>
    <t>URL cited is live and reflects the organization listed</t>
  </si>
  <si>
    <t>(Optional) Demographic profile</t>
  </si>
  <si>
    <t>(Optional) Gender</t>
  </si>
  <si>
    <t>(Optional) Birth Year</t>
  </si>
  <si>
    <t>Please fill out all the details of this profile, which will be used, in part, to evaluate your future grant requests. You may go back and revise it at any time to reflect additional experience or other new information. The demographic information collected is optional and will be used primarily to evaluate our organizational progress towards inviting a wide range of voices and perspectives to the DAO.</t>
  </si>
  <si>
    <t xml:space="preserve">                Black or African American (Eg: African American, Haitian, Nigerian, Ethiopian, etc)</t>
  </si>
  <si>
    <t xml:space="preserve">                East Asian (e.g.: Chinese, Filipino, Asian Indian, Vietnamese, Korean, Japanese, etc)</t>
  </si>
  <si>
    <t xml:space="preserve">                South Asian (e.g: Asian Indian, Pakistani, etc)</t>
  </si>
  <si>
    <t xml:space="preserve">                Hispanic / Latino (e.g.: Mexican or Mexican American, Puerto Rican, Cuban, etc.)</t>
  </si>
  <si>
    <t>(Optional) Which of these categories best describe you (check all that may apply): 
                White (e.g.: German, Irish, Italian, Polish, etc)</t>
  </si>
  <si>
    <t xml:space="preserve">                American Indian or Alaska Native (e.g.: Navajo nation, Blackfeet tribe, Konibo/Shipibo)</t>
  </si>
  <si>
    <t xml:space="preserve">                Middle Eastern or North African (e.g.: Lebanese, Iranian, Egyptian, Syrian, Moroccan, etc)</t>
  </si>
  <si>
    <t xml:space="preserve">                Native Hawaiian or Other Pacific Islander (e.g.: Samoan, Chamorro, Tongan, etc)</t>
  </si>
  <si>
    <t xml:space="preserve">                Other (please describe in comments)</t>
  </si>
  <si>
    <t>Yes_No_OptOut</t>
  </si>
  <si>
    <t>Used for demographics - any answer evaluated at 100% by default</t>
  </si>
  <si>
    <t>Not evaluated - demographic only</t>
  </si>
  <si>
    <t>Gender</t>
  </si>
  <si>
    <t>Male</t>
  </si>
  <si>
    <t>Female</t>
  </si>
  <si>
    <t>Github profile is valid</t>
  </si>
  <si>
    <t>Were the open source projects listed as being founded by the individual actually founded by them?</t>
  </si>
  <si>
    <t>Level of contribution to open source projects listed</t>
  </si>
  <si>
    <t>Importance / popularity of projects participated in</t>
  </si>
  <si>
    <t>Experience and education match LinkedIn / other supporting info</t>
  </si>
  <si>
    <t>Years_Experience</t>
  </si>
  <si>
    <t>Less than 1 year</t>
  </si>
  <si>
    <t>Years of experience in blockchain development</t>
  </si>
  <si>
    <t>Education</t>
  </si>
  <si>
    <t>High school CompSci</t>
  </si>
  <si>
    <t>Some college courses in CompSci</t>
  </si>
  <si>
    <t>CompSci bachelors or equivalent</t>
  </si>
  <si>
    <t>CompSci masters or equivalent</t>
  </si>
  <si>
    <t>CompSci PhD</t>
  </si>
  <si>
    <t>Post-grad / teaching experience</t>
  </si>
  <si>
    <t>Professional courses / coding boot camp</t>
  </si>
  <si>
    <t>CompSci_Education</t>
  </si>
  <si>
    <t>No formal education in programming</t>
  </si>
  <si>
    <t>Highest education level in software development</t>
  </si>
  <si>
    <t>Individual KYC passed</t>
  </si>
  <si>
    <t>Org level KYC passed</t>
  </si>
  <si>
    <t>0 - No contribution found</t>
  </si>
  <si>
    <t>2 - Minor code changes</t>
  </si>
  <si>
    <t>1 - Community participation / comments</t>
  </si>
  <si>
    <t>3 - Material code contributions</t>
  </si>
  <si>
    <t>4 - Top-3 role</t>
  </si>
  <si>
    <t>5 - Project founder / leader</t>
  </si>
  <si>
    <t>Contribution_Level</t>
  </si>
  <si>
    <t>Insufficient info to judge</t>
  </si>
  <si>
    <t>Generic_1_5</t>
  </si>
  <si>
    <t>Is your organization at least 51% owned, operated, and controlled by recognized racial or ethnic minorities in the principal country of operations?</t>
  </si>
  <si>
    <t>Organization's role in project</t>
  </si>
  <si>
    <t>Need to have existing org profile</t>
  </si>
  <si>
    <t>Individuals who contributed to this project</t>
  </si>
  <si>
    <t>Add any number of existing individual profiles that are members of this org</t>
  </si>
  <si>
    <t>Project github link (if available)</t>
  </si>
  <si>
    <t>Client References</t>
  </si>
  <si>
    <t>Client org name</t>
  </si>
  <si>
    <t>Client primary contact name</t>
  </si>
  <si>
    <t>Client primary contact job title</t>
  </si>
  <si>
    <t>Client primary contact phone</t>
  </si>
  <si>
    <t>Client primary contact e-mail</t>
  </si>
  <si>
    <t>Client other information about contacting (e.g. preferred time, other channel)</t>
  </si>
  <si>
    <t>What you believe the project outcomes were in the client's eyes</t>
  </si>
  <si>
    <t>When is it ok to contact this reference (you only get partial credit for references until we check them)?</t>
  </si>
  <si>
    <t>Github link is valid</t>
  </si>
  <si>
    <t>Github total downloads (use https://tooomm.github.io/github-release-stats/)</t>
  </si>
  <si>
    <t>1 - Minimal / worst</t>
  </si>
  <si>
    <t>5 - Highest / best</t>
  </si>
  <si>
    <t>Quality based on using project / website</t>
  </si>
  <si>
    <t>Live link is valid and demonstrates project</t>
  </si>
  <si>
    <t>Demo login credentials if needed / available for above link</t>
  </si>
  <si>
    <t>How to best describe project work to client (e.g. work with &lt;org name&gt;, "Project Future", etc.)</t>
  </si>
  <si>
    <t>I have no existing business relationships or conflicts of interest with the individual being audited or the org they belong to</t>
  </si>
  <si>
    <t>If no, please describe existing relationship and why you believe you remain objective</t>
  </si>
  <si>
    <t>Objectivity confirmation</t>
  </si>
  <si>
    <t>Qualitative notes from audit</t>
  </si>
  <si>
    <t>Instructions - Reference Project</t>
  </si>
  <si>
    <t>Qualitative notes from online verification</t>
  </si>
  <si>
    <t>Reference check</t>
  </si>
  <si>
    <t>Reference was reachable</t>
  </si>
  <si>
    <t>Not evaluated</t>
  </si>
  <si>
    <t>Other contributors</t>
  </si>
  <si>
    <t>Please enter e-mails of all contributors from your org to create an individual profile (one minimum)</t>
  </si>
  <si>
    <t>Initiates registration of one or more Proposer Individual Profile</t>
  </si>
  <si>
    <t>Non-blank required</t>
  </si>
  <si>
    <t>Reference confirmed sufficient knowledge about the project</t>
  </si>
  <si>
    <t>Reference impressions of delivery quality</t>
  </si>
  <si>
    <t>Reference impressions of delivery timeliness</t>
  </si>
  <si>
    <t>Reference impressions of cost effectiveness and value for the money</t>
  </si>
  <si>
    <t>Qualitative notes from reference check</t>
  </si>
  <si>
    <t>Reference impressions of ongoing support / maintenance / follow-up needs</t>
  </si>
  <si>
    <t>What is the organization's annual revenue in Euro?</t>
  </si>
  <si>
    <t>Team members</t>
  </si>
  <si>
    <t>Team member 1 (optional)</t>
  </si>
  <si>
    <t>Team member 2 (optional)</t>
  </si>
  <si>
    <t>Team member 3 (optional)</t>
  </si>
  <si>
    <t>Select from list of Proposer Individual Profiles or prompt to create one</t>
  </si>
  <si>
    <t>Instructions - Main Grant Application</t>
  </si>
  <si>
    <t>Cumulative years of experience in the project domain area across all team members</t>
  </si>
  <si>
    <t>Number of projects completed by team members similar in scope / scale / domain</t>
  </si>
  <si>
    <t>Type of project</t>
  </si>
  <si>
    <t>Numeric value range 1 - last grant approved</t>
  </si>
  <si>
    <t>Project_Type</t>
  </si>
  <si>
    <t>Open source code</t>
  </si>
  <si>
    <t>Closed source code</t>
  </si>
  <si>
    <t>Non-Code projects</t>
  </si>
  <si>
    <t>DAO founding</t>
  </si>
  <si>
    <t>DAO conversion of existing org</t>
  </si>
  <si>
    <t>Other startup</t>
  </si>
  <si>
    <t>Augmentation of existing 3rd party code</t>
  </si>
  <si>
    <t>Ref_Check_OK</t>
  </si>
  <si>
    <t>Anytime</t>
  </si>
  <si>
    <t>During review of first grant</t>
  </si>
  <si>
    <t>During review of first grant over 10 000 Euro</t>
  </si>
  <si>
    <t>During review of first grant over 100 000 Euro</t>
  </si>
  <si>
    <t>During review of first grant over 1 000 000 Euro</t>
  </si>
  <si>
    <t>Upon our explicit approval</t>
  </si>
  <si>
    <t>Never</t>
  </si>
  <si>
    <t>Layer_1</t>
  </si>
  <si>
    <t>Casper</t>
  </si>
  <si>
    <t>Other Layer 1</t>
  </si>
  <si>
    <t>Non-Blockchain</t>
  </si>
  <si>
    <t>Layer 2 (e.g. ERC20)</t>
  </si>
  <si>
    <t>Project blockchain (if applicable)</t>
  </si>
  <si>
    <t>Valid DXD ID</t>
  </si>
  <si>
    <t>Reference projects that can be used to validate our competence for this project</t>
  </si>
  <si>
    <t>Select from list of Reference Projects or prompt to create one</t>
  </si>
  <si>
    <t>Project extended description - use 1500 words or less to add any other context on why this grant should be made (optional)</t>
  </si>
  <si>
    <t>Additional Info</t>
  </si>
  <si>
    <t>Github first release date</t>
  </si>
  <si>
    <t>Github total number of releases</t>
  </si>
  <si>
    <t>Numerical (Smaller is better, log scale)</t>
  </si>
  <si>
    <t>Numerical formula (fewer days between releases)</t>
  </si>
  <si>
    <t>Github number of contributors</t>
  </si>
  <si>
    <t>How many languages have the OSS documents (like readme files or license files) been translated into?-</t>
  </si>
  <si>
    <t>Github number of stars</t>
  </si>
  <si>
    <t>Github number of forks</t>
  </si>
  <si>
    <t>Org contribution to project confirmed in Github</t>
  </si>
  <si>
    <t>Info needed to validate org's contribution to project on github (e.g. key contributor github IDs)</t>
  </si>
  <si>
    <t>Live link (if available - e.g. sourceforge download or live website)</t>
  </si>
  <si>
    <t>Has the project assessed (using CVSS) and remedied security vulnerabilities in the code?</t>
  </si>
  <si>
    <t xml:space="preserve">   If yes, what has been the longest time to remedy a vulnerability of medium (CVSS 4.0) or higher?</t>
  </si>
  <si>
    <t>Org_Role</t>
  </si>
  <si>
    <t>Founder</t>
  </si>
  <si>
    <t>Large contributor</t>
  </si>
  <si>
    <t>Minor contributor</t>
  </si>
  <si>
    <t>Vulnerability_Repair</t>
  </si>
  <si>
    <t>Under 24 hours</t>
  </si>
  <si>
    <t>1 day to 1 week</t>
  </si>
  <si>
    <t>1 week to 1 month</t>
  </si>
  <si>
    <t>More than 1 month</t>
  </si>
  <si>
    <t>No vulnerabilities of sufficient magnitude ever found</t>
  </si>
  <si>
    <t>Total number of team members contributing to this project</t>
  </si>
  <si>
    <t>Numerical (Larger is better, linear scale)</t>
  </si>
  <si>
    <t>Project_Program</t>
  </si>
  <si>
    <t>Bounded project with fixed scope</t>
  </si>
  <si>
    <t>Bounded project including ongoing support</t>
  </si>
  <si>
    <t>Ongoing program for fixed duration</t>
  </si>
  <si>
    <t>Ongoing program with no projected end</t>
  </si>
  <si>
    <t>Project / program brief summary - 200 words or less</t>
  </si>
  <si>
    <t>Qualitatively describe the problem being solved by this project / program</t>
  </si>
  <si>
    <t>Qualitatively describe the integration with existing projects / grants / programs</t>
  </si>
  <si>
    <t>Project lead (DEVxDAO profile - required)</t>
  </si>
  <si>
    <t>Why we're qualified to deliver this project as a team (qualitative)</t>
  </si>
  <si>
    <t>Please fill out this form to cover the initial grant description and milestones. If you are proposing a program, we will also ask you to fill out a program-level appendix</t>
  </si>
  <si>
    <t>Will you collect and publish metrics on the social impact generated by your project?</t>
  </si>
  <si>
    <t>Open source development</t>
  </si>
  <si>
    <t>Open research</t>
  </si>
  <si>
    <t>Mission_Fit</t>
  </si>
  <si>
    <t>Approximately how many hours total will they contribute to the project between them?</t>
  </si>
  <si>
    <t>Is this a one-time project or the start of a long-term program?</t>
  </si>
  <si>
    <t>Total funds requested (in EUR)</t>
  </si>
  <si>
    <t>Numerical (Larger is better, linear scale); also used to calculate an hourly cost</t>
  </si>
  <si>
    <t>Is there previously proprietary code / IP being released into open source as part of this project?</t>
  </si>
  <si>
    <t>Proprietary_to_OpenSource</t>
  </si>
  <si>
    <t>Yes - previously used internally</t>
  </si>
  <si>
    <t>Past experience</t>
  </si>
  <si>
    <t>Social_Impact</t>
  </si>
  <si>
    <t>Yes - environmental impact (e.g. carbon removed)</t>
  </si>
  <si>
    <t>Yes - people-centric impact (e.g. lives changed)</t>
  </si>
  <si>
    <t>Yes - both environment &amp; people</t>
  </si>
  <si>
    <t>Yes - other</t>
  </si>
  <si>
    <t>What is the anticipated social impact of your project (include specifics on forecast metrics)</t>
  </si>
  <si>
    <r>
      <t xml:space="preserve">Yes - previously licensed for </t>
    </r>
    <r>
      <rPr>
        <sz val="10"/>
        <color rgb="FF000000"/>
        <rFont val="Calibri"/>
        <family val="2"/>
      </rPr>
      <t>€</t>
    </r>
    <r>
      <rPr>
        <sz val="10"/>
        <color rgb="FF000000"/>
        <rFont val="Arial"/>
        <family val="2"/>
      </rPr>
      <t>1M+ in revenue</t>
    </r>
  </si>
  <si>
    <r>
      <t xml:space="preserve">Yes - previously licensed for </t>
    </r>
    <r>
      <rPr>
        <sz val="10"/>
        <color rgb="FF000000"/>
        <rFont val="Calibri"/>
        <family val="2"/>
      </rPr>
      <t>€</t>
    </r>
    <r>
      <rPr>
        <sz val="10"/>
        <color rgb="FF000000"/>
        <rFont val="Arial"/>
        <family val="2"/>
      </rPr>
      <t>100K+ in revenue</t>
    </r>
  </si>
  <si>
    <r>
      <t>Yes - previously licensed for smaller amounts of</t>
    </r>
    <r>
      <rPr>
        <sz val="10"/>
        <color rgb="FF000000"/>
        <rFont val="Arial"/>
        <family val="2"/>
      </rPr>
      <t xml:space="preserve"> revenue</t>
    </r>
  </si>
  <si>
    <t>Fit with mission &amp; needs</t>
  </si>
  <si>
    <t>Open source validation</t>
  </si>
  <si>
    <t>If the project is code, where will you release the code?</t>
  </si>
  <si>
    <t>Release_Location</t>
  </si>
  <si>
    <t>Github</t>
  </si>
  <si>
    <t>Stackoverflow Forums</t>
  </si>
  <si>
    <t>Both</t>
  </si>
  <si>
    <t>How much of the grant amounts do you plan to pass through to third parties (e.g. for software licenses, legal fees, travel, etc.)</t>
  </si>
  <si>
    <t>What are those resources (describe briefly)</t>
  </si>
  <si>
    <t>Under what license will you release the outputs from the project?</t>
  </si>
  <si>
    <t>License</t>
  </si>
  <si>
    <t>MIT License</t>
  </si>
  <si>
    <t>Apache License 2.0</t>
  </si>
  <si>
    <t>BSD License</t>
  </si>
  <si>
    <t>GPL License</t>
  </si>
  <si>
    <t>MPL 2.0 License</t>
  </si>
  <si>
    <t>Creative commons (for non-code outputs only)</t>
  </si>
  <si>
    <t xml:space="preserve">   If you have neither of these, please briefly describe your education and experience</t>
  </si>
  <si>
    <t xml:space="preserve">   (Optional) Your personal website / CV page</t>
  </si>
  <si>
    <t>Qualitatively describe how your proposal supports the DEVxDAO mission</t>
  </si>
  <si>
    <t>Helpfulness</t>
  </si>
  <si>
    <t>Will your code be annotated and commented?</t>
  </si>
  <si>
    <t>Will your code include an API and/or integrate with existing DxD infrastructure?</t>
  </si>
  <si>
    <t>How many hours / month in support will you provide to the community without additional funding?</t>
  </si>
  <si>
    <t>Will your release include user instruction manuals, FAQs, and/or demo videos?</t>
  </si>
  <si>
    <t>Impact</t>
  </si>
  <si>
    <t>Define success - if your project works as intended, what will happen, and when?</t>
  </si>
  <si>
    <t>Fit to sponsor</t>
  </si>
  <si>
    <t>Please describe these metrics and how much you expect them to change</t>
  </si>
  <si>
    <t>How many quantitative metrics will you track and publish to the DAO periodically / on request? (e.g. users, downloads, transactions, etc.)</t>
  </si>
  <si>
    <t>URL for additional info (if applicable - e.g. video demo or mockup)</t>
  </si>
  <si>
    <t>How many new wallets will be generated as a result of your project in the first year?</t>
  </si>
  <si>
    <t>To be integrated from main system</t>
  </si>
  <si>
    <t>DAO Metrics</t>
  </si>
  <si>
    <t>Is an existing VA</t>
  </si>
  <si>
    <t>Existing VA: Rep</t>
  </si>
  <si>
    <t>Existing VA: Vote % last 3 months</t>
  </si>
  <si>
    <t>Existing VA: Attestation % last 3 months</t>
  </si>
  <si>
    <t>Existing VA: # of Grants applied for</t>
  </si>
  <si>
    <t>Existing VA: % of Grants completed</t>
  </si>
  <si>
    <t>Existing VA: % of Grants delinquent (one or more milestones is 90+ days past due)</t>
  </si>
  <si>
    <t>Percentage, larger is better</t>
  </si>
  <si>
    <t>Percentage, smaller is better</t>
  </si>
  <si>
    <t>Internal DAO Metrics in Individual Profile</t>
  </si>
  <si>
    <t>Existing VA: % of Grants with advance delinquent (one or more milestones is 90+ days past due AND there was an advance requested)</t>
  </si>
  <si>
    <t>Internal DAO Metrics in Org Profile</t>
  </si>
  <si>
    <t>Org includes at least one existing VA</t>
  </si>
  <si>
    <t>Existing VAs: Total Rep</t>
  </si>
  <si>
    <t>Existing VAs: Vote % last 3 months</t>
  </si>
  <si>
    <t>Existing VAs: Attestation % last 3 months</t>
  </si>
  <si>
    <t>Org-wide % of Grants delinquent (one or more milestones is 90+ days past due)</t>
  </si>
  <si>
    <t>Org-wide % of Grants completed</t>
  </si>
  <si>
    <t>Org-wide # of Grants applied for</t>
  </si>
  <si>
    <t>Org-wide % of Grants with advance delinquent (one or more milestones is 90+ days past due AND there was an advance requested)</t>
  </si>
  <si>
    <t>Date of Audit</t>
  </si>
  <si>
    <t>Specifically, who are they (provide e-mail or DEVxDAO user name for up to 3): VA #1</t>
  </si>
  <si>
    <t xml:space="preserve">         VA #2</t>
  </si>
  <si>
    <t xml:space="preserve">         VA #3</t>
  </si>
  <si>
    <t>Hourly reward - &lt;1 hour</t>
  </si>
  <si>
    <t>Hourly reward - 1 hour</t>
  </si>
  <si>
    <t>Hourly reward - 2 hours</t>
  </si>
  <si>
    <t>Hourly reward - 3 hours</t>
  </si>
  <si>
    <t>Hourly reward - 4 hours</t>
  </si>
  <si>
    <t>Hourly reward - other (please specify)</t>
  </si>
  <si>
    <t>% of grant reward - 1%</t>
  </si>
  <si>
    <t>% of grant reward - 3%</t>
  </si>
  <si>
    <t>% of grant reward - 2%</t>
  </si>
  <si>
    <t>% of grant reward - 4%</t>
  </si>
  <si>
    <t>% of grant reward - 5%</t>
  </si>
  <si>
    <t>% of grant reward - 6%</t>
  </si>
  <si>
    <t>% of grant reward - 7%</t>
  </si>
  <si>
    <t>% of grant reward - 8%</t>
  </si>
  <si>
    <t>% of grant reward - 9%</t>
  </si>
  <si>
    <t>% of grant reward - 10%</t>
  </si>
  <si>
    <t>% of grant reward - other (please specify)</t>
  </si>
  <si>
    <t>Mentoring_Reward</t>
  </si>
  <si>
    <t>Select from list of VAs, link to their rep score</t>
  </si>
  <si>
    <t>Did an employee of Casper or ETA endorse this project?</t>
  </si>
  <si>
    <t xml:space="preserve">        If so, who was it (please provide e-mail)</t>
  </si>
  <si>
    <t>How many VAs have you discussed this project with who agreed to support it if done well?</t>
  </si>
  <si>
    <t xml:space="preserve">        If so, who was it (please provide name and contact)</t>
  </si>
  <si>
    <t>Scope limitations / project boundary - what someone might inadvertently think could be in scope but isn't (optional)</t>
  </si>
  <si>
    <t xml:space="preserve">         Proposal 2</t>
  </si>
  <si>
    <t xml:space="preserve">         Proposal 3</t>
  </si>
  <si>
    <t>Are there past DEVxDAO grants that are foundational to this work - if so specify proposal #:
         Proposal 1</t>
  </si>
  <si>
    <t>Please describe your relationship with ETA and Contributors of ETA</t>
  </si>
  <si>
    <t>I am affiliated with the ETA or a sponsor to the ETA</t>
  </si>
  <si>
    <t>I am a Contributor to the ETA.</t>
  </si>
  <si>
    <t>My Project Plan exclusively supports the business and/or activities of a Contributor of ETA.</t>
  </si>
  <si>
    <t>I have a close relationship with a Contributor of ETA and my Project Plan largely supports the business and/or activities of that Contributor.</t>
  </si>
  <si>
    <t>I am a director, officer, or employee of the ETA.</t>
  </si>
  <si>
    <t>ETA_Relationship</t>
  </si>
  <si>
    <t>I am assuming this is bad due to conflicts of interest</t>
  </si>
  <si>
    <t>External resources</t>
  </si>
  <si>
    <t>Milestones</t>
  </si>
  <si>
    <t>Leads to Milestone record creation</t>
  </si>
  <si>
    <t>Please add one or more milestones to the project: rewards need to add up to the total funds requested</t>
  </si>
  <si>
    <t>Instructions - Program Appendix</t>
  </si>
  <si>
    <t>You are here because you indicated that you are proposing a long-term program rather than just a fixed length project. If that's not the case, please go back and modify that answer</t>
  </si>
  <si>
    <t>How many hours per month can the DAO use without additional cost / admin grant requests?</t>
  </si>
  <si>
    <t>For what duration are you committing to provide this support under the original grant (in calendar days)?</t>
  </si>
  <si>
    <t>Will you provide additional support for issues that arose due to poor delivery but are not discovered until after the grant term is over?</t>
  </si>
  <si>
    <t>What contingency plans do you have for unexpected capacity interruption and staff turnover?</t>
  </si>
  <si>
    <t>Does each resource on the team have a backup?</t>
  </si>
  <si>
    <t>How many additional hours per month are available to fix unexpected problems (not caused by the DAO) at no additional cost?</t>
  </si>
  <si>
    <t>Extensibility</t>
  </si>
  <si>
    <t>Can the DAO expand the contract volume at the same or lower cost per hour or staff member?</t>
  </si>
  <si>
    <t>Does the DAO have the option to extend the contract term at a predictable cost?</t>
  </si>
  <si>
    <t>Extension</t>
  </si>
  <si>
    <t>Yes, can extend on same terms indefinitely</t>
  </si>
  <si>
    <t>Yes, can extend on same terms for up to 1 year</t>
  </si>
  <si>
    <t>Can extend but will have inflation adjustment</t>
  </si>
  <si>
    <t>Can extend but may or may not have inflation adjustment</t>
  </si>
  <si>
    <t>Cannot guarantee capacity beyond initial term</t>
  </si>
  <si>
    <t>Expansion</t>
  </si>
  <si>
    <t>Yes, can grow as needed with scale discount</t>
  </si>
  <si>
    <t>Yes, can at most double with scale discount</t>
  </si>
  <si>
    <t>Yes, can grow as needed at same rate</t>
  </si>
  <si>
    <t>Yes, can at most double at same rate</t>
  </si>
  <si>
    <t>Yes, can scale, but by less than 100%</t>
  </si>
  <si>
    <t>Yes, can scale, but at an increased unit cost</t>
  </si>
  <si>
    <t>Cannot scale</t>
  </si>
  <si>
    <t>Warranty</t>
  </si>
  <si>
    <t>Yes, free break-fix for lifetime of solution</t>
  </si>
  <si>
    <t>Yes, free break-fix for 3 years</t>
  </si>
  <si>
    <t>Yes, free break-fix for 2 years</t>
  </si>
  <si>
    <t>Yes, free break-fix for 1 year</t>
  </si>
  <si>
    <t>Will charge for fixing any issues after initial term</t>
  </si>
  <si>
    <t>Will not provide support beyond initial term</t>
  </si>
  <si>
    <t>Do you maintain detailed process manuals sufficient for a new staff member to take over immediately?</t>
  </si>
  <si>
    <t>Will you provide a service level commitment for maximum response time?</t>
  </si>
  <si>
    <t>Will you provide a service level commitment for maximum issue resolution time?</t>
  </si>
  <si>
    <t>Will you provide a service level commitment for minimum service uptime?</t>
  </si>
  <si>
    <t>Will you provide a service level commitment for staff retention?</t>
  </si>
  <si>
    <t>Will you provide additional SLA guarantees?</t>
  </si>
  <si>
    <t xml:space="preserve">          If yes, please describe</t>
  </si>
  <si>
    <t>Response_Time</t>
  </si>
  <si>
    <t>Is data and code stored on your systems backed up?</t>
  </si>
  <si>
    <t>Do you agree to not terminate or reassign staff members on our projects without a transition period?</t>
  </si>
  <si>
    <t>Yes, multiple copies stored in multiple locations</t>
  </si>
  <si>
    <t>Yes, multiple copies stored onsite</t>
  </si>
  <si>
    <t>Yes, single copy stored offsite</t>
  </si>
  <si>
    <t>Yes, single copy stored onsite</t>
  </si>
  <si>
    <t>No backup</t>
  </si>
  <si>
    <t>Backup</t>
  </si>
  <si>
    <t>What is the frequency of data backup?</t>
  </si>
  <si>
    <t>Backup_Frequency</t>
  </si>
  <si>
    <t>Live mirroring + periodic backup</t>
  </si>
  <si>
    <t>Live mirroring only</t>
  </si>
  <si>
    <t>Daily backup only</t>
  </si>
  <si>
    <t>Weekly backup only</t>
  </si>
  <si>
    <t>Monthly backup only</t>
  </si>
  <si>
    <t>Multiple (e.g. daily and monthly)</t>
  </si>
  <si>
    <t>What security measures do you use to prevent data breaches, ransomware, etc.</t>
  </si>
  <si>
    <t>Under 15 minutes 24x7</t>
  </si>
  <si>
    <t>&lt;15 minutes business hours; lower at other times</t>
  </si>
  <si>
    <t>Under 1 hour 24x7</t>
  </si>
  <si>
    <t>Under 1 hour business hours; lower at other times</t>
  </si>
  <si>
    <t>Under 5 business days</t>
  </si>
  <si>
    <t>More than 5 business days</t>
  </si>
  <si>
    <t>No guarantee</t>
  </si>
  <si>
    <t>Resolution_Time</t>
  </si>
  <si>
    <t>Under 1 hour for Severity 1 issues</t>
  </si>
  <si>
    <t>Under 4 hours for Severity 1 issues</t>
  </si>
  <si>
    <t>Under 1 day for Severity 1 issues</t>
  </si>
  <si>
    <t>Under 5 business days for Severity 1 issues</t>
  </si>
  <si>
    <t>Uptime</t>
  </si>
  <si>
    <t>99.999% or better</t>
  </si>
  <si>
    <t>99.99% or better</t>
  </si>
  <si>
    <t>Not applicable (e.g. no service component)</t>
  </si>
  <si>
    <t>99.9% or better</t>
  </si>
  <si>
    <t>99% or better</t>
  </si>
  <si>
    <t>98% or better</t>
  </si>
  <si>
    <t>95% or better</t>
  </si>
  <si>
    <t>Not applicable (e.g. no online services)</t>
  </si>
  <si>
    <t>How many additional hours per month are available for urgent needs (may require additional cost)?</t>
  </si>
  <si>
    <t>What is the maximum % of grant payments the ETA can withhold for a minor SLA violation?</t>
  </si>
  <si>
    <t>What is the maximum % of grant payments the ETA can withhold for a major/repeated SLA violation?</t>
  </si>
  <si>
    <t>&lt;1% of grant for that month / milestone</t>
  </si>
  <si>
    <t>1%-5% of grant for that month / milestone</t>
  </si>
  <si>
    <t>Minor_SLA_Penalty</t>
  </si>
  <si>
    <t>Not applicable (e.g. no SLA provided)</t>
  </si>
  <si>
    <t>6%-10% of grant for that month / milestone</t>
  </si>
  <si>
    <t>11%-20% of grant for that month / milestone</t>
  </si>
  <si>
    <t>More than 20% of the grant for that month / milestone</t>
  </si>
  <si>
    <t>Major_SLA_Penalty</t>
  </si>
  <si>
    <t>Early termination only</t>
  </si>
  <si>
    <t>&lt;5% of grant for that month / milestone</t>
  </si>
  <si>
    <t>21%-40% of grant for that month / milestone</t>
  </si>
  <si>
    <t>41%-60% of grant for that month / milestone</t>
  </si>
  <si>
    <t>61%-80% of grant for that month / milestone</t>
  </si>
  <si>
    <t>More than 80% of the grant for that month / milestone</t>
  </si>
  <si>
    <t>Will you allow the DAO to participate in selection or replacement of staff?</t>
  </si>
  <si>
    <t>Will you allow the DAO to request removal of generally underperforming staff without explicit cause / specific incident?</t>
  </si>
  <si>
    <t>If your team is replaced, will you provide knowledge transfer to your replacements?</t>
  </si>
  <si>
    <t>Staffing changes</t>
  </si>
  <si>
    <t>If a program component is replaced, will you continue other ones without any changes?</t>
  </si>
  <si>
    <t>Proposal #</t>
  </si>
  <si>
    <t>The milestone should only be accessible under the proper proposal</t>
  </si>
  <si>
    <t>Milestone #</t>
  </si>
  <si>
    <t>Assigned sequentially</t>
  </si>
  <si>
    <t>Admin fields (not visible to user)</t>
  </si>
  <si>
    <t>User form</t>
  </si>
  <si>
    <t>Milestone name</t>
  </si>
  <si>
    <t>Numeric value (lower is better)</t>
  </si>
  <si>
    <t>Pick one: Business days to deliver after proposal approval date</t>
  </si>
  <si>
    <t xml:space="preserve">               Business days to deliver after previous milestone approval date</t>
  </si>
  <si>
    <t>Non-blank is required</t>
  </si>
  <si>
    <t>Deliverable(s) description</t>
  </si>
  <si>
    <t>Acceptance criteria</t>
  </si>
  <si>
    <t>Compensation</t>
  </si>
  <si>
    <t>Numeric value in Euro</t>
  </si>
  <si>
    <t>Numeric value in Euro - can be used as a trigger to show / hide some of the questions below (TBD later)</t>
  </si>
  <si>
    <t>Estimated hours needed from your team to deliver</t>
  </si>
  <si>
    <t>Numeric value (not evaluated)</t>
  </si>
  <si>
    <t>Portion of the compensation intended to be a pre-payment or front-loading for future milestones?</t>
  </si>
  <si>
    <t>Portion of compensation you will request in advance of delivery (This is a separate process from the grant application. The DAO reserves the right to not approve the advance - and will not provide advances to anyone who's not an existing VA)</t>
  </si>
  <si>
    <t>Portion of the compensation that will be passed through to other parties (e.g. software licenses, legal, travel)</t>
  </si>
  <si>
    <t>Effective hourly rate</t>
  </si>
  <si>
    <t>Date (later is better)</t>
  </si>
  <si>
    <t>Number of individuals spoken to at the org that demonstrated awareness &amp; fit to the DAO</t>
  </si>
  <si>
    <t>Due diligence</t>
  </si>
  <si>
    <t>How much external financing (debt or equity) has your org received in the last 5 years?</t>
  </si>
  <si>
    <t>There is enough information to validate the scale claims (staff, revenue, financing) made by the org</t>
  </si>
  <si>
    <t>YES_No_Partial</t>
  </si>
  <si>
    <t>Partially</t>
  </si>
  <si>
    <t>The org would add materially new perspectives to the DAO - demographic</t>
  </si>
  <si>
    <t>Were there any material inaccuracies found in information provided by the org?</t>
  </si>
  <si>
    <t>Were there other red flags (e.g. failed, terminated, or aborted projects) discovered?</t>
  </si>
  <si>
    <t>Please describe any discrepancies, misstatements or other red flags</t>
  </si>
  <si>
    <t>Blank is better</t>
  </si>
  <si>
    <t>Basic Info</t>
  </si>
  <si>
    <t>Date of audit / last update</t>
  </si>
  <si>
    <t>The org would add materially new perspectives to the DAO - industry</t>
  </si>
  <si>
    <t>The org would add materially new perspectives to the DAO - geography</t>
  </si>
  <si>
    <t>The org would add materially new perspectives to the DAO - org size &amp; maturity</t>
  </si>
  <si>
    <t>The org would add materially new perspectives to the DAO - social impact focus</t>
  </si>
  <si>
    <t>Code Project: Core Components (only if reference project type is code)</t>
  </si>
  <si>
    <t>Code Project: Completeness (only if project type is code)</t>
  </si>
  <si>
    <t>Qualitative code review (code projects only)</t>
  </si>
  <si>
    <t>The sample project reflects the description provided</t>
  </si>
  <si>
    <t>It reflects an understanding of and elevates the goal of decentralization</t>
  </si>
  <si>
    <t>It reflects an understanding of and elevates the goal of open source development</t>
  </si>
  <si>
    <t>It reflects an understanding of and elevates the goal of open source research</t>
  </si>
  <si>
    <t>Github stats (code projects only) - ideally this would be automatically scraped</t>
  </si>
  <si>
    <t>Subjective evaluation of github project prominence / activity level (1-5)</t>
  </si>
  <si>
    <t>Code quality (refer to CRDAO if needed): Overall quality</t>
  </si>
  <si>
    <t>Reference Project Audit</t>
  </si>
  <si>
    <t>Completion</t>
  </si>
  <si>
    <t>Audit has been completed and is ready for evaluation</t>
  </si>
  <si>
    <t>Grant Audit</t>
  </si>
  <si>
    <t>Disagree_Agree_1_5</t>
  </si>
  <si>
    <t>1 - Completely Disagree</t>
  </si>
  <si>
    <t>5 - Completely Agree</t>
  </si>
  <si>
    <t>Pop-up to create one or more Reference Project tables</t>
  </si>
  <si>
    <r>
      <rPr>
        <b/>
        <sz val="10"/>
        <color rgb="FF000000"/>
        <rFont val="Arial"/>
        <family val="2"/>
        <scheme val="minor"/>
      </rPr>
      <t>Answer Validation / Scoring:</t>
    </r>
    <r>
      <rPr>
        <sz val="10"/>
        <color rgb="FF000000"/>
        <rFont val="Arial"/>
        <family val="2"/>
        <scheme val="minor"/>
      </rPr>
      <t xml:space="preserve"> blue = dropdown; yellow = numerical formula; green=text response; gray=not evaluated; red=link to other table in DB</t>
    </r>
  </si>
  <si>
    <t>Individual Level Audit</t>
  </si>
  <si>
    <t>Org Submitting the project</t>
  </si>
  <si>
    <t>Org profile link</t>
  </si>
  <si>
    <t>Will you need funds to be advanced before your first milestone or front-loaded (i.e. early milestones are compensated more highly than later ones)?</t>
  </si>
  <si>
    <t>I have no existing business relationships or conflicts of interest with the individual or the org submitting this grant</t>
  </si>
  <si>
    <t>Will your work create on-chain activity for Casper or other DAO sponsor?</t>
  </si>
  <si>
    <t>If this grant didn't exist, would you have used a different Layer 1 chain?</t>
  </si>
  <si>
    <t>Approximately how many on-chain transactions do you expect will be generated as a result of your project in the first year?</t>
  </si>
  <si>
    <t>How many new developers will join the sponsor platform / DxD community in the first year to help build derivative projects based on this?</t>
  </si>
  <si>
    <t>The proposal will create meaningful impact for the DAO sponsor(s) - on-chain transactions, new wallets, new developers, etc.</t>
  </si>
  <si>
    <t>Based on this information, the team appears to be qualified to deliver on this work</t>
  </si>
  <si>
    <t>The compensation requested is appropriate to the expected workload / hourly rate is fair</t>
  </si>
  <si>
    <t>Non-coding audit</t>
  </si>
  <si>
    <t>The LinkedIn / CV provided demonstrates valuable qualifications for the DAO</t>
  </si>
  <si>
    <t>Interactions with this individual have demonstrated awareness of and alignment with the DAO mission</t>
  </si>
  <si>
    <t>Non-coding track record</t>
  </si>
  <si>
    <t>Less than high school</t>
  </si>
  <si>
    <t>High school</t>
  </si>
  <si>
    <t>Some college</t>
  </si>
  <si>
    <t>Bachelors degree</t>
  </si>
  <si>
    <t>Masters degree</t>
  </si>
  <si>
    <t>PhD / MD / JD</t>
  </si>
  <si>
    <t>Highest education level completed</t>
  </si>
  <si>
    <t>Years of experience in your primary field of contribution to the DAO</t>
  </si>
  <si>
    <t>This individual adds valuable new perspectives to the DAO</t>
  </si>
  <si>
    <t>This record has been completed and is ready for evaluation</t>
  </si>
  <si>
    <t>This grant application has been completed and is ready for evaluation</t>
  </si>
  <si>
    <t>The reference projects cited are a good match for the work to be done in this project</t>
  </si>
  <si>
    <t>The proposal builds on &amp; integrates with existing grants / projects</t>
  </si>
  <si>
    <t>The proposal will support an integrated user experience between different projects</t>
  </si>
  <si>
    <t>Right-Sizing and value</t>
  </si>
  <si>
    <t>Respected / long-tenured / active VAs have spoken up for the project</t>
  </si>
  <si>
    <t>Other VAs have spoken up for the project</t>
  </si>
  <si>
    <t>Casper / ETA has spoken up for the project</t>
  </si>
  <si>
    <t>The reference work has been reviewed thoroughly by the CRDAO</t>
  </si>
  <si>
    <t>Program-Level Attributes</t>
  </si>
  <si>
    <t>The SLA is commensurate with the importance of the underlying performance metrics</t>
  </si>
  <si>
    <t>Sufficient capacity is available to accommodate unforeseen changes in staffing</t>
  </si>
  <si>
    <t>The DAO can scale the project up or down as needed to best meet its needs</t>
  </si>
  <si>
    <t>The DAO can shorten or extend the project as needed</t>
  </si>
  <si>
    <t>There is a broader audience for this project that you see beyond the DAO</t>
  </si>
  <si>
    <t>Other trusted organization has vetted and endorsed the project</t>
  </si>
  <si>
    <t>This appendix has been completed and is ready for evaluation</t>
  </si>
  <si>
    <t>There are no known vulnerabilities or single points of failure in infrastructure or design</t>
  </si>
  <si>
    <t>Front-loaded compensation from previous milestones that will be used to fund this one</t>
  </si>
  <si>
    <r>
      <rPr>
        <b/>
        <sz val="10"/>
        <color rgb="FF000000"/>
        <rFont val="Arial"/>
        <family val="2"/>
        <scheme val="minor"/>
      </rPr>
      <t>Field Is Active:</t>
    </r>
    <r>
      <rPr>
        <sz val="10"/>
        <color rgb="FF000000"/>
        <rFont val="Arial"/>
        <family val="2"/>
        <scheme val="minor"/>
      </rPr>
      <t xml:space="preserve"> This information is included in the current iteration of the process</t>
    </r>
  </si>
  <si>
    <t>Instructions - Milestone Record</t>
  </si>
  <si>
    <t xml:space="preserve">               Fixed date of delivery</t>
  </si>
  <si>
    <t>Date (earlier is better)</t>
  </si>
  <si>
    <t>Organization ID</t>
  </si>
  <si>
    <t>Grant ID</t>
  </si>
  <si>
    <t>Org-level Data</t>
  </si>
  <si>
    <t>SampleOrg1</t>
  </si>
  <si>
    <t>SamplePerson1</t>
  </si>
  <si>
    <t>SamplePerson2</t>
  </si>
  <si>
    <t>SamplePerson3</t>
  </si>
  <si>
    <t>SampleRef1</t>
  </si>
  <si>
    <t>SampleRef2</t>
  </si>
  <si>
    <t>SampleRef3</t>
  </si>
  <si>
    <t>Grant10000</t>
  </si>
  <si>
    <t>Comment</t>
  </si>
  <si>
    <t>Completed</t>
  </si>
  <si>
    <t>Structure as Expected</t>
  </si>
  <si>
    <t>Record Found</t>
  </si>
  <si>
    <t>Sum of individuals linked to org; Numerical (Larger is better, log scale)</t>
  </si>
  <si>
    <t>Average of individuals linked to org; Numerical (Larger is better, log scale)</t>
  </si>
  <si>
    <t>Auto-Populated System Queries</t>
  </si>
  <si>
    <t>Linked to Existing Data</t>
  </si>
  <si>
    <t>Org Audit</t>
  </si>
  <si>
    <t>SampleOrgAudit1</t>
  </si>
  <si>
    <t>Data Compilation</t>
  </si>
  <si>
    <t>SampleOrgAudit2</t>
  </si>
  <si>
    <t>Data Validation</t>
  </si>
  <si>
    <t>Question headings match</t>
  </si>
  <si>
    <t>Internal DAO Metrics in Org Audit</t>
  </si>
  <si>
    <t>Auditor Validation</t>
  </si>
  <si>
    <t>Auditor Rep</t>
  </si>
  <si>
    <t>Auditor ID Found</t>
  </si>
  <si>
    <t>Audit Complete</t>
  </si>
  <si>
    <t>Org-level Audit</t>
  </si>
  <si>
    <t>Scoring Model</t>
  </si>
  <si>
    <t>Answer1</t>
  </si>
  <si>
    <t>Answer2</t>
  </si>
  <si>
    <t>Comment1</t>
  </si>
  <si>
    <t>Comment2</t>
  </si>
  <si>
    <t>Record 1</t>
  </si>
  <si>
    <t>Record 2</t>
  </si>
  <si>
    <t>Record 3</t>
  </si>
  <si>
    <t>Record 4</t>
  </si>
  <si>
    <t>Auditor is Current VA</t>
  </si>
  <si>
    <t>Grant10000Audit1</t>
  </si>
  <si>
    <t>Grant10000Audit2</t>
  </si>
  <si>
    <r>
      <t xml:space="preserve">Visibility Threshold: </t>
    </r>
    <r>
      <rPr>
        <sz val="10"/>
        <color rgb="FF000000"/>
        <rFont val="Arial"/>
        <family val="2"/>
        <scheme val="minor"/>
      </rPr>
      <t>Min grant amount to see this question</t>
    </r>
  </si>
  <si>
    <t>Did any VAs provide mentoring to you that should be rewarded? VA #1</t>
  </si>
  <si>
    <t>Please indicate % of minted rep to be shared with these foundational grants
         Proposal 1</t>
  </si>
  <si>
    <t>Internal DAO Metrics in Grant Audit</t>
  </si>
  <si>
    <t>Internal DAO Metrics in Reference Audit</t>
  </si>
  <si>
    <t>Internal DAO Metrics in Individual Audit</t>
  </si>
  <si>
    <t>Individual ID</t>
  </si>
  <si>
    <t>Individual Audit</t>
  </si>
  <si>
    <t>Reference ID</t>
  </si>
  <si>
    <t>Reference Audit</t>
  </si>
  <si>
    <t>Reference Project ID</t>
  </si>
  <si>
    <t>AuditSamplePerson1</t>
  </si>
  <si>
    <t>AuditSamplePerson2</t>
  </si>
  <si>
    <t>AuditSamplePerson3</t>
  </si>
  <si>
    <t>Milestone ID</t>
  </si>
  <si>
    <t>Milestone10000.1</t>
  </si>
  <si>
    <t>Milestone10000.2</t>
  </si>
  <si>
    <t>Milestone10000.3</t>
  </si>
  <si>
    <t>Milestone10000.4</t>
  </si>
  <si>
    <t>Grant Application</t>
  </si>
  <si>
    <t>What existing problem tickets does this project / program address (up to 3)?
       Problem Ticket 1</t>
  </si>
  <si>
    <t xml:space="preserve">       Problem Ticket 2</t>
  </si>
  <si>
    <t xml:space="preserve">       Problem Ticket 3</t>
  </si>
  <si>
    <t>What existing grants does this project / program improve or augment (up to 3)?
       Existing Grant 1</t>
  </si>
  <si>
    <t xml:space="preserve">       Existing Grant 2</t>
  </si>
  <si>
    <t xml:space="preserve">       Existing Grant 3</t>
  </si>
  <si>
    <t>Milestones for Grant</t>
  </si>
  <si>
    <t>This milestone has been filled out completely</t>
  </si>
  <si>
    <t>Answer3</t>
  </si>
  <si>
    <t>Answer4</t>
  </si>
  <si>
    <t>Comment3</t>
  </si>
  <si>
    <t>Comment4</t>
  </si>
  <si>
    <t>Filled out completely?</t>
  </si>
  <si>
    <t>Individuals Completing the Grant</t>
  </si>
  <si>
    <t>Your areas of strength as a contributor to the DAO (specify up to 3)
       Strength 1</t>
  </si>
  <si>
    <t xml:space="preserve">       Strength 2</t>
  </si>
  <si>
    <t xml:space="preserve">       Strength 3</t>
  </si>
  <si>
    <t>Reference Projects and Clients</t>
  </si>
  <si>
    <t>What reference are you checking?</t>
  </si>
  <si>
    <t xml:space="preserve">     The code examined from the proposer was functional</t>
  </si>
  <si>
    <t xml:space="preserve">     It was well written, elegant, and easy to follow</t>
  </si>
  <si>
    <t xml:space="preserve">     It demonstrated strong security principles</t>
  </si>
  <si>
    <t xml:space="preserve">     It appeared to scale well</t>
  </si>
  <si>
    <t xml:space="preserve">     It was annotated properly</t>
  </si>
  <si>
    <t xml:space="preserve">     It was free from apparent unremedied bugs / errors / uncaught exceptions</t>
  </si>
  <si>
    <t>Ref1Audit</t>
  </si>
  <si>
    <t>Valid Reference ID</t>
  </si>
  <si>
    <t>SampleOrg</t>
  </si>
  <si>
    <t>sampleorg.com</t>
  </si>
  <si>
    <t>Alex V</t>
  </si>
  <si>
    <t>alex@ramprate.com</t>
  </si>
  <si>
    <t>617-000-0000</t>
  </si>
  <si>
    <t>aveytsel</t>
  </si>
  <si>
    <t>Revenue_Buckets</t>
  </si>
  <si>
    <t>Pre-revenue</t>
  </si>
  <si>
    <r>
      <t>&lt;</t>
    </r>
    <r>
      <rPr>
        <sz val="10"/>
        <color rgb="FF000000"/>
        <rFont val="Calibri"/>
        <family val="2"/>
      </rPr>
      <t>€</t>
    </r>
    <r>
      <rPr>
        <sz val="10"/>
        <color rgb="FF000000"/>
        <rFont val="Arial"/>
        <family val="2"/>
      </rPr>
      <t>100 000</t>
    </r>
  </si>
  <si>
    <r>
      <rPr>
        <sz val="10"/>
        <color rgb="FF000000"/>
        <rFont val="Calibri"/>
        <family val="2"/>
      </rPr>
      <t>€</t>
    </r>
    <r>
      <rPr>
        <sz val="10"/>
        <color rgb="FF000000"/>
        <rFont val="Arial"/>
        <family val="2"/>
      </rPr>
      <t>100 000 - €999 999</t>
    </r>
  </si>
  <si>
    <r>
      <rPr>
        <sz val="10"/>
        <color rgb="FF000000"/>
        <rFont val="Calibri"/>
        <family val="2"/>
      </rPr>
      <t>€</t>
    </r>
    <r>
      <rPr>
        <sz val="10"/>
        <color rgb="FF000000"/>
        <rFont val="Arial"/>
        <family val="2"/>
      </rPr>
      <t>1 000 000 - €9 999 999</t>
    </r>
  </si>
  <si>
    <r>
      <rPr>
        <sz val="10"/>
        <color rgb="FF000000"/>
        <rFont val="Calibri"/>
        <family val="2"/>
      </rPr>
      <t>€</t>
    </r>
    <r>
      <rPr>
        <sz val="10"/>
        <color rgb="FF000000"/>
        <rFont val="Arial"/>
        <family val="2"/>
      </rPr>
      <t>10 000 000 - €99 999 999</t>
    </r>
  </si>
  <si>
    <r>
      <rPr>
        <sz val="10"/>
        <color rgb="FF000000"/>
        <rFont val="Calibri"/>
        <family val="2"/>
      </rPr>
      <t>€</t>
    </r>
    <r>
      <rPr>
        <sz val="10"/>
        <color rgb="FF000000"/>
        <rFont val="Arial"/>
        <family val="2"/>
      </rPr>
      <t>100 000 000+</t>
    </r>
  </si>
  <si>
    <t>2 to 5</t>
  </si>
  <si>
    <t>6 to 20</t>
  </si>
  <si>
    <t>21 to 100</t>
  </si>
  <si>
    <t>100 to 1 0000</t>
  </si>
  <si>
    <t>1 000 or more</t>
  </si>
  <si>
    <t>Prefer not to disclose</t>
  </si>
  <si>
    <t>Staff_Buckets</t>
  </si>
  <si>
    <t>Funding_Buckets</t>
  </si>
  <si>
    <t>No External Funding</t>
  </si>
  <si>
    <t>€1 000 000 - €9 999 999</t>
  </si>
  <si>
    <t>Marketing, project management, scorecarding</t>
  </si>
  <si>
    <t>Please create a Reference Project page for each project you believe is relevant to your future work at DEVxDAO</t>
  </si>
  <si>
    <t>Scorecarding</t>
  </si>
  <si>
    <t>We will build a scorecard for DEVxDAO to evaluate grant proposals</t>
  </si>
  <si>
    <t>Loom URL</t>
  </si>
  <si>
    <t>What part of the DEVxDAO mission does this project primarily support?</t>
  </si>
  <si>
    <t>We enable decentralized organizations make more efficient decisions by creating data analysis tools for them</t>
  </si>
  <si>
    <t>Grant evaluation process does not collect appropriate data or use it optimally to make decisions</t>
  </si>
  <si>
    <t>The project will be integrated with core DAO platform</t>
  </si>
  <si>
    <t>We have 20+ years of experience</t>
  </si>
  <si>
    <t>Xprize Scorecard</t>
  </si>
  <si>
    <t>QA contractors</t>
  </si>
  <si>
    <t>Applications will be more streamlined and decisions faster</t>
  </si>
  <si>
    <t>Time to apply - same or lower; time to evaluate - 50% faster; accuracy of decisions - 20% better</t>
  </si>
  <si>
    <t xml:space="preserve">Amounts allocated to </t>
  </si>
  <si>
    <t>Yes - previously licensed for €1M+ in revenue</t>
  </si>
  <si>
    <t>Ralf</t>
  </si>
  <si>
    <t>Putting this into an online app</t>
  </si>
  <si>
    <t>Previously done</t>
  </si>
  <si>
    <t>Other trained staff</t>
  </si>
  <si>
    <t>Obscurity</t>
  </si>
  <si>
    <t>User Interface</t>
  </si>
  <si>
    <t>The UI for the tool</t>
  </si>
  <si>
    <t>Good looking UI</t>
  </si>
  <si>
    <t>Project scoring logic</t>
  </si>
  <si>
    <t>Logic model for project-based grants</t>
  </si>
  <si>
    <t>DAO approves the structure (or doesn't comment)</t>
  </si>
  <si>
    <t>Program logic model</t>
  </si>
  <si>
    <t>Extend project model to program level</t>
  </si>
  <si>
    <t>DAO agrees this is a good model for programs</t>
  </si>
  <si>
    <t>Scorecard logic</t>
  </si>
  <si>
    <t>Back end of calculating the scores</t>
  </si>
  <si>
    <t>DAO agrees the model is usable</t>
  </si>
  <si>
    <t>MickeyMouse</t>
  </si>
  <si>
    <t>DonaldDuck</t>
  </si>
  <si>
    <t>Not applicable</t>
  </si>
  <si>
    <t>SampleCo</t>
  </si>
  <si>
    <t>Alex</t>
  </si>
  <si>
    <t>Text</t>
  </si>
  <si>
    <t>CSO</t>
  </si>
  <si>
    <t>Fan of DAOs</t>
  </si>
  <si>
    <t>Maturity of business processes</t>
  </si>
  <si>
    <t>Yakko Warner</t>
  </si>
  <si>
    <t>linkedin/yakko</t>
  </si>
  <si>
    <t>yakko@hotmail</t>
  </si>
  <si>
    <t>212-000-0000</t>
  </si>
  <si>
    <t>yakko</t>
  </si>
  <si>
    <t>Troublemaker</t>
  </si>
  <si>
    <t>Hanging out with Wulf and Tony</t>
  </si>
  <si>
    <t>Disrupt</t>
  </si>
  <si>
    <t>github/yakko</t>
  </si>
  <si>
    <t>github/yakko/paywallkiller</t>
  </si>
  <si>
    <t>github/warnerstudio</t>
  </si>
  <si>
    <t>Warner movie lot</t>
  </si>
  <si>
    <t>Dot Warner</t>
  </si>
  <si>
    <t>linkedin/dot</t>
  </si>
  <si>
    <t>dotwarner@gmail</t>
  </si>
  <si>
    <t>718-000-0000</t>
  </si>
  <si>
    <t>dotwarner</t>
  </si>
  <si>
    <t>VP Excellence</t>
  </si>
  <si>
    <t>I'm good enough, smart enough, and gosh darn it people like me</t>
  </si>
  <si>
    <t>Mediate conflicts</t>
  </si>
  <si>
    <t>Networking</t>
  </si>
  <si>
    <t>Numerical (Date)</t>
  </si>
  <si>
    <t>YakkoWarner, DotWarner</t>
  </si>
  <si>
    <t>Xprize impact assessment</t>
  </si>
  <si>
    <t>We figured out why XPRIZE's model works better than investing directly in, say, tree planting</t>
  </si>
  <si>
    <t>Xprize</t>
  </si>
  <si>
    <t>Jim</t>
  </si>
  <si>
    <t>CTO</t>
  </si>
  <si>
    <t>201-000-0000</t>
  </si>
  <si>
    <t>jim@xprize</t>
  </si>
  <si>
    <t>e-mail first</t>
  </si>
  <si>
    <t>Impact review</t>
  </si>
  <si>
    <t>Improved fundraising</t>
  </si>
  <si>
    <t>CouponCo sourcing</t>
  </si>
  <si>
    <t>RFP for outsourced IT department of a F1000 coupon company</t>
  </si>
  <si>
    <t>Sourcing</t>
  </si>
  <si>
    <t>CouponCo</t>
  </si>
  <si>
    <t>George</t>
  </si>
  <si>
    <t>george@couponco</t>
  </si>
  <si>
    <t>Eastern time zone</t>
  </si>
  <si>
    <t>Identified weaknesses in current vendor and renegotiated using best of best terms</t>
  </si>
  <si>
    <t>2019 RFP / negotiation for support services</t>
  </si>
  <si>
    <t>RouteForCarbon</t>
  </si>
  <si>
    <t>Built a network routing tool for carbon</t>
  </si>
  <si>
    <t>github/routeforcarbon</t>
  </si>
  <si>
    <t>routeforcarbon.com</t>
  </si>
  <si>
    <t>demo / login</t>
  </si>
  <si>
    <t>N/A - never set up CVSS process</t>
  </si>
  <si>
    <t>If the project stores personal data, has it been reviewed / audited specifically for GDPR and other regulatory compliance?</t>
  </si>
  <si>
    <t>no primary client</t>
  </si>
  <si>
    <t>Ref3Audit</t>
  </si>
  <si>
    <t>Looks good</t>
  </si>
  <si>
    <t>GoofyDog</t>
  </si>
  <si>
    <t>BugsBunny</t>
  </si>
  <si>
    <t>DaffyDuck</t>
  </si>
  <si>
    <t>YosemiteSam</t>
  </si>
  <si>
    <t>Initial Scoring</t>
  </si>
  <si>
    <t>Scoring Template</t>
  </si>
  <si>
    <t>Numerical value range in Euro - not evaluated but used to calculate effective hourly rate</t>
  </si>
  <si>
    <t>Numerical value range 1 - last grant approved</t>
  </si>
  <si>
    <t>Numerical value in Euro - can be used as a trigger to show / hide some of the questions below (TBD later)</t>
  </si>
  <si>
    <t>Numeric - Calculated automatically</t>
  </si>
  <si>
    <t>Base Score</t>
  </si>
  <si>
    <t>Industry_Diversity</t>
  </si>
  <si>
    <t>No reward</t>
  </si>
  <si>
    <t>Telegram / Signal scored more highly as potential indicator of being part of decentralized systems</t>
  </si>
  <si>
    <t>Signal</t>
  </si>
  <si>
    <t>Question used for demographics - any answer evaluated at 100% by default</t>
  </si>
  <si>
    <t>NO_Yes</t>
  </si>
  <si>
    <t># of Records</t>
  </si>
  <si>
    <t>Numeric Evaluation Scratchwork</t>
  </si>
  <si>
    <t>Dummy Min</t>
  </si>
  <si>
    <t>Dummy Max</t>
  </si>
  <si>
    <t>Model used</t>
  </si>
  <si>
    <t>Larger is better / log</t>
  </si>
  <si>
    <t>Linear % - larger is better</t>
  </si>
  <si>
    <t>Linear % - smaller is better</t>
  </si>
  <si>
    <t>Larger is better / log / date</t>
  </si>
  <si>
    <t>Larger is better / linear</t>
  </si>
  <si>
    <t>Skipped</t>
  </si>
  <si>
    <t>Smaller is better / log</t>
  </si>
  <si>
    <t>Smaller is better / log, converted to %</t>
  </si>
  <si>
    <t>Smaller is better / log, converted to % of total first</t>
  </si>
  <si>
    <t>Earlier is better / log</t>
  </si>
  <si>
    <t>Final Scoring</t>
  </si>
  <si>
    <t>Aggregation Model</t>
  </si>
  <si>
    <t>Single Answer</t>
  </si>
  <si>
    <t>Rep-Weighted Average</t>
  </si>
  <si>
    <t>Derivative - see below</t>
  </si>
  <si>
    <t>Derivative - see end of section</t>
  </si>
  <si>
    <t>Days from previous milestone</t>
  </si>
  <si>
    <t>Calculated from rows 201:203</t>
  </si>
  <si>
    <t>Numeric</t>
  </si>
  <si>
    <t>Other Skip Logic</t>
  </si>
  <si>
    <t>Project type is code related</t>
  </si>
  <si>
    <t>Proposal is a program and not just a project</t>
  </si>
  <si>
    <t>Value pre-filled to show entire form without skips</t>
  </si>
  <si>
    <t>Notes</t>
  </si>
  <si>
    <t>Demonstration of manually disabled question - change F15 to true to see the question</t>
  </si>
  <si>
    <t>Wakko Warner</t>
  </si>
  <si>
    <t>linkedin/wakkowarner</t>
  </si>
  <si>
    <t>wakko@warners</t>
  </si>
  <si>
    <t>wakko</t>
  </si>
  <si>
    <t>Pre-filled to ensure rows 32:38 show</t>
  </si>
  <si>
    <t>Pre-filled to ensure rows below show</t>
  </si>
  <si>
    <t>Prefilled as code to not hide questions below</t>
  </si>
  <si>
    <t>Individual being audited</t>
  </si>
  <si>
    <t>Active In R1?</t>
  </si>
  <si>
    <t>Active In R2?</t>
  </si>
  <si>
    <t>Active In R3?</t>
  </si>
  <si>
    <t>Active In R4?</t>
  </si>
  <si>
    <t>Input Config</t>
  </si>
  <si>
    <t>Limited to 4 wide for this sample - theoretically we could have more individuals, audits, milestones, etc.</t>
  </si>
  <si>
    <t>Percent Score</t>
  </si>
  <si>
    <t>Legit Skip (zero-out weight)?</t>
  </si>
  <si>
    <t>Payment-weighted average</t>
  </si>
  <si>
    <t>Reverse payment-weighted average</t>
  </si>
  <si>
    <t>Median</t>
  </si>
  <si>
    <t>Project lead 2x, everyone else 1x</t>
  </si>
  <si>
    <t>Leader Tag</t>
  </si>
  <si>
    <t>Rep-Weighted Average, double-count project lead</t>
  </si>
  <si>
    <t>Coder?</t>
  </si>
  <si>
    <t>Has individual listed themselves as a coder on their profile?</t>
  </si>
  <si>
    <t>This will eventually be pulled directly from the individual record so the question doesn't need to be asked</t>
  </si>
  <si>
    <t>The current model sort of assumes one individual audit per person - need adaptation for multiple people evaluating project lead</t>
  </si>
  <si>
    <t>Average (exc. Legit skips)</t>
  </si>
  <si>
    <t>Is there at least one primary client or sponsor of this project</t>
  </si>
  <si>
    <t>Is this a coding project?</t>
  </si>
  <si>
    <t>This should be set automatically based on the type of project being audited</t>
  </si>
  <si>
    <t>Validation Type</t>
  </si>
  <si>
    <t>Is there a primary client / sponsor to contact?</t>
  </si>
  <si>
    <t>All projects</t>
  </si>
  <si>
    <t>Past Proposals (for reference - this is not live data)</t>
  </si>
  <si>
    <t>Current Proposal</t>
  </si>
  <si>
    <t>Shorthand Name for Question</t>
  </si>
  <si>
    <t>Org has a designated primary contact</t>
  </si>
  <si>
    <t>Org DAO history</t>
  </si>
  <si>
    <t>Org takes crypto payments</t>
  </si>
  <si>
    <t>Org issued crypto tokens</t>
  </si>
  <si>
    <t>Org decision decentralization</t>
  </si>
  <si>
    <t>Org decentralization level</t>
  </si>
  <si>
    <t>Org internal transparency</t>
  </si>
  <si>
    <t>Org revenue</t>
  </si>
  <si>
    <t>Org funding</t>
  </si>
  <si>
    <t>Org staff working for DxD</t>
  </si>
  <si>
    <t>Org is woman-owned?</t>
  </si>
  <si>
    <t>Org is minority-owned (in its country)?</t>
  </si>
  <si>
    <t>Org main industry</t>
  </si>
  <si>
    <t>Best of 3</t>
  </si>
  <si>
    <t>Org project types</t>
  </si>
  <si>
    <t>Org references - type of client</t>
  </si>
  <si>
    <t>Org open source project contribution count</t>
  </si>
  <si>
    <t>Org open source project founding count</t>
  </si>
  <si>
    <t>Org on-time record (self-reported)</t>
  </si>
  <si>
    <t>Org built-to-spec record (self-reported)</t>
  </si>
  <si>
    <t>Org on-budget record (self-reported)</t>
  </si>
  <si>
    <t>Org profile is complete</t>
  </si>
  <si>
    <t>Org has existing VA</t>
  </si>
  <si>
    <t>Org's aggregate rep</t>
  </si>
  <si>
    <t>Org's aggregate vote %</t>
  </si>
  <si>
    <t>Org's aggregate attestation %</t>
  </si>
  <si>
    <t>Org grants applied for</t>
  </si>
  <si>
    <t>Org grants completed</t>
  </si>
  <si>
    <t>Org grants % with advance delinquent</t>
  </si>
  <si>
    <t>Org grants % delinquent (90+ days late)</t>
  </si>
  <si>
    <t>Notes for future dev enhancements</t>
  </si>
  <si>
    <t>Used in Current Scorecard Weights?</t>
  </si>
  <si>
    <t>Org can be contacted by e-mail?</t>
  </si>
  <si>
    <t>Shorthand Name for What Scoring Says</t>
  </si>
  <si>
    <t>Org type (e.g. corp, DAO, NGO, PBC)</t>
  </si>
  <si>
    <t>Org country</t>
  </si>
  <si>
    <t>Org audit: no conflicts</t>
  </si>
  <si>
    <t>Should theoretically insert more complex logic here for reducing weights of conflicted auditors</t>
  </si>
  <si>
    <t>Org audit: conflicts were explained</t>
  </si>
  <si>
    <t>Org audit: date</t>
  </si>
  <si>
    <t>Org audit: URL is live</t>
  </si>
  <si>
    <t>Org KYC passed</t>
  </si>
  <si>
    <t>Org audit: # of competent individuals met</t>
  </si>
  <si>
    <t>Org audit: scale is verifiable</t>
  </si>
  <si>
    <t>This should ultimately affect scores of self-reported scale metrics as well</t>
  </si>
  <si>
    <t>This should ultimately affect scores of self-reported decentralization metrics as well</t>
  </si>
  <si>
    <t>Org audit: decentralization is verifiable</t>
  </si>
  <si>
    <t>Org audit: no material inaccuracies</t>
  </si>
  <si>
    <t>Org audit: no red flags</t>
  </si>
  <si>
    <t>Org audit: red flags &amp; inaccuracies explained</t>
  </si>
  <si>
    <t>Org audit: diversity claims verifiable</t>
  </si>
  <si>
    <t>Org audit: will add demographic diversity</t>
  </si>
  <si>
    <t>Org audit: will add new industries to the DAO</t>
  </si>
  <si>
    <t>Org audit: will add geographic diversity</t>
  </si>
  <si>
    <t>Org audit: will add new scale / maturity to DAO</t>
  </si>
  <si>
    <t>Org audit: will add social impact orientation to DAO</t>
  </si>
  <si>
    <t>Org audit complete</t>
  </si>
  <si>
    <t>Org auditor median rep</t>
  </si>
  <si>
    <t>Org number of auditors</t>
  </si>
  <si>
    <t>Single value</t>
  </si>
  <si>
    <t>Project has a name</t>
  </si>
  <si>
    <t>Project type</t>
  </si>
  <si>
    <t>Grant amount requested</t>
  </si>
  <si>
    <t>Grant needs advance?</t>
  </si>
  <si>
    <t>Project or program?</t>
  </si>
  <si>
    <t>Project brief summary completed</t>
  </si>
  <si>
    <t>Project has additional info / URL</t>
  </si>
  <si>
    <t>Project - DxD mission pillar supported</t>
  </si>
  <si>
    <t>Project - DxD mission support is described</t>
  </si>
  <si>
    <t>Project - existing problem tickets answered (not live)</t>
  </si>
  <si>
    <t>Sum up to 100%</t>
  </si>
  <si>
    <t>Project has description of solving existing problems</t>
  </si>
  <si>
    <t>Project has description of integrating with others</t>
  </si>
  <si>
    <t>Project: team member count</t>
  </si>
  <si>
    <t>Project: team hours count</t>
  </si>
  <si>
    <t>Project: describes qualifications of team</t>
  </si>
  <si>
    <t>Project: cumulative years experience of team</t>
  </si>
  <si>
    <t>Project: total number of similar projects completed</t>
  </si>
  <si>
    <t>Project has defined success</t>
  </si>
  <si>
    <t>Project # of success metrics tracked</t>
  </si>
  <si>
    <t>Project has described success metrics</t>
  </si>
  <si>
    <t>Project will collect social impact metrics</t>
  </si>
  <si>
    <t>Project has social impact description</t>
  </si>
  <si>
    <t>Project will release proprietary code to open source</t>
  </si>
  <si>
    <t>Project will create on-chain activity for sponsor</t>
  </si>
  <si>
    <t>Project is on sponsor chain because of grant</t>
  </si>
  <si>
    <t>Project target on chain transaction count</t>
  </si>
  <si>
    <t>Project target new wallet count</t>
  </si>
  <si>
    <t>Project target new dev count</t>
  </si>
  <si>
    <t>Project code release location</t>
  </si>
  <si>
    <t>Project open source license used</t>
  </si>
  <si>
    <t>Project will include instructions / demo video</t>
  </si>
  <si>
    <t>Project code will be annotated / commented</t>
  </si>
  <si>
    <t>Project code will include API / integration</t>
  </si>
  <si>
    <t>Project additional support hours reserved</t>
  </si>
  <si>
    <t>Project # of pre-existing VA discussions</t>
  </si>
  <si>
    <t>Project will share mentoring rewards</t>
  </si>
  <si>
    <t>Project has Casper / ETA endorsement</t>
  </si>
  <si>
    <t>Project Casper endorsement has e-mail</t>
  </si>
  <si>
    <t>Project is not generated by ETA employee</t>
  </si>
  <si>
    <t>Project is endorsed by subject matter DAO</t>
  </si>
  <si>
    <t>Project subject matter DAO endorsement has name</t>
  </si>
  <si>
    <t>Project has described what's out of scope</t>
  </si>
  <si>
    <t>Project level grant app is complete</t>
  </si>
  <si>
    <t>Grant Application - Program Appendix</t>
  </si>
  <si>
    <t>Percentage, smaller is better, linear</t>
  </si>
  <si>
    <t>Program: hours / month included</t>
  </si>
  <si>
    <t>Program: committed duration</t>
  </si>
  <si>
    <t>Program: hours to fix problems we didn't create for free</t>
  </si>
  <si>
    <t>Program: hours to fix urgent problems (may need more fees)</t>
  </si>
  <si>
    <t>Program: can we extend term?</t>
  </si>
  <si>
    <t>Program: can we increase volume?</t>
  </si>
  <si>
    <t>Program: will you provide after-term support if it's your fault?</t>
  </si>
  <si>
    <t>Program: contingency plan for staff shortage described</t>
  </si>
  <si>
    <t>Program: each team member has backup</t>
  </si>
  <si>
    <t>Program: detailed process manuals exist</t>
  </si>
  <si>
    <t>Program: agreed to not reassign staff</t>
  </si>
  <si>
    <t>Program: staff turnover rate</t>
  </si>
  <si>
    <t>Program: data backup exists?</t>
  </si>
  <si>
    <t>Program: data backup frequency</t>
  </si>
  <si>
    <t>Program: data security described</t>
  </si>
  <si>
    <t>Program: response time SLA</t>
  </si>
  <si>
    <t>Program: resolution time SLA</t>
  </si>
  <si>
    <t>Program: uptime SLA</t>
  </si>
  <si>
    <t>Program: retention SLA</t>
  </si>
  <si>
    <t>Program: other SLA</t>
  </si>
  <si>
    <t>Program: other SLA described</t>
  </si>
  <si>
    <t>Program: minor SLA penalty</t>
  </si>
  <si>
    <t>Program: major SLA penalty</t>
  </si>
  <si>
    <t>Program: DAO can request staff replacement</t>
  </si>
  <si>
    <t>Program: DAO participates in staff selection</t>
  </si>
  <si>
    <t>Program: knowledge transfer commitment</t>
  </si>
  <si>
    <t>Program: allows downscale with no charge</t>
  </si>
  <si>
    <t>Program appendix complete</t>
  </si>
  <si>
    <t>This should be better adapted for &lt;4 milestones</t>
  </si>
  <si>
    <t>Minimum of active milestones</t>
  </si>
  <si>
    <t>All milestones have names</t>
  </si>
  <si>
    <t>All milestones have deliverable descriptions</t>
  </si>
  <si>
    <t>All milestones have acceptance criteria</t>
  </si>
  <si>
    <t>Compensation per milestone</t>
  </si>
  <si>
    <t>Milestone does note require advance</t>
  </si>
  <si>
    <t>Milestone is not frontloaded above its cost</t>
  </si>
  <si>
    <t>Milestone effective hourly rate</t>
  </si>
  <si>
    <t>Milestone time to deliver</t>
  </si>
  <si>
    <t>Grant auditors have no conflicts of interest</t>
  </si>
  <si>
    <t>Grant audit conflicts of interest were explained</t>
  </si>
  <si>
    <t>Grant audit: enough staff</t>
  </si>
  <si>
    <t>Grant audit: staff is not excessive</t>
  </si>
  <si>
    <t>Grant audit: good value for grant amount</t>
  </si>
  <si>
    <t>Grant audit: hourly compensation is fair</t>
  </si>
  <si>
    <t>Grant audit: grant supports decentralization</t>
  </si>
  <si>
    <t>Grant audit: grant supports open source</t>
  </si>
  <si>
    <t>Grant audit: grant supports innovation</t>
  </si>
  <si>
    <t>Grant audit: grant addresses strategic DxD objective</t>
  </si>
  <si>
    <t>Grant audit: grant addresses known tactical DxD need</t>
  </si>
  <si>
    <t>Grant audit: meaningful impact for sponsors</t>
  </si>
  <si>
    <t>Grant audit: application is complete</t>
  </si>
  <si>
    <t>Grant audit: application is clear</t>
  </si>
  <si>
    <t>Grant audit: milestones are well defined</t>
  </si>
  <si>
    <t>Grant audit: team qualifications demonstrated</t>
  </si>
  <si>
    <t>Grant audit: team qualifications sufficient for job</t>
  </si>
  <si>
    <t>Grant audit: high likelihood of on-time delivery</t>
  </si>
  <si>
    <t>Grant audit: reference projects close match to work being done</t>
  </si>
  <si>
    <t>Grant audit: grant builds on and improves existing  work</t>
  </si>
  <si>
    <t>Grant audit: grant is not redundant with existing work</t>
  </si>
  <si>
    <t>Grant audit: grant will support integrated UX</t>
  </si>
  <si>
    <t>Grant audit: includes future support</t>
  </si>
  <si>
    <t>Grant audit: real world outcome expected</t>
  </si>
  <si>
    <t>Grant audit: will shift important KPIs</t>
  </si>
  <si>
    <t>Grant audit: I will use it</t>
  </si>
  <si>
    <t>Grant audit: others I know will use it</t>
  </si>
  <si>
    <t>Grant audit: non-DxD audiences will use it</t>
  </si>
  <si>
    <t>Grant audit: Casper has advocated for this grant</t>
  </si>
  <si>
    <t>Grant audit: CRDAO has reviewed reference work</t>
  </si>
  <si>
    <t>Grant audit: top VAs have advocated for this grant</t>
  </si>
  <si>
    <t>Grant audit: other VAs have advocated for this grant</t>
  </si>
  <si>
    <t>Grant audit: other trusted org advocated for this grant</t>
  </si>
  <si>
    <t>Grant audit: no known vulnerabilities or design flaws</t>
  </si>
  <si>
    <t>Grant audit completed</t>
  </si>
  <si>
    <t>Grant auditor rep</t>
  </si>
  <si>
    <t>Project team has described its qualifications / provided LinkedIn or CV</t>
  </si>
  <si>
    <t>Project team invite source</t>
  </si>
  <si>
    <t>Project team country location</t>
  </si>
  <si>
    <t>Project team is on telegram</t>
  </si>
  <si>
    <t>Project team uses same contact methods we do</t>
  </si>
  <si>
    <t>Project team has submitted job titles</t>
  </si>
  <si>
    <t>Project team has described why they joined</t>
  </si>
  <si>
    <t>Project team has described what they want to do for DAO</t>
  </si>
  <si>
    <t>Project team brings useful skills</t>
  </si>
  <si>
    <t>Total of everyone's skills</t>
  </si>
  <si>
    <t>Coders on team have provided github link</t>
  </si>
  <si>
    <t>Coders on team have provided links to open source projects participated in</t>
  </si>
  <si>
    <t>Coders on team have provided links to open source projects initiated</t>
  </si>
  <si>
    <t>Coders on team described closed source project experience</t>
  </si>
  <si>
    <t>Coders' software dev experience</t>
  </si>
  <si>
    <t>Coders' blockchain dev experience</t>
  </si>
  <si>
    <t>Coders' software dev education</t>
  </si>
  <si>
    <t>Project team years of experience</t>
  </si>
  <si>
    <t>Project team education</t>
  </si>
  <si>
    <t>Project team records completed</t>
  </si>
  <si>
    <t>Project team audit: e-mail confirmed</t>
  </si>
  <si>
    <t>Project team audit: phone confirmed</t>
  </si>
  <si>
    <t>Project team audit: telegram confirmed</t>
  </si>
  <si>
    <t>Project team audit: org membership confirmed</t>
  </si>
  <si>
    <t>Project team audit: individual KYC passed</t>
  </si>
  <si>
    <t>Project team audit: no conflicts of interest</t>
  </si>
  <si>
    <t>Project team audit: conflicts of interest explained</t>
  </si>
  <si>
    <t>Reference project has a description</t>
  </si>
  <si>
    <t>Reference project type is close to core DxD work</t>
  </si>
  <si>
    <t>Reference project has a primary client to talk to</t>
  </si>
  <si>
    <t>Reference coding project: org's role</t>
  </si>
  <si>
    <t>Reference coding project: blockchain used</t>
  </si>
  <si>
    <t>Reference coding project has github link</t>
  </si>
  <si>
    <t>Reference coding project has github info to validate org contribution</t>
  </si>
  <si>
    <t>Reference coding project has a live link to use / view product</t>
  </si>
  <si>
    <t>Reference coding project: languages supported</t>
  </si>
  <si>
    <t>Reference coding project: CVSS assessment</t>
  </si>
  <si>
    <t>Reference coding project: time to remedy security vulnerabilities ID'ed</t>
  </si>
  <si>
    <t>Reference coding project: GDPR review</t>
  </si>
  <si>
    <t>Provide link to project output (e.g. publication, press release, org website) if available</t>
  </si>
  <si>
    <t>Reference contact provided</t>
  </si>
  <si>
    <t>Reference org name provided</t>
  </si>
  <si>
    <t>Reference contact threshold (e.g. only on certain grant size)</t>
  </si>
  <si>
    <t>Reference contact job title provided</t>
  </si>
  <si>
    <t>Reference contact phone provided</t>
  </si>
  <si>
    <t>Reference contact e-mail provided</t>
  </si>
  <si>
    <t>Reference project outcomes described</t>
  </si>
  <si>
    <t>Reference project record complete</t>
  </si>
  <si>
    <t>Reference audit has no conflicts of interest</t>
  </si>
  <si>
    <t>Reference audit conflicts of interest explained</t>
  </si>
  <si>
    <t>Reference coding project audit: github valid</t>
  </si>
  <si>
    <t>Reference coding project audit: org contribution confirmed on github</t>
  </si>
  <si>
    <t>Reference coding project audit: github total downloads</t>
  </si>
  <si>
    <t>Reference coding project audit: github release date</t>
  </si>
  <si>
    <t>Reference coding project audit: total number of releases</t>
  </si>
  <si>
    <t>Should implement a release frequency metric as well</t>
  </si>
  <si>
    <t>Reference coding project audit: github contributor count</t>
  </si>
  <si>
    <t>Reference coding project audit: github fork count</t>
  </si>
  <si>
    <t>Reference coding project audit: github star count</t>
  </si>
  <si>
    <t>Reference coding project audit: github project prominence 1-5</t>
  </si>
  <si>
    <t>Reference coding project audit: code quality overall</t>
  </si>
  <si>
    <t>Reference coding project audit: functional code</t>
  </si>
  <si>
    <t>Reference coding project audit: well-written code</t>
  </si>
  <si>
    <t>Reference coding project audit: security done well</t>
  </si>
  <si>
    <t>Reference coding project audit: scalability done well</t>
  </si>
  <si>
    <t>Reference coding project audit: annotations done well</t>
  </si>
  <si>
    <t>Reference coding project audit: bug-free</t>
  </si>
  <si>
    <t>Reference project: live link shows output</t>
  </si>
  <si>
    <t>Reference project: live link looks functional</t>
  </si>
  <si>
    <t>Reference project matches description</t>
  </si>
  <si>
    <t>Reference project boosts decentralization</t>
  </si>
  <si>
    <t>Reference project boosts open source dev</t>
  </si>
  <si>
    <t>Reference project boosts research</t>
  </si>
  <si>
    <t>Reference contact reached</t>
  </si>
  <si>
    <t>Reference contact knew project well</t>
  </si>
  <si>
    <t>Reference contact quality review</t>
  </si>
  <si>
    <t>Reference contact timeliness review</t>
  </si>
  <si>
    <t>Reference contact cost effectiveness review</t>
  </si>
  <si>
    <t>Reference contact support / maintenance review</t>
  </si>
  <si>
    <t>Reference contact has detailed meeting notes</t>
  </si>
  <si>
    <t>Reference check completed</t>
  </si>
  <si>
    <t>Reference checker rep</t>
  </si>
  <si>
    <t>Project team audit: has coders on team</t>
  </si>
  <si>
    <t>Project team audit: coder github profiles are valid</t>
  </si>
  <si>
    <t>Project team audit: coder audit date</t>
  </si>
  <si>
    <t>Project team audit: coder open source founding confirmed</t>
  </si>
  <si>
    <t>Project team audit: coder open source project contribution level</t>
  </si>
  <si>
    <t>Project team audit: importance and popularity of code projects</t>
  </si>
  <si>
    <t>Project team audit: experience and education match LinkedIn / CV</t>
  </si>
  <si>
    <t>Project team audit: team has valuable qualifications</t>
  </si>
  <si>
    <t>Project team audit: team understands and aligns with DAO principles</t>
  </si>
  <si>
    <t>Project team audit: new perspectives are added to the DAO</t>
  </si>
  <si>
    <t>Project team audit complete</t>
  </si>
  <si>
    <t>Project team audit: auditor rep</t>
  </si>
  <si>
    <t>Intentionally skipping evaluation of this - if we include it, we must change text of question which says this is for demographic purposes only</t>
  </si>
  <si>
    <t>Decentralized autonomous organization (DAO)</t>
  </si>
  <si>
    <t>Org past DAO project description filled in</t>
  </si>
  <si>
    <t>Org past DAO project count</t>
  </si>
  <si>
    <t>Proposal Endorsements</t>
  </si>
  <si>
    <t>Org staff headcount</t>
  </si>
  <si>
    <t>Did a subject matter DAO agree to endorse this project?</t>
  </si>
  <si>
    <t>Did another organization doing business with DEVxDAO agree to endorse this project</t>
  </si>
  <si>
    <t>Project has other endorsement</t>
  </si>
  <si>
    <t>Project other endorsement has description / contact</t>
  </si>
  <si>
    <t>Grant audit: program capacity is sufficient</t>
  </si>
  <si>
    <t>Grant audit: program SLA is properly done</t>
  </si>
  <si>
    <t>Grant audit: program / project is scalable</t>
  </si>
  <si>
    <t>Grant audit: program / project can be shortened or extended</t>
  </si>
  <si>
    <t>Reference project: project output link provided</t>
  </si>
  <si>
    <t>We will eventually want this in the other categories as well</t>
  </si>
  <si>
    <t>Weight w/Overrides / Legit Omissions</t>
  </si>
  <si>
    <t>Score is reversed for evaluation of diversity / new types of clients</t>
  </si>
  <si>
    <t>Click here to override detailed line item weights</t>
  </si>
  <si>
    <t>Click here to change lookup table values</t>
  </si>
  <si>
    <t>Instructions</t>
  </si>
  <si>
    <t>Please set questions and answers for which you would potentially disqualify a grant application regardless of its other merits</t>
  </si>
  <si>
    <t>Expression</t>
  </si>
  <si>
    <t>Master list of evaluated data points</t>
  </si>
  <si>
    <t>Score is equal to</t>
  </si>
  <si>
    <t>Score is less than</t>
  </si>
  <si>
    <t>Answer is equal to</t>
  </si>
  <si>
    <t>Answer is not equal to</t>
  </si>
  <si>
    <t>Triggered?</t>
  </si>
  <si>
    <t>Target</t>
  </si>
  <si>
    <t>Example excluding embargoed countries if you set org country to e.g. Iran or Venezuela, this will trigger</t>
  </si>
  <si>
    <t>Supported Expressions</t>
  </si>
  <si>
    <t>Click here to set or review dealbreakers</t>
  </si>
  <si>
    <t>DEVxDAO Grant Scoring Scorecard Prototype</t>
  </si>
  <si>
    <t>The User Journeys</t>
  </si>
  <si>
    <r>
      <t xml:space="preserve">This instrument is intended to perform five main functions:
</t>
    </r>
    <r>
      <rPr>
        <b/>
        <sz val="10"/>
        <color rgb="FF000000"/>
        <rFont val="Arial"/>
        <family val="2"/>
        <scheme val="minor"/>
      </rPr>
      <t>1)</t>
    </r>
    <r>
      <rPr>
        <sz val="10"/>
        <color rgb="FF000000"/>
        <rFont val="Arial"/>
        <family val="2"/>
        <scheme val="minor"/>
      </rPr>
      <t xml:space="preserve"> Create a streamlined way for grant recipients to interact with the DAO, eliminating repetitive data entry and scaling down the forms for smaller projects
</t>
    </r>
    <r>
      <rPr>
        <b/>
        <sz val="10"/>
        <color rgb="FF000000"/>
        <rFont val="Arial"/>
        <family val="2"/>
        <scheme val="minor"/>
      </rPr>
      <t>2)</t>
    </r>
    <r>
      <rPr>
        <sz val="10"/>
        <color rgb="FF000000"/>
        <rFont val="Arial"/>
        <family val="2"/>
        <scheme val="minor"/>
      </rPr>
      <t xml:space="preserve"> Create a way for VAs who have dug deep into verifying the fit of an org, individual, or grant to the organization to share their notes with others in the DAO in a standard way
</t>
    </r>
    <r>
      <rPr>
        <b/>
        <sz val="10"/>
        <color rgb="FF000000"/>
        <rFont val="Arial"/>
        <family val="2"/>
        <scheme val="minor"/>
      </rPr>
      <t xml:space="preserve">3) </t>
    </r>
    <r>
      <rPr>
        <sz val="10"/>
        <color rgb="FF000000"/>
        <rFont val="Arial"/>
        <family val="2"/>
        <scheme val="minor"/>
      </rPr>
      <t xml:space="preserve">Obtain and check references - whether github projects or client interviews or both - and incorporate this information into the grant approval decision process
</t>
    </r>
    <r>
      <rPr>
        <b/>
        <sz val="10"/>
        <color rgb="FF000000"/>
        <rFont val="Arial"/>
        <family val="2"/>
        <scheme val="minor"/>
      </rPr>
      <t>4)</t>
    </r>
    <r>
      <rPr>
        <sz val="10"/>
        <color rgb="FF000000"/>
        <rFont val="Arial"/>
        <family val="2"/>
        <scheme val="minor"/>
      </rPr>
      <t xml:space="preserve"> Allow VAs to synthesize all of this information at a glance, understanding the strength / weakness of each proposal and reducing the time needed to make a decision
</t>
    </r>
    <r>
      <rPr>
        <b/>
        <sz val="10"/>
        <color rgb="FF000000"/>
        <rFont val="Arial"/>
        <family val="2"/>
        <scheme val="minor"/>
      </rPr>
      <t>5)</t>
    </r>
    <r>
      <rPr>
        <sz val="10"/>
        <color rgb="FF000000"/>
        <rFont val="Arial"/>
        <family val="2"/>
        <scheme val="minor"/>
      </rPr>
      <t xml:space="preserve"> Rebuild the DAO's approach to information management and auditability of its decisions, creating a trail of data to analyze its effectiveness and institutional biases</t>
    </r>
  </si>
  <si>
    <t>There are three main user types intended for this application, whose journeys are coded by tab colors</t>
  </si>
  <si>
    <t>VA Auditing Grant Request</t>
  </si>
  <si>
    <t>Prospective Grant Recipient</t>
  </si>
  <si>
    <t>VA Making Final Approval Decision</t>
  </si>
  <si>
    <t>1. Organization profile</t>
  </si>
  <si>
    <t>2. Individual profile(s)</t>
  </si>
  <si>
    <t>3. References</t>
  </si>
  <si>
    <t>4. Grant request</t>
  </si>
  <si>
    <t>5. Grant milestones</t>
  </si>
  <si>
    <t>1. Org information audit</t>
  </si>
  <si>
    <t>2. Individual info audit</t>
  </si>
  <si>
    <t>3. Reference verification</t>
  </si>
  <si>
    <t>4. Grant deep dive review</t>
  </si>
  <si>
    <t>1. Main scorecard</t>
  </si>
  <si>
    <t>2. (Optional) L2 weights</t>
  </si>
  <si>
    <t>3. (Optional) Dealbreakers</t>
  </si>
  <si>
    <t>4. (Optional) Deep config</t>
  </si>
  <si>
    <t>Live Example</t>
  </si>
  <si>
    <t>VAs Auditing Grant Request</t>
  </si>
  <si>
    <t>1. Org profile - SampleCo</t>
  </si>
  <si>
    <t>2a. Individual Profile 1</t>
  </si>
  <si>
    <t>2b. Individual Profile 2</t>
  </si>
  <si>
    <t>2c. Individual Profile 3</t>
  </si>
  <si>
    <t>3a. Reference 1 - Person</t>
  </si>
  <si>
    <t>3b. Reference 2 - Person</t>
  </si>
  <si>
    <t>3c. Reference 3 - Github</t>
  </si>
  <si>
    <t>5a. Grant milestone 1</t>
  </si>
  <si>
    <t>5b. Grant milestone 2</t>
  </si>
  <si>
    <t>5c. Grant milestone 3</t>
  </si>
  <si>
    <t>5d. Grant milestone 4</t>
  </si>
  <si>
    <t>1a. VA1 Org info audit</t>
  </si>
  <si>
    <t>1b. VA2 Org info audit</t>
  </si>
  <si>
    <t>2a. Individual info audit 1</t>
  </si>
  <si>
    <t>2b. Individual info audit 2</t>
  </si>
  <si>
    <t>2c. Individual info audit 3</t>
  </si>
  <si>
    <t>3a. Reference 1 check</t>
  </si>
  <si>
    <t>3c. Reference 3 check</t>
  </si>
  <si>
    <t>4a. Grant deep dive review 1</t>
  </si>
  <si>
    <t>4b. Grant deep dive review 2</t>
  </si>
  <si>
    <t>To demonstrate this tool, we have built a sample grant application, including all the underlying data, and a cross-section of sample audits. This is a live example - changing the fields in the grant application, individual / organization profiles, or grant application will change the scorecard outcomes and recommendation to the VA doing the final pre-vote review.</t>
  </si>
  <si>
    <t>Under the hood: the data parser converting detailed responses into 0%-100% scores and aggregating data</t>
  </si>
  <si>
    <t>Subcategory / Detailed Weights</t>
  </si>
  <si>
    <t>Metric Importance Weight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</si>
</sst>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 [$€-1]"/>
    <numFmt numFmtId="166" formatCode="[$€-2]\ #,##0"/>
    <numFmt numFmtId="167" formatCode="0.0"/>
    <numFmt numFmtId="168" formatCode="[$€-2]\ #,##0.00"/>
  </numFmts>
  <fonts count="52">
    <font>
      <sz val="10"/>
      <color rgb="FF000000"/>
      <name val="Arial"/>
      <scheme val="minor"/>
    </font>
    <font>
      <b/>
      <sz val="24"/>
      <color rgb="FF202124"/>
      <name val="Arial"/>
      <family val="2"/>
      <scheme val="minor"/>
    </font>
    <font>
      <sz val="10"/>
      <name val="Arial"/>
      <family val="2"/>
    </font>
    <font>
      <b/>
      <sz val="21"/>
      <color rgb="FF202124"/>
      <name val="Calibri"/>
      <family val="2"/>
    </font>
    <font>
      <sz val="14"/>
      <color rgb="FFF3F3F3"/>
      <name val="Arial"/>
      <family val="2"/>
    </font>
    <font>
      <b/>
      <sz val="12"/>
      <color theme="1"/>
      <name val="Calibri"/>
      <family val="2"/>
    </font>
    <font>
      <sz val="12"/>
      <color rgb="FF141412"/>
      <name val="Calibri"/>
      <family val="2"/>
    </font>
    <font>
      <sz val="12"/>
      <color theme="1"/>
      <name val="Calibri"/>
      <family val="2"/>
    </font>
    <font>
      <sz val="12"/>
      <color rgb="FF000000"/>
      <name val="Calibri"/>
      <family val="2"/>
    </font>
    <font>
      <sz val="12"/>
      <color rgb="FF222222"/>
      <name val="Calibri"/>
      <family val="2"/>
    </font>
    <font>
      <sz val="10"/>
      <color theme="1"/>
      <name val="Arial"/>
      <family val="2"/>
      <scheme val="minor"/>
    </font>
    <font>
      <b/>
      <i/>
      <sz val="12"/>
      <color theme="1"/>
      <name val="Calibri"/>
      <family val="2"/>
    </font>
    <font>
      <sz val="12"/>
      <color rgb="FF3C4043"/>
      <name val="Calibri"/>
      <family val="2"/>
    </font>
    <font>
      <sz val="10"/>
      <color rgb="FF000000"/>
      <name val="Arial"/>
      <family val="2"/>
      <scheme val="minor"/>
    </font>
    <font>
      <sz val="10"/>
      <color rgb="FF000000"/>
      <name val="Arial"/>
      <family val="2"/>
      <scheme val="minor"/>
    </font>
    <font>
      <sz val="10"/>
      <color theme="1"/>
      <name val="Arial"/>
      <family val="2"/>
    </font>
    <font>
      <sz val="10"/>
      <color theme="0"/>
      <name val="Arial"/>
      <family val="2"/>
    </font>
    <font>
      <u/>
      <sz val="10"/>
      <color theme="10"/>
      <name val="Arial"/>
      <family val="2"/>
      <scheme val="minor"/>
    </font>
    <font>
      <sz val="11"/>
      <color theme="1"/>
      <name val="Calibri"/>
      <family val="2"/>
    </font>
    <font>
      <sz val="11"/>
      <color rgb="FF141412"/>
      <name val="Calibri"/>
      <family val="2"/>
    </font>
    <font>
      <b/>
      <sz val="11"/>
      <color theme="1"/>
      <name val="Calibri"/>
      <family val="2"/>
    </font>
    <font>
      <sz val="14"/>
      <color theme="1"/>
      <name val="Calibri"/>
      <family val="2"/>
    </font>
    <font>
      <sz val="11"/>
      <color theme="1"/>
      <name val="Arial"/>
      <family val="2"/>
    </font>
    <font>
      <sz val="14"/>
      <color rgb="FF000000"/>
      <name val="Calibri"/>
      <family val="2"/>
    </font>
    <font>
      <sz val="11"/>
      <color rgb="FF000000"/>
      <name val="Calibri"/>
      <family val="2"/>
    </font>
    <font>
      <b/>
      <sz val="18"/>
      <color rgb="FF434343"/>
      <name val="Calibri"/>
      <family val="2"/>
    </font>
    <font>
      <b/>
      <sz val="11"/>
      <color rgb="FF141412"/>
      <name val="Calibri"/>
      <family val="2"/>
    </font>
    <font>
      <b/>
      <sz val="24"/>
      <color rgb="FF202124"/>
      <name val="Arial"/>
      <family val="2"/>
    </font>
    <font>
      <sz val="11"/>
      <color rgb="FF000000"/>
      <name val="Docs-Calibri"/>
    </font>
    <font>
      <sz val="10"/>
      <color rgb="FF000000"/>
      <name val="Roboto"/>
    </font>
    <font>
      <sz val="14"/>
      <color rgb="FF000000"/>
      <name val="Docs-Calibri"/>
    </font>
    <font>
      <sz val="11"/>
      <color rgb="FF3C4043"/>
      <name val="Roboto"/>
    </font>
    <font>
      <b/>
      <sz val="18"/>
      <color rgb="FF202124"/>
      <name val="Calibri"/>
      <family val="2"/>
    </font>
    <font>
      <sz val="8"/>
      <name val="Arial"/>
      <family val="2"/>
      <scheme val="minor"/>
    </font>
    <font>
      <b/>
      <sz val="10"/>
      <color rgb="FF000000"/>
      <name val="Arial"/>
      <family val="2"/>
      <scheme val="minor"/>
    </font>
    <font>
      <b/>
      <sz val="10"/>
      <color theme="0"/>
      <name val="Arial"/>
      <family val="2"/>
    </font>
    <font>
      <sz val="10"/>
      <color rgb="FF000000"/>
      <name val="Arial"/>
      <family val="2"/>
    </font>
    <font>
      <sz val="10"/>
      <color theme="0"/>
      <name val="Arial"/>
      <family val="2"/>
      <scheme val="minor"/>
    </font>
    <font>
      <b/>
      <i/>
      <sz val="10"/>
      <color rgb="FF000000"/>
      <name val="Arial"/>
      <family val="2"/>
      <scheme val="minor"/>
    </font>
    <font>
      <b/>
      <sz val="16"/>
      <color rgb="FF000000"/>
      <name val="Arial"/>
      <family val="2"/>
      <scheme val="minor"/>
    </font>
    <font>
      <b/>
      <sz val="12"/>
      <color rgb="FF000000"/>
      <name val="Arial"/>
      <family val="2"/>
      <scheme val="minor"/>
    </font>
    <font>
      <sz val="10"/>
      <color rgb="FF141412"/>
      <name val="Arial"/>
      <family val="2"/>
      <scheme val="minor"/>
    </font>
    <font>
      <sz val="10"/>
      <color rgb="FF222222"/>
      <name val="Arial"/>
      <family val="2"/>
      <scheme val="minor"/>
    </font>
    <font>
      <sz val="10"/>
      <color rgb="FF3C4043"/>
      <name val="Arial"/>
      <family val="2"/>
      <scheme val="minor"/>
    </font>
    <font>
      <sz val="10"/>
      <color rgb="FFCC0000"/>
      <name val="Arial"/>
      <family val="2"/>
      <scheme val="minor"/>
    </font>
    <font>
      <sz val="10"/>
      <color rgb="FF000000"/>
      <name val="Calibri"/>
      <family val="2"/>
    </font>
    <font>
      <sz val="8"/>
      <name val="Arial"/>
      <scheme val="minor"/>
    </font>
    <font>
      <sz val="9"/>
      <color indexed="81"/>
      <name val="Tahoma"/>
      <family val="2"/>
    </font>
    <font>
      <b/>
      <sz val="9"/>
      <color indexed="81"/>
      <name val="Tahoma"/>
      <family val="2"/>
    </font>
    <font>
      <b/>
      <sz val="11"/>
      <color rgb="FF000000"/>
      <name val="Arial"/>
      <family val="2"/>
      <scheme val="minor"/>
    </font>
    <font>
      <b/>
      <sz val="14"/>
      <color rgb="FF000000"/>
      <name val="Arial"/>
      <family val="2"/>
      <scheme val="minor"/>
    </font>
    <font>
      <b/>
      <sz val="18"/>
      <color rgb="FF000000"/>
      <name val="Arial"/>
      <family val="2"/>
      <scheme val="minor"/>
    </font>
  </fonts>
  <fills count="41">
    <fill>
      <patternFill patternType="none"/>
    </fill>
    <fill>
      <patternFill patternType="gray125"/>
    </fill>
    <fill>
      <patternFill patternType="solid">
        <fgColor rgb="FFAA73CE"/>
        <bgColor rgb="FFAA73CE"/>
      </patternFill>
    </fill>
    <fill>
      <patternFill patternType="solid">
        <fgColor rgb="FF434343"/>
        <bgColor rgb="FF434343"/>
      </patternFill>
    </fill>
    <fill>
      <patternFill patternType="solid">
        <fgColor rgb="FFCCCCCC"/>
        <bgColor rgb="FFCCCCCC"/>
      </patternFill>
    </fill>
    <fill>
      <patternFill patternType="solid">
        <fgColor rgb="FFF3F3F3"/>
        <bgColor rgb="FFF3F3F3"/>
      </patternFill>
    </fill>
    <fill>
      <patternFill patternType="solid">
        <fgColor theme="0"/>
        <bgColor indexed="64"/>
      </patternFill>
    </fill>
    <fill>
      <patternFill patternType="solid">
        <fgColor theme="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C8E6E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EFEFEF"/>
        <bgColor rgb="FFEFEFEF"/>
      </patternFill>
    </fill>
    <fill>
      <patternFill patternType="solid">
        <fgColor theme="7" tint="0.79998168889431442"/>
        <bgColor rgb="FFF3F3F3"/>
      </patternFill>
    </fill>
    <fill>
      <patternFill patternType="solid">
        <fgColor theme="7" tint="0.79998168889431442"/>
        <bgColor rgb="FFEFEFEF"/>
      </patternFill>
    </fill>
    <fill>
      <patternFill patternType="solid">
        <fgColor theme="5" tint="0.79998168889431442"/>
        <bgColor rgb="FFF3F3F3"/>
      </patternFill>
    </fill>
    <fill>
      <patternFill patternType="solid">
        <fgColor theme="5" tint="0.79998168889431442"/>
        <bgColor rgb="FFEFEFEF"/>
      </patternFill>
    </fill>
    <fill>
      <patternFill patternType="solid">
        <fgColor theme="6" tint="0.79998168889431442"/>
        <bgColor rgb="FFF3F3F3"/>
      </patternFill>
    </fill>
    <fill>
      <patternFill patternType="solid">
        <fgColor theme="6" tint="0.79998168889431442"/>
        <bgColor rgb="FFEFEFEF"/>
      </patternFill>
    </fill>
    <fill>
      <patternFill patternType="solid">
        <fgColor rgb="FFFFFF00"/>
        <bgColor rgb="FFFFFF00"/>
      </patternFill>
    </fill>
    <fill>
      <patternFill patternType="solid">
        <fgColor rgb="FFE1DAFC"/>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3F3F3"/>
        <bgColor indexed="64"/>
      </patternFill>
    </fill>
    <fill>
      <patternFill patternType="solid">
        <fgColor rgb="FFCCCCCC"/>
        <bgColor indexed="64"/>
      </patternFill>
    </fill>
    <fill>
      <patternFill patternType="solid">
        <fgColor rgb="FFFFFFFF"/>
        <bgColor indexed="64"/>
      </patternFill>
    </fill>
    <fill>
      <patternFill patternType="solid">
        <fgColor rgb="FFEFEFEF"/>
        <bgColor indexed="64"/>
      </patternFill>
    </fill>
    <fill>
      <patternFill patternType="solid">
        <fgColor rgb="FFD9D9D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2" tint="-4.9989318521683403E-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2"/>
        <bgColor indexed="64"/>
      </patternFill>
    </fill>
    <fill>
      <patternFill patternType="solid">
        <fgColor theme="5" tint="-0.249977111117893"/>
        <bgColor indexed="64"/>
      </patternFill>
    </fill>
  </fills>
  <borders count="105">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CCCCCC"/>
      </right>
      <top style="medium">
        <color rgb="FF000000"/>
      </top>
      <bottom/>
      <diagonal/>
    </border>
    <border>
      <left style="medium">
        <color rgb="FF000000"/>
      </left>
      <right style="medium">
        <color rgb="FFCCCCCC"/>
      </right>
      <top/>
      <bottom/>
      <diagonal/>
    </border>
    <border>
      <left style="medium">
        <color rgb="FF000000"/>
      </left>
      <right style="medium">
        <color rgb="FFCCCCCC"/>
      </right>
      <top/>
      <bottom style="medium">
        <color rgb="FF000000"/>
      </bottom>
      <diagonal/>
    </border>
    <border>
      <left style="medium">
        <color rgb="FF000000"/>
      </left>
      <right style="medium">
        <color rgb="FFCCCCCC"/>
      </right>
      <top style="medium">
        <color rgb="FFCCCCCC"/>
      </top>
      <bottom/>
      <diagonal/>
    </border>
    <border>
      <left style="medium">
        <color rgb="FF000000"/>
      </left>
      <right style="medium">
        <color rgb="FFCCCCCC"/>
      </right>
      <top/>
      <bottom style="medium">
        <color rgb="FFCCCCCC"/>
      </bottom>
      <diagonal/>
    </border>
    <border>
      <left style="medium">
        <color rgb="FFCCCCCC"/>
      </left>
      <right style="medium">
        <color rgb="FFCCCCCC"/>
      </right>
      <top style="medium">
        <color rgb="FF000000"/>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9" fontId="14" fillId="0" borderId="0" applyFont="0" applyFill="0" applyBorder="0" applyAlignment="0" applyProtection="0"/>
    <xf numFmtId="0" fontId="17" fillId="0" borderId="0" applyNumberFormat="0" applyFill="0" applyBorder="0" applyAlignment="0" applyProtection="0"/>
    <xf numFmtId="0" fontId="13" fillId="0" borderId="5"/>
  </cellStyleXfs>
  <cellXfs count="858">
    <xf numFmtId="0" fontId="0" fillId="0" borderId="0" xfId="0" applyFont="1" applyAlignment="1"/>
    <xf numFmtId="0" fontId="4" fillId="3" borderId="7" xfId="0" applyFont="1" applyFill="1" applyBorder="1" applyAlignment="1">
      <alignment horizontal="left" vertical="center" wrapText="1"/>
    </xf>
    <xf numFmtId="0" fontId="4" fillId="3" borderId="7" xfId="0" applyFont="1" applyFill="1" applyBorder="1" applyAlignment="1">
      <alignment horizontal="left" vertical="center"/>
    </xf>
    <xf numFmtId="0" fontId="4" fillId="3" borderId="7" xfId="0" applyFont="1" applyFill="1" applyBorder="1" applyAlignment="1">
      <alignment horizontal="left" vertical="center" wrapText="1"/>
    </xf>
    <xf numFmtId="0" fontId="4" fillId="3" borderId="7" xfId="0" applyFont="1" applyFill="1" applyBorder="1" applyAlignment="1">
      <alignment horizontal="left" vertical="center"/>
    </xf>
    <xf numFmtId="0" fontId="5" fillId="5" borderId="11" xfId="0" applyFont="1" applyFill="1" applyBorder="1" applyAlignment="1">
      <alignment wrapText="1"/>
    </xf>
    <xf numFmtId="0" fontId="6" fillId="5" borderId="7" xfId="0" applyFont="1" applyFill="1" applyBorder="1" applyAlignment="1">
      <alignment wrapText="1"/>
    </xf>
    <xf numFmtId="0" fontId="7" fillId="5" borderId="7" xfId="0" applyFont="1" applyFill="1" applyBorder="1" applyAlignment="1"/>
    <xf numFmtId="0" fontId="7" fillId="5" borderId="7" xfId="0" applyFont="1" applyFill="1" applyBorder="1"/>
    <xf numFmtId="0" fontId="5" fillId="5" borderId="13" xfId="0" applyFont="1" applyFill="1" applyBorder="1" applyAlignment="1">
      <alignment wrapText="1"/>
    </xf>
    <xf numFmtId="0" fontId="6" fillId="5" borderId="7" xfId="0" applyFont="1" applyFill="1" applyBorder="1" applyAlignment="1">
      <alignment wrapText="1"/>
    </xf>
    <xf numFmtId="0" fontId="7" fillId="5" borderId="7" xfId="0" applyFont="1" applyFill="1" applyBorder="1" applyAlignment="1"/>
    <xf numFmtId="0" fontId="7" fillId="5" borderId="7" xfId="0" applyFont="1" applyFill="1" applyBorder="1" applyAlignment="1">
      <alignment wrapText="1"/>
    </xf>
    <xf numFmtId="0" fontId="7" fillId="5" borderId="7" xfId="0" applyFont="1" applyFill="1" applyBorder="1" applyAlignment="1">
      <alignment wrapText="1"/>
    </xf>
    <xf numFmtId="0" fontId="8" fillId="5" borderId="7" xfId="0" applyFont="1" applyFill="1" applyBorder="1" applyAlignment="1"/>
    <xf numFmtId="0" fontId="7" fillId="5" borderId="14" xfId="0" applyFont="1" applyFill="1" applyBorder="1" applyAlignment="1">
      <alignment wrapText="1"/>
    </xf>
    <xf numFmtId="0" fontId="7" fillId="5" borderId="10" xfId="0" applyFont="1" applyFill="1" applyBorder="1" applyAlignment="1"/>
    <xf numFmtId="0" fontId="7" fillId="5" borderId="7" xfId="0" applyFont="1" applyFill="1" applyBorder="1"/>
    <xf numFmtId="0" fontId="9" fillId="5" borderId="14" xfId="0" applyFont="1" applyFill="1" applyBorder="1" applyAlignment="1"/>
    <xf numFmtId="0" fontId="9" fillId="5" borderId="15" xfId="0" applyFont="1" applyFill="1" applyBorder="1" applyAlignment="1"/>
    <xf numFmtId="0" fontId="7" fillId="5" borderId="7" xfId="0" applyFont="1" applyFill="1" applyBorder="1" applyAlignment="1"/>
    <xf numFmtId="0" fontId="6" fillId="5" borderId="7" xfId="0" applyFont="1" applyFill="1" applyBorder="1" applyAlignment="1"/>
    <xf numFmtId="0" fontId="8" fillId="5" borderId="7" xfId="0" applyFont="1" applyFill="1" applyBorder="1" applyAlignment="1">
      <alignment wrapText="1"/>
    </xf>
    <xf numFmtId="0" fontId="5" fillId="5" borderId="1" xfId="0" applyFont="1" applyFill="1" applyBorder="1" applyAlignment="1">
      <alignment wrapText="1"/>
    </xf>
    <xf numFmtId="0" fontId="6" fillId="5" borderId="7" xfId="0" applyFont="1" applyFill="1" applyBorder="1" applyAlignment="1">
      <alignment horizontal="left" vertical="center" wrapText="1"/>
    </xf>
    <xf numFmtId="0" fontId="5" fillId="5" borderId="16" xfId="0" applyFont="1" applyFill="1" applyBorder="1" applyAlignment="1">
      <alignment wrapText="1"/>
    </xf>
    <xf numFmtId="0" fontId="11" fillId="5" borderId="7" xfId="0" applyFont="1" applyFill="1" applyBorder="1" applyAlignment="1"/>
    <xf numFmtId="0" fontId="8" fillId="5" borderId="7" xfId="0" applyFont="1" applyFill="1" applyBorder="1" applyAlignment="1">
      <alignment horizontal="left"/>
    </xf>
    <xf numFmtId="0" fontId="6" fillId="5" borderId="7" xfId="0" applyFont="1" applyFill="1" applyBorder="1" applyAlignment="1">
      <alignment horizontal="left" wrapText="1"/>
    </xf>
    <xf numFmtId="0" fontId="7" fillId="5" borderId="7" xfId="0" applyFont="1" applyFill="1" applyBorder="1" applyAlignment="1">
      <alignment horizontal="left"/>
    </xf>
    <xf numFmtId="0" fontId="8" fillId="5" borderId="7" xfId="0" applyFont="1" applyFill="1" applyBorder="1" applyAlignment="1"/>
    <xf numFmtId="0" fontId="7" fillId="5" borderId="7" xfId="0" applyFont="1" applyFill="1" applyBorder="1" applyAlignment="1"/>
    <xf numFmtId="0" fontId="8" fillId="5" borderId="7" xfId="0" applyFont="1" applyFill="1" applyBorder="1" applyAlignment="1">
      <alignment horizontal="left"/>
    </xf>
    <xf numFmtId="0" fontId="12" fillId="5" borderId="7" xfId="0" applyFont="1" applyFill="1" applyBorder="1" applyAlignment="1">
      <alignment horizontal="left"/>
    </xf>
    <xf numFmtId="0" fontId="5" fillId="5" borderId="17" xfId="0" applyFont="1" applyFill="1" applyBorder="1" applyAlignment="1">
      <alignment vertical="top" wrapText="1"/>
    </xf>
    <xf numFmtId="0" fontId="7" fillId="5" borderId="11" xfId="0" applyFont="1" applyFill="1" applyBorder="1" applyAlignment="1">
      <alignment wrapText="1"/>
    </xf>
    <xf numFmtId="0" fontId="7" fillId="5" borderId="13" xfId="0" applyFont="1" applyFill="1" applyBorder="1" applyAlignment="1">
      <alignment wrapText="1"/>
    </xf>
    <xf numFmtId="0" fontId="0" fillId="6" borderId="0" xfId="0" applyFont="1" applyFill="1" applyAlignment="1"/>
    <xf numFmtId="0" fontId="15" fillId="6" borderId="18" xfId="0" applyFont="1" applyFill="1" applyBorder="1" applyAlignment="1">
      <alignment horizontal="center"/>
    </xf>
    <xf numFmtId="0" fontId="15" fillId="8" borderId="18" xfId="0" applyFont="1" applyFill="1" applyBorder="1" applyAlignment="1">
      <alignment vertical="center" wrapText="1"/>
    </xf>
    <xf numFmtId="0" fontId="16" fillId="6" borderId="0" xfId="0" applyFont="1" applyFill="1"/>
    <xf numFmtId="0" fontId="13" fillId="0" borderId="5" xfId="3"/>
    <xf numFmtId="0" fontId="18" fillId="13" borderId="5" xfId="3" applyFont="1" applyFill="1"/>
    <xf numFmtId="0" fontId="18" fillId="13" borderId="5" xfId="3" applyFont="1" applyFill="1" applyAlignment="1">
      <alignment wrapText="1"/>
    </xf>
    <xf numFmtId="0" fontId="19" fillId="5" borderId="5" xfId="3" applyFont="1" applyFill="1"/>
    <xf numFmtId="0" fontId="20" fillId="13" borderId="5" xfId="3" applyFont="1" applyFill="1"/>
    <xf numFmtId="0" fontId="21" fillId="13" borderId="5" xfId="3" applyFont="1" applyFill="1"/>
    <xf numFmtId="0" fontId="18" fillId="0" borderId="5" xfId="3" applyFont="1"/>
    <xf numFmtId="0" fontId="18" fillId="0" borderId="5" xfId="3" applyFont="1" applyAlignment="1">
      <alignment wrapText="1"/>
    </xf>
    <xf numFmtId="0" fontId="15" fillId="0" borderId="5" xfId="3" applyFont="1"/>
    <xf numFmtId="0" fontId="22" fillId="0" borderId="5" xfId="3" applyFont="1"/>
    <xf numFmtId="0" fontId="19" fillId="0" borderId="5" xfId="3" applyFont="1"/>
    <xf numFmtId="0" fontId="20" fillId="0" borderId="5" xfId="3" applyFont="1"/>
    <xf numFmtId="0" fontId="21" fillId="0" borderId="5" xfId="3" applyFont="1"/>
    <xf numFmtId="0" fontId="23" fillId="0" borderId="5" xfId="3" applyFont="1" applyAlignment="1">
      <alignment horizontal="left"/>
    </xf>
    <xf numFmtId="0" fontId="18" fillId="0" borderId="5" xfId="3" applyFont="1" applyAlignment="1">
      <alignment horizontal="left"/>
    </xf>
    <xf numFmtId="0" fontId="24" fillId="0" borderId="5" xfId="3" applyFont="1" applyAlignment="1">
      <alignment horizontal="left"/>
    </xf>
    <xf numFmtId="0" fontId="25" fillId="13" borderId="5" xfId="3" applyFont="1" applyFill="1"/>
    <xf numFmtId="0" fontId="25" fillId="13" borderId="5" xfId="3" applyFont="1" applyFill="1" applyAlignment="1">
      <alignment wrapText="1"/>
    </xf>
    <xf numFmtId="0" fontId="26" fillId="5" borderId="5" xfId="3" applyFont="1" applyFill="1"/>
    <xf numFmtId="0" fontId="27" fillId="2" borderId="5" xfId="3" applyFont="1" applyFill="1"/>
    <xf numFmtId="0" fontId="22" fillId="13" borderId="5" xfId="3" applyFont="1" applyFill="1"/>
    <xf numFmtId="0" fontId="20" fillId="13" borderId="5" xfId="3" applyFont="1" applyFill="1" applyAlignment="1">
      <alignment wrapText="1"/>
    </xf>
    <xf numFmtId="0" fontId="15" fillId="13" borderId="5" xfId="3" applyFont="1" applyFill="1"/>
    <xf numFmtId="0" fontId="24" fillId="13" borderId="5" xfId="3" applyFont="1" applyFill="1" applyAlignment="1">
      <alignment horizontal="left"/>
    </xf>
    <xf numFmtId="0" fontId="18" fillId="13" borderId="5" xfId="3" applyFont="1" applyFill="1" applyAlignment="1">
      <alignment horizontal="left"/>
    </xf>
    <xf numFmtId="0" fontId="19" fillId="5" borderId="5" xfId="3" applyFont="1" applyFill="1" applyAlignment="1">
      <alignment horizontal="left"/>
    </xf>
    <xf numFmtId="0" fontId="28" fillId="13" borderId="5" xfId="3" applyFont="1" applyFill="1" applyAlignment="1">
      <alignment horizontal="left"/>
    </xf>
    <xf numFmtId="0" fontId="19" fillId="13" borderId="5" xfId="3" applyFont="1" applyFill="1"/>
    <xf numFmtId="0" fontId="29" fillId="13" borderId="5" xfId="3" applyFont="1" applyFill="1"/>
    <xf numFmtId="0" fontId="19" fillId="14" borderId="5" xfId="3" applyFont="1" applyFill="1" applyAlignment="1">
      <alignment horizontal="left" vertical="center" wrapText="1"/>
    </xf>
    <xf numFmtId="0" fontId="19" fillId="14" borderId="5" xfId="3" applyFont="1" applyFill="1"/>
    <xf numFmtId="0" fontId="18" fillId="15" borderId="5" xfId="3" applyFont="1" applyFill="1"/>
    <xf numFmtId="0" fontId="19" fillId="16" borderId="5" xfId="3" applyFont="1" applyFill="1"/>
    <xf numFmtId="0" fontId="30" fillId="13" borderId="5" xfId="3" applyFont="1" applyFill="1" applyAlignment="1">
      <alignment horizontal="left"/>
    </xf>
    <xf numFmtId="0" fontId="19" fillId="16" borderId="5" xfId="3" applyFont="1" applyFill="1" applyAlignment="1">
      <alignment horizontal="left"/>
    </xf>
    <xf numFmtId="0" fontId="31" fillId="13" borderId="5" xfId="3" applyFont="1" applyFill="1" applyAlignment="1">
      <alignment horizontal="left"/>
    </xf>
    <xf numFmtId="0" fontId="18" fillId="17" borderId="5" xfId="3" applyFont="1" applyFill="1"/>
    <xf numFmtId="0" fontId="19" fillId="18" borderId="5" xfId="3" applyFont="1" applyFill="1"/>
    <xf numFmtId="0" fontId="18" fillId="19" borderId="5" xfId="3" applyFont="1" applyFill="1"/>
    <xf numFmtId="0" fontId="18" fillId="20" borderId="5" xfId="3" applyFont="1" applyFill="1"/>
    <xf numFmtId="0" fontId="10" fillId="13" borderId="5" xfId="3" applyFont="1" applyFill="1"/>
    <xf numFmtId="0" fontId="15" fillId="13" borderId="5" xfId="3" applyFont="1" applyFill="1" applyAlignment="1">
      <alignment wrapText="1"/>
    </xf>
    <xf numFmtId="0" fontId="10" fillId="13" borderId="5" xfId="3" applyFont="1" applyFill="1" applyAlignment="1">
      <alignment wrapText="1"/>
    </xf>
    <xf numFmtId="0" fontId="18" fillId="13" borderId="5" xfId="3" applyFont="1" applyFill="1" applyAlignment="1">
      <alignment horizontal="left" wrapText="1"/>
    </xf>
    <xf numFmtId="0" fontId="32" fillId="13" borderId="5" xfId="3" applyFont="1" applyFill="1"/>
    <xf numFmtId="0" fontId="32" fillId="13" borderId="5" xfId="3" applyFont="1" applyFill="1" applyAlignment="1">
      <alignment wrapText="1"/>
    </xf>
    <xf numFmtId="0" fontId="32" fillId="5" borderId="5" xfId="3" applyFont="1" applyFill="1"/>
    <xf numFmtId="0" fontId="15" fillId="8" borderId="24" xfId="0" applyFont="1" applyFill="1" applyBorder="1" applyAlignment="1">
      <alignment vertical="center" wrapText="1"/>
    </xf>
    <xf numFmtId="0" fontId="15" fillId="21" borderId="19" xfId="0" applyFont="1" applyFill="1" applyBorder="1" applyAlignment="1">
      <alignment horizontal="left"/>
    </xf>
    <xf numFmtId="0" fontId="15" fillId="21" borderId="20" xfId="0" applyFont="1" applyFill="1" applyBorder="1" applyAlignment="1">
      <alignment horizontal="left"/>
    </xf>
    <xf numFmtId="0" fontId="15" fillId="21" borderId="21" xfId="0" applyFont="1" applyFill="1" applyBorder="1" applyAlignment="1">
      <alignment horizontal="left"/>
    </xf>
    <xf numFmtId="0" fontId="15" fillId="6" borderId="19" xfId="0" applyFont="1" applyFill="1" applyBorder="1" applyAlignment="1">
      <alignment horizontal="center"/>
    </xf>
    <xf numFmtId="164" fontId="15" fillId="9" borderId="21" xfId="0" applyNumberFormat="1" applyFont="1" applyFill="1" applyBorder="1" applyAlignment="1">
      <alignment horizontal="center"/>
    </xf>
    <xf numFmtId="0" fontId="15" fillId="6" borderId="24" xfId="0" applyFont="1" applyFill="1" applyBorder="1" applyAlignment="1">
      <alignment horizontal="center"/>
    </xf>
    <xf numFmtId="0" fontId="15" fillId="6" borderId="30" xfId="0" applyFont="1" applyFill="1" applyBorder="1" applyAlignment="1">
      <alignment horizontal="center"/>
    </xf>
    <xf numFmtId="0" fontId="15" fillId="6" borderId="29" xfId="0" applyFont="1" applyFill="1" applyBorder="1" applyAlignment="1">
      <alignment horizontal="center"/>
    </xf>
    <xf numFmtId="0" fontId="15" fillId="6" borderId="31" xfId="0" applyFont="1" applyFill="1" applyBorder="1" applyAlignment="1">
      <alignment horizontal="center"/>
    </xf>
    <xf numFmtId="0" fontId="15" fillId="6" borderId="32" xfId="0" applyFont="1" applyFill="1" applyBorder="1" applyAlignment="1">
      <alignment horizontal="center"/>
    </xf>
    <xf numFmtId="0" fontId="0" fillId="6" borderId="18" xfId="0" applyFont="1" applyFill="1" applyBorder="1" applyAlignment="1"/>
    <xf numFmtId="9" fontId="0" fillId="6" borderId="0" xfId="1" applyFont="1" applyFill="1" applyAlignment="1"/>
    <xf numFmtId="9" fontId="0" fillId="6" borderId="18" xfId="1" applyFont="1" applyFill="1" applyBorder="1" applyAlignment="1"/>
    <xf numFmtId="0" fontId="13" fillId="6" borderId="0" xfId="0" applyFont="1" applyFill="1" applyAlignment="1"/>
    <xf numFmtId="164" fontId="0" fillId="6" borderId="0" xfId="0" applyNumberFormat="1" applyFont="1" applyFill="1" applyAlignment="1"/>
    <xf numFmtId="9" fontId="13" fillId="6" borderId="18" xfId="1" applyFont="1" applyFill="1" applyBorder="1" applyAlignment="1">
      <alignment horizontal="right"/>
    </xf>
    <xf numFmtId="9" fontId="34" fillId="6" borderId="18" xfId="1" applyFont="1" applyFill="1" applyBorder="1" applyAlignment="1">
      <alignment horizontal="center"/>
    </xf>
    <xf numFmtId="9" fontId="0" fillId="6" borderId="0" xfId="0" applyNumberFormat="1" applyFont="1" applyFill="1" applyAlignment="1"/>
    <xf numFmtId="9" fontId="0" fillId="6" borderId="18" xfId="0" applyNumberFormat="1" applyFont="1" applyFill="1" applyBorder="1" applyAlignment="1"/>
    <xf numFmtId="0" fontId="0" fillId="22" borderId="21" xfId="0" applyFont="1" applyFill="1" applyBorder="1" applyAlignment="1"/>
    <xf numFmtId="0" fontId="13" fillId="22" borderId="36" xfId="0" applyFont="1" applyFill="1" applyBorder="1" applyAlignment="1"/>
    <xf numFmtId="0" fontId="13" fillId="22" borderId="38" xfId="0" applyFont="1" applyFill="1" applyBorder="1" applyAlignment="1"/>
    <xf numFmtId="0" fontId="0" fillId="22" borderId="39" xfId="0" applyFont="1" applyFill="1" applyBorder="1" applyAlignment="1"/>
    <xf numFmtId="164" fontId="15" fillId="9" borderId="48" xfId="0" applyNumberFormat="1" applyFont="1" applyFill="1" applyBorder="1" applyAlignment="1">
      <alignment horizontal="center"/>
    </xf>
    <xf numFmtId="0" fontId="15" fillId="21" borderId="52" xfId="0" applyFont="1" applyFill="1" applyBorder="1" applyAlignment="1">
      <alignment horizontal="left"/>
    </xf>
    <xf numFmtId="0" fontId="15" fillId="21" borderId="53" xfId="0" applyFont="1" applyFill="1" applyBorder="1" applyAlignment="1">
      <alignment horizontal="left"/>
    </xf>
    <xf numFmtId="0" fontId="15" fillId="21" borderId="39" xfId="0" applyFont="1" applyFill="1" applyBorder="1" applyAlignment="1">
      <alignment horizontal="left"/>
    </xf>
    <xf numFmtId="0" fontId="15" fillId="6" borderId="52" xfId="0" applyFont="1" applyFill="1" applyBorder="1" applyAlignment="1">
      <alignment horizontal="center"/>
    </xf>
    <xf numFmtId="0" fontId="15" fillId="6" borderId="54" xfId="0" applyFont="1" applyFill="1" applyBorder="1" applyAlignment="1">
      <alignment horizontal="center"/>
    </xf>
    <xf numFmtId="0" fontId="15" fillId="6" borderId="55" xfId="0" applyFont="1" applyFill="1" applyBorder="1" applyAlignment="1">
      <alignment horizontal="center"/>
    </xf>
    <xf numFmtId="164" fontId="15" fillId="9" borderId="56" xfId="0" applyNumberFormat="1" applyFont="1" applyFill="1" applyBorder="1" applyAlignment="1">
      <alignment horizontal="center"/>
    </xf>
    <xf numFmtId="9" fontId="0" fillId="6" borderId="58" xfId="1" applyFont="1" applyFill="1" applyBorder="1" applyAlignment="1"/>
    <xf numFmtId="9" fontId="0" fillId="6" borderId="37" xfId="1" applyFont="1" applyFill="1" applyBorder="1" applyAlignment="1"/>
    <xf numFmtId="9" fontId="0" fillId="6" borderId="59" xfId="1" applyFont="1" applyFill="1" applyBorder="1" applyAlignment="1"/>
    <xf numFmtId="9" fontId="0" fillId="6" borderId="60" xfId="1" applyFont="1" applyFill="1" applyBorder="1" applyAlignment="1"/>
    <xf numFmtId="9" fontId="0" fillId="6" borderId="40" xfId="1" applyFont="1" applyFill="1" applyBorder="1" applyAlignment="1"/>
    <xf numFmtId="164" fontId="15" fillId="9" borderId="27" xfId="0" applyNumberFormat="1" applyFont="1" applyFill="1" applyBorder="1" applyAlignment="1">
      <alignment horizontal="center"/>
    </xf>
    <xf numFmtId="0" fontId="15" fillId="6" borderId="42" xfId="0" applyFont="1" applyFill="1" applyBorder="1" applyAlignment="1">
      <alignment horizontal="center"/>
    </xf>
    <xf numFmtId="0" fontId="15" fillId="6" borderId="62" xfId="0" applyFont="1" applyFill="1" applyBorder="1" applyAlignment="1">
      <alignment horizontal="center"/>
    </xf>
    <xf numFmtId="0" fontId="15" fillId="6" borderId="45" xfId="0" applyFont="1" applyFill="1" applyBorder="1" applyAlignment="1">
      <alignment horizontal="center"/>
    </xf>
    <xf numFmtId="164" fontId="15" fillId="9" borderId="35" xfId="0" applyNumberFormat="1" applyFont="1" applyFill="1" applyBorder="1" applyAlignment="1">
      <alignment horizontal="center"/>
    </xf>
    <xf numFmtId="9" fontId="0" fillId="6" borderId="41" xfId="1" applyFont="1" applyFill="1" applyBorder="1" applyAlignment="1"/>
    <xf numFmtId="9" fontId="0" fillId="6" borderId="57" xfId="1" applyFont="1" applyFill="1" applyBorder="1" applyAlignment="1"/>
    <xf numFmtId="9" fontId="13" fillId="6" borderId="57" xfId="1" applyFont="1" applyFill="1" applyBorder="1" applyAlignment="1">
      <alignment horizontal="right"/>
    </xf>
    <xf numFmtId="9" fontId="0" fillId="6" borderId="46" xfId="1" applyFont="1" applyFill="1" applyBorder="1" applyAlignment="1"/>
    <xf numFmtId="9" fontId="13" fillId="6" borderId="60" xfId="1" applyFont="1" applyFill="1" applyBorder="1" applyAlignment="1">
      <alignment horizontal="right"/>
    </xf>
    <xf numFmtId="9" fontId="0" fillId="6" borderId="18" xfId="1" applyFont="1" applyFill="1" applyBorder="1" applyAlignment="1">
      <alignment horizontal="center"/>
    </xf>
    <xf numFmtId="0" fontId="0" fillId="6" borderId="18" xfId="0" applyFont="1" applyFill="1" applyBorder="1" applyAlignment="1">
      <alignment horizontal="center"/>
    </xf>
    <xf numFmtId="0" fontId="0" fillId="6" borderId="5" xfId="0" applyFont="1" applyFill="1" applyBorder="1" applyAlignment="1"/>
    <xf numFmtId="0" fontId="0" fillId="23" borderId="20" xfId="0" applyFont="1" applyFill="1" applyBorder="1" applyAlignment="1"/>
    <xf numFmtId="0" fontId="0" fillId="23" borderId="34" xfId="0" applyFont="1" applyFill="1" applyBorder="1" applyAlignment="1"/>
    <xf numFmtId="0" fontId="0" fillId="23" borderId="35" xfId="0" applyFont="1" applyFill="1" applyBorder="1" applyAlignment="1"/>
    <xf numFmtId="0" fontId="0" fillId="23" borderId="48" xfId="0" applyFont="1" applyFill="1" applyBorder="1" applyAlignment="1"/>
    <xf numFmtId="0" fontId="0" fillId="23" borderId="36" xfId="0" applyFont="1" applyFill="1" applyBorder="1" applyAlignment="1"/>
    <xf numFmtId="0" fontId="34" fillId="23" borderId="36" xfId="0" applyFont="1" applyFill="1" applyBorder="1" applyAlignment="1"/>
    <xf numFmtId="0" fontId="0" fillId="23" borderId="53" xfId="0" applyFont="1" applyFill="1" applyBorder="1" applyAlignment="1"/>
    <xf numFmtId="0" fontId="0" fillId="23" borderId="56" xfId="0" applyFont="1" applyFill="1" applyBorder="1" applyAlignment="1"/>
    <xf numFmtId="0" fontId="37" fillId="6" borderId="0" xfId="0" applyFont="1" applyFill="1" applyAlignment="1"/>
    <xf numFmtId="9" fontId="37" fillId="6" borderId="0" xfId="0" applyNumberFormat="1" applyFont="1" applyFill="1" applyAlignment="1"/>
    <xf numFmtId="9" fontId="0" fillId="6" borderId="37" xfId="0" applyNumberFormat="1" applyFont="1" applyFill="1" applyBorder="1" applyAlignment="1">
      <alignment horizontal="center"/>
    </xf>
    <xf numFmtId="9" fontId="0" fillId="6" borderId="40" xfId="0" applyNumberFormat="1" applyFont="1" applyFill="1" applyBorder="1" applyAlignment="1">
      <alignment horizontal="center"/>
    </xf>
    <xf numFmtId="0" fontId="5" fillId="5" borderId="17" xfId="0" applyFont="1" applyFill="1" applyBorder="1" applyAlignment="1">
      <alignment wrapText="1"/>
    </xf>
    <xf numFmtId="0" fontId="34" fillId="23" borderId="65" xfId="0" applyFont="1" applyFill="1" applyBorder="1" applyAlignment="1"/>
    <xf numFmtId="0" fontId="0" fillId="23" borderId="28" xfId="0" applyFont="1" applyFill="1" applyBorder="1" applyAlignment="1"/>
    <xf numFmtId="0" fontId="0" fillId="23" borderId="66" xfId="0" applyFont="1" applyFill="1" applyBorder="1" applyAlignment="1"/>
    <xf numFmtId="165" fontId="0" fillId="6" borderId="18" xfId="0" applyNumberFormat="1" applyFont="1" applyFill="1" applyBorder="1" applyAlignment="1"/>
    <xf numFmtId="0" fontId="0" fillId="6" borderId="37" xfId="0" applyFont="1" applyFill="1" applyBorder="1" applyAlignment="1"/>
    <xf numFmtId="0" fontId="13" fillId="23" borderId="18" xfId="0" applyFont="1" applyFill="1" applyBorder="1" applyAlignment="1">
      <alignment horizontal="center"/>
    </xf>
    <xf numFmtId="0" fontId="34" fillId="23" borderId="38" xfId="0" applyFont="1" applyFill="1" applyBorder="1" applyAlignment="1">
      <alignment vertical="top"/>
    </xf>
    <xf numFmtId="0" fontId="34" fillId="23" borderId="36" xfId="0" applyFont="1" applyFill="1" applyBorder="1" applyAlignment="1">
      <alignment horizontal="left" indent="1"/>
    </xf>
    <xf numFmtId="0" fontId="13" fillId="6" borderId="18" xfId="0" applyFont="1" applyFill="1" applyBorder="1" applyAlignment="1"/>
    <xf numFmtId="9" fontId="0" fillId="6" borderId="5" xfId="1" applyFont="1" applyFill="1" applyBorder="1" applyAlignment="1"/>
    <xf numFmtId="0" fontId="0" fillId="6" borderId="24" xfId="0" applyFont="1" applyFill="1" applyBorder="1" applyAlignment="1"/>
    <xf numFmtId="9" fontId="0" fillId="6" borderId="67" xfId="1" applyFont="1" applyFill="1" applyBorder="1" applyAlignment="1"/>
    <xf numFmtId="9" fontId="0" fillId="6" borderId="44" xfId="1" applyFont="1" applyFill="1" applyBorder="1" applyAlignment="1"/>
    <xf numFmtId="0" fontId="0" fillId="6" borderId="57" xfId="0" applyFont="1" applyFill="1" applyBorder="1" applyAlignment="1"/>
    <xf numFmtId="0" fontId="13" fillId="6" borderId="57" xfId="0" applyFont="1" applyFill="1" applyBorder="1" applyAlignment="1"/>
    <xf numFmtId="0" fontId="0" fillId="6" borderId="46" xfId="0" applyFont="1" applyFill="1" applyBorder="1" applyAlignment="1"/>
    <xf numFmtId="9" fontId="0" fillId="6" borderId="63" xfId="1" applyFont="1" applyFill="1" applyBorder="1" applyAlignment="1"/>
    <xf numFmtId="9" fontId="0" fillId="6" borderId="68" xfId="1" applyFont="1" applyFill="1" applyBorder="1" applyAlignment="1"/>
    <xf numFmtId="9" fontId="0" fillId="6" borderId="69" xfId="1" applyFont="1" applyFill="1" applyBorder="1" applyAlignment="1"/>
    <xf numFmtId="0" fontId="0" fillId="6" borderId="60" xfId="0" applyFont="1" applyFill="1" applyBorder="1" applyAlignment="1"/>
    <xf numFmtId="0" fontId="0" fillId="6" borderId="40" xfId="0" applyFont="1" applyFill="1" applyBorder="1" applyAlignment="1"/>
    <xf numFmtId="0" fontId="13" fillId="6" borderId="60" xfId="0" applyFont="1" applyFill="1" applyBorder="1" applyAlignment="1"/>
    <xf numFmtId="0" fontId="13" fillId="12" borderId="22" xfId="0" applyFont="1" applyFill="1" applyBorder="1" applyAlignment="1">
      <alignment vertical="top"/>
    </xf>
    <xf numFmtId="0" fontId="34" fillId="23" borderId="22" xfId="0" applyFont="1" applyFill="1" applyBorder="1" applyAlignment="1">
      <alignment vertical="top" wrapText="1"/>
    </xf>
    <xf numFmtId="0" fontId="0" fillId="22" borderId="57" xfId="0" applyFont="1" applyFill="1" applyBorder="1" applyAlignment="1"/>
    <xf numFmtId="0" fontId="0" fillId="22" borderId="18" xfId="0" applyFont="1" applyFill="1" applyBorder="1" applyAlignment="1"/>
    <xf numFmtId="0" fontId="0" fillId="22" borderId="60" xfId="0" applyFont="1" applyFill="1" applyBorder="1" applyAlignment="1"/>
    <xf numFmtId="0" fontId="0" fillId="22" borderId="24" xfId="0" applyFont="1" applyFill="1" applyBorder="1" applyAlignment="1"/>
    <xf numFmtId="0" fontId="34" fillId="12" borderId="22" xfId="0" applyFont="1" applyFill="1" applyBorder="1" applyAlignment="1">
      <alignment vertical="top" wrapText="1"/>
    </xf>
    <xf numFmtId="0" fontId="13" fillId="12" borderId="47" xfId="0" applyFont="1" applyFill="1" applyBorder="1" applyAlignment="1">
      <alignment vertical="top"/>
    </xf>
    <xf numFmtId="0" fontId="13" fillId="12" borderId="70" xfId="0" applyFont="1" applyFill="1" applyBorder="1" applyAlignment="1">
      <alignment vertical="top" wrapText="1"/>
    </xf>
    <xf numFmtId="9" fontId="0" fillId="6" borderId="71" xfId="0" applyNumberFormat="1" applyFont="1" applyFill="1" applyBorder="1" applyAlignment="1"/>
    <xf numFmtId="9" fontId="0" fillId="6" borderId="64" xfId="0" applyNumberFormat="1" applyFont="1" applyFill="1" applyBorder="1" applyAlignment="1"/>
    <xf numFmtId="9" fontId="0" fillId="6" borderId="64" xfId="1" applyFont="1" applyFill="1" applyBorder="1" applyAlignment="1"/>
    <xf numFmtId="9" fontId="0" fillId="6" borderId="72" xfId="1" applyFont="1" applyFill="1" applyBorder="1" applyAlignment="1"/>
    <xf numFmtId="9" fontId="0" fillId="6" borderId="71" xfId="1" applyFont="1" applyFill="1" applyBorder="1" applyAlignment="1"/>
    <xf numFmtId="0" fontId="34" fillId="23" borderId="47" xfId="0" applyFont="1" applyFill="1" applyBorder="1" applyAlignment="1">
      <alignment vertical="top" wrapText="1"/>
    </xf>
    <xf numFmtId="0" fontId="34" fillId="23" borderId="70" xfId="0" applyFont="1" applyFill="1" applyBorder="1" applyAlignment="1">
      <alignment vertical="top" wrapText="1"/>
    </xf>
    <xf numFmtId="167" fontId="0" fillId="6" borderId="0" xfId="0" applyNumberFormat="1" applyFont="1" applyFill="1" applyAlignment="1"/>
    <xf numFmtId="0" fontId="13" fillId="12" borderId="18" xfId="0" applyFont="1" applyFill="1" applyBorder="1" applyAlignment="1"/>
    <xf numFmtId="0" fontId="13" fillId="28" borderId="73" xfId="0" applyFont="1" applyFill="1" applyBorder="1" applyAlignment="1">
      <alignment wrapText="1"/>
    </xf>
    <xf numFmtId="0" fontId="13" fillId="28" borderId="75" xfId="0" applyFont="1" applyFill="1" applyBorder="1" applyAlignment="1">
      <alignment vertical="center" wrapText="1"/>
    </xf>
    <xf numFmtId="0" fontId="13" fillId="28" borderId="75" xfId="0" applyFont="1" applyFill="1" applyBorder="1" applyAlignment="1">
      <alignment wrapText="1"/>
    </xf>
    <xf numFmtId="0" fontId="13" fillId="28" borderId="74" xfId="0" applyFont="1" applyFill="1" applyBorder="1" applyAlignment="1">
      <alignment wrapText="1"/>
    </xf>
    <xf numFmtId="0" fontId="13" fillId="26" borderId="76" xfId="0" applyFont="1" applyFill="1" applyBorder="1" applyAlignment="1">
      <alignment vertical="top" wrapText="1"/>
    </xf>
    <xf numFmtId="0" fontId="13" fillId="26" borderId="76" xfId="0" applyFont="1" applyFill="1" applyBorder="1" applyAlignment="1">
      <alignment wrapText="1"/>
    </xf>
    <xf numFmtId="0" fontId="13" fillId="26" borderId="73" xfId="0" applyFont="1" applyFill="1" applyBorder="1" applyAlignment="1">
      <alignment wrapText="1"/>
    </xf>
    <xf numFmtId="0" fontId="13" fillId="29" borderId="76" xfId="0" applyFont="1" applyFill="1" applyBorder="1" applyAlignment="1">
      <alignment vertical="center" wrapText="1"/>
    </xf>
    <xf numFmtId="0" fontId="13" fillId="30" borderId="74" xfId="0" applyFont="1" applyFill="1" applyBorder="1" applyAlignment="1">
      <alignment wrapText="1"/>
    </xf>
    <xf numFmtId="0" fontId="13" fillId="29" borderId="75" xfId="0" applyFont="1" applyFill="1" applyBorder="1" applyAlignment="1">
      <alignment vertical="center" wrapText="1"/>
    </xf>
    <xf numFmtId="0" fontId="13" fillId="28" borderId="76" xfId="0" applyFont="1" applyFill="1" applyBorder="1" applyAlignment="1">
      <alignment vertical="center" wrapText="1"/>
    </xf>
    <xf numFmtId="0" fontId="13" fillId="26" borderId="74" xfId="0" applyFont="1" applyFill="1" applyBorder="1" applyAlignment="1">
      <alignment wrapText="1"/>
    </xf>
    <xf numFmtId="0" fontId="13" fillId="29" borderId="76" xfId="0" applyFont="1" applyFill="1" applyBorder="1" applyAlignment="1">
      <alignment horizontal="right" wrapText="1"/>
    </xf>
    <xf numFmtId="0" fontId="13" fillId="26" borderId="76" xfId="0" applyFont="1" applyFill="1" applyBorder="1" applyAlignment="1">
      <alignment horizontal="right" wrapText="1"/>
    </xf>
    <xf numFmtId="9" fontId="13" fillId="26" borderId="76" xfId="0" applyNumberFormat="1" applyFont="1" applyFill="1" applyBorder="1" applyAlignment="1">
      <alignment horizontal="right" wrapText="1"/>
    </xf>
    <xf numFmtId="0" fontId="13" fillId="29" borderId="74" xfId="0" applyFont="1" applyFill="1" applyBorder="1" applyAlignment="1">
      <alignment wrapText="1"/>
    </xf>
    <xf numFmtId="0" fontId="13" fillId="0" borderId="73" xfId="0" applyFont="1" applyBorder="1" applyAlignment="1">
      <alignment vertical="center" wrapText="1"/>
    </xf>
    <xf numFmtId="0" fontId="13" fillId="0" borderId="75" xfId="0" applyFont="1" applyBorder="1" applyAlignment="1">
      <alignment wrapText="1"/>
    </xf>
    <xf numFmtId="0" fontId="13" fillId="29" borderId="73" xfId="0" applyFont="1" applyFill="1" applyBorder="1" applyAlignment="1">
      <alignment wrapText="1"/>
    </xf>
    <xf numFmtId="9" fontId="13" fillId="29" borderId="76" xfId="0" applyNumberFormat="1" applyFont="1" applyFill="1" applyBorder="1" applyAlignment="1">
      <alignment horizontal="right" wrapText="1"/>
    </xf>
    <xf numFmtId="0" fontId="13" fillId="29" borderId="76" xfId="0" applyFont="1" applyFill="1" applyBorder="1" applyAlignment="1">
      <alignment wrapText="1"/>
    </xf>
    <xf numFmtId="0" fontId="13" fillId="29" borderId="75" xfId="0" applyFont="1" applyFill="1" applyBorder="1" applyAlignment="1">
      <alignment wrapText="1"/>
    </xf>
    <xf numFmtId="0" fontId="13" fillId="0" borderId="74" xfId="0" applyFont="1" applyBorder="1" applyAlignment="1">
      <alignment vertical="center" wrapText="1"/>
    </xf>
    <xf numFmtId="0" fontId="13" fillId="0" borderId="76" xfId="0" applyFont="1" applyBorder="1" applyAlignment="1">
      <alignment vertical="center" wrapText="1"/>
    </xf>
    <xf numFmtId="0" fontId="13" fillId="0" borderId="75" xfId="0" applyFont="1" applyBorder="1" applyAlignment="1">
      <alignment vertical="center" wrapText="1"/>
    </xf>
    <xf numFmtId="0" fontId="13" fillId="26" borderId="76" xfId="0" applyFont="1" applyFill="1" applyBorder="1" applyAlignment="1">
      <alignment vertical="center" wrapText="1"/>
    </xf>
    <xf numFmtId="0" fontId="13" fillId="30" borderId="75" xfId="0" applyFont="1" applyFill="1" applyBorder="1" applyAlignment="1">
      <alignment vertical="center" wrapText="1"/>
    </xf>
    <xf numFmtId="0" fontId="13" fillId="30" borderId="75" xfId="0" applyFont="1" applyFill="1" applyBorder="1" applyAlignment="1">
      <alignment wrapText="1"/>
    </xf>
    <xf numFmtId="0" fontId="13" fillId="26" borderId="75" xfId="0" applyFont="1" applyFill="1" applyBorder="1" applyAlignment="1">
      <alignment wrapText="1"/>
    </xf>
    <xf numFmtId="0" fontId="13" fillId="26" borderId="76" xfId="0" applyFont="1" applyFill="1" applyBorder="1" applyAlignment="1">
      <alignment vertical="center"/>
    </xf>
    <xf numFmtId="0" fontId="13" fillId="25" borderId="75" xfId="0" applyFont="1" applyFill="1" applyBorder="1" applyAlignment="1">
      <alignment wrapText="1"/>
    </xf>
    <xf numFmtId="0" fontId="13" fillId="26" borderId="75" xfId="0" applyFont="1" applyFill="1" applyBorder="1" applyAlignment="1">
      <alignment vertical="top" wrapText="1"/>
    </xf>
    <xf numFmtId="0" fontId="13" fillId="28" borderId="76" xfId="0" applyFont="1" applyFill="1" applyBorder="1" applyAlignment="1">
      <alignment wrapText="1"/>
    </xf>
    <xf numFmtId="0" fontId="13" fillId="28" borderId="76" xfId="0" applyFont="1" applyFill="1" applyBorder="1" applyAlignment="1">
      <alignment horizontal="right" wrapText="1"/>
    </xf>
    <xf numFmtId="9" fontId="13" fillId="28" borderId="76" xfId="0" applyNumberFormat="1" applyFont="1" applyFill="1" applyBorder="1" applyAlignment="1">
      <alignment horizontal="right" wrapText="1"/>
    </xf>
    <xf numFmtId="0" fontId="13" fillId="28" borderId="75" xfId="0" applyFont="1" applyFill="1" applyBorder="1" applyAlignment="1">
      <alignment horizontal="right" wrapText="1"/>
    </xf>
    <xf numFmtId="9" fontId="13" fillId="28" borderId="75" xfId="0" applyNumberFormat="1" applyFont="1" applyFill="1" applyBorder="1" applyAlignment="1">
      <alignment horizontal="right" wrapText="1"/>
    </xf>
    <xf numFmtId="0" fontId="13" fillId="0" borderId="74" xfId="0" applyFont="1" applyBorder="1" applyAlignment="1">
      <alignment wrapText="1"/>
    </xf>
    <xf numFmtId="0" fontId="13" fillId="0" borderId="73" xfId="0" applyFont="1" applyBorder="1" applyAlignment="1">
      <alignment wrapText="1"/>
    </xf>
    <xf numFmtId="0" fontId="13" fillId="26" borderId="73" xfId="0" applyFont="1" applyFill="1" applyBorder="1" applyAlignment="1">
      <alignment vertical="top" wrapText="1"/>
    </xf>
    <xf numFmtId="0" fontId="13" fillId="26" borderId="74" xfId="0" applyFont="1" applyFill="1" applyBorder="1" applyAlignment="1">
      <alignment vertical="top" wrapText="1"/>
    </xf>
    <xf numFmtId="9" fontId="13" fillId="12" borderId="18" xfId="0" applyNumberFormat="1" applyFont="1" applyFill="1" applyBorder="1" applyAlignment="1"/>
    <xf numFmtId="9" fontId="0" fillId="6" borderId="18" xfId="1" applyNumberFormat="1" applyFont="1" applyFill="1" applyBorder="1" applyAlignment="1"/>
    <xf numFmtId="9" fontId="13" fillId="6" borderId="18" xfId="0" applyNumberFormat="1" applyFont="1" applyFill="1" applyBorder="1" applyAlignment="1"/>
    <xf numFmtId="9" fontId="13" fillId="0" borderId="75" xfId="0" applyNumberFormat="1" applyFont="1" applyBorder="1" applyAlignment="1">
      <alignment wrapText="1"/>
    </xf>
    <xf numFmtId="9" fontId="13" fillId="29" borderId="76" xfId="0" applyNumberFormat="1" applyFont="1" applyFill="1" applyBorder="1" applyAlignment="1">
      <alignment wrapText="1"/>
    </xf>
    <xf numFmtId="9" fontId="13" fillId="29" borderId="75" xfId="0" applyNumberFormat="1" applyFont="1" applyFill="1" applyBorder="1" applyAlignment="1">
      <alignment wrapText="1"/>
    </xf>
    <xf numFmtId="9" fontId="13" fillId="28" borderId="76" xfId="0" applyNumberFormat="1" applyFont="1" applyFill="1" applyBorder="1" applyAlignment="1">
      <alignment vertical="center" wrapText="1"/>
    </xf>
    <xf numFmtId="0" fontId="13" fillId="6" borderId="24" xfId="0" applyFont="1" applyFill="1" applyBorder="1" applyAlignment="1"/>
    <xf numFmtId="0" fontId="13" fillId="6" borderId="18" xfId="0" applyFont="1" applyFill="1" applyBorder="1" applyAlignment="1">
      <alignment wrapText="1"/>
    </xf>
    <xf numFmtId="0" fontId="0" fillId="6" borderId="0" xfId="0" applyFont="1" applyFill="1" applyAlignment="1">
      <alignment horizontal="center"/>
    </xf>
    <xf numFmtId="0" fontId="0" fillId="6" borderId="31" xfId="0" applyFont="1" applyFill="1" applyBorder="1" applyAlignment="1"/>
    <xf numFmtId="0" fontId="13" fillId="8" borderId="22" xfId="0" applyFont="1" applyFill="1" applyBorder="1" applyAlignment="1">
      <alignment horizontal="left" wrapText="1"/>
    </xf>
    <xf numFmtId="0" fontId="13" fillId="6" borderId="61" xfId="0" applyFont="1" applyFill="1" applyBorder="1" applyAlignment="1">
      <alignment horizontal="left" vertical="top"/>
    </xf>
    <xf numFmtId="0" fontId="13" fillId="6" borderId="60" xfId="0" applyFont="1" applyFill="1" applyBorder="1" applyAlignment="1">
      <alignment wrapText="1"/>
    </xf>
    <xf numFmtId="0" fontId="13" fillId="6" borderId="61" xfId="0" applyFont="1" applyFill="1" applyBorder="1" applyAlignment="1">
      <alignment vertical="top"/>
    </xf>
    <xf numFmtId="0" fontId="13" fillId="6" borderId="49" xfId="0" applyFont="1" applyFill="1" applyBorder="1" applyAlignment="1">
      <alignment horizontal="left" vertical="top"/>
    </xf>
    <xf numFmtId="0" fontId="0" fillId="6" borderId="18" xfId="0" applyFont="1" applyFill="1" applyBorder="1" applyAlignment="1">
      <alignment wrapText="1"/>
    </xf>
    <xf numFmtId="0" fontId="0" fillId="6" borderId="67" xfId="0" applyFont="1" applyFill="1" applyBorder="1" applyAlignment="1"/>
    <xf numFmtId="0" fontId="0" fillId="6" borderId="63" xfId="0" applyFont="1" applyFill="1" applyBorder="1" applyAlignment="1"/>
    <xf numFmtId="1" fontId="13" fillId="6" borderId="22" xfId="0" applyNumberFormat="1" applyFont="1" applyFill="1" applyBorder="1" applyAlignment="1"/>
    <xf numFmtId="9" fontId="13" fillId="6" borderId="18" xfId="1" applyNumberFormat="1" applyFont="1" applyFill="1" applyBorder="1" applyAlignment="1"/>
    <xf numFmtId="1" fontId="13" fillId="6" borderId="23" xfId="0" applyNumberFormat="1" applyFont="1" applyFill="1" applyBorder="1" applyAlignment="1"/>
    <xf numFmtId="1" fontId="13" fillId="6" borderId="24" xfId="0" applyNumberFormat="1" applyFont="1" applyFill="1" applyBorder="1" applyAlignment="1"/>
    <xf numFmtId="9" fontId="13" fillId="6" borderId="0" xfId="0" applyNumberFormat="1" applyFont="1" applyFill="1" applyAlignment="1"/>
    <xf numFmtId="0" fontId="17" fillId="26" borderId="74" xfId="2" applyFont="1" applyFill="1" applyBorder="1" applyAlignment="1">
      <alignment wrapText="1"/>
    </xf>
    <xf numFmtId="9" fontId="13" fillId="29" borderId="73" xfId="0" applyNumberFormat="1" applyFont="1" applyFill="1" applyBorder="1" applyAlignment="1">
      <alignment horizontal="right" wrapText="1"/>
    </xf>
    <xf numFmtId="9" fontId="13" fillId="29" borderId="75" xfId="0" applyNumberFormat="1" applyFont="1" applyFill="1" applyBorder="1" applyAlignment="1">
      <alignment horizontal="right" wrapText="1"/>
    </xf>
    <xf numFmtId="9" fontId="13" fillId="29" borderId="74" xfId="0" applyNumberFormat="1" applyFont="1" applyFill="1" applyBorder="1" applyAlignment="1">
      <alignment horizontal="right" wrapText="1"/>
    </xf>
    <xf numFmtId="9" fontId="13" fillId="28" borderId="73" xfId="0" applyNumberFormat="1" applyFont="1" applyFill="1" applyBorder="1" applyAlignment="1">
      <alignment horizontal="right" wrapText="1"/>
    </xf>
    <xf numFmtId="9" fontId="13" fillId="28" borderId="74" xfId="0" applyNumberFormat="1" applyFont="1" applyFill="1" applyBorder="1" applyAlignment="1">
      <alignment horizontal="right" wrapText="1"/>
    </xf>
    <xf numFmtId="0" fontId="13" fillId="29" borderId="74" xfId="0" applyFont="1" applyFill="1" applyBorder="1" applyAlignment="1">
      <alignment horizontal="right" wrapText="1"/>
    </xf>
    <xf numFmtId="0" fontId="13" fillId="28" borderId="73" xfId="0" applyFont="1" applyFill="1" applyBorder="1" applyAlignment="1">
      <alignment horizontal="right" wrapText="1"/>
    </xf>
    <xf numFmtId="0" fontId="13" fillId="29" borderId="73" xfId="0" applyFont="1" applyFill="1" applyBorder="1" applyAlignment="1">
      <alignment horizontal="right" wrapText="1"/>
    </xf>
    <xf numFmtId="9" fontId="13" fillId="0" borderId="76" xfId="0" applyNumberFormat="1" applyFont="1" applyBorder="1" applyAlignment="1">
      <alignment horizontal="right" wrapText="1"/>
    </xf>
    <xf numFmtId="9" fontId="13" fillId="0" borderId="75" xfId="0" applyNumberFormat="1" applyFont="1" applyBorder="1" applyAlignment="1">
      <alignment horizontal="right" wrapText="1"/>
    </xf>
    <xf numFmtId="9" fontId="13" fillId="0" borderId="73" xfId="0" applyNumberFormat="1" applyFont="1" applyBorder="1" applyAlignment="1">
      <alignment horizontal="right" wrapText="1"/>
    </xf>
    <xf numFmtId="9" fontId="13" fillId="0" borderId="74" xfId="0" applyNumberFormat="1" applyFont="1" applyBorder="1" applyAlignment="1">
      <alignment horizontal="right" wrapText="1"/>
    </xf>
    <xf numFmtId="16" fontId="13" fillId="29" borderId="76" xfId="0" applyNumberFormat="1" applyFont="1" applyFill="1" applyBorder="1" applyAlignment="1">
      <alignment horizontal="right" wrapText="1"/>
    </xf>
    <xf numFmtId="17" fontId="13" fillId="29" borderId="76" xfId="0" applyNumberFormat="1" applyFont="1" applyFill="1" applyBorder="1" applyAlignment="1">
      <alignment horizontal="right" wrapText="1"/>
    </xf>
    <xf numFmtId="0" fontId="13" fillId="29" borderId="75" xfId="0" applyFont="1" applyFill="1" applyBorder="1" applyAlignment="1">
      <alignment horizontal="right" wrapText="1"/>
    </xf>
    <xf numFmtId="0" fontId="13" fillId="0" borderId="76" xfId="0" applyFont="1" applyBorder="1" applyAlignment="1">
      <alignment horizontal="right" wrapText="1"/>
    </xf>
    <xf numFmtId="0" fontId="13" fillId="0" borderId="75" xfId="0" applyFont="1" applyBorder="1" applyAlignment="1">
      <alignment horizontal="right" wrapText="1"/>
    </xf>
    <xf numFmtId="16" fontId="13" fillId="28" borderId="76" xfId="0" applyNumberFormat="1" applyFont="1" applyFill="1" applyBorder="1" applyAlignment="1">
      <alignment horizontal="right" wrapText="1"/>
    </xf>
    <xf numFmtId="9" fontId="38" fillId="30" borderId="75" xfId="0" applyNumberFormat="1" applyFont="1" applyFill="1" applyBorder="1" applyAlignment="1">
      <alignment vertical="center" wrapText="1"/>
    </xf>
    <xf numFmtId="0" fontId="13" fillId="26" borderId="75" xfId="0" applyFont="1" applyFill="1" applyBorder="1" applyAlignment="1">
      <alignment horizontal="right" wrapText="1"/>
    </xf>
    <xf numFmtId="0" fontId="13" fillId="31" borderId="76" xfId="0" applyFont="1" applyFill="1" applyBorder="1" applyAlignment="1">
      <alignment horizontal="right" wrapText="1"/>
    </xf>
    <xf numFmtId="0" fontId="41" fillId="28" borderId="76" xfId="0" applyFont="1" applyFill="1" applyBorder="1" applyAlignment="1">
      <alignment vertical="center" wrapText="1"/>
    </xf>
    <xf numFmtId="0" fontId="13" fillId="26" borderId="76" xfId="0" applyFont="1" applyFill="1" applyBorder="1" applyAlignment="1">
      <alignment horizontal="right" vertical="center"/>
    </xf>
    <xf numFmtId="0" fontId="41" fillId="28" borderId="75" xfId="0" applyFont="1" applyFill="1" applyBorder="1" applyAlignment="1">
      <alignment vertical="center" wrapText="1"/>
    </xf>
    <xf numFmtId="0" fontId="13" fillId="31" borderId="75" xfId="0" applyFont="1" applyFill="1" applyBorder="1" applyAlignment="1">
      <alignment horizontal="right" wrapText="1"/>
    </xf>
    <xf numFmtId="0" fontId="34" fillId="26" borderId="74" xfId="0" applyFont="1" applyFill="1" applyBorder="1" applyAlignment="1">
      <alignment vertical="top" wrapText="1"/>
    </xf>
    <xf numFmtId="9" fontId="13" fillId="31" borderId="74" xfId="0" applyNumberFormat="1" applyFont="1" applyFill="1" applyBorder="1" applyAlignment="1">
      <alignment horizontal="right" wrapText="1"/>
    </xf>
    <xf numFmtId="9" fontId="13" fillId="26" borderId="75" xfId="0" applyNumberFormat="1" applyFont="1" applyFill="1" applyBorder="1" applyAlignment="1">
      <alignment horizontal="right" wrapText="1"/>
    </xf>
    <xf numFmtId="0" fontId="13" fillId="29" borderId="76" xfId="0" applyFont="1" applyFill="1" applyBorder="1" applyAlignment="1">
      <alignment vertical="top" wrapText="1"/>
    </xf>
    <xf numFmtId="0" fontId="43" fillId="26" borderId="76" xfId="0" applyFont="1" applyFill="1" applyBorder="1" applyAlignment="1">
      <alignment vertical="top" wrapText="1"/>
    </xf>
    <xf numFmtId="16" fontId="13" fillId="26" borderId="76" xfId="0" applyNumberFormat="1" applyFont="1" applyFill="1" applyBorder="1" applyAlignment="1">
      <alignment horizontal="right" wrapText="1"/>
    </xf>
    <xf numFmtId="9" fontId="41" fillId="28" borderId="75" xfId="0" applyNumberFormat="1" applyFont="1" applyFill="1" applyBorder="1" applyAlignment="1">
      <alignment vertical="center" wrapText="1"/>
    </xf>
    <xf numFmtId="0" fontId="13" fillId="28" borderId="74" xfId="0" applyFont="1" applyFill="1" applyBorder="1" applyAlignment="1">
      <alignment horizontal="right" wrapText="1"/>
    </xf>
    <xf numFmtId="0" fontId="44" fillId="31" borderId="76" xfId="0" applyFont="1" applyFill="1" applyBorder="1" applyAlignment="1">
      <alignment vertical="center"/>
    </xf>
    <xf numFmtId="0" fontId="44" fillId="31" borderId="76" xfId="0" applyFont="1" applyFill="1" applyBorder="1" applyAlignment="1">
      <alignment wrapText="1"/>
    </xf>
    <xf numFmtId="0" fontId="0" fillId="6" borderId="22" xfId="0" applyFont="1" applyFill="1" applyBorder="1" applyAlignment="1">
      <alignment wrapText="1"/>
    </xf>
    <xf numFmtId="0" fontId="0" fillId="6" borderId="70" xfId="0" applyFont="1" applyFill="1" applyBorder="1" applyAlignment="1"/>
    <xf numFmtId="0" fontId="13" fillId="6" borderId="23" xfId="0" applyFont="1" applyFill="1" applyBorder="1" applyAlignment="1"/>
    <xf numFmtId="0" fontId="13" fillId="12" borderId="18" xfId="0" applyFont="1" applyFill="1" applyBorder="1" applyAlignment="1">
      <alignment horizontal="left" vertical="top"/>
    </xf>
    <xf numFmtId="1" fontId="0" fillId="6" borderId="22" xfId="0" applyNumberFormat="1" applyFont="1" applyFill="1" applyBorder="1" applyAlignment="1">
      <alignment horizontal="left" vertical="top"/>
    </xf>
    <xf numFmtId="1" fontId="0" fillId="6" borderId="23" xfId="0" applyNumberFormat="1" applyFont="1" applyFill="1" applyBorder="1" applyAlignment="1">
      <alignment horizontal="left" vertical="top"/>
    </xf>
    <xf numFmtId="1" fontId="0" fillId="6" borderId="24" xfId="0" applyNumberFormat="1" applyFont="1" applyFill="1" applyBorder="1" applyAlignment="1">
      <alignment horizontal="left" vertical="top"/>
    </xf>
    <xf numFmtId="0" fontId="0" fillId="6" borderId="0" xfId="0" applyFont="1" applyFill="1" applyAlignment="1">
      <alignment horizontal="left" vertical="top"/>
    </xf>
    <xf numFmtId="0" fontId="0" fillId="6" borderId="92" xfId="0" applyFont="1" applyFill="1" applyBorder="1" applyAlignment="1"/>
    <xf numFmtId="0" fontId="13" fillId="6" borderId="57" xfId="0" applyFont="1" applyFill="1" applyBorder="1" applyAlignment="1">
      <alignment wrapText="1"/>
    </xf>
    <xf numFmtId="9" fontId="0" fillId="6" borderId="18" xfId="0" applyNumberFormat="1" applyFont="1" applyFill="1" applyBorder="1" applyAlignment="1">
      <alignment horizontal="left"/>
    </xf>
    <xf numFmtId="0" fontId="13" fillId="6" borderId="18" xfId="0" applyFont="1" applyFill="1" applyBorder="1" applyAlignment="1">
      <alignment horizontal="left"/>
    </xf>
    <xf numFmtId="9" fontId="13" fillId="6" borderId="18" xfId="0" applyNumberFormat="1" applyFont="1" applyFill="1" applyBorder="1" applyAlignment="1">
      <alignment horizontal="left"/>
    </xf>
    <xf numFmtId="0" fontId="0" fillId="6" borderId="57" xfId="0" applyFont="1" applyFill="1" applyBorder="1" applyAlignment="1">
      <alignment horizontal="left"/>
    </xf>
    <xf numFmtId="0" fontId="0" fillId="33" borderId="18" xfId="0" applyFont="1" applyFill="1" applyBorder="1" applyAlignment="1">
      <alignment horizontal="left"/>
    </xf>
    <xf numFmtId="0" fontId="0" fillId="33" borderId="60" xfId="0" applyFont="1" applyFill="1" applyBorder="1" applyAlignment="1">
      <alignment horizontal="left"/>
    </xf>
    <xf numFmtId="0" fontId="0" fillId="6" borderId="18" xfId="0" applyFont="1" applyFill="1" applyBorder="1" applyAlignment="1">
      <alignment horizontal="left"/>
    </xf>
    <xf numFmtId="0" fontId="0" fillId="6" borderId="60" xfId="0" applyFont="1" applyFill="1" applyBorder="1" applyAlignment="1">
      <alignment horizontal="left"/>
    </xf>
    <xf numFmtId="0" fontId="0" fillId="33" borderId="57" xfId="0" applyFont="1" applyFill="1" applyBorder="1" applyAlignment="1">
      <alignment horizontal="left"/>
    </xf>
    <xf numFmtId="0" fontId="0" fillId="33" borderId="22" xfId="0" applyFont="1" applyFill="1" applyBorder="1" applyAlignment="1">
      <alignment horizontal="left"/>
    </xf>
    <xf numFmtId="9" fontId="0" fillId="33" borderId="18" xfId="1" applyFont="1" applyFill="1" applyBorder="1" applyAlignment="1">
      <alignment horizontal="left"/>
    </xf>
    <xf numFmtId="0" fontId="0" fillId="6" borderId="24" xfId="0" applyFont="1" applyFill="1" applyBorder="1" applyAlignment="1">
      <alignment horizontal="left"/>
    </xf>
    <xf numFmtId="0" fontId="0" fillId="6" borderId="0" xfId="0" applyFont="1" applyFill="1" applyAlignment="1">
      <alignment horizontal="left"/>
    </xf>
    <xf numFmtId="0" fontId="13" fillId="8" borderId="22" xfId="0" applyFont="1" applyFill="1" applyBorder="1" applyAlignment="1">
      <alignment horizontal="center" wrapText="1"/>
    </xf>
    <xf numFmtId="0" fontId="0" fillId="33" borderId="18" xfId="0" applyFont="1" applyFill="1" applyBorder="1" applyAlignment="1">
      <alignment horizontal="center"/>
    </xf>
    <xf numFmtId="0" fontId="0" fillId="33" borderId="60" xfId="0" applyFont="1" applyFill="1" applyBorder="1" applyAlignment="1">
      <alignment horizontal="center"/>
    </xf>
    <xf numFmtId="0" fontId="0" fillId="6" borderId="60" xfId="0" applyFont="1" applyFill="1" applyBorder="1" applyAlignment="1">
      <alignment horizontal="center"/>
    </xf>
    <xf numFmtId="0" fontId="0" fillId="33" borderId="57" xfId="0" applyFont="1" applyFill="1" applyBorder="1" applyAlignment="1">
      <alignment horizontal="center"/>
    </xf>
    <xf numFmtId="0" fontId="0" fillId="33" borderId="22" xfId="0" applyFont="1" applyFill="1" applyBorder="1" applyAlignment="1">
      <alignment horizontal="center"/>
    </xf>
    <xf numFmtId="0" fontId="13" fillId="6" borderId="51" xfId="0" applyFont="1" applyFill="1" applyBorder="1" applyAlignment="1">
      <alignment horizontal="left" vertical="top"/>
    </xf>
    <xf numFmtId="0" fontId="13" fillId="6" borderId="49" xfId="0" applyFont="1" applyFill="1" applyBorder="1" applyAlignment="1">
      <alignment vertical="top"/>
    </xf>
    <xf numFmtId="0" fontId="13" fillId="6" borderId="51" xfId="0" applyFont="1" applyFill="1" applyBorder="1" applyAlignment="1">
      <alignment vertical="top"/>
    </xf>
    <xf numFmtId="0" fontId="0" fillId="6" borderId="22" xfId="0" applyFont="1" applyFill="1" applyBorder="1" applyAlignment="1"/>
    <xf numFmtId="0" fontId="0" fillId="6" borderId="22" xfId="0" applyFont="1" applyFill="1" applyBorder="1" applyAlignment="1">
      <alignment horizontal="center"/>
    </xf>
    <xf numFmtId="0" fontId="13" fillId="6" borderId="18" xfId="0" applyFont="1" applyFill="1" applyBorder="1" applyAlignment="1">
      <alignment horizontal="left" vertical="top"/>
    </xf>
    <xf numFmtId="0" fontId="13" fillId="6" borderId="18" xfId="0" applyFont="1" applyFill="1" applyBorder="1" applyAlignment="1">
      <alignment vertical="top"/>
    </xf>
    <xf numFmtId="0" fontId="0" fillId="6" borderId="18" xfId="0" applyFont="1" applyFill="1" applyBorder="1" applyAlignment="1">
      <alignment vertical="top"/>
    </xf>
    <xf numFmtId="0" fontId="13" fillId="6" borderId="49" xfId="0" applyFont="1" applyFill="1" applyBorder="1" applyAlignment="1">
      <alignment horizontal="left" vertical="top" wrapText="1"/>
    </xf>
    <xf numFmtId="0" fontId="13" fillId="6" borderId="51" xfId="0" applyFont="1" applyFill="1" applyBorder="1" applyAlignment="1">
      <alignment horizontal="left" vertical="top" wrapText="1"/>
    </xf>
    <xf numFmtId="0" fontId="0" fillId="33" borderId="24" xfId="0" applyFont="1" applyFill="1" applyBorder="1" applyAlignment="1">
      <alignment horizontal="center"/>
    </xf>
    <xf numFmtId="0" fontId="0" fillId="6" borderId="93" xfId="0" applyFont="1" applyFill="1" applyBorder="1" applyAlignment="1"/>
    <xf numFmtId="1" fontId="13" fillId="6" borderId="22" xfId="0" applyNumberFormat="1" applyFont="1" applyFill="1" applyBorder="1" applyAlignment="1">
      <alignment horizontal="left" vertical="top"/>
    </xf>
    <xf numFmtId="0" fontId="13" fillId="6" borderId="23" xfId="0" applyFont="1" applyFill="1" applyBorder="1" applyAlignment="1">
      <alignment vertical="top"/>
    </xf>
    <xf numFmtId="0" fontId="13" fillId="6" borderId="24" xfId="0" applyFont="1" applyFill="1" applyBorder="1" applyAlignment="1">
      <alignment vertical="top"/>
    </xf>
    <xf numFmtId="0" fontId="13" fillId="8" borderId="41" xfId="0" applyFont="1" applyFill="1" applyBorder="1" applyAlignment="1">
      <alignment horizontal="left" wrapText="1"/>
    </xf>
    <xf numFmtId="0" fontId="13" fillId="8" borderId="57" xfId="0" applyFont="1" applyFill="1" applyBorder="1" applyAlignment="1">
      <alignment horizontal="left" wrapText="1"/>
    </xf>
    <xf numFmtId="0" fontId="13" fillId="8" borderId="46" xfId="0" applyFont="1" applyFill="1" applyBorder="1" applyAlignment="1">
      <alignment horizontal="left" wrapText="1"/>
    </xf>
    <xf numFmtId="0" fontId="13" fillId="6" borderId="22" xfId="0" applyFont="1" applyFill="1" applyBorder="1" applyAlignment="1"/>
    <xf numFmtId="0" fontId="13" fillId="6" borderId="24" xfId="0" applyFont="1" applyFill="1" applyBorder="1" applyAlignment="1">
      <alignment wrapText="1"/>
    </xf>
    <xf numFmtId="0" fontId="13" fillId="6" borderId="47" xfId="0" applyFont="1" applyFill="1" applyBorder="1" applyAlignment="1">
      <alignment vertical="top"/>
    </xf>
    <xf numFmtId="0" fontId="13" fillId="6" borderId="23" xfId="0" applyFont="1" applyFill="1" applyBorder="1" applyAlignment="1">
      <alignment wrapText="1"/>
    </xf>
    <xf numFmtId="0" fontId="0" fillId="6" borderId="30" xfId="0" applyFont="1" applyFill="1" applyBorder="1" applyAlignment="1"/>
    <xf numFmtId="0" fontId="13" fillId="6" borderId="18" xfId="0" applyFont="1" applyFill="1" applyBorder="1" applyAlignment="1">
      <alignment vertical="top" wrapText="1"/>
    </xf>
    <xf numFmtId="0" fontId="13" fillId="8" borderId="96" xfId="0" applyFont="1" applyFill="1" applyBorder="1" applyAlignment="1">
      <alignment horizontal="left" wrapText="1"/>
    </xf>
    <xf numFmtId="0" fontId="13" fillId="8" borderId="97" xfId="0" applyFont="1" applyFill="1" applyBorder="1" applyAlignment="1">
      <alignment horizontal="left" wrapText="1"/>
    </xf>
    <xf numFmtId="0" fontId="13" fillId="8" borderId="97" xfId="0" applyFont="1" applyFill="1" applyBorder="1" applyAlignment="1">
      <alignment horizontal="center" wrapText="1"/>
    </xf>
    <xf numFmtId="0" fontId="13" fillId="8" borderId="98" xfId="0" applyFont="1" applyFill="1" applyBorder="1" applyAlignment="1">
      <alignment horizontal="left" wrapText="1"/>
    </xf>
    <xf numFmtId="0" fontId="0" fillId="12" borderId="18" xfId="0" applyFont="1" applyFill="1" applyBorder="1" applyAlignment="1"/>
    <xf numFmtId="0" fontId="0" fillId="24" borderId="18" xfId="0" applyFont="1" applyFill="1" applyBorder="1" applyAlignment="1">
      <alignment horizontal="center"/>
    </xf>
    <xf numFmtId="0" fontId="0" fillId="24" borderId="57" xfId="0" applyFont="1" applyFill="1" applyBorder="1" applyAlignment="1">
      <alignment horizontal="center"/>
    </xf>
    <xf numFmtId="0" fontId="0" fillId="6" borderId="25" xfId="0" applyFont="1" applyFill="1" applyBorder="1" applyAlignment="1"/>
    <xf numFmtId="0" fontId="0" fillId="6" borderId="99" xfId="0" applyFont="1" applyFill="1" applyBorder="1" applyAlignment="1"/>
    <xf numFmtId="0" fontId="13" fillId="6" borderId="97" xfId="0" applyFont="1" applyFill="1" applyBorder="1" applyAlignment="1"/>
    <xf numFmtId="0" fontId="0" fillId="6" borderId="98" xfId="0" applyFont="1" applyFill="1" applyBorder="1" applyAlignment="1"/>
    <xf numFmtId="0" fontId="13" fillId="6" borderId="91" xfId="0" applyFont="1" applyFill="1" applyBorder="1" applyAlignment="1"/>
    <xf numFmtId="168" fontId="0" fillId="24" borderId="18" xfId="0" applyNumberFormat="1" applyFont="1" applyFill="1" applyBorder="1" applyAlignment="1">
      <alignment horizontal="center"/>
    </xf>
    <xf numFmtId="9" fontId="41" fillId="23" borderId="76" xfId="0" applyNumberFormat="1" applyFont="1" applyFill="1" applyBorder="1" applyAlignment="1">
      <alignment vertical="center" wrapText="1"/>
    </xf>
    <xf numFmtId="9" fontId="41" fillId="23" borderId="75" xfId="0" applyNumberFormat="1" applyFont="1" applyFill="1" applyBorder="1" applyAlignment="1">
      <alignment vertical="center" wrapText="1"/>
    </xf>
    <xf numFmtId="0" fontId="13" fillId="6" borderId="96" xfId="0" applyFont="1" applyFill="1" applyBorder="1" applyAlignment="1">
      <alignment vertical="top"/>
    </xf>
    <xf numFmtId="0" fontId="13" fillId="6" borderId="97" xfId="0" applyFont="1" applyFill="1" applyBorder="1" applyAlignment="1">
      <alignment wrapText="1"/>
    </xf>
    <xf numFmtId="0" fontId="0" fillId="6" borderId="97" xfId="0" applyFont="1" applyFill="1" applyBorder="1" applyAlignment="1"/>
    <xf numFmtId="0" fontId="0" fillId="6" borderId="24" xfId="0" applyFont="1" applyFill="1" applyBorder="1" applyAlignment="1">
      <alignment vertical="top"/>
    </xf>
    <xf numFmtId="0" fontId="13" fillId="8" borderId="59" xfId="0" applyFont="1" applyFill="1" applyBorder="1" applyAlignment="1">
      <alignment horizontal="left" wrapText="1"/>
    </xf>
    <xf numFmtId="0" fontId="13" fillId="8" borderId="60" xfId="0" applyFont="1" applyFill="1" applyBorder="1" applyAlignment="1">
      <alignment horizontal="left" wrapText="1"/>
    </xf>
    <xf numFmtId="0" fontId="13" fillId="8" borderId="40" xfId="0" applyFont="1" applyFill="1" applyBorder="1" applyAlignment="1">
      <alignment horizontal="left" wrapText="1"/>
    </xf>
    <xf numFmtId="168" fontId="0" fillId="35" borderId="60" xfId="0" applyNumberFormat="1" applyFont="1" applyFill="1" applyBorder="1" applyAlignment="1">
      <alignment horizontal="center"/>
    </xf>
    <xf numFmtId="0" fontId="20" fillId="23" borderId="5" xfId="3" applyFont="1" applyFill="1"/>
    <xf numFmtId="0" fontId="19" fillId="23" borderId="5" xfId="3" applyFont="1" applyFill="1"/>
    <xf numFmtId="0" fontId="18" fillId="23" borderId="5" xfId="3" applyFont="1" applyFill="1" applyAlignment="1">
      <alignment wrapText="1"/>
    </xf>
    <xf numFmtId="0" fontId="13" fillId="23" borderId="5" xfId="3" applyFill="1"/>
    <xf numFmtId="0" fontId="19" fillId="34" borderId="5" xfId="3" applyFont="1" applyFill="1"/>
    <xf numFmtId="0" fontId="0" fillId="33" borderId="91" xfId="0" applyFont="1" applyFill="1" applyBorder="1" applyAlignment="1">
      <alignment horizontal="center"/>
    </xf>
    <xf numFmtId="0" fontId="19" fillId="23" borderId="5" xfId="3" applyFont="1" applyFill="1" applyAlignment="1">
      <alignment horizontal="left"/>
    </xf>
    <xf numFmtId="0" fontId="13" fillId="6" borderId="96" xfId="0" applyFont="1" applyFill="1" applyBorder="1" applyAlignment="1">
      <alignment horizontal="left" vertical="top"/>
    </xf>
    <xf numFmtId="0" fontId="18" fillId="23" borderId="5" xfId="3" applyFont="1" applyFill="1"/>
    <xf numFmtId="0" fontId="13" fillId="6" borderId="22" xfId="0" applyFont="1" applyFill="1" applyBorder="1" applyAlignment="1">
      <alignment wrapText="1"/>
    </xf>
    <xf numFmtId="0" fontId="13" fillId="8" borderId="30" xfId="0" applyFont="1" applyFill="1" applyBorder="1" applyAlignment="1">
      <alignment horizontal="left" wrapText="1"/>
    </xf>
    <xf numFmtId="0" fontId="0" fillId="6" borderId="19" xfId="0" applyFont="1" applyFill="1" applyBorder="1" applyAlignment="1"/>
    <xf numFmtId="0" fontId="0" fillId="6" borderId="52" xfId="0" applyFont="1" applyFill="1" applyBorder="1" applyAlignment="1"/>
    <xf numFmtId="0" fontId="13" fillId="11" borderId="18" xfId="0" applyFont="1" applyFill="1" applyBorder="1" applyAlignment="1"/>
    <xf numFmtId="0" fontId="13" fillId="22" borderId="18" xfId="0" applyFont="1" applyFill="1" applyBorder="1" applyAlignment="1"/>
    <xf numFmtId="0" fontId="13" fillId="34" borderId="18" xfId="0" applyFont="1" applyFill="1" applyBorder="1" applyAlignment="1"/>
    <xf numFmtId="0" fontId="0" fillId="12" borderId="21" xfId="0" applyFont="1" applyFill="1" applyBorder="1" applyAlignment="1"/>
    <xf numFmtId="0" fontId="13" fillId="23" borderId="21" xfId="0" applyFont="1" applyFill="1" applyBorder="1" applyAlignment="1"/>
    <xf numFmtId="0" fontId="13" fillId="12" borderId="21" xfId="0" applyFont="1" applyFill="1" applyBorder="1" applyAlignment="1"/>
    <xf numFmtId="0" fontId="13" fillId="22" borderId="21" xfId="0" applyFont="1" applyFill="1" applyBorder="1" applyAlignment="1"/>
    <xf numFmtId="0" fontId="13" fillId="8" borderId="100" xfId="0" applyFont="1" applyFill="1" applyBorder="1" applyAlignment="1">
      <alignment horizontal="left" wrapText="1"/>
    </xf>
    <xf numFmtId="0" fontId="13" fillId="34" borderId="21" xfId="0" applyFont="1" applyFill="1" applyBorder="1" applyAlignment="1"/>
    <xf numFmtId="0" fontId="13" fillId="34" borderId="46" xfId="0" applyFont="1" applyFill="1" applyBorder="1" applyAlignment="1"/>
    <xf numFmtId="0" fontId="13" fillId="34" borderId="37" xfId="0" applyFont="1" applyFill="1" applyBorder="1" applyAlignment="1"/>
    <xf numFmtId="0" fontId="13" fillId="34" borderId="40" xfId="0" applyFont="1" applyFill="1" applyBorder="1" applyAlignment="1"/>
    <xf numFmtId="0" fontId="13" fillId="22" borderId="21" xfId="0" applyFont="1" applyFill="1" applyBorder="1" applyAlignment="1">
      <alignment wrapText="1"/>
    </xf>
    <xf numFmtId="0" fontId="13" fillId="8" borderId="47" xfId="0" applyFont="1" applyFill="1" applyBorder="1" applyAlignment="1">
      <alignment horizontal="left" wrapText="1"/>
    </xf>
    <xf numFmtId="0" fontId="13" fillId="8" borderId="70" xfId="0" applyFont="1" applyFill="1" applyBorder="1" applyAlignment="1">
      <alignment horizontal="left" wrapText="1"/>
    </xf>
    <xf numFmtId="0" fontId="13" fillId="24" borderId="21" xfId="0" applyFont="1" applyFill="1" applyBorder="1" applyAlignment="1"/>
    <xf numFmtId="0" fontId="13" fillId="6" borderId="57" xfId="0" applyFont="1" applyFill="1" applyBorder="1" applyAlignment="1">
      <alignment vertical="top"/>
    </xf>
    <xf numFmtId="0" fontId="13" fillId="6" borderId="60" xfId="0" applyFont="1" applyFill="1" applyBorder="1" applyAlignment="1">
      <alignment vertical="top" wrapText="1"/>
    </xf>
    <xf numFmtId="0" fontId="13" fillId="6" borderId="60" xfId="0" applyFont="1" applyFill="1" applyBorder="1" applyAlignment="1">
      <alignment vertical="top"/>
    </xf>
    <xf numFmtId="0" fontId="0" fillId="6" borderId="57" xfId="0" applyFont="1" applyFill="1" applyBorder="1" applyAlignment="1">
      <alignment vertical="top"/>
    </xf>
    <xf numFmtId="0" fontId="0" fillId="6" borderId="22" xfId="0" applyFont="1" applyFill="1" applyBorder="1" applyAlignment="1">
      <alignment vertical="top" wrapText="1"/>
    </xf>
    <xf numFmtId="0" fontId="13" fillId="6" borderId="57" xfId="0" applyFont="1" applyFill="1" applyBorder="1" applyAlignment="1">
      <alignment vertical="top" wrapText="1"/>
    </xf>
    <xf numFmtId="0" fontId="13" fillId="6" borderId="97" xfId="0" applyFont="1" applyFill="1" applyBorder="1" applyAlignment="1">
      <alignment vertical="top"/>
    </xf>
    <xf numFmtId="0" fontId="34" fillId="12" borderId="18" xfId="0" applyFont="1" applyFill="1" applyBorder="1" applyAlignment="1">
      <alignment horizontal="left"/>
    </xf>
    <xf numFmtId="0" fontId="34" fillId="12" borderId="22" xfId="0" applyFont="1" applyFill="1" applyBorder="1" applyAlignment="1">
      <alignment horizontal="left"/>
    </xf>
    <xf numFmtId="0" fontId="34" fillId="12" borderId="18" xfId="0" applyFont="1" applyFill="1" applyBorder="1" applyAlignment="1">
      <alignment wrapText="1"/>
    </xf>
    <xf numFmtId="0" fontId="34" fillId="12" borderId="24" xfId="0" applyFont="1" applyFill="1" applyBorder="1" applyAlignment="1">
      <alignment wrapText="1"/>
    </xf>
    <xf numFmtId="0" fontId="34" fillId="22" borderId="18" xfId="0" applyFont="1" applyFill="1" applyBorder="1" applyAlignment="1">
      <alignment horizontal="left"/>
    </xf>
    <xf numFmtId="0" fontId="34" fillId="22" borderId="24" xfId="0" applyFont="1" applyFill="1" applyBorder="1" applyAlignment="1">
      <alignment wrapText="1"/>
    </xf>
    <xf numFmtId="0" fontId="34" fillId="22" borderId="18" xfId="0" applyFont="1" applyFill="1" applyBorder="1" applyAlignment="1"/>
    <xf numFmtId="0" fontId="13" fillId="33" borderId="60" xfId="0" applyFont="1" applyFill="1" applyBorder="1" applyAlignment="1">
      <alignment horizontal="center"/>
    </xf>
    <xf numFmtId="0" fontId="0" fillId="6" borderId="0" xfId="0" applyFont="1" applyFill="1" applyAlignment="1">
      <alignment vertical="top"/>
    </xf>
    <xf numFmtId="0" fontId="13" fillId="12" borderId="18" xfId="0" applyFont="1" applyFill="1" applyBorder="1" applyAlignment="1">
      <alignment vertical="top"/>
    </xf>
    <xf numFmtId="0" fontId="34" fillId="12" borderId="18" xfId="0" applyFont="1" applyFill="1" applyBorder="1" applyAlignment="1">
      <alignment horizontal="left" vertical="top"/>
    </xf>
    <xf numFmtId="0" fontId="13" fillId="6" borderId="23" xfId="0" applyFont="1" applyFill="1" applyBorder="1" applyAlignment="1">
      <alignment vertical="top" wrapText="1"/>
    </xf>
    <xf numFmtId="0" fontId="13" fillId="6" borderId="22" xfId="0" applyFont="1" applyFill="1" applyBorder="1" applyAlignment="1">
      <alignment vertical="top" wrapText="1"/>
    </xf>
    <xf numFmtId="0" fontId="34" fillId="12" borderId="22" xfId="0" applyFont="1" applyFill="1" applyBorder="1" applyAlignment="1">
      <alignment horizontal="left" vertical="top"/>
    </xf>
    <xf numFmtId="0" fontId="13" fillId="34" borderId="22" xfId="0" applyFont="1" applyFill="1" applyBorder="1" applyAlignment="1"/>
    <xf numFmtId="0" fontId="13" fillId="34" borderId="101" xfId="0" applyFont="1" applyFill="1" applyBorder="1" applyAlignment="1"/>
    <xf numFmtId="0" fontId="13" fillId="34" borderId="98" xfId="0" applyFont="1" applyFill="1" applyBorder="1" applyAlignment="1"/>
    <xf numFmtId="0" fontId="34" fillId="22" borderId="18" xfId="0" applyFont="1" applyFill="1" applyBorder="1" applyAlignment="1">
      <alignment horizontal="left" vertical="top"/>
    </xf>
    <xf numFmtId="0" fontId="13" fillId="6" borderId="91" xfId="0" applyFont="1" applyFill="1" applyBorder="1" applyAlignment="1">
      <alignment vertical="top"/>
    </xf>
    <xf numFmtId="0" fontId="34" fillId="22" borderId="18" xfId="0" applyFont="1" applyFill="1" applyBorder="1" applyAlignment="1">
      <alignment wrapText="1"/>
    </xf>
    <xf numFmtId="0" fontId="13" fillId="6" borderId="91" xfId="0" applyFont="1" applyFill="1" applyBorder="1" applyAlignment="1">
      <alignment vertical="top" wrapText="1"/>
    </xf>
    <xf numFmtId="0" fontId="13" fillId="6" borderId="57" xfId="0" applyFont="1" applyFill="1" applyBorder="1" applyAlignment="1">
      <alignment horizontal="left"/>
    </xf>
    <xf numFmtId="0" fontId="13" fillId="6" borderId="24" xfId="0" applyFont="1" applyFill="1" applyBorder="1" applyAlignment="1">
      <alignment horizontal="left"/>
    </xf>
    <xf numFmtId="0" fontId="13" fillId="6" borderId="60" xfId="0" applyFont="1" applyFill="1" applyBorder="1" applyAlignment="1">
      <alignment horizontal="left"/>
    </xf>
    <xf numFmtId="0" fontId="0" fillId="6" borderId="23" xfId="0" applyFont="1" applyFill="1" applyBorder="1" applyAlignment="1">
      <alignment horizontal="left"/>
    </xf>
    <xf numFmtId="0" fontId="0" fillId="24" borderId="57" xfId="0" applyFont="1" applyFill="1" applyBorder="1" applyAlignment="1">
      <alignment horizontal="left"/>
    </xf>
    <xf numFmtId="0" fontId="0" fillId="24" borderId="24" xfId="0" applyFont="1" applyFill="1" applyBorder="1" applyAlignment="1">
      <alignment horizontal="left"/>
    </xf>
    <xf numFmtId="0" fontId="0" fillId="24" borderId="18" xfId="0" applyFont="1" applyFill="1" applyBorder="1" applyAlignment="1">
      <alignment horizontal="left"/>
    </xf>
    <xf numFmtId="0" fontId="0" fillId="33" borderId="24" xfId="0" applyFont="1" applyFill="1" applyBorder="1" applyAlignment="1">
      <alignment horizontal="left"/>
    </xf>
    <xf numFmtId="9" fontId="0" fillId="33" borderId="60" xfId="1" applyFont="1" applyFill="1" applyBorder="1" applyAlignment="1">
      <alignment horizontal="left"/>
    </xf>
    <xf numFmtId="9" fontId="0" fillId="24" borderId="18" xfId="1" applyFont="1" applyFill="1" applyBorder="1" applyAlignment="1">
      <alignment horizontal="left"/>
    </xf>
    <xf numFmtId="9" fontId="0" fillId="24" borderId="22" xfId="1" applyFont="1" applyFill="1" applyBorder="1" applyAlignment="1">
      <alignment horizontal="left"/>
    </xf>
    <xf numFmtId="9" fontId="0" fillId="24" borderId="60" xfId="1" applyFont="1" applyFill="1" applyBorder="1" applyAlignment="1">
      <alignment horizontal="left"/>
    </xf>
    <xf numFmtId="0" fontId="36" fillId="6" borderId="18" xfId="0" applyFont="1" applyFill="1" applyBorder="1" applyAlignment="1"/>
    <xf numFmtId="49" fontId="0" fillId="6" borderId="18" xfId="0" applyNumberFormat="1" applyFont="1" applyFill="1" applyBorder="1" applyAlignment="1"/>
    <xf numFmtId="49" fontId="13" fillId="6" borderId="18" xfId="0" applyNumberFormat="1" applyFont="1" applyFill="1" applyBorder="1" applyAlignment="1"/>
    <xf numFmtId="0" fontId="0" fillId="24" borderId="18" xfId="0" applyFont="1" applyFill="1" applyBorder="1" applyAlignment="1"/>
    <xf numFmtId="0" fontId="0" fillId="33" borderId="91" xfId="0" applyFont="1" applyFill="1" applyBorder="1" applyAlignment="1">
      <alignment horizontal="left"/>
    </xf>
    <xf numFmtId="168" fontId="0" fillId="24" borderId="18" xfId="0" applyNumberFormat="1" applyFont="1" applyFill="1" applyBorder="1" applyAlignment="1">
      <alignment horizontal="left"/>
    </xf>
    <xf numFmtId="0" fontId="0" fillId="6" borderId="97" xfId="0" applyFont="1" applyFill="1" applyBorder="1" applyAlignment="1">
      <alignment horizontal="left"/>
    </xf>
    <xf numFmtId="0" fontId="0" fillId="6" borderId="22" xfId="0" applyFont="1" applyFill="1" applyBorder="1" applyAlignment="1">
      <alignment horizontal="left"/>
    </xf>
    <xf numFmtId="168" fontId="0" fillId="24" borderId="57" xfId="0" applyNumberFormat="1" applyFont="1" applyFill="1" applyBorder="1" applyAlignment="1">
      <alignment horizontal="left"/>
    </xf>
    <xf numFmtId="0" fontId="0" fillId="24" borderId="60" xfId="0" applyFont="1" applyFill="1" applyBorder="1" applyAlignment="1">
      <alignment horizontal="left"/>
    </xf>
    <xf numFmtId="0" fontId="13" fillId="33" borderId="60" xfId="0" applyFont="1" applyFill="1" applyBorder="1" applyAlignment="1">
      <alignment horizontal="left"/>
    </xf>
    <xf numFmtId="168" fontId="0" fillId="35" borderId="60" xfId="0" applyNumberFormat="1" applyFont="1" applyFill="1" applyBorder="1" applyAlignment="1">
      <alignment horizontal="left"/>
    </xf>
    <xf numFmtId="0" fontId="0" fillId="6" borderId="91" xfId="0" applyFont="1" applyFill="1" applyBorder="1" applyAlignment="1">
      <alignment horizontal="left"/>
    </xf>
    <xf numFmtId="14" fontId="0" fillId="24" borderId="18" xfId="0" applyNumberFormat="1" applyFont="1" applyFill="1" applyBorder="1" applyAlignment="1">
      <alignment horizontal="center"/>
    </xf>
    <xf numFmtId="0" fontId="13" fillId="33" borderId="24" xfId="0" applyFont="1" applyFill="1" applyBorder="1" applyAlignment="1">
      <alignment horizontal="center"/>
    </xf>
    <xf numFmtId="0" fontId="13" fillId="33" borderId="22" xfId="0" applyFont="1" applyFill="1" applyBorder="1" applyAlignment="1">
      <alignment horizontal="center"/>
    </xf>
    <xf numFmtId="0" fontId="13" fillId="33" borderId="18" xfId="0" applyFont="1" applyFill="1" applyBorder="1" applyAlignment="1">
      <alignment horizontal="center"/>
    </xf>
    <xf numFmtId="0" fontId="13" fillId="33" borderId="57" xfId="0" applyFont="1" applyFill="1" applyBorder="1" applyAlignment="1">
      <alignment horizontal="center"/>
    </xf>
    <xf numFmtId="0" fontId="13" fillId="34" borderId="24" xfId="0" applyFont="1" applyFill="1" applyBorder="1" applyAlignment="1"/>
    <xf numFmtId="0" fontId="0" fillId="12" borderId="35" xfId="0" applyFont="1" applyFill="1" applyBorder="1" applyAlignment="1"/>
    <xf numFmtId="0" fontId="0" fillId="12" borderId="48" xfId="0" applyFont="1" applyFill="1" applyBorder="1" applyAlignment="1"/>
    <xf numFmtId="0" fontId="0" fillId="12" borderId="56" xfId="0" applyFont="1" applyFill="1" applyBorder="1" applyAlignment="1"/>
    <xf numFmtId="14" fontId="0" fillId="6" borderId="18" xfId="0" applyNumberFormat="1" applyFont="1" applyFill="1" applyBorder="1" applyAlignment="1"/>
    <xf numFmtId="0" fontId="13" fillId="6" borderId="37" xfId="0" applyFont="1" applyFill="1" applyBorder="1" applyAlignment="1"/>
    <xf numFmtId="9" fontId="0" fillId="12" borderId="18" xfId="1" applyFont="1" applyFill="1" applyBorder="1" applyAlignment="1"/>
    <xf numFmtId="0" fontId="0" fillId="38" borderId="18" xfId="0" applyFont="1" applyFill="1" applyBorder="1" applyAlignment="1"/>
    <xf numFmtId="9" fontId="0" fillId="38" borderId="18" xfId="1" applyFont="1" applyFill="1" applyBorder="1" applyAlignment="1"/>
    <xf numFmtId="14" fontId="0" fillId="6" borderId="0" xfId="0" applyNumberFormat="1" applyFont="1" applyFill="1" applyAlignment="1"/>
    <xf numFmtId="9" fontId="0" fillId="12" borderId="19" xfId="1" applyFont="1" applyFill="1" applyBorder="1" applyAlignment="1"/>
    <xf numFmtId="9" fontId="0" fillId="6" borderId="19" xfId="1" applyFont="1" applyFill="1" applyBorder="1" applyAlignment="1"/>
    <xf numFmtId="9" fontId="0" fillId="38" borderId="19" xfId="1" applyFont="1" applyFill="1" applyBorder="1" applyAlignment="1"/>
    <xf numFmtId="1" fontId="0" fillId="6" borderId="18" xfId="0" applyNumberFormat="1" applyFont="1" applyFill="1" applyBorder="1" applyAlignment="1"/>
    <xf numFmtId="0" fontId="10" fillId="6" borderId="18" xfId="0" applyFont="1" applyFill="1" applyBorder="1" applyAlignment="1">
      <alignment horizontal="left" vertical="top"/>
    </xf>
    <xf numFmtId="0" fontId="17" fillId="6" borderId="0" xfId="2" applyFill="1" applyAlignment="1">
      <alignment horizontal="center"/>
    </xf>
    <xf numFmtId="0" fontId="15" fillId="12" borderId="49" xfId="0" applyFont="1" applyFill="1" applyBorder="1" applyAlignment="1">
      <alignment horizontal="left" vertical="center" wrapText="1"/>
    </xf>
    <xf numFmtId="0" fontId="15" fillId="12" borderId="50" xfId="0" applyFont="1" applyFill="1" applyBorder="1" applyAlignment="1">
      <alignment horizontal="left" vertical="center" wrapText="1"/>
    </xf>
    <xf numFmtId="0" fontId="15" fillId="21" borderId="47" xfId="0" applyFont="1" applyFill="1" applyBorder="1" applyAlignment="1">
      <alignment horizontal="left" vertical="center" wrapText="1"/>
    </xf>
    <xf numFmtId="0" fontId="15" fillId="21" borderId="49" xfId="0" applyFont="1" applyFill="1" applyBorder="1" applyAlignment="1">
      <alignment horizontal="left" vertical="center" wrapText="1"/>
    </xf>
    <xf numFmtId="0" fontId="15" fillId="21" borderId="51" xfId="0" applyFont="1" applyFill="1" applyBorder="1" applyAlignment="1">
      <alignment horizontal="left" vertical="center" wrapText="1"/>
    </xf>
    <xf numFmtId="0" fontId="34" fillId="23" borderId="33" xfId="0" applyFont="1" applyFill="1" applyBorder="1" applyAlignment="1">
      <alignment horizontal="left"/>
    </xf>
    <xf numFmtId="0" fontId="34" fillId="23" borderId="34" xfId="0" applyFont="1" applyFill="1" applyBorder="1" applyAlignment="1">
      <alignment horizontal="left"/>
    </xf>
    <xf numFmtId="0" fontId="15" fillId="8" borderId="19" xfId="0" applyFont="1" applyFill="1" applyBorder="1" applyAlignment="1">
      <alignment horizontal="left"/>
    </xf>
    <xf numFmtId="0" fontId="15" fillId="8" borderId="20" xfId="0" applyFont="1" applyFill="1" applyBorder="1" applyAlignment="1">
      <alignment horizontal="left"/>
    </xf>
    <xf numFmtId="0" fontId="15" fillId="8" borderId="21" xfId="0" applyFont="1" applyFill="1" applyBorder="1" applyAlignment="1">
      <alignment horizontal="left"/>
    </xf>
    <xf numFmtId="0" fontId="15" fillId="21" borderId="19" xfId="0" applyFont="1" applyFill="1" applyBorder="1" applyAlignment="1">
      <alignment horizontal="left"/>
    </xf>
    <xf numFmtId="0" fontId="15" fillId="21" borderId="20" xfId="0" applyFont="1" applyFill="1" applyBorder="1" applyAlignment="1">
      <alignment horizontal="left"/>
    </xf>
    <xf numFmtId="0" fontId="15" fillId="21" borderId="21" xfId="0" applyFont="1" applyFill="1" applyBorder="1" applyAlignment="1">
      <alignment horizontal="left"/>
    </xf>
    <xf numFmtId="0" fontId="35" fillId="7" borderId="33" xfId="0" applyFont="1" applyFill="1" applyBorder="1" applyAlignment="1">
      <alignment horizontal="center"/>
    </xf>
    <xf numFmtId="0" fontId="35" fillId="7" borderId="34" xfId="0" applyFont="1" applyFill="1" applyBorder="1" applyAlignment="1">
      <alignment horizontal="center"/>
    </xf>
    <xf numFmtId="0" fontId="35" fillId="7" borderId="35" xfId="0" applyFont="1" applyFill="1" applyBorder="1" applyAlignment="1">
      <alignment horizontal="center"/>
    </xf>
    <xf numFmtId="0" fontId="15" fillId="11" borderId="19" xfId="0" applyFont="1" applyFill="1" applyBorder="1" applyAlignment="1">
      <alignment horizontal="left"/>
    </xf>
    <xf numFmtId="0" fontId="15" fillId="11" borderId="20" xfId="0" applyFont="1" applyFill="1" applyBorder="1" applyAlignment="1">
      <alignment horizontal="left"/>
    </xf>
    <xf numFmtId="0" fontId="15" fillId="11" borderId="21" xfId="0" applyFont="1" applyFill="1" applyBorder="1" applyAlignment="1">
      <alignment horizontal="left"/>
    </xf>
    <xf numFmtId="0" fontId="15" fillId="11" borderId="52" xfId="0" applyFont="1" applyFill="1" applyBorder="1" applyAlignment="1">
      <alignment horizontal="left"/>
    </xf>
    <xf numFmtId="0" fontId="15" fillId="11" borderId="53" xfId="0" applyFont="1" applyFill="1" applyBorder="1" applyAlignment="1">
      <alignment horizontal="left"/>
    </xf>
    <xf numFmtId="0" fontId="15" fillId="11" borderId="39" xfId="0" applyFont="1" applyFill="1" applyBorder="1" applyAlignment="1">
      <alignment horizontal="left"/>
    </xf>
    <xf numFmtId="0" fontId="15" fillId="8" borderId="25" xfId="0" applyFont="1" applyFill="1" applyBorder="1" applyAlignment="1">
      <alignment horizontal="left"/>
    </xf>
    <xf numFmtId="0" fontId="15" fillId="8" borderId="26" xfId="0" applyFont="1" applyFill="1" applyBorder="1" applyAlignment="1">
      <alignment horizontal="left"/>
    </xf>
    <xf numFmtId="0" fontId="15" fillId="8" borderId="27" xfId="0" applyFont="1" applyFill="1" applyBorder="1" applyAlignment="1">
      <alignment horizontal="left"/>
    </xf>
    <xf numFmtId="0" fontId="15" fillId="11" borderId="61" xfId="0" applyFont="1" applyFill="1" applyBorder="1" applyAlignment="1">
      <alignment horizontal="left" vertical="center" wrapText="1"/>
    </xf>
    <xf numFmtId="0" fontId="15" fillId="11" borderId="49" xfId="0" applyFont="1" applyFill="1" applyBorder="1" applyAlignment="1">
      <alignment horizontal="left" vertical="center" wrapText="1"/>
    </xf>
    <xf numFmtId="0" fontId="15" fillId="11" borderId="51" xfId="0" applyFont="1" applyFill="1" applyBorder="1" applyAlignment="1">
      <alignment horizontal="left" vertical="center" wrapText="1"/>
    </xf>
    <xf numFmtId="0" fontId="15" fillId="12" borderId="25" xfId="0" applyFont="1" applyFill="1" applyBorder="1" applyAlignment="1">
      <alignment horizontal="left"/>
    </xf>
    <xf numFmtId="0" fontId="15" fillId="12" borderId="26" xfId="0" applyFont="1" applyFill="1" applyBorder="1" applyAlignment="1">
      <alignment horizontal="left"/>
    </xf>
    <xf numFmtId="0" fontId="15" fillId="12" borderId="27" xfId="0" applyFont="1" applyFill="1" applyBorder="1" applyAlignment="1">
      <alignment horizontal="left"/>
    </xf>
    <xf numFmtId="0" fontId="15" fillId="12" borderId="19" xfId="0" applyFont="1" applyFill="1" applyBorder="1" applyAlignment="1">
      <alignment horizontal="left"/>
    </xf>
    <xf numFmtId="0" fontId="15" fillId="12" borderId="20" xfId="0" applyFont="1" applyFill="1" applyBorder="1" applyAlignment="1">
      <alignment horizontal="left"/>
    </xf>
    <xf numFmtId="0" fontId="15" fillId="12" borderId="21" xfId="0" applyFont="1" applyFill="1" applyBorder="1" applyAlignment="1">
      <alignment horizontal="left"/>
    </xf>
    <xf numFmtId="0" fontId="15" fillId="11" borderId="42" xfId="0" applyFont="1" applyFill="1" applyBorder="1" applyAlignment="1">
      <alignment horizontal="left"/>
    </xf>
    <xf numFmtId="0" fontId="15" fillId="11" borderId="34" xfId="0" applyFont="1" applyFill="1" applyBorder="1" applyAlignment="1">
      <alignment horizontal="left"/>
    </xf>
    <xf numFmtId="0" fontId="15" fillId="11" borderId="43" xfId="0" applyFont="1" applyFill="1" applyBorder="1" applyAlignment="1">
      <alignment horizontal="left"/>
    </xf>
    <xf numFmtId="0" fontId="15" fillId="10" borderId="19" xfId="0" applyFont="1" applyFill="1" applyBorder="1" applyAlignment="1">
      <alignment horizontal="left"/>
    </xf>
    <xf numFmtId="0" fontId="15" fillId="10" borderId="20" xfId="0" applyFont="1" applyFill="1" applyBorder="1" applyAlignment="1">
      <alignment horizontal="left"/>
    </xf>
    <xf numFmtId="0" fontId="15" fillId="10" borderId="21" xfId="0" applyFont="1" applyFill="1" applyBorder="1" applyAlignment="1">
      <alignment horizontal="left"/>
    </xf>
    <xf numFmtId="0" fontId="15" fillId="10" borderId="47" xfId="0" applyFont="1" applyFill="1" applyBorder="1" applyAlignment="1">
      <alignment horizontal="left" vertical="center" wrapText="1"/>
    </xf>
    <xf numFmtId="0" fontId="15" fillId="10" borderId="49" xfId="0" applyFont="1" applyFill="1" applyBorder="1" applyAlignment="1">
      <alignment horizontal="left" vertical="center" wrapText="1"/>
    </xf>
    <xf numFmtId="0" fontId="15" fillId="10" borderId="50" xfId="0" applyFont="1" applyFill="1" applyBorder="1" applyAlignment="1">
      <alignment horizontal="left" vertical="center" wrapText="1"/>
    </xf>
    <xf numFmtId="0" fontId="15" fillId="8" borderId="47" xfId="0" applyFont="1" applyFill="1" applyBorder="1" applyAlignment="1">
      <alignment horizontal="left" vertical="center" wrapText="1"/>
    </xf>
    <xf numFmtId="0" fontId="15" fillId="8" borderId="49" xfId="0" applyFont="1" applyFill="1" applyBorder="1" applyAlignment="1">
      <alignment horizontal="left" vertical="center" wrapText="1"/>
    </xf>
    <xf numFmtId="0" fontId="15" fillId="8" borderId="50" xfId="0" applyFont="1" applyFill="1" applyBorder="1" applyAlignment="1">
      <alignment horizontal="left" vertical="center" wrapText="1"/>
    </xf>
    <xf numFmtId="0" fontId="13" fillId="32" borderId="18" xfId="0" applyFont="1" applyFill="1" applyBorder="1" applyAlignment="1">
      <alignment horizontal="center" vertical="top" wrapText="1"/>
    </xf>
    <xf numFmtId="0" fontId="13" fillId="33" borderId="41" xfId="0" applyFont="1" applyFill="1" applyBorder="1" applyAlignment="1">
      <alignment horizontal="left" wrapText="1"/>
    </xf>
    <xf numFmtId="0" fontId="13" fillId="33" borderId="57" xfId="0" applyFont="1" applyFill="1" applyBorder="1" applyAlignment="1">
      <alignment horizontal="left" wrapText="1"/>
    </xf>
    <xf numFmtId="0" fontId="13" fillId="33" borderId="46" xfId="0" applyFont="1" applyFill="1" applyBorder="1" applyAlignment="1">
      <alignment horizontal="left" wrapText="1"/>
    </xf>
    <xf numFmtId="0" fontId="13" fillId="6" borderId="58" xfId="0" applyFont="1" applyFill="1" applyBorder="1" applyAlignment="1">
      <alignment horizontal="left" vertical="top"/>
    </xf>
    <xf numFmtId="0" fontId="13" fillId="6" borderId="47" xfId="0" applyFont="1" applyFill="1" applyBorder="1" applyAlignment="1">
      <alignment horizontal="left" vertical="top"/>
    </xf>
    <xf numFmtId="0" fontId="13" fillId="6" borderId="59" xfId="0" applyFont="1" applyFill="1" applyBorder="1" applyAlignment="1">
      <alignment horizontal="left" vertical="top"/>
    </xf>
    <xf numFmtId="0" fontId="39" fillId="36" borderId="61" xfId="0" applyFont="1" applyFill="1" applyBorder="1" applyAlignment="1">
      <alignment horizontal="center"/>
    </xf>
    <xf numFmtId="0" fontId="39" fillId="36" borderId="94" xfId="0" applyFont="1" applyFill="1" applyBorder="1" applyAlignment="1">
      <alignment horizontal="center"/>
    </xf>
    <xf numFmtId="0" fontId="39" fillId="36" borderId="95" xfId="0" applyFont="1" applyFill="1" applyBorder="1" applyAlignment="1">
      <alignment horizontal="center"/>
    </xf>
    <xf numFmtId="0" fontId="13" fillId="32" borderId="18" xfId="0" applyFont="1" applyFill="1" applyBorder="1" applyAlignment="1">
      <alignment horizontal="center" vertical="center" wrapText="1"/>
    </xf>
    <xf numFmtId="0" fontId="0" fillId="32" borderId="18" xfId="0" applyFont="1" applyFill="1" applyBorder="1" applyAlignment="1">
      <alignment horizontal="center" vertical="center" wrapText="1"/>
    </xf>
    <xf numFmtId="0" fontId="0" fillId="6" borderId="22" xfId="0" applyFont="1" applyFill="1" applyBorder="1" applyAlignment="1">
      <alignment horizontal="left" vertical="top" wrapText="1"/>
    </xf>
    <xf numFmtId="0" fontId="0" fillId="6" borderId="23" xfId="0" applyFont="1" applyFill="1" applyBorder="1" applyAlignment="1">
      <alignment horizontal="left" vertical="top" wrapText="1"/>
    </xf>
    <xf numFmtId="0" fontId="13" fillId="6" borderId="61" xfId="0" applyFont="1" applyFill="1" applyBorder="1" applyAlignment="1">
      <alignment horizontal="left" vertical="top"/>
    </xf>
    <xf numFmtId="0" fontId="13" fillId="6" borderId="49" xfId="0" applyFont="1" applyFill="1" applyBorder="1" applyAlignment="1">
      <alignment horizontal="left" vertical="top"/>
    </xf>
    <xf numFmtId="0" fontId="13" fillId="6" borderId="51" xfId="0" applyFont="1" applyFill="1" applyBorder="1" applyAlignment="1">
      <alignment horizontal="left" vertical="top"/>
    </xf>
    <xf numFmtId="0" fontId="0" fillId="6" borderId="49" xfId="0" applyFont="1" applyFill="1" applyBorder="1" applyAlignment="1">
      <alignment horizontal="left" vertical="top"/>
    </xf>
    <xf numFmtId="0" fontId="0" fillId="6" borderId="51" xfId="0" applyFont="1" applyFill="1" applyBorder="1" applyAlignment="1">
      <alignment horizontal="left" vertical="top"/>
    </xf>
    <xf numFmtId="0" fontId="13" fillId="33" borderId="5" xfId="0" applyFont="1" applyFill="1" applyBorder="1" applyAlignment="1">
      <alignment horizontal="left" wrapText="1"/>
    </xf>
    <xf numFmtId="0" fontId="39" fillId="8" borderId="5" xfId="0" applyFont="1" applyFill="1" applyBorder="1" applyAlignment="1">
      <alignment horizontal="center"/>
    </xf>
    <xf numFmtId="0" fontId="13" fillId="6" borderId="61" xfId="0" applyFont="1" applyFill="1" applyBorder="1" applyAlignment="1">
      <alignment horizontal="left" vertical="top" wrapText="1"/>
    </xf>
    <xf numFmtId="0" fontId="0" fillId="6" borderId="49" xfId="0" applyFont="1" applyFill="1" applyBorder="1" applyAlignment="1">
      <alignment horizontal="left" vertical="top" wrapText="1"/>
    </xf>
    <xf numFmtId="0" fontId="0" fillId="6" borderId="51" xfId="0" applyFont="1" applyFill="1" applyBorder="1" applyAlignment="1">
      <alignment horizontal="left" vertical="top" wrapText="1"/>
    </xf>
    <xf numFmtId="0" fontId="13" fillId="6" borderId="41" xfId="0" applyFont="1" applyFill="1" applyBorder="1" applyAlignment="1">
      <alignment horizontal="left" vertical="top"/>
    </xf>
    <xf numFmtId="0" fontId="13" fillId="6" borderId="50" xfId="0" applyFont="1" applyFill="1" applyBorder="1" applyAlignment="1">
      <alignment horizontal="left" vertical="top"/>
    </xf>
    <xf numFmtId="0" fontId="13" fillId="6" borderId="18" xfId="0" applyFont="1" applyFill="1" applyBorder="1" applyAlignment="1">
      <alignment horizontal="left" vertical="top"/>
    </xf>
    <xf numFmtId="0" fontId="0" fillId="6" borderId="18" xfId="0" applyFont="1" applyFill="1" applyBorder="1" applyAlignment="1">
      <alignment horizontal="left" vertical="top"/>
    </xf>
    <xf numFmtId="0" fontId="39" fillId="37" borderId="41" xfId="0" applyFont="1" applyFill="1" applyBorder="1" applyAlignment="1">
      <alignment horizontal="center"/>
    </xf>
    <xf numFmtId="0" fontId="39" fillId="37" borderId="57" xfId="0" applyFont="1" applyFill="1" applyBorder="1" applyAlignment="1">
      <alignment horizontal="center"/>
    </xf>
    <xf numFmtId="0" fontId="39" fillId="37" borderId="46" xfId="0" applyFont="1" applyFill="1" applyBorder="1" applyAlignment="1">
      <alignment horizontal="center"/>
    </xf>
    <xf numFmtId="0" fontId="13" fillId="33" borderId="47" xfId="0" applyFont="1" applyFill="1" applyBorder="1" applyAlignment="1">
      <alignment horizontal="left" wrapText="1"/>
    </xf>
    <xf numFmtId="0" fontId="13" fillId="33" borderId="22" xfId="0" applyFont="1" applyFill="1" applyBorder="1" applyAlignment="1">
      <alignment horizontal="left" wrapText="1"/>
    </xf>
    <xf numFmtId="0" fontId="13" fillId="33" borderId="70" xfId="0" applyFont="1" applyFill="1" applyBorder="1" applyAlignment="1">
      <alignment horizontal="left" wrapText="1"/>
    </xf>
    <xf numFmtId="0" fontId="34" fillId="32" borderId="18" xfId="0" applyFont="1" applyFill="1" applyBorder="1" applyAlignment="1">
      <alignment horizontal="center" vertical="top" wrapText="1"/>
    </xf>
    <xf numFmtId="0" fontId="13" fillId="32" borderId="21" xfId="0" applyFont="1" applyFill="1" applyBorder="1" applyAlignment="1">
      <alignment horizontal="center" vertical="center" wrapText="1"/>
    </xf>
    <xf numFmtId="0" fontId="0" fillId="32" borderId="21" xfId="0" applyFont="1" applyFill="1" applyBorder="1" applyAlignment="1">
      <alignment horizontal="center" vertical="center" wrapText="1"/>
    </xf>
    <xf numFmtId="0" fontId="0" fillId="6" borderId="61" xfId="0" applyFont="1" applyFill="1" applyBorder="1" applyAlignment="1">
      <alignment horizontal="left" vertical="top"/>
    </xf>
    <xf numFmtId="0" fontId="39" fillId="8" borderId="67" xfId="0" applyFont="1" applyFill="1" applyBorder="1" applyAlignment="1">
      <alignment horizontal="center"/>
    </xf>
    <xf numFmtId="0" fontId="39" fillId="8" borderId="44" xfId="0" applyFont="1" applyFill="1" applyBorder="1" applyAlignment="1">
      <alignment horizontal="center"/>
    </xf>
    <xf numFmtId="0" fontId="39" fillId="8" borderId="71" xfId="0" applyFont="1" applyFill="1" applyBorder="1" applyAlignment="1">
      <alignment horizontal="center"/>
    </xf>
    <xf numFmtId="0" fontId="13" fillId="6" borderId="63" xfId="0" applyFont="1" applyFill="1" applyBorder="1" applyAlignment="1">
      <alignment horizontal="left" wrapText="1"/>
    </xf>
    <xf numFmtId="0" fontId="13" fillId="6" borderId="5" xfId="0" applyFont="1" applyFill="1" applyBorder="1" applyAlignment="1">
      <alignment horizontal="left" wrapText="1"/>
    </xf>
    <xf numFmtId="0" fontId="13" fillId="6" borderId="64" xfId="0" applyFont="1" applyFill="1" applyBorder="1" applyAlignment="1">
      <alignment horizontal="left" wrapText="1"/>
    </xf>
    <xf numFmtId="0" fontId="13" fillId="6" borderId="49" xfId="0" applyFont="1" applyFill="1" applyBorder="1" applyAlignment="1">
      <alignment horizontal="left" vertical="top" wrapText="1"/>
    </xf>
    <xf numFmtId="0" fontId="13" fillId="6" borderId="47" xfId="0" applyFont="1" applyFill="1" applyBorder="1" applyAlignment="1">
      <alignment horizontal="left" vertical="top" wrapText="1"/>
    </xf>
    <xf numFmtId="0" fontId="13" fillId="6" borderId="41" xfId="0" applyFont="1" applyFill="1" applyBorder="1" applyAlignment="1">
      <alignment horizontal="left" vertical="top" wrapText="1"/>
    </xf>
    <xf numFmtId="0" fontId="13" fillId="6" borderId="58" xfId="0" applyFont="1" applyFill="1" applyBorder="1" applyAlignment="1">
      <alignment horizontal="left" vertical="top" wrapText="1"/>
    </xf>
    <xf numFmtId="0" fontId="13" fillId="6" borderId="59" xfId="0" applyFont="1" applyFill="1" applyBorder="1" applyAlignment="1">
      <alignment horizontal="left" vertical="top" wrapText="1"/>
    </xf>
    <xf numFmtId="0" fontId="13" fillId="6" borderId="50" xfId="0" applyFont="1" applyFill="1" applyBorder="1" applyAlignment="1">
      <alignment horizontal="left" vertical="top" wrapText="1"/>
    </xf>
    <xf numFmtId="0" fontId="13" fillId="6" borderId="51" xfId="0" applyFont="1" applyFill="1" applyBorder="1" applyAlignment="1">
      <alignment horizontal="left" vertical="top" wrapText="1"/>
    </xf>
    <xf numFmtId="0" fontId="13" fillId="33" borderId="58" xfId="0" applyFont="1" applyFill="1" applyBorder="1" applyAlignment="1">
      <alignment horizontal="left" wrapText="1"/>
    </xf>
    <xf numFmtId="0" fontId="13" fillId="33" borderId="18" xfId="0" applyFont="1" applyFill="1" applyBorder="1" applyAlignment="1">
      <alignment horizontal="left" wrapText="1"/>
    </xf>
    <xf numFmtId="0" fontId="13" fillId="33" borderId="37" xfId="0" applyFont="1" applyFill="1" applyBorder="1" applyAlignment="1">
      <alignment horizontal="left" wrapText="1"/>
    </xf>
    <xf numFmtId="0" fontId="39" fillId="8" borderId="41" xfId="0" applyFont="1" applyFill="1" applyBorder="1" applyAlignment="1">
      <alignment horizontal="center"/>
    </xf>
    <xf numFmtId="0" fontId="39" fillId="8" borderId="57" xfId="0" applyFont="1" applyFill="1" applyBorder="1" applyAlignment="1">
      <alignment horizontal="center"/>
    </xf>
    <xf numFmtId="0" fontId="39" fillId="8" borderId="42" xfId="0" applyFont="1" applyFill="1" applyBorder="1" applyAlignment="1">
      <alignment horizontal="center"/>
    </xf>
    <xf numFmtId="0" fontId="13" fillId="6" borderId="58" xfId="0" applyFont="1" applyFill="1" applyBorder="1" applyAlignment="1">
      <alignment horizontal="left" wrapText="1"/>
    </xf>
    <xf numFmtId="0" fontId="13" fillId="6" borderId="18" xfId="0" applyFont="1" applyFill="1" applyBorder="1" applyAlignment="1">
      <alignment horizontal="left" wrapText="1"/>
    </xf>
    <xf numFmtId="0" fontId="13" fillId="6" borderId="19" xfId="0" applyFont="1" applyFill="1" applyBorder="1" applyAlignment="1">
      <alignment horizontal="left" wrapText="1"/>
    </xf>
    <xf numFmtId="0" fontId="39" fillId="12" borderId="18" xfId="0" applyFont="1" applyFill="1" applyBorder="1" applyAlignment="1">
      <alignment horizontal="center"/>
    </xf>
    <xf numFmtId="0" fontId="34" fillId="12" borderId="24" xfId="0" applyFont="1" applyFill="1" applyBorder="1" applyAlignment="1">
      <alignment horizontal="center" wrapText="1"/>
    </xf>
    <xf numFmtId="0" fontId="34" fillId="12" borderId="18" xfId="0" applyFont="1" applyFill="1" applyBorder="1" applyAlignment="1">
      <alignment horizontal="center" wrapText="1"/>
    </xf>
    <xf numFmtId="0" fontId="13" fillId="12" borderId="24" xfId="0" applyFont="1" applyFill="1" applyBorder="1" applyAlignment="1">
      <alignment horizontal="center" wrapText="1"/>
    </xf>
    <xf numFmtId="0" fontId="13" fillId="12" borderId="18" xfId="0" applyFont="1" applyFill="1" applyBorder="1" applyAlignment="1">
      <alignment horizontal="center" wrapText="1"/>
    </xf>
    <xf numFmtId="0" fontId="13" fillId="11" borderId="24" xfId="0" applyFont="1" applyFill="1" applyBorder="1" applyAlignment="1">
      <alignment horizontal="center"/>
    </xf>
    <xf numFmtId="0" fontId="34" fillId="22" borderId="18" xfId="0" applyFont="1" applyFill="1" applyBorder="1" applyAlignment="1">
      <alignment horizontal="center" wrapText="1"/>
    </xf>
    <xf numFmtId="0" fontId="34" fillId="12" borderId="18" xfId="0" applyFont="1" applyFill="1" applyBorder="1" applyAlignment="1">
      <alignment horizontal="center"/>
    </xf>
    <xf numFmtId="0" fontId="13" fillId="12" borderId="41" xfId="0" applyFont="1" applyFill="1" applyBorder="1" applyAlignment="1">
      <alignment horizontal="center"/>
    </xf>
    <xf numFmtId="0" fontId="13" fillId="12" borderId="57" xfId="0" applyFont="1" applyFill="1" applyBorder="1" applyAlignment="1">
      <alignment horizontal="center"/>
    </xf>
    <xf numFmtId="0" fontId="0" fillId="12" borderId="46" xfId="0" applyFont="1" applyFill="1" applyBorder="1" applyAlignment="1">
      <alignment horizontal="center"/>
    </xf>
    <xf numFmtId="0" fontId="34" fillId="23" borderId="41" xfId="0" applyFont="1" applyFill="1" applyBorder="1" applyAlignment="1">
      <alignment horizontal="center"/>
    </xf>
    <xf numFmtId="0" fontId="34" fillId="23" borderId="57" xfId="0" applyFont="1" applyFill="1" applyBorder="1" applyAlignment="1">
      <alignment horizontal="center"/>
    </xf>
    <xf numFmtId="0" fontId="34" fillId="23" borderId="46" xfId="0" applyFont="1" applyFill="1" applyBorder="1" applyAlignment="1">
      <alignment horizontal="center"/>
    </xf>
    <xf numFmtId="0" fontId="34" fillId="22" borderId="18" xfId="0" applyFont="1" applyFill="1" applyBorder="1" applyAlignment="1">
      <alignment horizontal="left" vertical="top" wrapText="1"/>
    </xf>
    <xf numFmtId="0" fontId="34" fillId="22" borderId="22" xfId="0" applyFont="1" applyFill="1" applyBorder="1" applyAlignment="1">
      <alignment horizontal="left" vertical="top" wrapText="1"/>
    </xf>
    <xf numFmtId="0" fontId="34" fillId="24" borderId="18" xfId="0" applyFont="1" applyFill="1" applyBorder="1" applyAlignment="1">
      <alignment horizontal="left" vertical="top" wrapText="1"/>
    </xf>
    <xf numFmtId="0" fontId="34" fillId="24" borderId="22" xfId="0" applyFont="1" applyFill="1" applyBorder="1" applyAlignment="1">
      <alignment horizontal="left" vertical="top" wrapText="1"/>
    </xf>
    <xf numFmtId="0" fontId="5" fillId="5" borderId="12" xfId="0" applyFont="1" applyFill="1" applyBorder="1" applyAlignment="1">
      <alignment vertical="top"/>
    </xf>
    <xf numFmtId="0" fontId="2" fillId="0" borderId="14" xfId="0" applyFont="1" applyBorder="1"/>
    <xf numFmtId="0" fontId="2" fillId="0" borderId="15" xfId="0" applyFont="1" applyBorder="1"/>
    <xf numFmtId="0" fontId="5" fillId="5" borderId="12" xfId="0" applyFont="1" applyFill="1" applyBorder="1" applyAlignment="1">
      <alignment vertical="top" wrapText="1"/>
    </xf>
    <xf numFmtId="0" fontId="2" fillId="0" borderId="14" xfId="0" applyFont="1" applyBorder="1" applyAlignment="1">
      <alignment wrapText="1"/>
    </xf>
    <xf numFmtId="0" fontId="2" fillId="0" borderId="15" xfId="0" applyFont="1" applyBorder="1" applyAlignment="1">
      <alignment wrapText="1"/>
    </xf>
    <xf numFmtId="0" fontId="5" fillId="4" borderId="8" xfId="0" applyFont="1" applyFill="1" applyBorder="1" applyAlignment="1">
      <alignment vertical="top" wrapText="1"/>
    </xf>
    <xf numFmtId="0" fontId="2" fillId="0" borderId="9" xfId="0" applyFont="1" applyBorder="1"/>
    <xf numFmtId="0" fontId="2" fillId="0" borderId="10" xfId="0" applyFont="1" applyBorder="1"/>
    <xf numFmtId="0" fontId="5" fillId="5" borderId="14" xfId="0" applyFont="1" applyFill="1" applyBorder="1" applyAlignment="1">
      <alignment vertical="top"/>
    </xf>
    <xf numFmtId="0" fontId="5" fillId="4" borderId="8" xfId="0" applyFont="1" applyFill="1" applyBorder="1" applyAlignment="1">
      <alignment wrapText="1"/>
    </xf>
    <xf numFmtId="0" fontId="5" fillId="5" borderId="15" xfId="0" applyFont="1" applyFill="1" applyBorder="1" applyAlignment="1">
      <alignment vertical="top"/>
    </xf>
    <xf numFmtId="0" fontId="1" fillId="2" borderId="1" xfId="0" applyFont="1" applyFill="1" applyBorder="1" applyAlignment="1">
      <alignment wrapText="1"/>
    </xf>
    <xf numFmtId="0" fontId="2" fillId="0" borderId="2" xfId="0" applyFont="1" applyBorder="1"/>
    <xf numFmtId="0" fontId="2" fillId="0" borderId="3" xfId="0" applyFont="1" applyBorder="1"/>
    <xf numFmtId="0" fontId="3" fillId="2" borderId="4" xfId="0" applyFont="1" applyFill="1" applyBorder="1" applyAlignment="1">
      <alignment vertical="center" wrapText="1"/>
    </xf>
    <xf numFmtId="0" fontId="2" fillId="0" borderId="5" xfId="0" applyFont="1" applyBorder="1"/>
    <xf numFmtId="0" fontId="2" fillId="0" borderId="6" xfId="0" applyFont="1" applyBorder="1"/>
    <xf numFmtId="0" fontId="27" fillId="2" borderId="5" xfId="3" applyFont="1" applyFill="1"/>
    <xf numFmtId="0" fontId="13" fillId="0" borderId="5" xfId="3"/>
    <xf numFmtId="0" fontId="19" fillId="16" borderId="5" xfId="3" applyFont="1" applyFill="1" applyAlignment="1">
      <alignment horizontal="left" vertical="center" wrapText="1"/>
    </xf>
    <xf numFmtId="0" fontId="13" fillId="6" borderId="22" xfId="0" applyFont="1" applyFill="1" applyBorder="1" applyAlignment="1">
      <alignment horizontal="left" vertical="top"/>
    </xf>
    <xf numFmtId="0" fontId="13" fillId="6" borderId="23" xfId="0" applyFont="1" applyFill="1" applyBorder="1" applyAlignment="1">
      <alignment horizontal="left" vertical="top"/>
    </xf>
    <xf numFmtId="0" fontId="13" fillId="6" borderId="24" xfId="0" applyFont="1" applyFill="1" applyBorder="1" applyAlignment="1">
      <alignment horizontal="left" vertical="top"/>
    </xf>
    <xf numFmtId="1" fontId="13" fillId="6" borderId="22" xfId="0" applyNumberFormat="1" applyFont="1" applyFill="1" applyBorder="1" applyAlignment="1">
      <alignment horizontal="left" vertical="top"/>
    </xf>
    <xf numFmtId="1" fontId="13" fillId="6" borderId="23" xfId="0" applyNumberFormat="1" applyFont="1" applyFill="1" applyBorder="1" applyAlignment="1">
      <alignment horizontal="left" vertical="top"/>
    </xf>
    <xf numFmtId="1" fontId="0" fillId="6" borderId="23" xfId="0" applyNumberFormat="1" applyFont="1" applyFill="1" applyBorder="1" applyAlignment="1">
      <alignment horizontal="left" vertical="top"/>
    </xf>
    <xf numFmtId="1" fontId="0" fillId="6" borderId="24" xfId="0" applyNumberFormat="1" applyFont="1" applyFill="1" applyBorder="1" applyAlignment="1">
      <alignment horizontal="left" vertical="top"/>
    </xf>
    <xf numFmtId="1" fontId="0" fillId="6" borderId="22" xfId="0" applyNumberFormat="1" applyFont="1" applyFill="1" applyBorder="1" applyAlignment="1">
      <alignment horizontal="left" vertical="top"/>
    </xf>
    <xf numFmtId="1" fontId="13" fillId="6" borderId="24" xfId="0" applyNumberFormat="1" applyFont="1" applyFill="1" applyBorder="1" applyAlignment="1">
      <alignment horizontal="left" vertical="top"/>
    </xf>
    <xf numFmtId="0" fontId="41" fillId="23" borderId="85" xfId="0" applyFont="1" applyFill="1" applyBorder="1" applyAlignment="1">
      <alignment vertical="center" wrapText="1"/>
    </xf>
    <xf numFmtId="0" fontId="41" fillId="23" borderId="86" xfId="0" applyFont="1" applyFill="1" applyBorder="1" applyAlignment="1">
      <alignment vertical="center" wrapText="1"/>
    </xf>
    <xf numFmtId="0" fontId="41" fillId="23" borderId="87" xfId="0" applyFont="1" applyFill="1" applyBorder="1" applyAlignment="1">
      <alignment vertical="center" wrapText="1"/>
    </xf>
    <xf numFmtId="0" fontId="13" fillId="23" borderId="85" xfId="0" applyFont="1" applyFill="1" applyBorder="1" applyAlignment="1">
      <alignment vertical="center" wrapText="1"/>
    </xf>
    <xf numFmtId="0" fontId="13" fillId="23" borderId="87" xfId="0" applyFont="1" applyFill="1" applyBorder="1" applyAlignment="1">
      <alignment vertical="center" wrapText="1"/>
    </xf>
    <xf numFmtId="0" fontId="13" fillId="23" borderId="86" xfId="0" applyFont="1" applyFill="1" applyBorder="1" applyAlignment="1">
      <alignment vertical="center" wrapText="1"/>
    </xf>
    <xf numFmtId="0" fontId="42" fillId="11" borderId="85" xfId="0" applyFont="1" applyFill="1" applyBorder="1" applyAlignment="1">
      <alignment vertical="center" wrapText="1"/>
    </xf>
    <xf numFmtId="0" fontId="42" fillId="11" borderId="86" xfId="0" applyFont="1" applyFill="1" applyBorder="1" applyAlignment="1">
      <alignment vertical="center" wrapText="1"/>
    </xf>
    <xf numFmtId="0" fontId="42" fillId="11" borderId="87" xfId="0" applyFont="1" applyFill="1" applyBorder="1" applyAlignment="1">
      <alignment vertical="center" wrapText="1"/>
    </xf>
    <xf numFmtId="0" fontId="13" fillId="6" borderId="18" xfId="0" applyFont="1" applyFill="1" applyBorder="1" applyAlignment="1">
      <alignment horizontal="right" vertical="top"/>
    </xf>
    <xf numFmtId="0" fontId="42" fillId="23" borderId="85" xfId="0" applyFont="1" applyFill="1" applyBorder="1" applyAlignment="1">
      <alignment vertical="center" wrapText="1"/>
    </xf>
    <xf numFmtId="0" fontId="42" fillId="23" borderId="86" xfId="0" applyFont="1" applyFill="1" applyBorder="1" applyAlignment="1">
      <alignment vertical="center" wrapText="1"/>
    </xf>
    <xf numFmtId="0" fontId="42" fillId="23" borderId="87" xfId="0" applyFont="1" applyFill="1" applyBorder="1" applyAlignment="1">
      <alignment vertical="center" wrapText="1"/>
    </xf>
    <xf numFmtId="0" fontId="13" fillId="26" borderId="88" xfId="0" applyFont="1" applyFill="1" applyBorder="1" applyAlignment="1">
      <alignment vertical="center" wrapText="1"/>
    </xf>
    <xf numFmtId="0" fontId="13" fillId="26" borderId="86" xfId="0" applyFont="1" applyFill="1" applyBorder="1" applyAlignment="1">
      <alignment vertical="center" wrapText="1"/>
    </xf>
    <xf numFmtId="0" fontId="13" fillId="26" borderId="89" xfId="0" applyFont="1" applyFill="1" applyBorder="1" applyAlignment="1">
      <alignment vertical="center" wrapText="1"/>
    </xf>
    <xf numFmtId="0" fontId="34" fillId="26" borderId="82" xfId="0" applyFont="1" applyFill="1" applyBorder="1" applyAlignment="1">
      <alignment vertical="center" wrapText="1"/>
    </xf>
    <xf numFmtId="0" fontId="34" fillId="26" borderId="83" xfId="0" applyFont="1" applyFill="1" applyBorder="1" applyAlignment="1">
      <alignment vertical="center" wrapText="1"/>
    </xf>
    <xf numFmtId="0" fontId="34" fillId="26" borderId="84" xfId="0" applyFont="1" applyFill="1" applyBorder="1" applyAlignment="1">
      <alignment vertical="center" wrapText="1"/>
    </xf>
    <xf numFmtId="9" fontId="41" fillId="23" borderId="85" xfId="0" applyNumberFormat="1" applyFont="1" applyFill="1" applyBorder="1" applyAlignment="1">
      <alignment vertical="center" wrapText="1"/>
    </xf>
    <xf numFmtId="9" fontId="41" fillId="23" borderId="86" xfId="0" applyNumberFormat="1" applyFont="1" applyFill="1" applyBorder="1" applyAlignment="1">
      <alignment vertical="center" wrapText="1"/>
    </xf>
    <xf numFmtId="9" fontId="41" fillId="23" borderId="87" xfId="0" applyNumberFormat="1" applyFont="1" applyFill="1" applyBorder="1" applyAlignment="1">
      <alignment vertical="center" wrapText="1"/>
    </xf>
    <xf numFmtId="9" fontId="41" fillId="31" borderId="85" xfId="0" applyNumberFormat="1" applyFont="1" applyFill="1" applyBorder="1" applyAlignment="1">
      <alignment vertical="center" wrapText="1"/>
    </xf>
    <xf numFmtId="9" fontId="41" fillId="31" borderId="87" xfId="0" applyNumberFormat="1" applyFont="1" applyFill="1" applyBorder="1" applyAlignment="1">
      <alignment vertical="center" wrapText="1"/>
    </xf>
    <xf numFmtId="9" fontId="13" fillId="23" borderId="85" xfId="0" applyNumberFormat="1" applyFont="1" applyFill="1" applyBorder="1" applyAlignment="1">
      <alignment vertical="center" wrapText="1"/>
    </xf>
    <xf numFmtId="9" fontId="13" fillId="23" borderId="86" xfId="0" applyNumberFormat="1" applyFont="1" applyFill="1" applyBorder="1" applyAlignment="1">
      <alignment vertical="center" wrapText="1"/>
    </xf>
    <xf numFmtId="9" fontId="13" fillId="23" borderId="87" xfId="0" applyNumberFormat="1" applyFont="1" applyFill="1" applyBorder="1" applyAlignment="1">
      <alignment vertical="center" wrapText="1"/>
    </xf>
    <xf numFmtId="9" fontId="13" fillId="31" borderId="85" xfId="0" applyNumberFormat="1" applyFont="1" applyFill="1" applyBorder="1" applyAlignment="1">
      <alignment vertical="center" wrapText="1"/>
    </xf>
    <xf numFmtId="9" fontId="13" fillId="31" borderId="86" xfId="0" applyNumberFormat="1" applyFont="1" applyFill="1" applyBorder="1" applyAlignment="1">
      <alignment vertical="center" wrapText="1"/>
    </xf>
    <xf numFmtId="9" fontId="13" fillId="31" borderId="87" xfId="0" applyNumberFormat="1" applyFont="1" applyFill="1" applyBorder="1" applyAlignment="1">
      <alignment vertical="center" wrapText="1"/>
    </xf>
    <xf numFmtId="9" fontId="41" fillId="34" borderId="85" xfId="0" applyNumberFormat="1" applyFont="1" applyFill="1" applyBorder="1" applyAlignment="1">
      <alignment vertical="center" wrapText="1"/>
    </xf>
    <xf numFmtId="9" fontId="41" fillId="34" borderId="87" xfId="0" applyNumberFormat="1" applyFont="1" applyFill="1" applyBorder="1" applyAlignment="1">
      <alignment vertical="center" wrapText="1"/>
    </xf>
    <xf numFmtId="9" fontId="13" fillId="34" borderId="85" xfId="0" applyNumberFormat="1" applyFont="1" applyFill="1" applyBorder="1" applyAlignment="1">
      <alignment vertical="center" wrapText="1"/>
    </xf>
    <xf numFmtId="9" fontId="13" fillId="34" borderId="87" xfId="0" applyNumberFormat="1" applyFont="1" applyFill="1" applyBorder="1" applyAlignment="1">
      <alignment vertical="center" wrapText="1"/>
    </xf>
    <xf numFmtId="9" fontId="41" fillId="23" borderId="82" xfId="0" applyNumberFormat="1" applyFont="1" applyFill="1" applyBorder="1" applyAlignment="1">
      <alignment vertical="center" wrapText="1"/>
    </xf>
    <xf numFmtId="9" fontId="41" fillId="23" borderId="83" xfId="0" applyNumberFormat="1" applyFont="1" applyFill="1" applyBorder="1" applyAlignment="1">
      <alignment vertical="center" wrapText="1"/>
    </xf>
    <xf numFmtId="9" fontId="41" fillId="23" borderId="84" xfId="0" applyNumberFormat="1" applyFont="1" applyFill="1" applyBorder="1" applyAlignment="1">
      <alignment vertical="center" wrapText="1"/>
    </xf>
    <xf numFmtId="0" fontId="41" fillId="29" borderId="85" xfId="0" applyFont="1" applyFill="1" applyBorder="1" applyAlignment="1">
      <alignment vertical="center" wrapText="1"/>
    </xf>
    <xf numFmtId="0" fontId="41" fillId="29" borderId="86" xfId="0" applyFont="1" applyFill="1" applyBorder="1" applyAlignment="1">
      <alignment vertical="center" wrapText="1"/>
    </xf>
    <xf numFmtId="0" fontId="41" fillId="29" borderId="87" xfId="0" applyFont="1" applyFill="1" applyBorder="1" applyAlignment="1">
      <alignment vertical="center" wrapText="1"/>
    </xf>
    <xf numFmtId="9" fontId="41" fillId="34" borderId="86" xfId="0" applyNumberFormat="1" applyFont="1" applyFill="1" applyBorder="1" applyAlignment="1">
      <alignment vertical="center" wrapText="1"/>
    </xf>
    <xf numFmtId="0" fontId="34" fillId="27" borderId="79" xfId="0" applyFont="1" applyFill="1" applyBorder="1" applyAlignment="1">
      <alignment wrapText="1"/>
    </xf>
    <xf numFmtId="0" fontId="34" fillId="27" borderId="80" xfId="0" applyFont="1" applyFill="1" applyBorder="1" applyAlignment="1">
      <alignment wrapText="1"/>
    </xf>
    <xf numFmtId="0" fontId="34" fillId="27" borderId="81" xfId="0" applyFont="1" applyFill="1" applyBorder="1" applyAlignment="1">
      <alignment wrapText="1"/>
    </xf>
    <xf numFmtId="9" fontId="13" fillId="28" borderId="85" xfId="0" applyNumberFormat="1" applyFont="1" applyFill="1" applyBorder="1" applyAlignment="1">
      <alignment vertical="center" wrapText="1"/>
    </xf>
    <xf numFmtId="9" fontId="13" fillId="28" borderId="87" xfId="0" applyNumberFormat="1" applyFont="1" applyFill="1" applyBorder="1" applyAlignment="1">
      <alignment vertical="center" wrapText="1"/>
    </xf>
    <xf numFmtId="9" fontId="41" fillId="29" borderId="85" xfId="0" applyNumberFormat="1" applyFont="1" applyFill="1" applyBorder="1" applyAlignment="1">
      <alignment vertical="center" wrapText="1"/>
    </xf>
    <xf numFmtId="9" fontId="41" fillId="29" borderId="86" xfId="0" applyNumberFormat="1" applyFont="1" applyFill="1" applyBorder="1" applyAlignment="1">
      <alignment vertical="center" wrapText="1"/>
    </xf>
    <xf numFmtId="9" fontId="41" fillId="29" borderId="87" xfId="0" applyNumberFormat="1" applyFont="1" applyFill="1" applyBorder="1" applyAlignment="1">
      <alignment vertical="center" wrapText="1"/>
    </xf>
    <xf numFmtId="9" fontId="13" fillId="29" borderId="85" xfId="0" applyNumberFormat="1" applyFont="1" applyFill="1" applyBorder="1" applyAlignment="1">
      <alignment vertical="center" wrapText="1"/>
    </xf>
    <xf numFmtId="9" fontId="13" fillId="29" borderId="86" xfId="0" applyNumberFormat="1" applyFont="1" applyFill="1" applyBorder="1" applyAlignment="1">
      <alignment vertical="center" wrapText="1"/>
    </xf>
    <xf numFmtId="9" fontId="13" fillId="29" borderId="87" xfId="0" applyNumberFormat="1" applyFont="1" applyFill="1" applyBorder="1" applyAlignment="1">
      <alignment vertical="center" wrapText="1"/>
    </xf>
    <xf numFmtId="9" fontId="13" fillId="31" borderId="90" xfId="0" applyNumberFormat="1" applyFont="1" applyFill="1" applyBorder="1" applyAlignment="1">
      <alignment horizontal="right" vertical="center" wrapText="1"/>
    </xf>
    <xf numFmtId="9" fontId="13" fillId="31" borderId="77" xfId="0" applyNumberFormat="1" applyFont="1" applyFill="1" applyBorder="1" applyAlignment="1">
      <alignment horizontal="right" vertical="center" wrapText="1"/>
    </xf>
    <xf numFmtId="9" fontId="13" fillId="31" borderId="78" xfId="0" applyNumberFormat="1" applyFont="1" applyFill="1" applyBorder="1" applyAlignment="1">
      <alignment horizontal="right" vertical="center" wrapText="1"/>
    </xf>
    <xf numFmtId="9" fontId="41" fillId="31" borderId="86" xfId="0" applyNumberFormat="1" applyFont="1" applyFill="1" applyBorder="1" applyAlignment="1">
      <alignment vertical="center" wrapText="1"/>
    </xf>
    <xf numFmtId="9" fontId="13" fillId="28" borderId="86" xfId="0" applyNumberFormat="1" applyFont="1" applyFill="1" applyBorder="1" applyAlignment="1">
      <alignment vertical="center" wrapText="1"/>
    </xf>
    <xf numFmtId="0" fontId="43" fillId="26" borderId="88" xfId="0" applyFont="1" applyFill="1" applyBorder="1" applyAlignment="1">
      <alignment vertical="center" wrapText="1"/>
    </xf>
    <xf numFmtId="0" fontId="43" fillId="26" borderId="86" xfId="0" applyFont="1" applyFill="1" applyBorder="1" applyAlignment="1">
      <alignment vertical="center" wrapText="1"/>
    </xf>
    <xf numFmtId="0" fontId="43" fillId="26" borderId="89" xfId="0" applyFont="1" applyFill="1" applyBorder="1" applyAlignment="1">
      <alignment vertical="center" wrapText="1"/>
    </xf>
    <xf numFmtId="9" fontId="41" fillId="28" borderId="85" xfId="0" applyNumberFormat="1" applyFont="1" applyFill="1" applyBorder="1" applyAlignment="1">
      <alignment vertical="center" wrapText="1"/>
    </xf>
    <xf numFmtId="9" fontId="41" fillId="28" borderId="87" xfId="0" applyNumberFormat="1" applyFont="1" applyFill="1" applyBorder="1" applyAlignment="1">
      <alignment vertical="center" wrapText="1"/>
    </xf>
    <xf numFmtId="9" fontId="41" fillId="28" borderId="86" xfId="0" applyNumberFormat="1" applyFont="1" applyFill="1" applyBorder="1" applyAlignment="1">
      <alignment vertical="center" wrapText="1"/>
    </xf>
    <xf numFmtId="0" fontId="34" fillId="27" borderId="79" xfId="0" applyFont="1" applyFill="1" applyBorder="1" applyAlignment="1">
      <alignment vertical="top" wrapText="1"/>
    </xf>
    <xf numFmtId="0" fontId="34" fillId="27" borderId="80" xfId="0" applyFont="1" applyFill="1" applyBorder="1" applyAlignment="1">
      <alignment vertical="top" wrapText="1"/>
    </xf>
    <xf numFmtId="0" fontId="34" fillId="27" borderId="81" xfId="0" applyFont="1" applyFill="1" applyBorder="1" applyAlignment="1">
      <alignment vertical="top" wrapText="1"/>
    </xf>
    <xf numFmtId="0" fontId="13" fillId="26" borderId="87" xfId="0" applyFont="1" applyFill="1" applyBorder="1" applyAlignment="1">
      <alignment vertical="center" wrapText="1"/>
    </xf>
    <xf numFmtId="0" fontId="13" fillId="6" borderId="41" xfId="0" applyFont="1" applyFill="1" applyBorder="1" applyAlignment="1">
      <alignment horizontal="center" vertical="top"/>
    </xf>
    <xf numFmtId="0" fontId="13" fillId="8" borderId="61" xfId="0" applyFont="1" applyFill="1" applyBorder="1" applyAlignment="1">
      <alignment horizontal="left" wrapText="1"/>
    </xf>
    <xf numFmtId="0" fontId="13" fillId="8" borderId="94" xfId="0" applyFont="1" applyFill="1" applyBorder="1" applyAlignment="1">
      <alignment horizontal="left" wrapText="1"/>
    </xf>
    <xf numFmtId="0" fontId="13" fillId="8" borderId="95" xfId="0" applyFont="1" applyFill="1" applyBorder="1" applyAlignment="1">
      <alignment horizontal="left" wrapText="1"/>
    </xf>
    <xf numFmtId="0" fontId="13" fillId="6" borderId="58" xfId="0" applyFont="1" applyFill="1" applyBorder="1" applyAlignment="1">
      <alignment horizontal="center" vertical="top"/>
    </xf>
    <xf numFmtId="0" fontId="13" fillId="6" borderId="59" xfId="0" applyFont="1" applyFill="1" applyBorder="1" applyAlignment="1">
      <alignment horizontal="center" vertical="top"/>
    </xf>
    <xf numFmtId="0" fontId="34" fillId="12" borderId="24" xfId="0" applyFont="1" applyFill="1" applyBorder="1" applyAlignment="1">
      <alignment horizontal="left"/>
    </xf>
    <xf numFmtId="0" fontId="34" fillId="22" borderId="24" xfId="0" applyFont="1" applyFill="1" applyBorder="1" applyAlignment="1"/>
    <xf numFmtId="0" fontId="34" fillId="12" borderId="18" xfId="0" applyFont="1" applyFill="1" applyBorder="1" applyAlignment="1">
      <alignment horizontal="left" wrapText="1"/>
    </xf>
    <xf numFmtId="0" fontId="39" fillId="12" borderId="19" xfId="0" applyFont="1" applyFill="1" applyBorder="1" applyAlignment="1">
      <alignment horizontal="left"/>
    </xf>
    <xf numFmtId="0" fontId="39" fillId="12" borderId="20" xfId="0" applyFont="1" applyFill="1" applyBorder="1" applyAlignment="1">
      <alignment horizontal="left"/>
    </xf>
    <xf numFmtId="0" fontId="39" fillId="12" borderId="21" xfId="0" applyFont="1" applyFill="1" applyBorder="1" applyAlignment="1">
      <alignment horizontal="left"/>
    </xf>
    <xf numFmtId="0" fontId="40" fillId="12" borderId="19" xfId="0" applyFont="1" applyFill="1" applyBorder="1" applyAlignment="1">
      <alignment horizontal="left"/>
    </xf>
    <xf numFmtId="0" fontId="40" fillId="12" borderId="20" xfId="0" applyFont="1" applyFill="1" applyBorder="1" applyAlignment="1">
      <alignment horizontal="left"/>
    </xf>
    <xf numFmtId="0" fontId="40" fillId="12" borderId="21" xfId="0" applyFont="1" applyFill="1" applyBorder="1" applyAlignment="1">
      <alignment horizontal="left"/>
    </xf>
    <xf numFmtId="0" fontId="40" fillId="22" borderId="19" xfId="0" applyFont="1" applyFill="1" applyBorder="1" applyAlignment="1">
      <alignment horizontal="left"/>
    </xf>
    <xf numFmtId="0" fontId="40" fillId="22" borderId="20" xfId="0" applyFont="1" applyFill="1" applyBorder="1" applyAlignment="1">
      <alignment horizontal="left"/>
    </xf>
    <xf numFmtId="0" fontId="40" fillId="22" borderId="21" xfId="0" applyFont="1" applyFill="1" applyBorder="1" applyAlignment="1">
      <alignment horizontal="left"/>
    </xf>
    <xf numFmtId="0" fontId="39" fillId="12" borderId="67" xfId="0" applyFont="1" applyFill="1" applyBorder="1" applyAlignment="1">
      <alignment horizontal="center"/>
    </xf>
    <xf numFmtId="0" fontId="39" fillId="12" borderId="44" xfId="0" applyFont="1" applyFill="1" applyBorder="1" applyAlignment="1">
      <alignment horizontal="center"/>
    </xf>
    <xf numFmtId="0" fontId="39" fillId="12" borderId="71" xfId="0" applyFont="1" applyFill="1" applyBorder="1" applyAlignment="1">
      <alignment horizontal="center"/>
    </xf>
    <xf numFmtId="0" fontId="34" fillId="12" borderId="58" xfId="0" applyFont="1" applyFill="1" applyBorder="1" applyAlignment="1">
      <alignment vertical="top"/>
    </xf>
    <xf numFmtId="0" fontId="0" fillId="6" borderId="64" xfId="0" applyFont="1" applyFill="1" applyBorder="1" applyAlignment="1"/>
    <xf numFmtId="0" fontId="13" fillId="12" borderId="58" xfId="0" applyFont="1" applyFill="1" applyBorder="1" applyAlignment="1">
      <alignment vertical="top"/>
    </xf>
    <xf numFmtId="0" fontId="0" fillId="6" borderId="63" xfId="0" applyFont="1" applyFill="1" applyBorder="1" applyAlignment="1">
      <alignment vertical="top"/>
    </xf>
    <xf numFmtId="0" fontId="34" fillId="22" borderId="58" xfId="0" applyFont="1" applyFill="1" applyBorder="1" applyAlignment="1">
      <alignment vertical="top"/>
    </xf>
    <xf numFmtId="0" fontId="13" fillId="22" borderId="58" xfId="0" applyFont="1" applyFill="1" applyBorder="1" applyAlignment="1">
      <alignment vertical="top"/>
    </xf>
    <xf numFmtId="0" fontId="13" fillId="22" borderId="59" xfId="0" applyFont="1" applyFill="1" applyBorder="1" applyAlignment="1">
      <alignment vertical="top"/>
    </xf>
    <xf numFmtId="0" fontId="13" fillId="34" borderId="60" xfId="0" applyFont="1" applyFill="1" applyBorder="1" applyAlignment="1"/>
    <xf numFmtId="0" fontId="0" fillId="6" borderId="69" xfId="0" applyFont="1" applyFill="1" applyBorder="1" applyAlignment="1"/>
    <xf numFmtId="0" fontId="0" fillId="6" borderId="72" xfId="0" applyFont="1" applyFill="1" applyBorder="1" applyAlignment="1"/>
    <xf numFmtId="0" fontId="13" fillId="6" borderId="19" xfId="0" applyFont="1" applyFill="1" applyBorder="1" applyAlignment="1"/>
    <xf numFmtId="0" fontId="13" fillId="6" borderId="94" xfId="0" applyFont="1" applyFill="1" applyBorder="1" applyAlignment="1"/>
    <xf numFmtId="14" fontId="0" fillId="24" borderId="57" xfId="0" applyNumberFormat="1" applyFont="1" applyFill="1" applyBorder="1" applyAlignment="1">
      <alignment horizontal="center"/>
    </xf>
    <xf numFmtId="0" fontId="34" fillId="22" borderId="19" xfId="0" applyFont="1" applyFill="1" applyBorder="1" applyAlignment="1">
      <alignment horizontal="center" wrapText="1"/>
    </xf>
    <xf numFmtId="0" fontId="34" fillId="22" borderId="19" xfId="0" applyFont="1" applyFill="1" applyBorder="1" applyAlignment="1">
      <alignment wrapText="1"/>
    </xf>
    <xf numFmtId="0" fontId="13" fillId="8" borderId="62" xfId="0" applyFont="1" applyFill="1" applyBorder="1" applyAlignment="1">
      <alignment horizontal="left" wrapText="1"/>
    </xf>
    <xf numFmtId="0" fontId="13" fillId="6" borderId="47" xfId="0" applyFont="1" applyFill="1" applyBorder="1" applyAlignment="1">
      <alignment horizontal="center" vertical="top"/>
    </xf>
    <xf numFmtId="14" fontId="0" fillId="24" borderId="18" xfId="0" applyNumberFormat="1" applyFont="1" applyFill="1" applyBorder="1" applyAlignment="1">
      <alignment horizontal="left"/>
    </xf>
    <xf numFmtId="0" fontId="34" fillId="22" borderId="22" xfId="0" applyFont="1" applyFill="1" applyBorder="1" applyAlignment="1">
      <alignment horizontal="left" vertical="top"/>
    </xf>
    <xf numFmtId="0" fontId="34" fillId="22" borderId="24" xfId="0" applyFont="1" applyFill="1" applyBorder="1" applyAlignment="1">
      <alignment horizontal="left" vertical="top"/>
    </xf>
    <xf numFmtId="0" fontId="0" fillId="6" borderId="69" xfId="0" applyFont="1" applyFill="1" applyBorder="1" applyAlignment="1">
      <alignment horizontal="center"/>
    </xf>
    <xf numFmtId="0" fontId="13" fillId="6" borderId="69" xfId="0" applyFont="1" applyFill="1" applyBorder="1" applyAlignment="1">
      <alignment horizontal="center"/>
    </xf>
    <xf numFmtId="0" fontId="35" fillId="7" borderId="41" xfId="0" applyFont="1" applyFill="1" applyBorder="1" applyAlignment="1">
      <alignment vertical="top"/>
    </xf>
    <xf numFmtId="0" fontId="35" fillId="7" borderId="42" xfId="0" applyFont="1" applyFill="1" applyBorder="1" applyAlignment="1">
      <alignment horizontal="left" vertical="top"/>
    </xf>
    <xf numFmtId="0" fontId="35" fillId="7" borderId="34" xfId="0" applyFont="1" applyFill="1" applyBorder="1" applyAlignment="1">
      <alignment horizontal="left" vertical="top"/>
    </xf>
    <xf numFmtId="0" fontId="35" fillId="7" borderId="43" xfId="0" applyFont="1" applyFill="1" applyBorder="1" applyAlignment="1">
      <alignment horizontal="left" vertical="top"/>
    </xf>
    <xf numFmtId="0" fontId="35" fillId="7" borderId="42" xfId="0" applyFont="1" applyFill="1" applyBorder="1" applyAlignment="1">
      <alignment horizontal="center" vertical="top"/>
    </xf>
    <xf numFmtId="0" fontId="35" fillId="7" borderId="44" xfId="0" applyFont="1" applyFill="1" applyBorder="1" applyAlignment="1">
      <alignment horizontal="center" vertical="top"/>
    </xf>
    <xf numFmtId="0" fontId="35" fillId="7" borderId="45" xfId="0" applyFont="1" applyFill="1" applyBorder="1" applyAlignment="1">
      <alignment horizontal="center" vertical="top"/>
    </xf>
    <xf numFmtId="0" fontId="35" fillId="7" borderId="46" xfId="0" applyFont="1" applyFill="1" applyBorder="1" applyAlignment="1">
      <alignment vertical="top"/>
    </xf>
    <xf numFmtId="0" fontId="16" fillId="7" borderId="41" xfId="0" applyFont="1" applyFill="1" applyBorder="1" applyAlignment="1">
      <alignment vertical="top"/>
    </xf>
    <xf numFmtId="0" fontId="16" fillId="7" borderId="57" xfId="0" applyFont="1" applyFill="1" applyBorder="1" applyAlignment="1">
      <alignment vertical="top"/>
    </xf>
    <xf numFmtId="0" fontId="16" fillId="7" borderId="46" xfId="0" applyFont="1" applyFill="1" applyBorder="1" applyAlignment="1">
      <alignment vertical="top"/>
    </xf>
    <xf numFmtId="0" fontId="34" fillId="6" borderId="0" xfId="0" applyFont="1" applyFill="1" applyAlignment="1"/>
    <xf numFmtId="166" fontId="0" fillId="6" borderId="18" xfId="0" applyNumberFormat="1" applyFont="1" applyFill="1" applyBorder="1" applyAlignment="1"/>
    <xf numFmtId="0" fontId="38" fillId="6" borderId="18" xfId="0" applyFont="1" applyFill="1" applyBorder="1" applyAlignment="1">
      <alignment horizontal="center" vertical="top" wrapText="1"/>
    </xf>
    <xf numFmtId="0" fontId="0" fillId="39" borderId="0" xfId="0" applyFont="1" applyFill="1" applyAlignment="1"/>
    <xf numFmtId="0" fontId="13" fillId="39" borderId="0" xfId="0" applyFont="1" applyFill="1" applyAlignment="1"/>
    <xf numFmtId="0" fontId="0" fillId="39" borderId="5" xfId="0" applyFont="1" applyFill="1" applyBorder="1" applyAlignment="1"/>
    <xf numFmtId="0" fontId="13" fillId="39" borderId="5" xfId="0" applyFont="1" applyFill="1" applyBorder="1" applyAlignment="1"/>
    <xf numFmtId="0" fontId="40" fillId="12" borderId="19" xfId="0" applyFont="1" applyFill="1" applyBorder="1" applyAlignment="1">
      <alignment horizontal="left" vertical="top"/>
    </xf>
    <xf numFmtId="0" fontId="40" fillId="12" borderId="20" xfId="0" applyFont="1" applyFill="1" applyBorder="1" applyAlignment="1">
      <alignment horizontal="left" vertical="top"/>
    </xf>
    <xf numFmtId="0" fontId="40" fillId="12" borderId="21" xfId="0" applyFont="1" applyFill="1" applyBorder="1" applyAlignment="1">
      <alignment horizontal="left" vertical="top"/>
    </xf>
    <xf numFmtId="0" fontId="34" fillId="12" borderId="18" xfId="0" applyFont="1" applyFill="1" applyBorder="1" applyAlignment="1">
      <alignment horizontal="center" vertical="top" wrapText="1"/>
    </xf>
    <xf numFmtId="0" fontId="34" fillId="12" borderId="19" xfId="0" applyFont="1" applyFill="1" applyBorder="1" applyAlignment="1">
      <alignment horizontal="center" vertical="top" wrapText="1"/>
    </xf>
    <xf numFmtId="0" fontId="34" fillId="12" borderId="24" xfId="0" applyFont="1" applyFill="1" applyBorder="1" applyAlignment="1">
      <alignment horizontal="center" vertical="top" wrapText="1"/>
    </xf>
    <xf numFmtId="0" fontId="13" fillId="12" borderId="24" xfId="0" applyFont="1" applyFill="1" applyBorder="1" applyAlignment="1">
      <alignment horizontal="center" vertical="top" wrapText="1"/>
    </xf>
    <xf numFmtId="0" fontId="13" fillId="11" borderId="24" xfId="0" applyFont="1" applyFill="1" applyBorder="1" applyAlignment="1">
      <alignment horizontal="center" vertical="top"/>
    </xf>
    <xf numFmtId="0" fontId="0" fillId="6" borderId="5" xfId="0" applyFont="1" applyFill="1" applyBorder="1" applyAlignment="1">
      <alignment vertical="top"/>
    </xf>
    <xf numFmtId="0" fontId="34" fillId="12" borderId="18" xfId="0" applyFont="1" applyFill="1" applyBorder="1" applyAlignment="1">
      <alignment horizontal="left" vertical="top" wrapText="1"/>
    </xf>
    <xf numFmtId="0" fontId="34" fillId="12" borderId="24" xfId="0" applyFont="1" applyFill="1" applyBorder="1" applyAlignment="1">
      <alignment vertical="top" wrapText="1"/>
    </xf>
    <xf numFmtId="0" fontId="13" fillId="12" borderId="18" xfId="0" applyFont="1" applyFill="1" applyBorder="1" applyAlignment="1">
      <alignment horizontal="center" vertical="top" wrapText="1"/>
    </xf>
    <xf numFmtId="0" fontId="13" fillId="11" borderId="18" xfId="0" applyFont="1" applyFill="1" applyBorder="1" applyAlignment="1">
      <alignment vertical="top"/>
    </xf>
    <xf numFmtId="0" fontId="0" fillId="12" borderId="18" xfId="0" applyFont="1" applyFill="1" applyBorder="1" applyAlignment="1">
      <alignment horizontal="center" vertical="top" wrapText="1"/>
    </xf>
    <xf numFmtId="0" fontId="13" fillId="12" borderId="18" xfId="0" applyFont="1" applyFill="1" applyBorder="1" applyAlignment="1">
      <alignment horizontal="center" vertical="top"/>
    </xf>
    <xf numFmtId="0" fontId="0" fillId="12" borderId="18" xfId="0" applyFont="1" applyFill="1" applyBorder="1" applyAlignment="1">
      <alignment horizontal="center" vertical="top"/>
    </xf>
    <xf numFmtId="0" fontId="0" fillId="12" borderId="18" xfId="0" applyFont="1" applyFill="1" applyBorder="1" applyAlignment="1">
      <alignment horizontal="center" wrapText="1"/>
    </xf>
    <xf numFmtId="0" fontId="39" fillId="12" borderId="25" xfId="0" applyFont="1" applyFill="1" applyBorder="1" applyAlignment="1">
      <alignment horizontal="center"/>
    </xf>
    <xf numFmtId="0" fontId="39" fillId="12" borderId="26" xfId="0" applyFont="1" applyFill="1" applyBorder="1" applyAlignment="1">
      <alignment horizontal="center"/>
    </xf>
    <xf numFmtId="0" fontId="13" fillId="6" borderId="5" xfId="0" applyFont="1" applyFill="1" applyBorder="1" applyAlignment="1"/>
    <xf numFmtId="9" fontId="0" fillId="6" borderId="5" xfId="0" applyNumberFormat="1" applyFont="1" applyFill="1" applyBorder="1" applyAlignment="1"/>
    <xf numFmtId="0" fontId="0" fillId="6" borderId="0" xfId="0" applyFont="1" applyFill="1" applyAlignment="1">
      <alignment wrapText="1"/>
    </xf>
    <xf numFmtId="0" fontId="0" fillId="6" borderId="5" xfId="0" applyFont="1" applyFill="1" applyBorder="1" applyAlignment="1">
      <alignment wrapText="1"/>
    </xf>
    <xf numFmtId="0" fontId="13" fillId="12" borderId="19" xfId="0" applyFont="1" applyFill="1" applyBorder="1" applyAlignment="1">
      <alignment horizontal="center" wrapText="1"/>
    </xf>
    <xf numFmtId="0" fontId="0" fillId="12" borderId="19" xfId="0" applyFont="1" applyFill="1" applyBorder="1" applyAlignment="1">
      <alignment horizontal="center" wrapText="1"/>
    </xf>
    <xf numFmtId="0" fontId="13" fillId="6" borderId="22" xfId="0" applyFont="1" applyFill="1" applyBorder="1" applyAlignment="1">
      <alignment horizontal="center" vertical="center" wrapText="1"/>
    </xf>
    <xf numFmtId="0" fontId="13" fillId="6" borderId="23" xfId="0" applyFont="1" applyFill="1" applyBorder="1" applyAlignment="1">
      <alignment horizontal="center" vertical="center" wrapText="1"/>
    </xf>
    <xf numFmtId="0" fontId="13" fillId="6" borderId="24" xfId="0" applyFont="1" applyFill="1" applyBorder="1" applyAlignment="1">
      <alignment horizontal="center" vertical="center" wrapText="1"/>
    </xf>
    <xf numFmtId="0" fontId="13" fillId="11" borderId="21" xfId="0" applyFont="1" applyFill="1" applyBorder="1" applyAlignment="1"/>
    <xf numFmtId="0" fontId="13" fillId="34" borderId="21" xfId="0" applyFont="1" applyFill="1" applyBorder="1" applyAlignment="1">
      <alignment wrapText="1"/>
    </xf>
    <xf numFmtId="0" fontId="13" fillId="6" borderId="18" xfId="0" applyFont="1" applyFill="1" applyBorder="1" applyAlignment="1">
      <alignment horizontal="center" wrapText="1"/>
    </xf>
    <xf numFmtId="0" fontId="0" fillId="24" borderId="22" xfId="0" applyFont="1" applyFill="1" applyBorder="1" applyAlignment="1">
      <alignment horizontal="left"/>
    </xf>
    <xf numFmtId="0" fontId="0" fillId="22" borderId="18" xfId="0" applyFont="1" applyFill="1" applyBorder="1" applyAlignment="1">
      <alignment horizontal="center" vertical="center"/>
    </xf>
    <xf numFmtId="0" fontId="13" fillId="22" borderId="18" xfId="0" applyFont="1" applyFill="1" applyBorder="1" applyAlignment="1">
      <alignment horizontal="center" vertical="center"/>
    </xf>
    <xf numFmtId="9" fontId="0" fillId="39" borderId="18" xfId="1" applyFont="1" applyFill="1" applyBorder="1" applyAlignment="1"/>
    <xf numFmtId="0" fontId="0" fillId="39" borderId="18" xfId="0" applyFont="1" applyFill="1" applyBorder="1" applyAlignment="1"/>
    <xf numFmtId="164" fontId="0" fillId="39" borderId="18" xfId="1" applyNumberFormat="1" applyFont="1" applyFill="1" applyBorder="1" applyAlignment="1"/>
    <xf numFmtId="0" fontId="39" fillId="12" borderId="18" xfId="0" applyFont="1" applyFill="1" applyBorder="1" applyAlignment="1">
      <alignment horizontal="left"/>
    </xf>
    <xf numFmtId="9" fontId="50" fillId="39" borderId="18" xfId="1" applyFont="1" applyFill="1" applyBorder="1" applyAlignment="1"/>
    <xf numFmtId="164" fontId="0" fillId="39" borderId="18" xfId="0" applyNumberFormat="1" applyFont="1" applyFill="1" applyBorder="1" applyAlignment="1"/>
    <xf numFmtId="0" fontId="51" fillId="12" borderId="5" xfId="0" applyFont="1" applyFill="1" applyBorder="1" applyAlignment="1"/>
    <xf numFmtId="1" fontId="0" fillId="39" borderId="18" xfId="1" applyNumberFormat="1" applyFont="1" applyFill="1" applyBorder="1" applyAlignment="1"/>
    <xf numFmtId="0" fontId="39" fillId="39" borderId="5" xfId="0" applyFont="1" applyFill="1" applyBorder="1" applyAlignment="1">
      <alignment horizontal="center" vertical="center"/>
    </xf>
    <xf numFmtId="164" fontId="0" fillId="39" borderId="5" xfId="0" applyNumberFormat="1" applyFont="1" applyFill="1" applyBorder="1" applyAlignment="1"/>
    <xf numFmtId="0" fontId="35" fillId="40" borderId="102" xfId="0" applyFont="1" applyFill="1" applyBorder="1" applyAlignment="1">
      <alignment vertical="top" wrapText="1"/>
    </xf>
    <xf numFmtId="9" fontId="0" fillId="6" borderId="103" xfId="1" applyFont="1" applyFill="1" applyBorder="1" applyAlignment="1">
      <alignment horizontal="center"/>
    </xf>
    <xf numFmtId="9" fontId="0" fillId="6" borderId="104" xfId="1" applyFont="1" applyFill="1" applyBorder="1" applyAlignment="1">
      <alignment horizontal="center"/>
    </xf>
    <xf numFmtId="9" fontId="0" fillId="6" borderId="102" xfId="1" applyFont="1" applyFill="1" applyBorder="1" applyAlignment="1">
      <alignment horizontal="center"/>
    </xf>
    <xf numFmtId="0" fontId="50" fillId="23" borderId="36" xfId="0" applyFont="1" applyFill="1" applyBorder="1" applyAlignment="1">
      <alignment horizontal="left"/>
    </xf>
    <xf numFmtId="0" fontId="50" fillId="23" borderId="20" xfId="0" applyFont="1" applyFill="1" applyBorder="1" applyAlignment="1">
      <alignment horizontal="left"/>
    </xf>
    <xf numFmtId="166" fontId="0" fillId="6" borderId="102" xfId="0" applyNumberFormat="1" applyFont="1" applyFill="1" applyBorder="1" applyAlignment="1"/>
    <xf numFmtId="9" fontId="50" fillId="6" borderId="103" xfId="1" applyFont="1" applyFill="1" applyBorder="1" applyAlignment="1">
      <alignment horizontal="center"/>
    </xf>
    <xf numFmtId="0" fontId="0" fillId="6" borderId="103" xfId="0" applyFont="1" applyFill="1" applyBorder="1" applyAlignment="1"/>
    <xf numFmtId="165" fontId="0" fillId="6" borderId="103" xfId="0" applyNumberFormat="1" applyFont="1" applyFill="1" applyBorder="1" applyAlignment="1"/>
    <xf numFmtId="0" fontId="0" fillId="6" borderId="103" xfId="0" applyFont="1" applyFill="1" applyBorder="1" applyAlignment="1">
      <alignment horizontal="center"/>
    </xf>
    <xf numFmtId="0" fontId="13" fillId="23" borderId="103" xfId="0" applyFont="1" applyFill="1" applyBorder="1" applyAlignment="1">
      <alignment horizontal="center"/>
    </xf>
    <xf numFmtId="0" fontId="38" fillId="6" borderId="104" xfId="0" applyFont="1" applyFill="1" applyBorder="1" applyAlignment="1">
      <alignment horizontal="center" vertical="top" wrapText="1"/>
    </xf>
    <xf numFmtId="9" fontId="0" fillId="22" borderId="18" xfId="1" applyFont="1" applyFill="1" applyBorder="1" applyAlignment="1"/>
    <xf numFmtId="0" fontId="34" fillId="39" borderId="0" xfId="0" applyFont="1" applyFill="1" applyAlignment="1"/>
    <xf numFmtId="0" fontId="13" fillId="39" borderId="18" xfId="0" applyFont="1" applyFill="1" applyBorder="1" applyAlignment="1">
      <alignment horizontal="center" wrapText="1"/>
    </xf>
    <xf numFmtId="0" fontId="0" fillId="39" borderId="18" xfId="0" applyFont="1" applyFill="1" applyBorder="1" applyAlignment="1">
      <alignment horizontal="center" wrapText="1"/>
    </xf>
    <xf numFmtId="0" fontId="51" fillId="12" borderId="19" xfId="0" applyFont="1" applyFill="1" applyBorder="1" applyAlignment="1">
      <alignment horizontal="center"/>
    </xf>
    <xf numFmtId="0" fontId="51" fillId="12" borderId="20" xfId="0" applyFont="1" applyFill="1" applyBorder="1" applyAlignment="1">
      <alignment horizontal="center"/>
    </xf>
    <xf numFmtId="0" fontId="51" fillId="12" borderId="21" xfId="0" applyFont="1" applyFill="1" applyBorder="1" applyAlignment="1">
      <alignment horizontal="center"/>
    </xf>
    <xf numFmtId="9" fontId="0" fillId="39" borderId="18" xfId="0" applyNumberFormat="1" applyFont="1" applyFill="1" applyBorder="1" applyAlignment="1"/>
    <xf numFmtId="0" fontId="13" fillId="39" borderId="18" xfId="0" applyFont="1" applyFill="1" applyBorder="1" applyAlignment="1"/>
    <xf numFmtId="9" fontId="13" fillId="39" borderId="18" xfId="0" applyNumberFormat="1" applyFont="1" applyFill="1" applyBorder="1" applyAlignment="1"/>
    <xf numFmtId="0" fontId="0" fillId="23" borderId="18" xfId="0" applyFont="1" applyFill="1" applyBorder="1" applyAlignment="1"/>
    <xf numFmtId="0" fontId="39" fillId="6" borderId="0" xfId="0" applyFont="1" applyFill="1" applyAlignment="1">
      <alignment horizontal="center"/>
    </xf>
    <xf numFmtId="0" fontId="13" fillId="6" borderId="0" xfId="0" applyFont="1" applyFill="1" applyAlignment="1">
      <alignment horizontal="center" wrapText="1"/>
    </xf>
    <xf numFmtId="0" fontId="13" fillId="6" borderId="0" xfId="0" applyFont="1" applyFill="1" applyAlignment="1">
      <alignment horizontal="left" vertical="top" wrapText="1"/>
    </xf>
    <xf numFmtId="0" fontId="0" fillId="6" borderId="0" xfId="0" applyFont="1" applyFill="1" applyAlignment="1">
      <alignment horizontal="left" vertical="top"/>
    </xf>
    <xf numFmtId="0" fontId="0" fillId="6" borderId="0" xfId="0" applyFont="1" applyFill="1" applyAlignment="1">
      <alignment horizontal="center" wrapText="1"/>
    </xf>
    <xf numFmtId="0" fontId="13" fillId="6" borderId="0" xfId="0" applyFont="1" applyFill="1" applyAlignment="1">
      <alignment horizontal="left"/>
    </xf>
    <xf numFmtId="0" fontId="0" fillId="6" borderId="0" xfId="0" applyFont="1" applyFill="1" applyAlignment="1">
      <alignment horizontal="left"/>
    </xf>
    <xf numFmtId="0" fontId="49" fillId="12" borderId="30" xfId="0" applyFont="1" applyFill="1" applyBorder="1" applyAlignment="1">
      <alignment horizontal="center" vertical="center" wrapText="1"/>
    </xf>
    <xf numFmtId="0" fontId="49" fillId="12" borderId="29" xfId="0" applyFont="1" applyFill="1" applyBorder="1" applyAlignment="1">
      <alignment horizontal="center" vertical="center" wrapText="1"/>
    </xf>
    <xf numFmtId="0" fontId="49" fillId="12" borderId="31" xfId="0" applyFont="1" applyFill="1" applyBorder="1" applyAlignment="1">
      <alignment horizontal="center" vertical="center" wrapText="1"/>
    </xf>
    <xf numFmtId="0" fontId="49" fillId="12" borderId="32" xfId="0" applyFont="1" applyFill="1" applyBorder="1" applyAlignment="1">
      <alignment horizontal="center" vertical="center" wrapText="1"/>
    </xf>
    <xf numFmtId="0" fontId="0" fillId="6" borderId="32" xfId="0" applyFont="1" applyFill="1" applyBorder="1" applyAlignment="1"/>
    <xf numFmtId="0" fontId="17" fillId="6" borderId="31" xfId="2" applyFill="1" applyBorder="1" applyAlignment="1">
      <alignment horizontal="left"/>
    </xf>
    <xf numFmtId="0" fontId="17" fillId="6" borderId="32" xfId="2" applyFill="1" applyBorder="1" applyAlignment="1">
      <alignment horizontal="left"/>
    </xf>
    <xf numFmtId="0" fontId="17" fillId="6" borderId="25" xfId="2" applyFill="1" applyBorder="1" applyAlignment="1">
      <alignment horizontal="left"/>
    </xf>
    <xf numFmtId="0" fontId="17" fillId="6" borderId="27" xfId="2" applyFill="1" applyBorder="1" applyAlignment="1">
      <alignment horizontal="left"/>
    </xf>
    <xf numFmtId="0" fontId="49" fillId="22" borderId="30" xfId="0" applyFont="1" applyFill="1" applyBorder="1" applyAlignment="1">
      <alignment horizontal="center" vertical="center" wrapText="1"/>
    </xf>
    <xf numFmtId="0" fontId="49" fillId="22" borderId="29" xfId="0" applyFont="1" applyFill="1" applyBorder="1" applyAlignment="1">
      <alignment horizontal="center" vertical="center" wrapText="1"/>
    </xf>
    <xf numFmtId="0" fontId="49" fillId="22" borderId="31" xfId="0" applyFont="1" applyFill="1" applyBorder="1" applyAlignment="1">
      <alignment horizontal="center" vertical="center" wrapText="1"/>
    </xf>
    <xf numFmtId="0" fontId="49" fillId="22" borderId="32" xfId="0" applyFont="1" applyFill="1" applyBorder="1" applyAlignment="1">
      <alignment horizontal="center" vertical="center" wrapText="1"/>
    </xf>
    <xf numFmtId="0" fontId="0" fillId="6" borderId="25" xfId="0" applyFont="1" applyFill="1" applyBorder="1" applyAlignment="1">
      <alignment horizontal="left"/>
    </xf>
    <xf numFmtId="0" fontId="0" fillId="6" borderId="27" xfId="0" applyFont="1" applyFill="1" applyBorder="1" applyAlignment="1">
      <alignment horizontal="left"/>
    </xf>
    <xf numFmtId="0" fontId="49" fillId="23" borderId="30" xfId="0" applyFont="1" applyFill="1" applyBorder="1" applyAlignment="1">
      <alignment horizontal="center" vertical="center" wrapText="1"/>
    </xf>
    <xf numFmtId="0" fontId="49" fillId="23" borderId="29" xfId="0" applyFont="1" applyFill="1" applyBorder="1" applyAlignment="1">
      <alignment horizontal="center" vertical="center" wrapText="1"/>
    </xf>
    <xf numFmtId="0" fontId="49" fillId="23" borderId="31" xfId="0" applyFont="1" applyFill="1" applyBorder="1" applyAlignment="1">
      <alignment horizontal="center" vertical="center" wrapText="1"/>
    </xf>
    <xf numFmtId="0" fontId="49" fillId="23" borderId="32" xfId="0" applyFont="1" applyFill="1" applyBorder="1" applyAlignment="1">
      <alignment horizontal="center" vertical="center" wrapText="1"/>
    </xf>
    <xf numFmtId="0" fontId="17" fillId="6" borderId="31" xfId="2" applyFill="1" applyBorder="1" applyAlignment="1">
      <alignment horizontal="left"/>
    </xf>
    <xf numFmtId="0" fontId="17" fillId="6" borderId="32" xfId="2" applyFill="1" applyBorder="1" applyAlignment="1">
      <alignment horizontal="left"/>
    </xf>
    <xf numFmtId="0" fontId="13" fillId="6" borderId="31" xfId="0" applyFont="1" applyFill="1" applyBorder="1" applyAlignment="1">
      <alignment horizontal="left"/>
    </xf>
    <xf numFmtId="0" fontId="0" fillId="6" borderId="32" xfId="0" applyFont="1" applyFill="1" applyBorder="1" applyAlignment="1">
      <alignment horizontal="left"/>
    </xf>
    <xf numFmtId="0" fontId="0" fillId="6" borderId="32" xfId="0" applyFont="1" applyFill="1" applyBorder="1" applyAlignment="1">
      <alignment horizontal="left"/>
    </xf>
    <xf numFmtId="0" fontId="0" fillId="6" borderId="31" xfId="0" applyFont="1" applyFill="1" applyBorder="1" applyAlignment="1">
      <alignment horizontal="left"/>
    </xf>
    <xf numFmtId="0" fontId="0" fillId="6" borderId="31" xfId="0" applyFont="1" applyFill="1" applyBorder="1" applyAlignment="1">
      <alignment horizontal="left"/>
    </xf>
    <xf numFmtId="0" fontId="17" fillId="6" borderId="19" xfId="2" applyFill="1" applyBorder="1" applyAlignment="1">
      <alignment horizontal="center" wrapText="1"/>
    </xf>
    <xf numFmtId="0" fontId="17" fillId="6" borderId="20" xfId="2" applyFill="1" applyBorder="1" applyAlignment="1">
      <alignment horizontal="center" wrapText="1"/>
    </xf>
    <xf numFmtId="0" fontId="17" fillId="6" borderId="21" xfId="2" applyFill="1" applyBorder="1" applyAlignment="1">
      <alignment horizontal="center" wrapText="1"/>
    </xf>
    <xf numFmtId="0" fontId="34" fillId="12" borderId="18" xfId="0" applyFont="1" applyFill="1" applyBorder="1" applyAlignment="1">
      <alignment vertical="top" wrapText="1"/>
    </xf>
  </cellXfs>
  <cellStyles count="4">
    <cellStyle name="Hyperlink" xfId="2" builtinId="8"/>
    <cellStyle name="Normal" xfId="0" builtinId="0"/>
    <cellStyle name="Normal 2" xfId="3" xr:uid="{9C78689D-0368-4E0D-9397-86ACDF70D8B1}"/>
    <cellStyle name="Percent" xfId="1" builtinId="5"/>
  </cellStyles>
  <dxfs count="187">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patternType="solid">
          <bgColor theme="0"/>
        </patternFill>
      </fill>
      <border>
        <left/>
        <right/>
        <top style="thin">
          <color auto="1"/>
        </top>
        <bottom style="thin">
          <color auto="1"/>
        </bottom>
        <vertical/>
        <horizontal/>
      </border>
    </dxf>
    <dxf>
      <fill>
        <patternFill>
          <bgColor theme="7" tint="0.79998168889431442"/>
        </patternFill>
      </fill>
    </dxf>
    <dxf>
      <fill>
        <patternFill>
          <bgColor theme="7" tint="0.79998168889431442"/>
        </patternFill>
      </fill>
    </dxf>
    <dxf>
      <font>
        <color theme="0"/>
      </font>
      <fill>
        <patternFill patternType="solid">
          <bgColor theme="0"/>
        </patternFill>
      </fill>
      <border>
        <left/>
        <right/>
        <top style="thin">
          <color auto="1"/>
        </top>
        <bottom style="thin">
          <color auto="1"/>
        </bottom>
        <vertical/>
        <horizontal/>
      </border>
    </dxf>
    <dxf>
      <fill>
        <patternFill>
          <bgColor theme="7" tint="0.79998168889431442"/>
        </patternFill>
      </fill>
    </dxf>
    <dxf>
      <fill>
        <patternFill>
          <bgColor theme="7" tint="0.79998168889431442"/>
        </patternFill>
      </fill>
    </dxf>
    <dxf>
      <font>
        <color theme="0"/>
      </font>
      <fill>
        <patternFill patternType="solid">
          <bgColor theme="0"/>
        </patternFill>
      </fill>
      <border>
        <left/>
        <right/>
        <top style="thin">
          <color auto="1"/>
        </top>
        <bottom style="thin">
          <color auto="1"/>
        </bottom>
        <vertical/>
        <horizontal/>
      </border>
    </dxf>
    <dxf>
      <fill>
        <patternFill>
          <bgColor theme="7" tint="0.79998168889431442"/>
        </patternFill>
      </fill>
    </dxf>
    <dxf>
      <fill>
        <patternFill>
          <bgColor theme="7" tint="0.79998168889431442"/>
        </patternFill>
      </fill>
    </dxf>
    <dxf>
      <font>
        <color theme="0"/>
      </font>
      <fill>
        <patternFill patternType="solid">
          <bgColor theme="0"/>
        </patternFill>
      </fill>
      <border>
        <left/>
        <right/>
        <top style="thin">
          <color auto="1"/>
        </top>
        <bottom style="thin">
          <color auto="1"/>
        </bottom>
        <vertical/>
        <horizontal/>
      </border>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0" tint="-0.34998626667073579"/>
        </patternFill>
      </fill>
    </dxf>
    <dxf>
      <fill>
        <patternFill>
          <bgColor theme="8" tint="0.79998168889431442"/>
        </patternFill>
      </fill>
    </dxf>
    <dxf>
      <fill>
        <patternFill>
          <bgColor theme="7" tint="0.79998168889431442"/>
        </patternFill>
      </fill>
    </dxf>
    <dxf>
      <font>
        <color theme="0"/>
      </font>
      <fill>
        <patternFill patternType="solid">
          <bgColor theme="0"/>
        </patternFill>
      </fill>
      <border>
        <left/>
        <right/>
        <top style="thin">
          <color auto="1"/>
        </top>
        <bottom style="thin">
          <color auto="1"/>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ont>
        <color theme="0"/>
      </font>
      <fill>
        <patternFill patternType="solid">
          <bgColor theme="0"/>
        </patternFill>
      </fill>
      <border>
        <left/>
        <right/>
        <top style="thin">
          <color auto="1"/>
        </top>
        <bottom style="thin">
          <color auto="1"/>
        </bottom>
        <vertical/>
        <horizontal/>
      </border>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ont>
        <color theme="0"/>
      </font>
      <fill>
        <patternFill>
          <bgColor theme="0"/>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3999450666829432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39994506668294322"/>
        </patternFill>
      </fill>
    </dxf>
  </dxfs>
  <tableStyles count="0" defaultTableStyle="TableStyleMedium2" defaultPivotStyle="PivotStyleLight16"/>
  <colors>
    <mruColors>
      <color rgb="FFE1DAFC"/>
      <color rgb="FFC8E6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trlProps/ctrlProp1.xml><?xml version="1.0" encoding="utf-8"?>
<formControlPr xmlns="http://schemas.microsoft.com/office/spreadsheetml/2009/9/main" objectType="Scroll" dx="16" fmlaLink="F12" horiz="1" inc="0" max="10" page="0" val="9"/>
</file>

<file path=xl/ctrlProps/ctrlProp10.xml><?xml version="1.0" encoding="utf-8"?>
<formControlPr xmlns="http://schemas.microsoft.com/office/spreadsheetml/2009/9/main" objectType="Scroll" dx="16" fmlaLink="F21" horiz="1" inc="0" max="10" page="0" val="9"/>
</file>

<file path=xl/ctrlProps/ctrlProp11.xml><?xml version="1.0" encoding="utf-8"?>
<formControlPr xmlns="http://schemas.microsoft.com/office/spreadsheetml/2009/9/main" objectType="Scroll" dx="16" fmlaLink="F22" horiz="1" inc="0" max="10" page="0" val="5"/>
</file>

<file path=xl/ctrlProps/ctrlProp12.xml><?xml version="1.0" encoding="utf-8"?>
<formControlPr xmlns="http://schemas.microsoft.com/office/spreadsheetml/2009/9/main" objectType="Scroll" dx="16" fmlaLink="F23" horiz="1" inc="0" max="10" page="0" val="9"/>
</file>

<file path=xl/ctrlProps/ctrlProp13.xml><?xml version="1.0" encoding="utf-8"?>
<formControlPr xmlns="http://schemas.microsoft.com/office/spreadsheetml/2009/9/main" objectType="Scroll" dx="16" fmlaLink="F24" horiz="1" inc="0" max="10" page="0" val="2"/>
</file>

<file path=xl/ctrlProps/ctrlProp14.xml><?xml version="1.0" encoding="utf-8"?>
<formControlPr xmlns="http://schemas.microsoft.com/office/spreadsheetml/2009/9/main" objectType="Scroll" dx="16" fmlaLink="F25" horiz="1" inc="0" max="10" page="0" val="2"/>
</file>

<file path=xl/ctrlProps/ctrlProp15.xml><?xml version="1.0" encoding="utf-8"?>
<formControlPr xmlns="http://schemas.microsoft.com/office/spreadsheetml/2009/9/main" objectType="Scroll" dx="16" fmlaLink="F26" horiz="1" inc="0" max="10" page="10" val="7"/>
</file>

<file path=xl/ctrlProps/ctrlProp16.xml><?xml version="1.0" encoding="utf-8"?>
<formControlPr xmlns="http://schemas.microsoft.com/office/spreadsheetml/2009/9/main" objectType="Scroll" dx="16" fmlaLink="F31" horiz="1" inc="0" max="10" page="10" val="5"/>
</file>

<file path=xl/ctrlProps/ctrlProp17.xml><?xml version="1.0" encoding="utf-8"?>
<formControlPr xmlns="http://schemas.microsoft.com/office/spreadsheetml/2009/9/main" objectType="Scroll" dx="16" fmlaLink="F32" horiz="1" inc="0" max="10" page="10" val="3"/>
</file>

<file path=xl/ctrlProps/ctrlProp18.xml><?xml version="1.0" encoding="utf-8"?>
<formControlPr xmlns="http://schemas.microsoft.com/office/spreadsheetml/2009/9/main" objectType="Scroll" dx="16" fmlaLink="F33" horiz="1" inc="0" max="10" page="0" val="7"/>
</file>

<file path=xl/ctrlProps/ctrlProp19.xml><?xml version="1.0" encoding="utf-8"?>
<formControlPr xmlns="http://schemas.microsoft.com/office/spreadsheetml/2009/9/main" objectType="Scroll" dx="16" fmlaLink="F34" horiz="1" inc="0" max="10" page="0" val="7"/>
</file>

<file path=xl/ctrlProps/ctrlProp2.xml><?xml version="1.0" encoding="utf-8"?>
<formControlPr xmlns="http://schemas.microsoft.com/office/spreadsheetml/2009/9/main" objectType="Scroll" dx="16" fmlaLink="F13" horiz="1" inc="0" max="10" page="0" val="9"/>
</file>

<file path=xl/ctrlProps/ctrlProp20.xml><?xml version="1.0" encoding="utf-8"?>
<formControlPr xmlns="http://schemas.microsoft.com/office/spreadsheetml/2009/9/main" objectType="Scroll" dx="16" fmlaLink="F27" horiz="1" inc="0" max="10" page="10"/>
</file>

<file path=xl/ctrlProps/ctrlProp21.xml><?xml version="1.0" encoding="utf-8"?>
<formControlPr xmlns="http://schemas.microsoft.com/office/spreadsheetml/2009/9/main" objectType="Scroll" dx="16" fmlaLink="F28" horiz="1" inc="0" max="10" page="10" val="8"/>
</file>

<file path=xl/ctrlProps/ctrlProp22.xml><?xml version="1.0" encoding="utf-8"?>
<formControlPr xmlns="http://schemas.microsoft.com/office/spreadsheetml/2009/9/main" objectType="Scroll" dx="16" fmlaLink="F29" horiz="1" inc="0" max="10" page="10"/>
</file>

<file path=xl/ctrlProps/ctrlProp3.xml><?xml version="1.0" encoding="utf-8"?>
<formControlPr xmlns="http://schemas.microsoft.com/office/spreadsheetml/2009/9/main" objectType="Scroll" dx="16" fmlaLink="F14" horiz="1" inc="0" max="10" page="0" val="5"/>
</file>

<file path=xl/ctrlProps/ctrlProp4.xml><?xml version="1.0" encoding="utf-8"?>
<formControlPr xmlns="http://schemas.microsoft.com/office/spreadsheetml/2009/9/main" objectType="Scroll" dx="16" fmlaLink="F15" horiz="1" inc="0" max="10" page="10" val="4"/>
</file>

<file path=xl/ctrlProps/ctrlProp5.xml><?xml version="1.0" encoding="utf-8"?>
<formControlPr xmlns="http://schemas.microsoft.com/office/spreadsheetml/2009/9/main" objectType="Scroll" dx="16" fmlaLink="F16" horiz="1" inc="0" max="10" page="10" val="3"/>
</file>

<file path=xl/ctrlProps/ctrlProp6.xml><?xml version="1.0" encoding="utf-8"?>
<formControlPr xmlns="http://schemas.microsoft.com/office/spreadsheetml/2009/9/main" objectType="Scroll" dx="16" fmlaLink="F17" horiz="1" inc="0" max="10" page="10" val="7"/>
</file>

<file path=xl/ctrlProps/ctrlProp7.xml><?xml version="1.0" encoding="utf-8"?>
<formControlPr xmlns="http://schemas.microsoft.com/office/spreadsheetml/2009/9/main" objectType="Scroll" dx="16" fmlaLink="F18" horiz="1" inc="0" max="10" page="10" val="9"/>
</file>

<file path=xl/ctrlProps/ctrlProp8.xml><?xml version="1.0" encoding="utf-8"?>
<formControlPr xmlns="http://schemas.microsoft.com/office/spreadsheetml/2009/9/main" objectType="Scroll" dx="16" fmlaLink="F19" horiz="1" inc="0" max="10" page="10" val="2"/>
</file>

<file path=xl/ctrlProps/ctrlProp9.xml><?xml version="1.0" encoding="utf-8"?>
<formControlPr xmlns="http://schemas.microsoft.com/office/spreadsheetml/2009/9/main" objectType="Scroll" dx="16" fmlaLink="F20" horiz="1" inc="0" max="10" page="10" val="4"/>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152400</xdr:rowOff>
    </xdr:from>
    <xdr:to>
      <xdr:col>4</xdr:col>
      <xdr:colOff>257175</xdr:colOff>
      <xdr:row>3</xdr:row>
      <xdr:rowOff>104775</xdr:rowOff>
    </xdr:to>
    <xdr:pic>
      <xdr:nvPicPr>
        <xdr:cNvPr id="2" name="Picture 1">
          <a:extLst>
            <a:ext uri="{FF2B5EF4-FFF2-40B4-BE49-F238E27FC236}">
              <a16:creationId xmlns:a16="http://schemas.microsoft.com/office/drawing/2014/main" id="{6C64AED1-80CB-4394-9FF0-C2A16D7ED56C}"/>
            </a:ext>
          </a:extLst>
        </xdr:cNvPr>
        <xdr:cNvPicPr>
          <a:picLocks noChangeAspect="1" noChangeArrowheads="1"/>
        </xdr:cNvPicPr>
      </xdr:nvPicPr>
      <xdr:blipFill>
        <a:blip xmlns:r="http://schemas.openxmlformats.org/officeDocument/2006/relationships" r:embed="rId1">
          <a:duotone>
            <a:prstClr val="black"/>
            <a:schemeClr val="accent1">
              <a:tint val="45000"/>
              <a:satMod val="400000"/>
            </a:schemeClr>
          </a:duotone>
          <a:extLst>
            <a:ext uri="{28A0092B-C50C-407E-A947-70E740481C1C}">
              <a14:useLocalDpi xmlns:a14="http://schemas.microsoft.com/office/drawing/2010/main" val="0"/>
            </a:ext>
          </a:extLst>
        </a:blip>
        <a:srcRect/>
        <a:stretch>
          <a:fillRect/>
        </a:stretch>
      </xdr:blipFill>
      <xdr:spPr bwMode="auto">
        <a:xfrm>
          <a:off x="133350" y="152400"/>
          <a:ext cx="262890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400050</xdr:colOff>
      <xdr:row>1</xdr:row>
      <xdr:rowOff>19050</xdr:rowOff>
    </xdr:from>
    <xdr:to>
      <xdr:col>9</xdr:col>
      <xdr:colOff>314325</xdr:colOff>
      <xdr:row>4</xdr:row>
      <xdr:rowOff>24765</xdr:rowOff>
    </xdr:to>
    <xdr:pic>
      <xdr:nvPicPr>
        <xdr:cNvPr id="3" name="Picture 2">
          <a:extLst>
            <a:ext uri="{FF2B5EF4-FFF2-40B4-BE49-F238E27FC236}">
              <a16:creationId xmlns:a16="http://schemas.microsoft.com/office/drawing/2014/main" id="{E1AF4192-2925-427D-81A5-BD0B3DA5EA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57650" y="180975"/>
          <a:ext cx="1800225" cy="49149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19050</xdr:colOff>
          <xdr:row>11</xdr:row>
          <xdr:rowOff>19050</xdr:rowOff>
        </xdr:from>
        <xdr:to>
          <xdr:col>7</xdr:col>
          <xdr:colOff>323850</xdr:colOff>
          <xdr:row>11</xdr:row>
          <xdr:rowOff>152400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12</xdr:row>
          <xdr:rowOff>19050</xdr:rowOff>
        </xdr:from>
        <xdr:to>
          <xdr:col>7</xdr:col>
          <xdr:colOff>323850</xdr:colOff>
          <xdr:row>12</xdr:row>
          <xdr:rowOff>152400</xdr:rowOff>
        </xdr:to>
        <xdr:sp macro="" textlink="">
          <xdr:nvSpPr>
            <xdr:cNvPr id="2050" name="Scroll Bar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13</xdr:row>
          <xdr:rowOff>19050</xdr:rowOff>
        </xdr:from>
        <xdr:to>
          <xdr:col>7</xdr:col>
          <xdr:colOff>323850</xdr:colOff>
          <xdr:row>13</xdr:row>
          <xdr:rowOff>152400</xdr:rowOff>
        </xdr:to>
        <xdr:sp macro="" textlink="">
          <xdr:nvSpPr>
            <xdr:cNvPr id="2051" name="Scroll Bar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14</xdr:row>
          <xdr:rowOff>19050</xdr:rowOff>
        </xdr:from>
        <xdr:to>
          <xdr:col>7</xdr:col>
          <xdr:colOff>323850</xdr:colOff>
          <xdr:row>14</xdr:row>
          <xdr:rowOff>152400</xdr:rowOff>
        </xdr:to>
        <xdr:sp macro="" textlink="">
          <xdr:nvSpPr>
            <xdr:cNvPr id="2052" name="Scroll Bar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15</xdr:row>
          <xdr:rowOff>19050</xdr:rowOff>
        </xdr:from>
        <xdr:to>
          <xdr:col>7</xdr:col>
          <xdr:colOff>323850</xdr:colOff>
          <xdr:row>15</xdr:row>
          <xdr:rowOff>152400</xdr:rowOff>
        </xdr:to>
        <xdr:sp macro="" textlink="">
          <xdr:nvSpPr>
            <xdr:cNvPr id="2053" name="Scroll Bar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16</xdr:row>
          <xdr:rowOff>19050</xdr:rowOff>
        </xdr:from>
        <xdr:to>
          <xdr:col>7</xdr:col>
          <xdr:colOff>323850</xdr:colOff>
          <xdr:row>16</xdr:row>
          <xdr:rowOff>152400</xdr:rowOff>
        </xdr:to>
        <xdr:sp macro="" textlink="">
          <xdr:nvSpPr>
            <xdr:cNvPr id="2054" name="Scroll Bar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17</xdr:row>
          <xdr:rowOff>19050</xdr:rowOff>
        </xdr:from>
        <xdr:to>
          <xdr:col>7</xdr:col>
          <xdr:colOff>323850</xdr:colOff>
          <xdr:row>17</xdr:row>
          <xdr:rowOff>152400</xdr:rowOff>
        </xdr:to>
        <xdr:sp macro="" textlink="">
          <xdr:nvSpPr>
            <xdr:cNvPr id="2055" name="Scroll Bar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18</xdr:row>
          <xdr:rowOff>19050</xdr:rowOff>
        </xdr:from>
        <xdr:to>
          <xdr:col>7</xdr:col>
          <xdr:colOff>323850</xdr:colOff>
          <xdr:row>18</xdr:row>
          <xdr:rowOff>152400</xdr:rowOff>
        </xdr:to>
        <xdr:sp macro="" textlink="">
          <xdr:nvSpPr>
            <xdr:cNvPr id="2056" name="Scroll Bar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19</xdr:row>
          <xdr:rowOff>19050</xdr:rowOff>
        </xdr:from>
        <xdr:to>
          <xdr:col>7</xdr:col>
          <xdr:colOff>323850</xdr:colOff>
          <xdr:row>19</xdr:row>
          <xdr:rowOff>152400</xdr:rowOff>
        </xdr:to>
        <xdr:sp macro="" textlink="">
          <xdr:nvSpPr>
            <xdr:cNvPr id="2057" name="Scroll Bar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20</xdr:row>
          <xdr:rowOff>19050</xdr:rowOff>
        </xdr:from>
        <xdr:to>
          <xdr:col>7</xdr:col>
          <xdr:colOff>323850</xdr:colOff>
          <xdr:row>20</xdr:row>
          <xdr:rowOff>152400</xdr:rowOff>
        </xdr:to>
        <xdr:sp macro="" textlink="">
          <xdr:nvSpPr>
            <xdr:cNvPr id="2058" name="Scroll Bar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21</xdr:row>
          <xdr:rowOff>19050</xdr:rowOff>
        </xdr:from>
        <xdr:to>
          <xdr:col>7</xdr:col>
          <xdr:colOff>323850</xdr:colOff>
          <xdr:row>21</xdr:row>
          <xdr:rowOff>152400</xdr:rowOff>
        </xdr:to>
        <xdr:sp macro="" textlink="">
          <xdr:nvSpPr>
            <xdr:cNvPr id="2059" name="Scroll Bar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22</xdr:row>
          <xdr:rowOff>19050</xdr:rowOff>
        </xdr:from>
        <xdr:to>
          <xdr:col>7</xdr:col>
          <xdr:colOff>323850</xdr:colOff>
          <xdr:row>22</xdr:row>
          <xdr:rowOff>152400</xdr:rowOff>
        </xdr:to>
        <xdr:sp macro="" textlink="">
          <xdr:nvSpPr>
            <xdr:cNvPr id="2060" name="Scroll Bar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23</xdr:row>
          <xdr:rowOff>19050</xdr:rowOff>
        </xdr:from>
        <xdr:to>
          <xdr:col>7</xdr:col>
          <xdr:colOff>323850</xdr:colOff>
          <xdr:row>23</xdr:row>
          <xdr:rowOff>152400</xdr:rowOff>
        </xdr:to>
        <xdr:sp macro="" textlink="">
          <xdr:nvSpPr>
            <xdr:cNvPr id="2061" name="Scroll Bar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24</xdr:row>
          <xdr:rowOff>19050</xdr:rowOff>
        </xdr:from>
        <xdr:to>
          <xdr:col>7</xdr:col>
          <xdr:colOff>323850</xdr:colOff>
          <xdr:row>24</xdr:row>
          <xdr:rowOff>152400</xdr:rowOff>
        </xdr:to>
        <xdr:sp macro="" textlink="">
          <xdr:nvSpPr>
            <xdr:cNvPr id="2062" name="Scroll Bar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25</xdr:row>
          <xdr:rowOff>19050</xdr:rowOff>
        </xdr:from>
        <xdr:to>
          <xdr:col>7</xdr:col>
          <xdr:colOff>323850</xdr:colOff>
          <xdr:row>25</xdr:row>
          <xdr:rowOff>152400</xdr:rowOff>
        </xdr:to>
        <xdr:sp macro="" textlink="">
          <xdr:nvSpPr>
            <xdr:cNvPr id="2063" name="Scroll Bar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30</xdr:row>
          <xdr:rowOff>19050</xdr:rowOff>
        </xdr:from>
        <xdr:to>
          <xdr:col>7</xdr:col>
          <xdr:colOff>323850</xdr:colOff>
          <xdr:row>30</xdr:row>
          <xdr:rowOff>152400</xdr:rowOff>
        </xdr:to>
        <xdr:sp macro="" textlink="">
          <xdr:nvSpPr>
            <xdr:cNvPr id="2064" name="Scroll Bar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31</xdr:row>
          <xdr:rowOff>19050</xdr:rowOff>
        </xdr:from>
        <xdr:to>
          <xdr:col>7</xdr:col>
          <xdr:colOff>323850</xdr:colOff>
          <xdr:row>31</xdr:row>
          <xdr:rowOff>152400</xdr:rowOff>
        </xdr:to>
        <xdr:sp macro="" textlink="">
          <xdr:nvSpPr>
            <xdr:cNvPr id="2065" name="Scroll Bar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32</xdr:row>
          <xdr:rowOff>19050</xdr:rowOff>
        </xdr:from>
        <xdr:to>
          <xdr:col>7</xdr:col>
          <xdr:colOff>323850</xdr:colOff>
          <xdr:row>32</xdr:row>
          <xdr:rowOff>152400</xdr:rowOff>
        </xdr:to>
        <xdr:sp macro="" textlink="">
          <xdr:nvSpPr>
            <xdr:cNvPr id="2066" name="Scroll Bar 18"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33</xdr:row>
          <xdr:rowOff>19050</xdr:rowOff>
        </xdr:from>
        <xdr:to>
          <xdr:col>7</xdr:col>
          <xdr:colOff>323850</xdr:colOff>
          <xdr:row>33</xdr:row>
          <xdr:rowOff>152400</xdr:rowOff>
        </xdr:to>
        <xdr:sp macro="" textlink="">
          <xdr:nvSpPr>
            <xdr:cNvPr id="2067" name="Scroll Bar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26</xdr:row>
          <xdr:rowOff>19050</xdr:rowOff>
        </xdr:from>
        <xdr:to>
          <xdr:col>7</xdr:col>
          <xdr:colOff>314325</xdr:colOff>
          <xdr:row>26</xdr:row>
          <xdr:rowOff>152400</xdr:rowOff>
        </xdr:to>
        <xdr:sp macro="" textlink="">
          <xdr:nvSpPr>
            <xdr:cNvPr id="2072" name="Scroll Bar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27</xdr:row>
          <xdr:rowOff>19050</xdr:rowOff>
        </xdr:from>
        <xdr:to>
          <xdr:col>7</xdr:col>
          <xdr:colOff>314325</xdr:colOff>
          <xdr:row>27</xdr:row>
          <xdr:rowOff>152400</xdr:rowOff>
        </xdr:to>
        <xdr:sp macro="" textlink="">
          <xdr:nvSpPr>
            <xdr:cNvPr id="2073" name="Scroll Bar 25"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28</xdr:row>
          <xdr:rowOff>19050</xdr:rowOff>
        </xdr:from>
        <xdr:to>
          <xdr:col>7</xdr:col>
          <xdr:colOff>314325</xdr:colOff>
          <xdr:row>28</xdr:row>
          <xdr:rowOff>152400</xdr:rowOff>
        </xdr:to>
        <xdr:sp macro="" textlink="">
          <xdr:nvSpPr>
            <xdr:cNvPr id="2074" name="Scroll Bar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0</xdr:colOff>
      <xdr:row>0</xdr:row>
      <xdr:rowOff>66675</xdr:rowOff>
    </xdr:from>
    <xdr:to>
      <xdr:col>4</xdr:col>
      <xdr:colOff>361950</xdr:colOff>
      <xdr:row>0</xdr:row>
      <xdr:rowOff>504825</xdr:rowOff>
    </xdr:to>
    <xdr:pic>
      <xdr:nvPicPr>
        <xdr:cNvPr id="28" name="Picture 27">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
          <a:duotone>
            <a:prstClr val="black"/>
            <a:schemeClr val="accent1">
              <a:tint val="45000"/>
              <a:satMod val="400000"/>
            </a:schemeClr>
          </a:duotone>
          <a:extLst>
            <a:ext uri="{28A0092B-C50C-407E-A947-70E740481C1C}">
              <a14:useLocalDpi xmlns:a14="http://schemas.microsoft.com/office/drawing/2010/main" val="0"/>
            </a:ext>
          </a:extLst>
        </a:blip>
        <a:srcRect/>
        <a:stretch>
          <a:fillRect/>
        </a:stretch>
      </xdr:blipFill>
      <xdr:spPr bwMode="auto">
        <a:xfrm>
          <a:off x="200025" y="66675"/>
          <a:ext cx="262890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295275</xdr:colOff>
      <xdr:row>0</xdr:row>
      <xdr:rowOff>95250</xdr:rowOff>
    </xdr:from>
    <xdr:to>
      <xdr:col>11</xdr:col>
      <xdr:colOff>57150</xdr:colOff>
      <xdr:row>0</xdr:row>
      <xdr:rowOff>586740</xdr:rowOff>
    </xdr:to>
    <xdr:pic>
      <xdr:nvPicPr>
        <xdr:cNvPr id="2" name="Picture 1">
          <a:extLst>
            <a:ext uri="{FF2B5EF4-FFF2-40B4-BE49-F238E27FC236}">
              <a16:creationId xmlns:a16="http://schemas.microsoft.com/office/drawing/2014/main" id="{36E62B5A-22FD-AEC3-840A-63D336C9B80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24325" y="95250"/>
          <a:ext cx="1800225" cy="49149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180975</xdr:rowOff>
    </xdr:from>
    <xdr:to>
      <xdr:col>3</xdr:col>
      <xdr:colOff>504825</xdr:colOff>
      <xdr:row>0</xdr:row>
      <xdr:rowOff>619125</xdr:rowOff>
    </xdr:to>
    <xdr:pic>
      <xdr:nvPicPr>
        <xdr:cNvPr id="2" name="Picture 1">
          <a:extLst>
            <a:ext uri="{FF2B5EF4-FFF2-40B4-BE49-F238E27FC236}">
              <a16:creationId xmlns:a16="http://schemas.microsoft.com/office/drawing/2014/main" id="{CF71C4D7-3E12-4607-8C55-684BA814D44D}"/>
            </a:ext>
          </a:extLst>
        </xdr:cNvPr>
        <xdr:cNvPicPr>
          <a:picLocks noChangeAspect="1" noChangeArrowheads="1"/>
        </xdr:cNvPicPr>
      </xdr:nvPicPr>
      <xdr:blipFill>
        <a:blip xmlns:r="http://schemas.openxmlformats.org/officeDocument/2006/relationships" r:embed="rId1">
          <a:duotone>
            <a:prstClr val="black"/>
            <a:schemeClr val="accent1">
              <a:tint val="45000"/>
              <a:satMod val="400000"/>
            </a:schemeClr>
          </a:duotone>
          <a:extLst>
            <a:ext uri="{28A0092B-C50C-407E-A947-70E740481C1C}">
              <a14:useLocalDpi xmlns:a14="http://schemas.microsoft.com/office/drawing/2010/main" val="0"/>
            </a:ext>
          </a:extLst>
        </a:blip>
        <a:srcRect/>
        <a:stretch>
          <a:fillRect/>
        </a:stretch>
      </xdr:blipFill>
      <xdr:spPr bwMode="auto">
        <a:xfrm>
          <a:off x="0" y="180975"/>
          <a:ext cx="262890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857250</xdr:colOff>
      <xdr:row>0</xdr:row>
      <xdr:rowOff>152400</xdr:rowOff>
    </xdr:from>
    <xdr:to>
      <xdr:col>6</xdr:col>
      <xdr:colOff>714375</xdr:colOff>
      <xdr:row>0</xdr:row>
      <xdr:rowOff>643890</xdr:rowOff>
    </xdr:to>
    <xdr:pic>
      <xdr:nvPicPr>
        <xdr:cNvPr id="3" name="Picture 2">
          <a:extLst>
            <a:ext uri="{FF2B5EF4-FFF2-40B4-BE49-F238E27FC236}">
              <a16:creationId xmlns:a16="http://schemas.microsoft.com/office/drawing/2014/main" id="{50F60372-27E5-0299-929D-4303709C8C4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152400"/>
          <a:ext cx="1800225" cy="49149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2</xdr:col>
      <xdr:colOff>133350</xdr:colOff>
      <xdr:row>0</xdr:row>
      <xdr:rowOff>552450</xdr:rowOff>
    </xdr:to>
    <xdr:pic>
      <xdr:nvPicPr>
        <xdr:cNvPr id="2" name="Picture 1">
          <a:extLst>
            <a:ext uri="{FF2B5EF4-FFF2-40B4-BE49-F238E27FC236}">
              <a16:creationId xmlns:a16="http://schemas.microsoft.com/office/drawing/2014/main" id="{F325EAF5-CEDC-438B-A2EB-31317D3C3A8A}"/>
            </a:ext>
          </a:extLst>
        </xdr:cNvPr>
        <xdr:cNvPicPr>
          <a:picLocks noChangeAspect="1" noChangeArrowheads="1"/>
        </xdr:cNvPicPr>
      </xdr:nvPicPr>
      <xdr:blipFill>
        <a:blip xmlns:r="http://schemas.openxmlformats.org/officeDocument/2006/relationships" r:embed="rId1">
          <a:duotone>
            <a:prstClr val="black"/>
            <a:schemeClr val="accent1">
              <a:tint val="45000"/>
              <a:satMod val="400000"/>
            </a:schemeClr>
          </a:duotone>
          <a:extLst>
            <a:ext uri="{28A0092B-C50C-407E-A947-70E740481C1C}">
              <a14:useLocalDpi xmlns:a14="http://schemas.microsoft.com/office/drawing/2010/main" val="0"/>
            </a:ext>
          </a:extLst>
        </a:blip>
        <a:srcRect/>
        <a:stretch>
          <a:fillRect/>
        </a:stretch>
      </xdr:blipFill>
      <xdr:spPr bwMode="auto">
        <a:xfrm>
          <a:off x="152400" y="114300"/>
          <a:ext cx="262890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619125</xdr:colOff>
      <xdr:row>0</xdr:row>
      <xdr:rowOff>47625</xdr:rowOff>
    </xdr:from>
    <xdr:to>
      <xdr:col>7</xdr:col>
      <xdr:colOff>133350</xdr:colOff>
      <xdr:row>0</xdr:row>
      <xdr:rowOff>539115</xdr:rowOff>
    </xdr:to>
    <xdr:pic>
      <xdr:nvPicPr>
        <xdr:cNvPr id="3" name="Picture 2">
          <a:extLst>
            <a:ext uri="{FF2B5EF4-FFF2-40B4-BE49-F238E27FC236}">
              <a16:creationId xmlns:a16="http://schemas.microsoft.com/office/drawing/2014/main" id="{350CB013-7435-C04F-FB8D-45FE377BC8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38725" y="47625"/>
          <a:ext cx="1800225" cy="491490"/>
        </a:xfrm>
        <a:prstGeom prst="rect">
          <a:avLst/>
        </a:prstGeom>
        <a:noFill/>
        <a:ln>
          <a:no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faros.ai/blog/the-state-of-open-source-softwar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6B7B-9256-4734-B653-760D593DBDFD}">
  <sheetPr>
    <tabColor theme="7" tint="-0.249977111117893"/>
  </sheetPr>
  <dimension ref="B6:I55"/>
  <sheetViews>
    <sheetView tabSelected="1" workbookViewId="0">
      <selection activeCell="B30" sqref="B30:C30"/>
    </sheetView>
  </sheetViews>
  <sheetFormatPr defaultRowHeight="12.75"/>
  <cols>
    <col min="1" max="1" width="10.140625" style="37" customWidth="1"/>
    <col min="2" max="3" width="11.140625" style="37" customWidth="1"/>
    <col min="4" max="4" width="5.140625" style="37" customWidth="1"/>
    <col min="5" max="5" width="11.140625" style="37" customWidth="1"/>
    <col min="6" max="6" width="12.7109375" style="37" customWidth="1"/>
    <col min="7" max="7" width="4.140625" style="37" customWidth="1"/>
    <col min="8" max="9" width="11.140625" style="37" customWidth="1"/>
    <col min="10" max="10" width="10.140625" style="37" customWidth="1"/>
    <col min="11" max="16384" width="9.140625" style="37"/>
  </cols>
  <sheetData>
    <row r="6" spans="2:9" ht="20.25">
      <c r="B6" s="821" t="s">
        <v>2554</v>
      </c>
      <c r="C6" s="821"/>
      <c r="D6" s="821"/>
      <c r="E6" s="821"/>
      <c r="F6" s="821"/>
      <c r="G6" s="821"/>
      <c r="H6" s="821"/>
      <c r="I6" s="821"/>
    </row>
    <row r="7" spans="2:9">
      <c r="B7" s="823" t="s">
        <v>2556</v>
      </c>
      <c r="C7" s="824"/>
      <c r="D7" s="824"/>
      <c r="E7" s="824"/>
      <c r="F7" s="824"/>
      <c r="G7" s="824"/>
      <c r="H7" s="824"/>
      <c r="I7" s="824"/>
    </row>
    <row r="8" spans="2:9">
      <c r="B8" s="824"/>
      <c r="C8" s="824"/>
      <c r="D8" s="824"/>
      <c r="E8" s="824"/>
      <c r="F8" s="824"/>
      <c r="G8" s="824"/>
      <c r="H8" s="824"/>
      <c r="I8" s="824"/>
    </row>
    <row r="9" spans="2:9">
      <c r="B9" s="824"/>
      <c r="C9" s="824"/>
      <c r="D9" s="824"/>
      <c r="E9" s="824"/>
      <c r="F9" s="824"/>
      <c r="G9" s="824"/>
      <c r="H9" s="824"/>
      <c r="I9" s="824"/>
    </row>
    <row r="10" spans="2:9">
      <c r="B10" s="824"/>
      <c r="C10" s="824"/>
      <c r="D10" s="824"/>
      <c r="E10" s="824"/>
      <c r="F10" s="824"/>
      <c r="G10" s="824"/>
      <c r="H10" s="824"/>
      <c r="I10" s="824"/>
    </row>
    <row r="11" spans="2:9">
      <c r="B11" s="824"/>
      <c r="C11" s="824"/>
      <c r="D11" s="824"/>
      <c r="E11" s="824"/>
      <c r="F11" s="824"/>
      <c r="G11" s="824"/>
      <c r="H11" s="824"/>
      <c r="I11" s="824"/>
    </row>
    <row r="12" spans="2:9">
      <c r="B12" s="824"/>
      <c r="C12" s="824"/>
      <c r="D12" s="824"/>
      <c r="E12" s="824"/>
      <c r="F12" s="824"/>
      <c r="G12" s="824"/>
      <c r="H12" s="824"/>
      <c r="I12" s="824"/>
    </row>
    <row r="13" spans="2:9">
      <c r="B13" s="824"/>
      <c r="C13" s="824"/>
      <c r="D13" s="824"/>
      <c r="E13" s="824"/>
      <c r="F13" s="824"/>
      <c r="G13" s="824"/>
      <c r="H13" s="824"/>
      <c r="I13" s="824"/>
    </row>
    <row r="14" spans="2:9">
      <c r="B14" s="824"/>
      <c r="C14" s="824"/>
      <c r="D14" s="824"/>
      <c r="E14" s="824"/>
      <c r="F14" s="824"/>
      <c r="G14" s="824"/>
      <c r="H14" s="824"/>
      <c r="I14" s="824"/>
    </row>
    <row r="15" spans="2:9">
      <c r="B15" s="824"/>
      <c r="C15" s="824"/>
      <c r="D15" s="824"/>
      <c r="E15" s="824"/>
      <c r="F15" s="824"/>
      <c r="G15" s="824"/>
      <c r="H15" s="824"/>
      <c r="I15" s="824"/>
    </row>
    <row r="16" spans="2:9">
      <c r="B16" s="824"/>
      <c r="C16" s="824"/>
      <c r="D16" s="824"/>
      <c r="E16" s="824"/>
      <c r="F16" s="824"/>
      <c r="G16" s="824"/>
      <c r="H16" s="824"/>
      <c r="I16" s="824"/>
    </row>
    <row r="17" spans="2:9">
      <c r="B17" s="824"/>
      <c r="C17" s="824"/>
      <c r="D17" s="824"/>
      <c r="E17" s="824"/>
      <c r="F17" s="824"/>
      <c r="G17" s="824"/>
      <c r="H17" s="824"/>
      <c r="I17" s="824"/>
    </row>
    <row r="18" spans="2:9">
      <c r="B18" s="824"/>
      <c r="C18" s="824"/>
      <c r="D18" s="824"/>
      <c r="E18" s="824"/>
      <c r="F18" s="824"/>
      <c r="G18" s="824"/>
      <c r="H18" s="824"/>
      <c r="I18" s="824"/>
    </row>
    <row r="19" spans="2:9">
      <c r="B19" s="824"/>
      <c r="C19" s="824"/>
      <c r="D19" s="824"/>
      <c r="E19" s="824"/>
      <c r="F19" s="824"/>
      <c r="G19" s="824"/>
      <c r="H19" s="824"/>
      <c r="I19" s="824"/>
    </row>
    <row r="20" spans="2:9">
      <c r="B20" s="824"/>
      <c r="C20" s="824"/>
      <c r="D20" s="824"/>
      <c r="E20" s="824"/>
      <c r="F20" s="824"/>
      <c r="G20" s="824"/>
      <c r="H20" s="824"/>
      <c r="I20" s="824"/>
    </row>
    <row r="21" spans="2:9">
      <c r="B21" s="824"/>
      <c r="C21" s="824"/>
      <c r="D21" s="824"/>
      <c r="E21" s="824"/>
      <c r="F21" s="824"/>
      <c r="G21" s="824"/>
      <c r="H21" s="824"/>
      <c r="I21" s="824"/>
    </row>
    <row r="22" spans="2:9">
      <c r="B22" s="824"/>
      <c r="C22" s="824"/>
      <c r="D22" s="824"/>
      <c r="E22" s="824"/>
      <c r="F22" s="824"/>
      <c r="G22" s="824"/>
      <c r="H22" s="824"/>
      <c r="I22" s="824"/>
    </row>
    <row r="23" spans="2:9">
      <c r="B23" s="824"/>
      <c r="C23" s="824"/>
      <c r="D23" s="824"/>
      <c r="E23" s="824"/>
      <c r="F23" s="824"/>
      <c r="G23" s="824"/>
      <c r="H23" s="824"/>
      <c r="I23" s="824"/>
    </row>
    <row r="24" spans="2:9" ht="20.25">
      <c r="B24" s="821" t="s">
        <v>2555</v>
      </c>
      <c r="C24" s="821"/>
      <c r="D24" s="821"/>
      <c r="E24" s="821"/>
      <c r="F24" s="821"/>
      <c r="G24" s="821"/>
      <c r="H24" s="821"/>
      <c r="I24" s="821"/>
    </row>
    <row r="25" spans="2:9" ht="27" customHeight="1">
      <c r="B25" s="822" t="s">
        <v>2557</v>
      </c>
      <c r="C25" s="825"/>
      <c r="D25" s="825"/>
      <c r="E25" s="825"/>
      <c r="F25" s="825"/>
      <c r="G25" s="825"/>
      <c r="H25" s="825"/>
      <c r="I25" s="825"/>
    </row>
    <row r="26" spans="2:9">
      <c r="B26" s="828" t="s">
        <v>2559</v>
      </c>
      <c r="C26" s="829"/>
      <c r="E26" s="837" t="s">
        <v>2575</v>
      </c>
      <c r="F26" s="838"/>
      <c r="H26" s="843" t="s">
        <v>2560</v>
      </c>
      <c r="I26" s="844"/>
    </row>
    <row r="27" spans="2:9">
      <c r="B27" s="830"/>
      <c r="C27" s="831"/>
      <c r="E27" s="839"/>
      <c r="F27" s="840"/>
      <c r="H27" s="845"/>
      <c r="I27" s="846"/>
    </row>
    <row r="28" spans="2:9">
      <c r="B28" s="830"/>
      <c r="C28" s="831"/>
      <c r="E28" s="839"/>
      <c r="F28" s="840"/>
      <c r="H28" s="845"/>
      <c r="I28" s="846"/>
    </row>
    <row r="29" spans="2:9" ht="3.75" customHeight="1">
      <c r="B29" s="242"/>
      <c r="C29" s="832"/>
      <c r="E29" s="242"/>
      <c r="F29" s="832"/>
      <c r="H29" s="242"/>
      <c r="I29" s="832"/>
    </row>
    <row r="30" spans="2:9">
      <c r="B30" s="833" t="s">
        <v>2561</v>
      </c>
      <c r="C30" s="834"/>
      <c r="E30" s="833" t="s">
        <v>2566</v>
      </c>
      <c r="F30" s="834"/>
      <c r="G30" s="314"/>
      <c r="H30" s="833" t="s">
        <v>2570</v>
      </c>
      <c r="I30" s="834"/>
    </row>
    <row r="31" spans="2:9">
      <c r="B31" s="833" t="s">
        <v>2562</v>
      </c>
      <c r="C31" s="834"/>
      <c r="E31" s="833" t="s">
        <v>2567</v>
      </c>
      <c r="F31" s="834"/>
      <c r="G31" s="314"/>
      <c r="H31" s="833" t="s">
        <v>2571</v>
      </c>
      <c r="I31" s="834"/>
    </row>
    <row r="32" spans="2:9">
      <c r="B32" s="833" t="s">
        <v>2563</v>
      </c>
      <c r="C32" s="834"/>
      <c r="E32" s="833" t="s">
        <v>2568</v>
      </c>
      <c r="F32" s="834"/>
      <c r="G32" s="314"/>
      <c r="H32" s="833" t="s">
        <v>2572</v>
      </c>
      <c r="I32" s="834"/>
    </row>
    <row r="33" spans="2:9">
      <c r="B33" s="833" t="s">
        <v>2564</v>
      </c>
      <c r="C33" s="834"/>
      <c r="E33" s="833" t="s">
        <v>2569</v>
      </c>
      <c r="F33" s="834"/>
      <c r="G33" s="314"/>
      <c r="H33" s="833" t="s">
        <v>2573</v>
      </c>
      <c r="I33" s="834"/>
    </row>
    <row r="34" spans="2:9">
      <c r="B34" s="835" t="s">
        <v>2565</v>
      </c>
      <c r="C34" s="836"/>
      <c r="E34" s="841"/>
      <c r="F34" s="842"/>
      <c r="G34" s="314"/>
      <c r="H34" s="841"/>
      <c r="I34" s="842"/>
    </row>
    <row r="35" spans="2:9">
      <c r="B35" s="826"/>
      <c r="C35" s="827"/>
    </row>
    <row r="36" spans="2:9" ht="20.25">
      <c r="B36" s="821" t="s">
        <v>2574</v>
      </c>
      <c r="C36" s="821"/>
      <c r="D36" s="821"/>
      <c r="E36" s="821"/>
      <c r="F36" s="821"/>
      <c r="G36" s="821"/>
      <c r="H36" s="821"/>
      <c r="I36" s="821"/>
    </row>
    <row r="37" spans="2:9" ht="56.25" customHeight="1">
      <c r="B37" s="822" t="s">
        <v>2596</v>
      </c>
      <c r="C37" s="825"/>
      <c r="D37" s="825"/>
      <c r="E37" s="825"/>
      <c r="F37" s="825"/>
      <c r="G37" s="825"/>
      <c r="H37" s="825"/>
      <c r="I37" s="825"/>
    </row>
    <row r="38" spans="2:9">
      <c r="B38" s="828" t="s">
        <v>2559</v>
      </c>
      <c r="C38" s="829"/>
      <c r="E38" s="837" t="s">
        <v>2558</v>
      </c>
      <c r="F38" s="838"/>
      <c r="H38" s="843" t="s">
        <v>2560</v>
      </c>
      <c r="I38" s="844"/>
    </row>
    <row r="39" spans="2:9">
      <c r="B39" s="830"/>
      <c r="C39" s="831"/>
      <c r="E39" s="839"/>
      <c r="F39" s="840"/>
      <c r="H39" s="845"/>
      <c r="I39" s="846"/>
    </row>
    <row r="40" spans="2:9">
      <c r="B40" s="830"/>
      <c r="C40" s="831"/>
      <c r="E40" s="839"/>
      <c r="F40" s="840"/>
      <c r="H40" s="845"/>
      <c r="I40" s="846"/>
    </row>
    <row r="41" spans="2:9">
      <c r="B41" s="833" t="s">
        <v>2576</v>
      </c>
      <c r="C41" s="834"/>
      <c r="E41" s="833" t="s">
        <v>2587</v>
      </c>
      <c r="F41" s="834"/>
      <c r="G41" s="314"/>
      <c r="H41" s="833" t="s">
        <v>2570</v>
      </c>
      <c r="I41" s="834"/>
    </row>
    <row r="42" spans="2:9">
      <c r="B42" s="847"/>
      <c r="C42" s="848"/>
      <c r="E42" s="833" t="s">
        <v>2588</v>
      </c>
      <c r="F42" s="834"/>
      <c r="G42" s="314"/>
      <c r="H42" s="833" t="s">
        <v>2571</v>
      </c>
      <c r="I42" s="834"/>
    </row>
    <row r="43" spans="2:9">
      <c r="B43" s="833" t="s">
        <v>2577</v>
      </c>
      <c r="C43" s="834"/>
      <c r="E43" s="833" t="s">
        <v>2589</v>
      </c>
      <c r="F43" s="834"/>
      <c r="G43" s="314"/>
      <c r="H43" s="833" t="s">
        <v>2572</v>
      </c>
      <c r="I43" s="834"/>
    </row>
    <row r="44" spans="2:9">
      <c r="B44" s="833" t="s">
        <v>2578</v>
      </c>
      <c r="C44" s="834"/>
      <c r="E44" s="833" t="s">
        <v>2590</v>
      </c>
      <c r="F44" s="834"/>
      <c r="G44" s="314"/>
      <c r="H44" s="833" t="s">
        <v>2573</v>
      </c>
      <c r="I44" s="834"/>
    </row>
    <row r="45" spans="2:9">
      <c r="B45" s="833" t="s">
        <v>2579</v>
      </c>
      <c r="C45" s="834"/>
      <c r="E45" s="833" t="s">
        <v>2591</v>
      </c>
      <c r="F45" s="834"/>
      <c r="G45" s="314"/>
      <c r="H45" s="852"/>
      <c r="I45" s="850"/>
    </row>
    <row r="46" spans="2:9">
      <c r="B46" s="833" t="s">
        <v>2580</v>
      </c>
      <c r="C46" s="834"/>
      <c r="E46" s="833" t="s">
        <v>2592</v>
      </c>
      <c r="F46" s="834"/>
      <c r="G46" s="314"/>
      <c r="H46" s="852"/>
      <c r="I46" s="850"/>
    </row>
    <row r="47" spans="2:9">
      <c r="B47" s="833" t="s">
        <v>2581</v>
      </c>
      <c r="C47" s="834"/>
      <c r="E47" s="849"/>
      <c r="F47" s="850"/>
      <c r="G47" s="314"/>
      <c r="H47" s="852"/>
      <c r="I47" s="850"/>
    </row>
    <row r="48" spans="2:9">
      <c r="B48" s="833" t="s">
        <v>2582</v>
      </c>
      <c r="C48" s="834"/>
      <c r="E48" s="833" t="s">
        <v>2593</v>
      </c>
      <c r="F48" s="834"/>
      <c r="G48" s="314"/>
      <c r="H48" s="852"/>
      <c r="I48" s="850"/>
    </row>
    <row r="49" spans="2:9">
      <c r="B49" s="847" t="s">
        <v>2564</v>
      </c>
      <c r="C49" s="848"/>
      <c r="E49" s="847" t="s">
        <v>2594</v>
      </c>
      <c r="F49" s="851"/>
      <c r="G49" s="314"/>
      <c r="H49" s="853"/>
      <c r="I49" s="851"/>
    </row>
    <row r="50" spans="2:9">
      <c r="B50" s="833" t="s">
        <v>2583</v>
      </c>
      <c r="C50" s="834"/>
      <c r="E50" s="833" t="s">
        <v>2595</v>
      </c>
      <c r="F50" s="834"/>
      <c r="G50" s="314"/>
      <c r="H50" s="852"/>
      <c r="I50" s="850"/>
    </row>
    <row r="51" spans="2:9">
      <c r="B51" s="833" t="s">
        <v>2584</v>
      </c>
      <c r="C51" s="834"/>
      <c r="E51" s="852"/>
      <c r="F51" s="850"/>
      <c r="G51" s="314"/>
      <c r="H51" s="852"/>
      <c r="I51" s="850"/>
    </row>
    <row r="52" spans="2:9">
      <c r="B52" s="833" t="s">
        <v>2585</v>
      </c>
      <c r="C52" s="834"/>
      <c r="E52" s="852"/>
      <c r="F52" s="850"/>
      <c r="G52" s="314"/>
      <c r="H52" s="852"/>
      <c r="I52" s="850"/>
    </row>
    <row r="53" spans="2:9">
      <c r="B53" s="835" t="s">
        <v>2586</v>
      </c>
      <c r="C53" s="836"/>
      <c r="E53" s="841"/>
      <c r="F53" s="842"/>
      <c r="G53" s="314"/>
      <c r="H53" s="841"/>
      <c r="I53" s="842"/>
    </row>
    <row r="55" spans="2:9" ht="26.25" customHeight="1">
      <c r="B55" s="854" t="s">
        <v>2597</v>
      </c>
      <c r="C55" s="855"/>
      <c r="D55" s="855"/>
      <c r="E55" s="855"/>
      <c r="F55" s="855"/>
      <c r="G55" s="855"/>
      <c r="H55" s="855"/>
      <c r="I55" s="856"/>
    </row>
  </sheetData>
  <mergeCells count="64">
    <mergeCell ref="E52:F52"/>
    <mergeCell ref="H52:I52"/>
    <mergeCell ref="E42:F42"/>
    <mergeCell ref="H42:I42"/>
    <mergeCell ref="B37:I37"/>
    <mergeCell ref="B55:I55"/>
    <mergeCell ref="B38:C40"/>
    <mergeCell ref="E38:F40"/>
    <mergeCell ref="H38:I40"/>
    <mergeCell ref="B50:C50"/>
    <mergeCell ref="E50:F50"/>
    <mergeCell ref="H50:I50"/>
    <mergeCell ref="B48:C48"/>
    <mergeCell ref="E48:F48"/>
    <mergeCell ref="H48:I48"/>
    <mergeCell ref="B53:C53"/>
    <mergeCell ref="E53:F53"/>
    <mergeCell ref="H53:I53"/>
    <mergeCell ref="B51:C51"/>
    <mergeCell ref="E51:F51"/>
    <mergeCell ref="H51:I51"/>
    <mergeCell ref="B52:C52"/>
    <mergeCell ref="B46:C46"/>
    <mergeCell ref="E46:F46"/>
    <mergeCell ref="H46:I46"/>
    <mergeCell ref="B47:C47"/>
    <mergeCell ref="E47:F47"/>
    <mergeCell ref="H47:I47"/>
    <mergeCell ref="B44:C44"/>
    <mergeCell ref="E44:F44"/>
    <mergeCell ref="H44:I44"/>
    <mergeCell ref="B45:C45"/>
    <mergeCell ref="E45:F45"/>
    <mergeCell ref="H45:I45"/>
    <mergeCell ref="B41:C41"/>
    <mergeCell ref="E41:F41"/>
    <mergeCell ref="H41:I41"/>
    <mergeCell ref="B43:C43"/>
    <mergeCell ref="E43:F43"/>
    <mergeCell ref="H43:I43"/>
    <mergeCell ref="H30:I30"/>
    <mergeCell ref="H31:I31"/>
    <mergeCell ref="H32:I32"/>
    <mergeCell ref="H33:I33"/>
    <mergeCell ref="H34:I34"/>
    <mergeCell ref="B36:I36"/>
    <mergeCell ref="E30:F30"/>
    <mergeCell ref="E31:F31"/>
    <mergeCell ref="E32:F32"/>
    <mergeCell ref="E33:F33"/>
    <mergeCell ref="E34:F34"/>
    <mergeCell ref="B30:C30"/>
    <mergeCell ref="B31:C31"/>
    <mergeCell ref="B33:C33"/>
    <mergeCell ref="B34:C34"/>
    <mergeCell ref="B32:C32"/>
    <mergeCell ref="B35:C35"/>
    <mergeCell ref="B7:I23"/>
    <mergeCell ref="B6:I6"/>
    <mergeCell ref="B24:I24"/>
    <mergeCell ref="B25:I25"/>
    <mergeCell ref="B26:C28"/>
    <mergeCell ref="E26:F28"/>
    <mergeCell ref="H26:I28"/>
  </mergeCells>
  <phoneticPr fontId="33" type="noConversion"/>
  <hyperlinks>
    <hyperlink ref="B30:C30" location="'Org Profile'!A1" display="1. Organization profile" xr:uid="{AC9BB30B-9F3C-4F45-A074-842447B35866}"/>
    <hyperlink ref="B31:C31" location="'Individual Profile'!A1" display="2. Individual profile(s)" xr:uid="{E9E177DD-01BB-41A1-AD2A-AD3AED2F5BB9}"/>
    <hyperlink ref="B33:C33" location="'Grant - Request'!A1" display="3. Grant request" xr:uid="{9BBED719-0FDA-42E5-81A9-30482AF28F32}"/>
    <hyperlink ref="B34:C34" location="'Grant - Milestone'!A1" display="4. Grant milestones" xr:uid="{E7500EA6-B8C6-449F-94B7-4AF9AC5ADFDB}"/>
    <hyperlink ref="B32:C32" location="Reference!A1" display="5. References" xr:uid="{F11041BD-9B3B-408E-B53C-687B88C27C1F}"/>
    <hyperlink ref="E30:F30" location="'Org Audit'!A1" display="1. Org information audit" xr:uid="{6DA5E6F0-04CC-48EC-8EB6-0DC3953301E1}"/>
    <hyperlink ref="E31:F31" location="'Individual Audit'!A1" display="2. Individual info audit" xr:uid="{872D1226-F312-4657-BE5C-D7115ADE1C44}"/>
    <hyperlink ref="E32:F32" location="'Reference Audit'!A1" display="3. Reference verification" xr:uid="{081AE4B4-128D-4945-8B41-D8D6B609C475}"/>
    <hyperlink ref="E33:F33" location="'Grant Audit'!A1" display="4. Grant deep dive review" xr:uid="{8D3BD1E1-0985-45E4-9440-87778098AD66}"/>
    <hyperlink ref="H30:I30" location="'VA Front Page'!A1" display="1. Main scorecard" xr:uid="{990A84A2-567A-48B1-8198-D0996DD0595E}"/>
    <hyperlink ref="H31:I31" location="'VA Detailed Scorecard Config'!A1" display="2. (Optional) L2 weights" xr:uid="{A3002AC4-7BC4-47F1-B48B-FAA6046DE439}"/>
    <hyperlink ref="H32:I32" location="'VA Dealbreakers'!A1" display="3. (Optional) Dealbreakers" xr:uid="{5B7CBC6E-8566-46A3-8C0A-0D635E7A6CA9}"/>
    <hyperlink ref="H33:I33" location="'Lookup Tables'!A1" display="4. (Optional) Deep config" xr:uid="{8581E5DE-D117-4149-9F50-C3B216FF0189}"/>
    <hyperlink ref="B41:C41" location="SampleOrg1!A1" display="1. Org profile - SampleCo" xr:uid="{A80AE155-B7FF-4FBB-8E37-BC5025C05C17}"/>
    <hyperlink ref="B43:C43" location="SamplePerson1!A1" display="2a. Individual Profile 1" xr:uid="{1AE25BE5-415A-4F20-A5D1-54182F927077}"/>
    <hyperlink ref="B44:C45" location="'Grant - Milestone'!A1" display="4. Grant milestones" xr:uid="{ED2087B2-2507-4152-B00C-B044E9D9B666}"/>
    <hyperlink ref="B50:C50" location="Milestone10000.1!A1" display="5a. Grant milestone 1" xr:uid="{119879F7-12A2-420A-BE1D-C215469A3AEC}"/>
    <hyperlink ref="B51:C53" location="'Grant - Milestone'!A1" display="4. Grant milestones" xr:uid="{97BBBF22-CFDC-4911-B946-DDD84D1A604A}"/>
    <hyperlink ref="H41:I41" location="'VA Front Page'!A1" display="1. Main scorecard" xr:uid="{7C7F21D9-85E8-4ADE-B97D-D251D08FE9BE}"/>
    <hyperlink ref="H42:I42" location="'VA Detailed Scorecard Config'!A1" display="2. (Optional) L2 weights" xr:uid="{2CAF8C09-334E-4DB9-95AB-2DCB6E50823A}"/>
    <hyperlink ref="H43:I43" location="'VA Dealbreakers'!A1" display="3. (Optional) Dealbreakers" xr:uid="{CED1FE73-FDB4-41A7-9858-31949BE22125}"/>
    <hyperlink ref="H44:I44" location="'Lookup Tables'!A1" display="4. (Optional) Deep config" xr:uid="{330568A1-5B56-46E9-A2A5-B25FF18607D8}"/>
    <hyperlink ref="B44:C44" location="SamplePerson2!A1" display="2b. Individual Profile 2" xr:uid="{0DCE81E2-EEFE-4984-88EE-79F1DD4AB7CE}"/>
    <hyperlink ref="B45:C45" location="SamplePerson3!A1" display="2c. Individual Profile 3" xr:uid="{46F947F3-9F9A-46F1-8C19-5B64E6F8EBF3}"/>
    <hyperlink ref="B46:C46" location="SampleRef1!A1" display="3a. Reference 1 - Person" xr:uid="{BA969943-BD64-4F24-B824-58AEE6625F19}"/>
    <hyperlink ref="B47:C47" location="SampleRef2!A1" display="3b. Reference 2 - Person" xr:uid="{7F04B36D-954A-4FBB-9F37-49537C64B822}"/>
    <hyperlink ref="B48:C48" location="SampleRef3!A1" display="3c. Reference 3 - Github" xr:uid="{D43A7C7D-6FBE-4742-9154-3431B2512D6E}"/>
    <hyperlink ref="B49" location="Grant10000!A1" display="4. Grant request" xr:uid="{C134AA98-6B47-49F0-AAB5-5E2221302E06}"/>
    <hyperlink ref="B51:C51" location="Milestone10000.2!A1" display="5b. Grant milestone 2" xr:uid="{2606EB2F-28C2-4351-875A-267BF799B397}"/>
    <hyperlink ref="B52:C52" location="Milestone10000.3!A1" display="5c. Grant milestone 3" xr:uid="{898B4522-8046-425B-8A28-70ECF8F0F99C}"/>
    <hyperlink ref="B53:C53" location="Milestone10000.4!A1" display="5d. Grant milestone 4" xr:uid="{35C4F177-815A-449F-A40D-CB95ACCB4EC1}"/>
    <hyperlink ref="E41:F41" location="SampleOrgAudit1!A1" display="1a. VA1 Org info audit" xr:uid="{A6D118A0-60EA-47C7-BC22-E748C90F6D63}"/>
    <hyperlink ref="E42:F42" location="SampleOrgAudit2!A1" display="1b. VA2 Org info audit" xr:uid="{09B1D088-051F-443C-8A7C-CA34B80A73C6}"/>
    <hyperlink ref="E43:F43" location="AuditSamplePerson1!A1" display="2a. Individual info audit 1" xr:uid="{7CE2D53D-969E-436A-A74B-5AEFD4A65B88}"/>
    <hyperlink ref="E44:F44" location="AuditSamplePerson2!A1" display="2b. Individual info audit 2" xr:uid="{3C394571-2181-47A2-8A80-2EFA06697226}"/>
    <hyperlink ref="E45:F45" location="AuditSamplePerson3!A1" display="2c. Individual info audit 3" xr:uid="{B22F1948-1598-4318-9CBE-1966CFDA7828}"/>
    <hyperlink ref="E46:F46" location="Ref1Audit!A1" display="3a. Reference 1 check" xr:uid="{CDA8C8E5-5A76-4AE0-9978-62EDC6D8C57D}"/>
    <hyperlink ref="E48:F48" location="Ref3Audit!A1" display="3c. Reference 3 check" xr:uid="{FF5A844B-4A91-411E-A5F3-16778C14CDFD}"/>
    <hyperlink ref="E49" location="Grant10000Audit1!A1" display="4. Grant deep dive review" xr:uid="{922CE8E4-543B-4A86-9FF9-CFB35B7513CE}"/>
    <hyperlink ref="E50:F50" location="Grant10000Audit2!A1" display="4b. Grant deep dive review 2" xr:uid="{22F004AD-3169-47DC-85A6-C8C88D97E516}"/>
    <hyperlink ref="B55:I55" location="'Data Parser'!A1" display="Under the hood: the data parser converting detailed responses into 0%-100% scores and aggregating data" xr:uid="{6BCFB83A-6FF5-4CAB-8AA0-1B3C3ADD6762}"/>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C7C57-B749-4414-B9DA-C5A6294FF767}">
  <sheetPr>
    <tabColor theme="6" tint="0.79998168889431442"/>
  </sheetPr>
  <dimension ref="A1:G46"/>
  <sheetViews>
    <sheetView workbookViewId="0">
      <selection activeCell="C35" sqref="C35"/>
    </sheetView>
  </sheetViews>
  <sheetFormatPr defaultRowHeight="12.75"/>
  <cols>
    <col min="1" max="1" width="20" style="37" customWidth="1"/>
    <col min="2" max="2" width="86.5703125" style="37" customWidth="1"/>
    <col min="3" max="3" width="33.28515625" style="314" customWidth="1"/>
    <col min="4" max="4" width="16.85546875" style="37" customWidth="1"/>
    <col min="5" max="5" width="40.140625" style="37" customWidth="1"/>
    <col min="6" max="6" width="20.28515625" style="37" customWidth="1"/>
    <col min="7" max="16384" width="9.140625" style="37"/>
  </cols>
  <sheetData>
    <row r="1" spans="1:7" ht="20.25">
      <c r="A1" s="545" t="s">
        <v>1899</v>
      </c>
      <c r="B1" s="546"/>
      <c r="C1" s="546"/>
      <c r="D1" s="547"/>
    </row>
    <row r="2" spans="1:7" ht="13.5" thickBot="1">
      <c r="A2" s="568" t="s">
        <v>1434</v>
      </c>
      <c r="B2" s="569"/>
      <c r="C2" s="569"/>
      <c r="D2" s="570"/>
    </row>
    <row r="3" spans="1:7" ht="13.5" thickBot="1">
      <c r="A3" s="345" t="s">
        <v>1329</v>
      </c>
      <c r="B3" s="346" t="s">
        <v>4</v>
      </c>
      <c r="C3" s="346" t="s">
        <v>1343</v>
      </c>
      <c r="D3" s="348" t="s">
        <v>1308</v>
      </c>
      <c r="E3" s="137"/>
    </row>
    <row r="4" spans="1:7" ht="13.5" thickBot="1">
      <c r="A4" s="375" t="s">
        <v>2008</v>
      </c>
      <c r="B4" s="354" t="s">
        <v>2038</v>
      </c>
      <c r="C4" s="443"/>
      <c r="D4" s="355"/>
      <c r="E4" s="389" t="s">
        <v>2046</v>
      </c>
      <c r="F4" s="383" t="b">
        <v>1</v>
      </c>
    </row>
    <row r="5" spans="1:7">
      <c r="A5" s="692" t="s">
        <v>1540</v>
      </c>
      <c r="B5" s="165" t="s">
        <v>1439</v>
      </c>
      <c r="C5" s="305"/>
      <c r="D5" s="166"/>
      <c r="E5" s="385" t="s">
        <v>1546</v>
      </c>
      <c r="F5" s="383" t="b">
        <v>1</v>
      </c>
    </row>
    <row r="6" spans="1:7">
      <c r="A6" s="696"/>
      <c r="B6" s="159" t="s">
        <v>1438</v>
      </c>
      <c r="C6" s="306"/>
      <c r="D6" s="155"/>
      <c r="E6" s="384" t="s">
        <v>1338</v>
      </c>
      <c r="F6" s="383" t="b">
        <v>1</v>
      </c>
    </row>
    <row r="7" spans="1:7" ht="13.5" customHeight="1" thickBot="1">
      <c r="A7" s="729"/>
      <c r="B7" s="377" t="s">
        <v>1539</v>
      </c>
      <c r="C7" s="444"/>
      <c r="D7" s="293"/>
      <c r="E7" s="389" t="s">
        <v>1393</v>
      </c>
      <c r="F7" s="383" t="b">
        <f>C6&lt;&gt;"Yes"</f>
        <v>1</v>
      </c>
    </row>
    <row r="8" spans="1:7">
      <c r="A8" s="541" t="s">
        <v>2241</v>
      </c>
      <c r="B8" s="165" t="s">
        <v>2239</v>
      </c>
      <c r="C8" s="319"/>
      <c r="D8" s="166"/>
      <c r="E8" s="386" t="s">
        <v>1338</v>
      </c>
      <c r="F8" s="383" t="b">
        <v>1</v>
      </c>
      <c r="G8" s="102" t="s">
        <v>2240</v>
      </c>
    </row>
    <row r="9" spans="1:7" ht="13.5" thickBot="1">
      <c r="A9" s="523"/>
      <c r="B9" s="172" t="s">
        <v>2242</v>
      </c>
      <c r="C9" s="317"/>
      <c r="D9" s="171"/>
      <c r="E9" s="386" t="s">
        <v>1338</v>
      </c>
      <c r="F9" s="383" t="b">
        <v>1</v>
      </c>
      <c r="G9" s="102"/>
    </row>
    <row r="10" spans="1:7" ht="12.75" customHeight="1">
      <c r="A10" s="561" t="s">
        <v>1896</v>
      </c>
      <c r="B10" s="239" t="s">
        <v>1530</v>
      </c>
      <c r="C10" s="432"/>
      <c r="D10" s="300"/>
      <c r="E10" s="386" t="s">
        <v>1338</v>
      </c>
      <c r="F10" s="383" t="b">
        <f>$C$8&lt;&gt;"No"</f>
        <v>1</v>
      </c>
      <c r="G10" s="102"/>
    </row>
    <row r="11" spans="1:7">
      <c r="A11" s="561"/>
      <c r="B11" s="159" t="s">
        <v>1603</v>
      </c>
      <c r="C11" s="306"/>
      <c r="D11" s="155"/>
      <c r="E11" s="386" t="s">
        <v>1512</v>
      </c>
      <c r="F11" s="383" t="b">
        <f t="shared" ref="F11:F28" si="0">$C$8&lt;&gt;"No"</f>
        <v>1</v>
      </c>
      <c r="G11" s="102"/>
    </row>
    <row r="12" spans="1:7">
      <c r="A12" s="561"/>
      <c r="B12" s="159" t="s">
        <v>1531</v>
      </c>
      <c r="C12" s="431"/>
      <c r="D12" s="155"/>
      <c r="E12" s="387" t="s">
        <v>1391</v>
      </c>
      <c r="F12" s="383" t="b">
        <f t="shared" si="0"/>
        <v>1</v>
      </c>
      <c r="G12" s="102"/>
    </row>
    <row r="13" spans="1:7">
      <c r="A13" s="561"/>
      <c r="B13" s="159" t="s">
        <v>1595</v>
      </c>
      <c r="C13" s="431"/>
      <c r="D13" s="155"/>
      <c r="E13" s="387" t="s">
        <v>1597</v>
      </c>
      <c r="F13" s="383" t="b">
        <f t="shared" si="0"/>
        <v>1</v>
      </c>
      <c r="G13" s="102"/>
    </row>
    <row r="14" spans="1:7">
      <c r="A14" s="561"/>
      <c r="B14" s="159" t="s">
        <v>1596</v>
      </c>
      <c r="C14" s="431"/>
      <c r="D14" s="155"/>
      <c r="E14" s="387" t="s">
        <v>1598</v>
      </c>
      <c r="F14" s="383" t="b">
        <f t="shared" si="0"/>
        <v>1</v>
      </c>
      <c r="G14" s="102"/>
    </row>
    <row r="15" spans="1:7">
      <c r="A15" s="561"/>
      <c r="B15" s="159" t="s">
        <v>1599</v>
      </c>
      <c r="C15" s="431"/>
      <c r="D15" s="155"/>
      <c r="E15" s="387" t="s">
        <v>1391</v>
      </c>
      <c r="F15" s="383" t="b">
        <f t="shared" si="0"/>
        <v>1</v>
      </c>
      <c r="G15" s="102"/>
    </row>
    <row r="16" spans="1:7">
      <c r="A16" s="561"/>
      <c r="B16" s="159" t="s">
        <v>1602</v>
      </c>
      <c r="C16" s="431"/>
      <c r="D16" s="155"/>
      <c r="E16" s="387" t="s">
        <v>1391</v>
      </c>
      <c r="F16" s="383" t="b">
        <f t="shared" si="0"/>
        <v>1</v>
      </c>
      <c r="G16" s="102"/>
    </row>
    <row r="17" spans="1:7" ht="13.5" thickBot="1">
      <c r="A17" s="567"/>
      <c r="B17" s="172" t="s">
        <v>1601</v>
      </c>
      <c r="C17" s="446"/>
      <c r="D17" s="171"/>
      <c r="E17" s="387" t="s">
        <v>1391</v>
      </c>
      <c r="F17" s="383" t="b">
        <f t="shared" si="0"/>
        <v>1</v>
      </c>
      <c r="G17" s="102"/>
    </row>
    <row r="18" spans="1:7">
      <c r="A18" s="538" t="s">
        <v>1891</v>
      </c>
      <c r="B18" s="165" t="s">
        <v>1897</v>
      </c>
      <c r="C18" s="310"/>
      <c r="D18" s="166"/>
      <c r="E18" s="386" t="s">
        <v>1514</v>
      </c>
      <c r="F18" s="383" t="b">
        <f t="shared" si="0"/>
        <v>1</v>
      </c>
      <c r="G18" s="102"/>
    </row>
    <row r="19" spans="1:7">
      <c r="A19" s="561"/>
      <c r="B19" s="159" t="s">
        <v>1898</v>
      </c>
      <c r="C19" s="306"/>
      <c r="D19" s="155"/>
      <c r="E19" s="386" t="s">
        <v>1514</v>
      </c>
      <c r="F19" s="383" t="b">
        <f t="shared" si="0"/>
        <v>1</v>
      </c>
      <c r="G19" s="102"/>
    </row>
    <row r="20" spans="1:7">
      <c r="A20" s="561"/>
      <c r="B20" s="159" t="s">
        <v>2039</v>
      </c>
      <c r="C20" s="306"/>
      <c r="D20" s="155"/>
      <c r="E20" s="386" t="s">
        <v>1903</v>
      </c>
      <c r="F20" s="383" t="b">
        <f t="shared" si="0"/>
        <v>1</v>
      </c>
      <c r="G20" s="102"/>
    </row>
    <row r="21" spans="1:7">
      <c r="A21" s="561"/>
      <c r="B21" s="159" t="s">
        <v>2040</v>
      </c>
      <c r="C21" s="306"/>
      <c r="D21" s="155"/>
      <c r="E21" s="386" t="s">
        <v>1903</v>
      </c>
      <c r="F21" s="383" t="b">
        <f t="shared" si="0"/>
        <v>1</v>
      </c>
      <c r="G21" s="102"/>
    </row>
    <row r="22" spans="1:7">
      <c r="A22" s="561"/>
      <c r="B22" s="159" t="s">
        <v>2041</v>
      </c>
      <c r="C22" s="306"/>
      <c r="D22" s="155"/>
      <c r="E22" s="386" t="s">
        <v>1903</v>
      </c>
      <c r="F22" s="383" t="b">
        <f t="shared" si="0"/>
        <v>1</v>
      </c>
      <c r="G22" s="102"/>
    </row>
    <row r="23" spans="1:7">
      <c r="A23" s="561"/>
      <c r="B23" s="159" t="s">
        <v>2042</v>
      </c>
      <c r="C23" s="306"/>
      <c r="D23" s="155"/>
      <c r="E23" s="386" t="s">
        <v>1903</v>
      </c>
      <c r="F23" s="383" t="b">
        <f t="shared" si="0"/>
        <v>1</v>
      </c>
      <c r="G23" s="102"/>
    </row>
    <row r="24" spans="1:7">
      <c r="A24" s="561"/>
      <c r="B24" s="159" t="s">
        <v>2043</v>
      </c>
      <c r="C24" s="306"/>
      <c r="D24" s="155"/>
      <c r="E24" s="386" t="s">
        <v>1903</v>
      </c>
      <c r="F24" s="383" t="b">
        <f t="shared" si="0"/>
        <v>1</v>
      </c>
      <c r="G24" s="102"/>
    </row>
    <row r="25" spans="1:7">
      <c r="A25" s="561"/>
      <c r="B25" s="159" t="s">
        <v>2044</v>
      </c>
      <c r="C25" s="306"/>
      <c r="D25" s="155"/>
      <c r="E25" s="386" t="s">
        <v>1903</v>
      </c>
      <c r="F25" s="383" t="b">
        <f t="shared" si="0"/>
        <v>1</v>
      </c>
      <c r="G25" s="102"/>
    </row>
    <row r="26" spans="1:7">
      <c r="A26" s="561"/>
      <c r="B26" s="159" t="s">
        <v>1535</v>
      </c>
      <c r="C26" s="306"/>
      <c r="D26" s="155"/>
      <c r="E26" s="386" t="s">
        <v>1338</v>
      </c>
      <c r="F26" s="383" t="b">
        <f t="shared" si="0"/>
        <v>1</v>
      </c>
      <c r="G26" s="102"/>
    </row>
    <row r="27" spans="1:7">
      <c r="A27" s="561"/>
      <c r="B27" s="159" t="s">
        <v>1534</v>
      </c>
      <c r="C27" s="306"/>
      <c r="D27" s="155"/>
      <c r="E27" s="386" t="s">
        <v>1514</v>
      </c>
      <c r="F27" s="383" t="b">
        <f t="shared" si="0"/>
        <v>1</v>
      </c>
      <c r="G27" s="102"/>
    </row>
    <row r="28" spans="1:7" ht="13.5" thickBot="1">
      <c r="A28" s="561"/>
      <c r="B28" s="339" t="s">
        <v>1543</v>
      </c>
      <c r="C28" s="444"/>
      <c r="D28" s="293"/>
      <c r="E28" s="385" t="s">
        <v>1546</v>
      </c>
      <c r="F28" s="383" t="b">
        <f t="shared" si="0"/>
        <v>1</v>
      </c>
      <c r="G28" s="102"/>
    </row>
    <row r="29" spans="1:7">
      <c r="A29" s="563" t="s">
        <v>2243</v>
      </c>
      <c r="B29" s="165" t="s">
        <v>1892</v>
      </c>
      <c r="C29" s="310"/>
      <c r="D29" s="166"/>
      <c r="E29" s="386" t="s">
        <v>1338</v>
      </c>
      <c r="F29" s="383" t="b">
        <v>1</v>
      </c>
    </row>
    <row r="30" spans="1:7">
      <c r="A30" s="564"/>
      <c r="B30" s="159" t="s">
        <v>1893</v>
      </c>
      <c r="C30" s="306"/>
      <c r="D30" s="155"/>
      <c r="E30" s="386" t="s">
        <v>1903</v>
      </c>
      <c r="F30" s="383" t="b">
        <v>1</v>
      </c>
    </row>
    <row r="31" spans="1:7">
      <c r="A31" s="562"/>
      <c r="B31" s="159" t="s">
        <v>1894</v>
      </c>
      <c r="C31" s="311"/>
      <c r="D31" s="293"/>
      <c r="E31" s="386" t="s">
        <v>1903</v>
      </c>
      <c r="F31" s="383" t="b">
        <v>1</v>
      </c>
    </row>
    <row r="32" spans="1:7" ht="13.5" thickBot="1">
      <c r="A32" s="565"/>
      <c r="B32" s="172" t="s">
        <v>1895</v>
      </c>
      <c r="C32" s="307"/>
      <c r="D32" s="171"/>
      <c r="E32" s="386" t="s">
        <v>1903</v>
      </c>
      <c r="F32" s="383" t="b">
        <v>1</v>
      </c>
    </row>
    <row r="33" spans="1:6">
      <c r="A33" s="322" t="s">
        <v>1544</v>
      </c>
      <c r="B33" s="239" t="s">
        <v>1545</v>
      </c>
      <c r="C33" s="432"/>
      <c r="D33" s="300"/>
      <c r="E33" s="386" t="s">
        <v>1464</v>
      </c>
      <c r="F33" s="383" t="b">
        <f>$C$9&lt;&gt;"No"</f>
        <v>1</v>
      </c>
    </row>
    <row r="34" spans="1:6">
      <c r="A34" s="322"/>
      <c r="B34" s="159" t="s">
        <v>1551</v>
      </c>
      <c r="C34" s="306"/>
      <c r="D34" s="155"/>
      <c r="E34" s="386" t="s">
        <v>1464</v>
      </c>
      <c r="F34" s="383" t="b">
        <f t="shared" ref="F34:F39" si="1">$C$9&lt;&gt;"No"</f>
        <v>1</v>
      </c>
    </row>
    <row r="35" spans="1:6">
      <c r="A35" s="322"/>
      <c r="B35" s="159" t="s">
        <v>1552</v>
      </c>
      <c r="C35" s="306"/>
      <c r="D35" s="155"/>
      <c r="E35" s="386" t="s">
        <v>1514</v>
      </c>
      <c r="F35" s="383" t="b">
        <f t="shared" si="1"/>
        <v>1</v>
      </c>
    </row>
    <row r="36" spans="1:6">
      <c r="A36" s="322"/>
      <c r="B36" s="159" t="s">
        <v>1553</v>
      </c>
      <c r="C36" s="306"/>
      <c r="D36" s="155"/>
      <c r="E36" s="386" t="s">
        <v>1514</v>
      </c>
      <c r="F36" s="383" t="b">
        <f t="shared" si="1"/>
        <v>1</v>
      </c>
    </row>
    <row r="37" spans="1:6">
      <c r="A37" s="322"/>
      <c r="B37" s="159" t="s">
        <v>1554</v>
      </c>
      <c r="C37" s="306"/>
      <c r="D37" s="155"/>
      <c r="E37" s="386" t="s">
        <v>1514</v>
      </c>
      <c r="F37" s="383" t="b">
        <f t="shared" si="1"/>
        <v>1</v>
      </c>
    </row>
    <row r="38" spans="1:6">
      <c r="A38" s="322"/>
      <c r="B38" s="159" t="s">
        <v>1556</v>
      </c>
      <c r="C38" s="311"/>
      <c r="D38" s="293"/>
      <c r="E38" s="386" t="s">
        <v>1514</v>
      </c>
      <c r="F38" s="383" t="b">
        <f t="shared" si="1"/>
        <v>1</v>
      </c>
    </row>
    <row r="39" spans="1:6" ht="13.5" thickBot="1">
      <c r="A39" s="323"/>
      <c r="B39" s="172" t="s">
        <v>1555</v>
      </c>
      <c r="C39" s="170"/>
      <c r="D39" s="171"/>
      <c r="E39" s="385" t="s">
        <v>1393</v>
      </c>
      <c r="F39" s="383" t="b">
        <f t="shared" si="1"/>
        <v>1</v>
      </c>
    </row>
    <row r="40" spans="1:6" ht="13.5" thickBot="1">
      <c r="A40" s="375" t="s">
        <v>1900</v>
      </c>
      <c r="B40" s="354" t="s">
        <v>1901</v>
      </c>
      <c r="C40" s="307"/>
      <c r="D40" s="171"/>
      <c r="E40" s="384" t="s">
        <v>1338</v>
      </c>
      <c r="F40" s="383" t="b">
        <v>1</v>
      </c>
    </row>
    <row r="41" spans="1:6" ht="13.5" thickBot="1"/>
    <row r="42" spans="1:6" ht="21" thickBot="1">
      <c r="A42" s="524" t="s">
        <v>2004</v>
      </c>
      <c r="B42" s="525"/>
      <c r="C42" s="525"/>
      <c r="D42" s="526"/>
    </row>
    <row r="43" spans="1:6">
      <c r="A43" s="518" t="s">
        <v>1684</v>
      </c>
      <c r="B43" s="519"/>
      <c r="C43" s="519"/>
      <c r="D43" s="520"/>
    </row>
    <row r="44" spans="1:6">
      <c r="A44" s="243" t="s">
        <v>1329</v>
      </c>
      <c r="B44" s="243" t="s">
        <v>4</v>
      </c>
      <c r="C44" s="243" t="s">
        <v>1343</v>
      </c>
      <c r="D44" s="243" t="s">
        <v>1308</v>
      </c>
    </row>
    <row r="45" spans="1:6">
      <c r="A45" s="543" t="s">
        <v>1983</v>
      </c>
      <c r="B45" s="159" t="s">
        <v>1985</v>
      </c>
      <c r="C45" s="306"/>
      <c r="D45" s="99"/>
      <c r="E45" s="349" t="s">
        <v>1338</v>
      </c>
      <c r="F45" s="383" t="b">
        <v>1</v>
      </c>
    </row>
    <row r="46" spans="1:6">
      <c r="A46" s="544"/>
      <c r="B46" s="159" t="s">
        <v>1984</v>
      </c>
      <c r="C46" s="431"/>
      <c r="D46" s="99"/>
      <c r="E46" s="382" t="s">
        <v>1619</v>
      </c>
      <c r="F46" s="383" t="b">
        <v>1</v>
      </c>
    </row>
  </sheetData>
  <mergeCells count="10">
    <mergeCell ref="A1:D1"/>
    <mergeCell ref="A2:D2"/>
    <mergeCell ref="A5:A7"/>
    <mergeCell ref="A10:A17"/>
    <mergeCell ref="A8:A9"/>
    <mergeCell ref="A18:A28"/>
    <mergeCell ref="A29:A32"/>
    <mergeCell ref="A42:D42"/>
    <mergeCell ref="A43:D43"/>
    <mergeCell ref="A45:A46"/>
  </mergeCells>
  <conditionalFormatting sqref="F10:F40">
    <cfRule type="cellIs" dxfId="142" priority="8" operator="equal">
      <formula>TRUE</formula>
    </cfRule>
  </conditionalFormatting>
  <conditionalFormatting sqref="F45:F46">
    <cfRule type="cellIs" dxfId="141" priority="7" operator="equal">
      <formula>TRUE</formula>
    </cfRule>
  </conditionalFormatting>
  <conditionalFormatting sqref="F4">
    <cfRule type="cellIs" dxfId="140" priority="6" operator="equal">
      <formula>TRUE</formula>
    </cfRule>
  </conditionalFormatting>
  <conditionalFormatting sqref="F5:F6">
    <cfRule type="cellIs" dxfId="139" priority="5" operator="equal">
      <formula>TRUE</formula>
    </cfRule>
  </conditionalFormatting>
  <conditionalFormatting sqref="F7:F9">
    <cfRule type="cellIs" dxfId="138" priority="4" operator="equal">
      <formula>TRUE</formula>
    </cfRule>
  </conditionalFormatting>
  <conditionalFormatting sqref="B7:D7">
    <cfRule type="expression" dxfId="137" priority="3">
      <formula>$F7=FALSE</formula>
    </cfRule>
  </conditionalFormatting>
  <conditionalFormatting sqref="A5:D28 A33:D40 B29:D32">
    <cfRule type="expression" dxfId="136" priority="1">
      <formula>$F5=FALSE</formula>
    </cfRule>
  </conditionalFormatting>
  <dataValidations count="2">
    <dataValidation type="whole" operator="greaterThanOrEqual" allowBlank="1" showInputMessage="1" showErrorMessage="1" sqref="C12:C17 C46" xr:uid="{DE435278-8F60-4BC6-8AE3-3C842099DCCD}">
      <formula1>0</formula1>
    </dataValidation>
    <dataValidation type="list" allowBlank="1" showInputMessage="1" showErrorMessage="1" sqref="C40 C45 C18:C27 C8:C11 C29:C38 C6" xr:uid="{A6CB7AA6-8505-4D80-B500-C29B1BA7E7E7}">
      <formula1>INDIRECT($E6)</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924D-192B-4F15-8104-C24403FBDFD5}">
  <sheetPr>
    <tabColor theme="4" tint="0.79998168889431442"/>
  </sheetPr>
  <dimension ref="A1:I106"/>
  <sheetViews>
    <sheetView workbookViewId="0">
      <pane ySplit="3" topLeftCell="A4" activePane="bottomLeft" state="frozen"/>
      <selection pane="bottomLeft" activeCell="F15" sqref="F15:F17"/>
    </sheetView>
  </sheetViews>
  <sheetFormatPr defaultRowHeight="12.75"/>
  <cols>
    <col min="1" max="1" width="20" style="37" customWidth="1"/>
    <col min="2" max="2" width="86.5703125" style="37" customWidth="1"/>
    <col min="3" max="3" width="33.28515625" style="314" customWidth="1"/>
    <col min="4" max="4" width="16.85546875" style="37" customWidth="1"/>
    <col min="5" max="5" width="59.7109375" style="37" customWidth="1"/>
    <col min="6" max="6" width="27.28515625" style="37" customWidth="1"/>
    <col min="7" max="7" width="29.7109375" style="37" customWidth="1"/>
    <col min="8" max="8" width="18.140625" style="37" customWidth="1"/>
    <col min="9" max="16384" width="9.140625" style="37"/>
  </cols>
  <sheetData>
    <row r="1" spans="1:9" ht="20.25" customHeight="1">
      <c r="A1" s="555" t="s">
        <v>1563</v>
      </c>
      <c r="B1" s="556"/>
      <c r="C1" s="556"/>
      <c r="D1" s="557"/>
      <c r="E1" s="552" t="s">
        <v>1394</v>
      </c>
      <c r="F1" s="517" t="s">
        <v>1953</v>
      </c>
      <c r="G1" s="551" t="s">
        <v>2000</v>
      </c>
      <c r="H1" s="551" t="s">
        <v>2205</v>
      </c>
      <c r="I1" s="551" t="s">
        <v>2209</v>
      </c>
    </row>
    <row r="2" spans="1:9">
      <c r="A2" s="558" t="s">
        <v>1630</v>
      </c>
      <c r="B2" s="559"/>
      <c r="C2" s="559"/>
      <c r="D2" s="560"/>
      <c r="E2" s="553"/>
      <c r="F2" s="517"/>
      <c r="G2" s="517"/>
      <c r="H2" s="517"/>
      <c r="I2" s="517"/>
    </row>
    <row r="3" spans="1:9" ht="13.5" thickBot="1">
      <c r="A3" s="394" t="s">
        <v>1329</v>
      </c>
      <c r="B3" s="243" t="s">
        <v>4</v>
      </c>
      <c r="C3" s="243" t="s">
        <v>1343</v>
      </c>
      <c r="D3" s="395" t="s">
        <v>1308</v>
      </c>
      <c r="E3" s="553"/>
      <c r="F3" s="517"/>
      <c r="G3" s="517"/>
      <c r="H3" s="517"/>
      <c r="I3" s="517"/>
    </row>
    <row r="4" spans="1:9">
      <c r="A4" s="246" t="s">
        <v>1396</v>
      </c>
      <c r="B4" s="165" t="s">
        <v>1909</v>
      </c>
      <c r="C4" s="305"/>
      <c r="D4" s="166"/>
      <c r="E4" s="389" t="s">
        <v>1910</v>
      </c>
      <c r="F4" s="383" t="b">
        <f>$G4&lt;=$C$7</f>
        <v>1</v>
      </c>
      <c r="G4" s="37">
        <v>0</v>
      </c>
    </row>
    <row r="5" spans="1:9">
      <c r="A5" s="322"/>
      <c r="B5" s="239" t="s">
        <v>1397</v>
      </c>
      <c r="C5" s="313"/>
      <c r="D5" s="300"/>
      <c r="E5" s="385" t="s">
        <v>1550</v>
      </c>
      <c r="F5" s="383" t="b">
        <f t="shared" ref="F5:F71" si="0">$G5&lt;=$C$7</f>
        <v>1</v>
      </c>
      <c r="G5" s="37">
        <v>0</v>
      </c>
    </row>
    <row r="6" spans="1:9">
      <c r="A6" s="322"/>
      <c r="B6" s="159" t="s">
        <v>1398</v>
      </c>
      <c r="C6" s="306"/>
      <c r="D6" s="155"/>
      <c r="E6" s="386" t="s">
        <v>1369</v>
      </c>
      <c r="F6" s="383" t="b">
        <f t="shared" si="0"/>
        <v>1</v>
      </c>
      <c r="G6" s="37">
        <v>0</v>
      </c>
    </row>
    <row r="7" spans="1:9">
      <c r="A7" s="322"/>
      <c r="B7" s="159" t="s">
        <v>1637</v>
      </c>
      <c r="C7" s="442">
        <v>1000000</v>
      </c>
      <c r="D7" s="155"/>
      <c r="E7" s="387" t="s">
        <v>1864</v>
      </c>
      <c r="F7" s="383" t="b">
        <f t="shared" si="0"/>
        <v>1</v>
      </c>
      <c r="G7" s="37">
        <v>0</v>
      </c>
      <c r="I7" s="102" t="s">
        <v>2208</v>
      </c>
    </row>
    <row r="8" spans="1:9" ht="25.5">
      <c r="A8" s="322"/>
      <c r="B8" s="240" t="s">
        <v>1911</v>
      </c>
      <c r="C8" s="306"/>
      <c r="D8" s="155"/>
      <c r="E8" s="386" t="s">
        <v>2180</v>
      </c>
      <c r="F8" s="383" t="b">
        <f t="shared" si="0"/>
        <v>1</v>
      </c>
      <c r="G8" s="37">
        <v>0</v>
      </c>
    </row>
    <row r="9" spans="1:9">
      <c r="A9" s="322"/>
      <c r="B9" s="159" t="s">
        <v>1636</v>
      </c>
      <c r="C9" s="306" t="s">
        <v>1623</v>
      </c>
      <c r="D9" s="155"/>
      <c r="E9" s="386" t="s">
        <v>1620</v>
      </c>
      <c r="F9" s="383" t="b">
        <f t="shared" si="0"/>
        <v>1</v>
      </c>
      <c r="G9" s="37">
        <v>0</v>
      </c>
      <c r="I9" s="102" t="s">
        <v>2208</v>
      </c>
    </row>
    <row r="10" spans="1:9">
      <c r="A10" s="322"/>
      <c r="B10" s="240" t="s">
        <v>1625</v>
      </c>
      <c r="C10" s="308"/>
      <c r="D10" s="155"/>
      <c r="E10" s="385" t="s">
        <v>1393</v>
      </c>
      <c r="F10" s="383" t="b">
        <f t="shared" si="0"/>
        <v>1</v>
      </c>
      <c r="G10" s="37">
        <v>0</v>
      </c>
    </row>
    <row r="11" spans="1:9" ht="13.5" thickBot="1">
      <c r="A11" s="322"/>
      <c r="B11" s="342" t="s">
        <v>1682</v>
      </c>
      <c r="C11" s="428"/>
      <c r="D11" s="332"/>
      <c r="E11" s="385" t="s">
        <v>1393</v>
      </c>
      <c r="F11" s="383" t="b">
        <f t="shared" si="0"/>
        <v>1</v>
      </c>
      <c r="G11" s="37">
        <v>0</v>
      </c>
    </row>
    <row r="12" spans="1:9" ht="13.5" customHeight="1" thickBot="1">
      <c r="A12" s="360" t="s">
        <v>1746</v>
      </c>
      <c r="B12" s="361" t="s">
        <v>1748</v>
      </c>
      <c r="C12" s="443"/>
      <c r="D12" s="355"/>
      <c r="E12" s="389" t="s">
        <v>1747</v>
      </c>
      <c r="F12" s="383" t="b">
        <f t="shared" si="0"/>
        <v>1</v>
      </c>
      <c r="G12" s="37">
        <v>0</v>
      </c>
    </row>
    <row r="13" spans="1:9">
      <c r="A13" s="561" t="s">
        <v>1652</v>
      </c>
      <c r="B13" s="239" t="s">
        <v>2075</v>
      </c>
      <c r="C13" s="432"/>
      <c r="D13" s="300"/>
      <c r="E13" s="386" t="s">
        <v>1634</v>
      </c>
      <c r="F13" s="383" t="b">
        <f t="shared" si="0"/>
        <v>1</v>
      </c>
      <c r="G13" s="37">
        <v>0</v>
      </c>
    </row>
    <row r="14" spans="1:9">
      <c r="A14" s="561"/>
      <c r="B14" s="159" t="s">
        <v>1671</v>
      </c>
      <c r="C14" s="308"/>
      <c r="D14" s="155"/>
      <c r="E14" s="385" t="s">
        <v>1393</v>
      </c>
      <c r="F14" s="383" t="b">
        <f t="shared" si="0"/>
        <v>1</v>
      </c>
      <c r="G14" s="37">
        <v>0</v>
      </c>
    </row>
    <row r="15" spans="1:9" ht="25.5" customHeight="1">
      <c r="A15" s="561"/>
      <c r="B15" s="240" t="s">
        <v>2020</v>
      </c>
      <c r="C15" s="306"/>
      <c r="D15" s="155"/>
      <c r="E15" s="386" t="s">
        <v>1399</v>
      </c>
      <c r="F15" s="383" t="b">
        <v>0</v>
      </c>
      <c r="G15" s="37">
        <v>0</v>
      </c>
      <c r="I15" s="102" t="s">
        <v>2210</v>
      </c>
    </row>
    <row r="16" spans="1:9">
      <c r="A16" s="561"/>
      <c r="B16" s="159" t="s">
        <v>2021</v>
      </c>
      <c r="C16" s="306"/>
      <c r="D16" s="155"/>
      <c r="E16" s="386" t="s">
        <v>1399</v>
      </c>
      <c r="F16" s="383" t="b">
        <v>0</v>
      </c>
      <c r="G16" s="37">
        <v>0</v>
      </c>
    </row>
    <row r="17" spans="1:7">
      <c r="A17" s="561"/>
      <c r="B17" s="159" t="s">
        <v>2022</v>
      </c>
      <c r="C17" s="306"/>
      <c r="D17" s="155"/>
      <c r="E17" s="386" t="s">
        <v>1399</v>
      </c>
      <c r="F17" s="383" t="b">
        <v>0</v>
      </c>
      <c r="G17" s="37">
        <v>0</v>
      </c>
    </row>
    <row r="18" spans="1:7">
      <c r="A18" s="561"/>
      <c r="B18" s="159" t="s">
        <v>1626</v>
      </c>
      <c r="C18" s="308"/>
      <c r="D18" s="155"/>
      <c r="E18" s="385" t="s">
        <v>1393</v>
      </c>
      <c r="F18" s="383" t="b">
        <f t="shared" si="0"/>
        <v>1</v>
      </c>
      <c r="G18" s="37">
        <v>0</v>
      </c>
    </row>
    <row r="19" spans="1:7" ht="25.5">
      <c r="A19" s="561"/>
      <c r="B19" s="240" t="s">
        <v>2023</v>
      </c>
      <c r="C19" s="431"/>
      <c r="D19" s="155"/>
      <c r="E19" s="387" t="s">
        <v>1567</v>
      </c>
      <c r="F19" s="383" t="b">
        <f t="shared" si="0"/>
        <v>1</v>
      </c>
      <c r="G19" s="37">
        <v>0</v>
      </c>
    </row>
    <row r="20" spans="1:7">
      <c r="A20" s="561"/>
      <c r="B20" s="159" t="s">
        <v>2024</v>
      </c>
      <c r="C20" s="431"/>
      <c r="D20" s="155"/>
      <c r="E20" s="387" t="s">
        <v>1567</v>
      </c>
      <c r="F20" s="383" t="b">
        <f t="shared" si="0"/>
        <v>1</v>
      </c>
      <c r="G20" s="37">
        <v>0</v>
      </c>
    </row>
    <row r="21" spans="1:7">
      <c r="A21" s="561"/>
      <c r="B21" s="159" t="s">
        <v>2025</v>
      </c>
      <c r="C21" s="431"/>
      <c r="D21" s="155"/>
      <c r="E21" s="387" t="s">
        <v>1567</v>
      </c>
      <c r="F21" s="383" t="b">
        <f t="shared" si="0"/>
        <v>1</v>
      </c>
      <c r="G21" s="37">
        <v>0</v>
      </c>
    </row>
    <row r="22" spans="1:7" ht="13.5" thickBot="1">
      <c r="A22" s="561"/>
      <c r="B22" s="339" t="s">
        <v>1627</v>
      </c>
      <c r="C22" s="444"/>
      <c r="D22" s="293"/>
      <c r="E22" s="385" t="s">
        <v>1393</v>
      </c>
      <c r="F22" s="383" t="b">
        <f t="shared" si="0"/>
        <v>1</v>
      </c>
      <c r="G22" s="37">
        <v>0</v>
      </c>
    </row>
    <row r="23" spans="1:7">
      <c r="A23" s="531" t="s">
        <v>1558</v>
      </c>
      <c r="B23" s="165" t="s">
        <v>1618</v>
      </c>
      <c r="C23" s="429"/>
      <c r="D23" s="166"/>
      <c r="E23" s="387" t="s">
        <v>1391</v>
      </c>
      <c r="F23" s="383" t="b">
        <f t="shared" si="0"/>
        <v>1</v>
      </c>
      <c r="G23" s="37">
        <v>10000</v>
      </c>
    </row>
    <row r="24" spans="1:7">
      <c r="A24" s="532"/>
      <c r="B24" s="159" t="s">
        <v>1635</v>
      </c>
      <c r="C24" s="431"/>
      <c r="D24" s="155"/>
      <c r="E24" s="387" t="s">
        <v>1638</v>
      </c>
      <c r="F24" s="383" t="b">
        <f t="shared" si="0"/>
        <v>1</v>
      </c>
      <c r="G24" s="37">
        <v>10000</v>
      </c>
    </row>
    <row r="25" spans="1:7">
      <c r="A25" s="532"/>
      <c r="B25" s="159" t="s">
        <v>1628</v>
      </c>
      <c r="C25" s="308"/>
      <c r="D25" s="155"/>
      <c r="E25" s="389" t="s">
        <v>1562</v>
      </c>
      <c r="F25" s="383" t="b">
        <f t="shared" si="0"/>
        <v>1</v>
      </c>
      <c r="G25" s="37">
        <v>0</v>
      </c>
    </row>
    <row r="26" spans="1:7">
      <c r="A26" s="532"/>
      <c r="B26" s="159" t="s">
        <v>1559</v>
      </c>
      <c r="C26" s="308"/>
      <c r="D26" s="155"/>
      <c r="E26" s="389" t="s">
        <v>1562</v>
      </c>
      <c r="F26" s="383" t="b">
        <f t="shared" si="0"/>
        <v>1</v>
      </c>
      <c r="G26" s="37">
        <v>0</v>
      </c>
    </row>
    <row r="27" spans="1:7">
      <c r="A27" s="532"/>
      <c r="B27" s="159" t="s">
        <v>1560</v>
      </c>
      <c r="C27" s="308"/>
      <c r="D27" s="155"/>
      <c r="E27" s="389" t="s">
        <v>1562</v>
      </c>
      <c r="F27" s="383" t="b">
        <f t="shared" si="0"/>
        <v>1</v>
      </c>
      <c r="G27" s="37">
        <v>0</v>
      </c>
    </row>
    <row r="28" spans="1:7" ht="13.5" thickBot="1">
      <c r="A28" s="533"/>
      <c r="B28" s="172" t="s">
        <v>1561</v>
      </c>
      <c r="C28" s="309"/>
      <c r="D28" s="171"/>
      <c r="E28" s="389" t="s">
        <v>1562</v>
      </c>
      <c r="F28" s="383" t="b">
        <f t="shared" si="0"/>
        <v>1</v>
      </c>
      <c r="G28" s="37">
        <v>0</v>
      </c>
    </row>
    <row r="29" spans="1:7">
      <c r="A29" s="246" t="s">
        <v>1642</v>
      </c>
      <c r="B29" s="165" t="s">
        <v>1629</v>
      </c>
      <c r="C29" s="305"/>
      <c r="D29" s="166"/>
      <c r="E29" s="385" t="s">
        <v>1393</v>
      </c>
      <c r="F29" s="383" t="b">
        <f t="shared" si="0"/>
        <v>1</v>
      </c>
      <c r="G29" s="37">
        <v>10000</v>
      </c>
    </row>
    <row r="30" spans="1:7">
      <c r="A30" s="322"/>
      <c r="B30" s="159" t="s">
        <v>1564</v>
      </c>
      <c r="C30" s="431"/>
      <c r="D30" s="155"/>
      <c r="E30" s="387" t="s">
        <v>1391</v>
      </c>
      <c r="F30" s="383" t="b">
        <f t="shared" si="0"/>
        <v>1</v>
      </c>
      <c r="G30" s="37">
        <v>10000</v>
      </c>
    </row>
    <row r="31" spans="1:7">
      <c r="A31" s="322"/>
      <c r="B31" s="159" t="s">
        <v>1565</v>
      </c>
      <c r="C31" s="431"/>
      <c r="D31" s="155"/>
      <c r="E31" s="387" t="s">
        <v>1391</v>
      </c>
      <c r="F31" s="383" t="b">
        <f t="shared" si="0"/>
        <v>1</v>
      </c>
      <c r="G31" s="37">
        <v>10000</v>
      </c>
    </row>
    <row r="32" spans="1:7" ht="13.5" thickBot="1">
      <c r="A32" s="322"/>
      <c r="B32" s="339" t="s">
        <v>1591</v>
      </c>
      <c r="C32" s="444"/>
      <c r="D32" s="293"/>
      <c r="E32" s="389" t="s">
        <v>1592</v>
      </c>
      <c r="F32" s="383" t="b">
        <f t="shared" si="0"/>
        <v>1</v>
      </c>
      <c r="G32" s="37">
        <v>0</v>
      </c>
    </row>
    <row r="33" spans="1:8" ht="25.5">
      <c r="A33" s="541" t="s">
        <v>1745</v>
      </c>
      <c r="B33" s="301" t="s">
        <v>1659</v>
      </c>
      <c r="C33" s="445"/>
      <c r="D33" s="166"/>
      <c r="E33" s="393" t="s">
        <v>2170</v>
      </c>
      <c r="F33" s="383" t="b">
        <f t="shared" si="0"/>
        <v>1</v>
      </c>
      <c r="G33" s="37">
        <v>10000</v>
      </c>
    </row>
    <row r="34" spans="1:8" ht="13.5" thickBot="1">
      <c r="A34" s="523"/>
      <c r="B34" s="172" t="s">
        <v>1660</v>
      </c>
      <c r="C34" s="309"/>
      <c r="D34" s="171"/>
      <c r="E34" s="385" t="s">
        <v>1546</v>
      </c>
      <c r="F34" s="383" t="b">
        <f t="shared" si="0"/>
        <v>1</v>
      </c>
      <c r="G34" s="37">
        <v>10000</v>
      </c>
    </row>
    <row r="35" spans="1:8">
      <c r="A35" s="542" t="s">
        <v>1677</v>
      </c>
      <c r="B35" s="340" t="s">
        <v>1678</v>
      </c>
      <c r="C35" s="313"/>
      <c r="D35" s="300"/>
      <c r="E35" s="385" t="s">
        <v>1393</v>
      </c>
      <c r="F35" s="383" t="b">
        <f t="shared" si="0"/>
        <v>1</v>
      </c>
      <c r="G35" s="37">
        <v>0</v>
      </c>
    </row>
    <row r="36" spans="1:8" ht="25.5">
      <c r="A36" s="542"/>
      <c r="B36" s="340" t="s">
        <v>1681</v>
      </c>
      <c r="C36" s="431"/>
      <c r="D36" s="155"/>
      <c r="E36" s="387" t="s">
        <v>1391</v>
      </c>
      <c r="F36" s="383" t="b">
        <f t="shared" si="0"/>
        <v>1</v>
      </c>
      <c r="G36" s="37">
        <v>50000</v>
      </c>
    </row>
    <row r="37" spans="1:8">
      <c r="A37" s="542"/>
      <c r="B37" s="340" t="s">
        <v>1680</v>
      </c>
      <c r="C37" s="313"/>
      <c r="D37" s="300"/>
      <c r="E37" s="385" t="s">
        <v>1393</v>
      </c>
      <c r="F37" s="383" t="b">
        <f t="shared" si="0"/>
        <v>1</v>
      </c>
      <c r="G37" s="37">
        <v>50000</v>
      </c>
    </row>
    <row r="38" spans="1:8">
      <c r="A38" s="521"/>
      <c r="B38" s="159" t="s">
        <v>1631</v>
      </c>
      <c r="C38" s="306"/>
      <c r="D38" s="155"/>
      <c r="E38" s="386" t="s">
        <v>1643</v>
      </c>
      <c r="F38" s="383" t="b">
        <f t="shared" si="0"/>
        <v>1</v>
      </c>
      <c r="G38" s="37">
        <v>50000</v>
      </c>
    </row>
    <row r="39" spans="1:8">
      <c r="A39" s="521"/>
      <c r="B39" s="159" t="s">
        <v>1648</v>
      </c>
      <c r="C39" s="308"/>
      <c r="D39" s="155"/>
      <c r="E39" s="385" t="s">
        <v>1393</v>
      </c>
      <c r="F39" s="383" t="b">
        <f t="shared" si="0"/>
        <v>1</v>
      </c>
      <c r="G39" s="37">
        <v>50000</v>
      </c>
    </row>
    <row r="40" spans="1:8" ht="13.5" thickBot="1">
      <c r="A40" s="522"/>
      <c r="B40" s="339" t="s">
        <v>1639</v>
      </c>
      <c r="C40" s="311"/>
      <c r="D40" s="293"/>
      <c r="E40" s="386" t="s">
        <v>1640</v>
      </c>
      <c r="F40" s="383" t="b">
        <f t="shared" si="0"/>
        <v>1</v>
      </c>
      <c r="G40" s="37">
        <v>50000</v>
      </c>
    </row>
    <row r="41" spans="1:8">
      <c r="A41" s="541" t="s">
        <v>1679</v>
      </c>
      <c r="B41" s="165" t="s">
        <v>1913</v>
      </c>
      <c r="C41" s="310"/>
      <c r="D41" s="166"/>
      <c r="E41" s="384" t="s">
        <v>1464</v>
      </c>
      <c r="F41" s="383" t="b">
        <f t="shared" si="0"/>
        <v>1</v>
      </c>
      <c r="G41" s="37">
        <v>0</v>
      </c>
    </row>
    <row r="42" spans="1:8">
      <c r="A42" s="542"/>
      <c r="B42" s="239" t="s">
        <v>1914</v>
      </c>
      <c r="C42" s="432"/>
      <c r="D42" s="300"/>
      <c r="E42" s="384" t="s">
        <v>1464</v>
      </c>
      <c r="F42" s="383" t="b">
        <f t="shared" si="0"/>
        <v>1</v>
      </c>
      <c r="G42" s="37">
        <v>0</v>
      </c>
    </row>
    <row r="43" spans="1:8" ht="25.5">
      <c r="A43" s="521"/>
      <c r="B43" s="240" t="s">
        <v>1915</v>
      </c>
      <c r="C43" s="431"/>
      <c r="D43" s="155"/>
      <c r="E43" s="387" t="s">
        <v>1391</v>
      </c>
      <c r="F43" s="383" t="b">
        <f t="shared" si="0"/>
        <v>1</v>
      </c>
      <c r="G43" s="37">
        <v>100000</v>
      </c>
    </row>
    <row r="44" spans="1:8">
      <c r="A44" s="521"/>
      <c r="B44" s="159" t="s">
        <v>1683</v>
      </c>
      <c r="C44" s="431"/>
      <c r="D44" s="155"/>
      <c r="E44" s="387" t="s">
        <v>1391</v>
      </c>
      <c r="F44" s="383" t="b">
        <f t="shared" si="0"/>
        <v>1</v>
      </c>
      <c r="G44" s="37">
        <v>100000</v>
      </c>
    </row>
    <row r="45" spans="1:8" ht="26.25" thickBot="1">
      <c r="A45" s="523"/>
      <c r="B45" s="245" t="s">
        <v>1916</v>
      </c>
      <c r="C45" s="446"/>
      <c r="D45" s="171"/>
      <c r="E45" s="387" t="s">
        <v>1391</v>
      </c>
      <c r="F45" s="383" t="b">
        <f t="shared" si="0"/>
        <v>1</v>
      </c>
      <c r="G45" s="37">
        <v>100000</v>
      </c>
    </row>
    <row r="46" spans="1:8">
      <c r="A46" s="532" t="s">
        <v>1653</v>
      </c>
      <c r="B46" s="239" t="s">
        <v>1654</v>
      </c>
      <c r="C46" s="432"/>
      <c r="D46" s="300"/>
      <c r="E46" s="386" t="s">
        <v>1655</v>
      </c>
      <c r="F46" s="383" t="b">
        <f>AND($G46&lt;=$C$7,OR($C$6='Lookup Tables'!$B$313,$C$6='Lookup Tables'!$C$314,$C$6='Lookup Tables'!$C$315,$C$6='Lookup Tables'!$C$320))</f>
        <v>0</v>
      </c>
      <c r="G46" s="37">
        <v>10000</v>
      </c>
      <c r="H46" s="37" t="s">
        <v>2206</v>
      </c>
    </row>
    <row r="47" spans="1:8" ht="13.5" thickBot="1">
      <c r="A47" s="532"/>
      <c r="B47" s="339" t="s">
        <v>1661</v>
      </c>
      <c r="C47" s="311"/>
      <c r="D47" s="293"/>
      <c r="E47" s="386" t="s">
        <v>1662</v>
      </c>
      <c r="F47" s="383" t="b">
        <f t="shared" si="0"/>
        <v>1</v>
      </c>
      <c r="G47" s="37">
        <v>0</v>
      </c>
    </row>
    <row r="48" spans="1:8">
      <c r="A48" s="531" t="s">
        <v>1672</v>
      </c>
      <c r="B48" s="165" t="s">
        <v>1676</v>
      </c>
      <c r="C48" s="310"/>
      <c r="D48" s="166"/>
      <c r="E48" s="384" t="s">
        <v>1464</v>
      </c>
      <c r="F48" s="383" t="b">
        <f t="shared" si="0"/>
        <v>1</v>
      </c>
      <c r="G48" s="37">
        <v>10000</v>
      </c>
    </row>
    <row r="49" spans="1:8">
      <c r="A49" s="532"/>
      <c r="B49" s="159" t="s">
        <v>1673</v>
      </c>
      <c r="C49" s="306"/>
      <c r="D49" s="155"/>
      <c r="E49" s="384" t="s">
        <v>1464</v>
      </c>
      <c r="F49" s="383" t="b">
        <f>AND($G49&lt;=$C$7,OR($C$6='Lookup Tables'!$B$313,$C$6='Lookup Tables'!$C$314,$C$6='Lookup Tables'!$C$315,$C$6='Lookup Tables'!$C$320))</f>
        <v>0</v>
      </c>
      <c r="G49" s="37">
        <v>0</v>
      </c>
      <c r="H49" s="37" t="s">
        <v>2206</v>
      </c>
    </row>
    <row r="50" spans="1:8">
      <c r="A50" s="532"/>
      <c r="B50" s="159" t="s">
        <v>1674</v>
      </c>
      <c r="C50" s="306"/>
      <c r="D50" s="155"/>
      <c r="E50" s="384" t="s">
        <v>1464</v>
      </c>
      <c r="F50" s="383" t="b">
        <f>AND($G50&lt;=$C$7,OR($C$6='Lookup Tables'!$B$313,$C$6='Lookup Tables'!$C$314,$C$6='Lookup Tables'!$C$315,$C$6='Lookup Tables'!$C$320))</f>
        <v>0</v>
      </c>
      <c r="G50" s="37">
        <v>0</v>
      </c>
      <c r="H50" s="37" t="s">
        <v>2206</v>
      </c>
    </row>
    <row r="51" spans="1:8" ht="13.5" thickBot="1">
      <c r="A51" s="533"/>
      <c r="B51" s="172" t="s">
        <v>1675</v>
      </c>
      <c r="C51" s="446"/>
      <c r="D51" s="171"/>
      <c r="E51" s="387" t="s">
        <v>1391</v>
      </c>
      <c r="F51" s="383" t="b">
        <f t="shared" si="0"/>
        <v>1</v>
      </c>
      <c r="G51" s="37">
        <v>10000</v>
      </c>
    </row>
    <row r="52" spans="1:8">
      <c r="A52" s="541" t="s">
        <v>169</v>
      </c>
      <c r="B52" s="165" t="s">
        <v>1731</v>
      </c>
      <c r="C52" s="429"/>
      <c r="D52" s="166"/>
      <c r="E52" s="387" t="s">
        <v>1391</v>
      </c>
      <c r="F52" s="383" t="b">
        <f t="shared" si="0"/>
        <v>1</v>
      </c>
      <c r="G52" s="37">
        <v>10000</v>
      </c>
    </row>
    <row r="53" spans="1:8">
      <c r="A53" s="521"/>
      <c r="B53" s="159" t="s">
        <v>1707</v>
      </c>
      <c r="C53" s="308"/>
      <c r="D53" s="155"/>
      <c r="E53" s="387" t="s">
        <v>1728</v>
      </c>
      <c r="F53" s="383" t="b">
        <f t="shared" si="0"/>
        <v>1</v>
      </c>
      <c r="G53" s="37">
        <v>10000</v>
      </c>
    </row>
    <row r="54" spans="1:8">
      <c r="A54" s="521"/>
      <c r="B54" s="159" t="s">
        <v>1708</v>
      </c>
      <c r="C54" s="308"/>
      <c r="D54" s="155"/>
      <c r="E54" s="387" t="s">
        <v>1728</v>
      </c>
      <c r="F54" s="383" t="b">
        <f t="shared" si="0"/>
        <v>1</v>
      </c>
      <c r="G54" s="37">
        <v>10000</v>
      </c>
    </row>
    <row r="55" spans="1:8">
      <c r="A55" s="521"/>
      <c r="B55" s="159" t="s">
        <v>1709</v>
      </c>
      <c r="C55" s="308"/>
      <c r="D55" s="155"/>
      <c r="E55" s="387" t="s">
        <v>1728</v>
      </c>
      <c r="F55" s="383" t="b">
        <f t="shared" si="0"/>
        <v>1</v>
      </c>
      <c r="G55" s="37">
        <v>10000</v>
      </c>
    </row>
    <row r="56" spans="1:8">
      <c r="A56" s="521"/>
      <c r="B56" s="159" t="s">
        <v>2001</v>
      </c>
      <c r="C56" s="306"/>
      <c r="D56" s="155"/>
      <c r="E56" s="386" t="s">
        <v>1727</v>
      </c>
      <c r="F56" s="383" t="b">
        <f t="shared" si="0"/>
        <v>1</v>
      </c>
      <c r="G56" s="37">
        <v>0</v>
      </c>
    </row>
    <row r="57" spans="1:8">
      <c r="A57" s="521"/>
      <c r="B57" s="159" t="s">
        <v>1708</v>
      </c>
      <c r="C57" s="306"/>
      <c r="D57" s="155"/>
      <c r="E57" s="386" t="s">
        <v>1727</v>
      </c>
      <c r="F57" s="383" t="b">
        <f t="shared" si="0"/>
        <v>1</v>
      </c>
      <c r="G57" s="37">
        <v>0</v>
      </c>
    </row>
    <row r="58" spans="1:8">
      <c r="A58" s="521"/>
      <c r="B58" s="159" t="s">
        <v>1709</v>
      </c>
      <c r="C58" s="306"/>
      <c r="D58" s="155"/>
      <c r="E58" s="386" t="s">
        <v>1727</v>
      </c>
      <c r="F58" s="383" t="b">
        <f t="shared" si="0"/>
        <v>1</v>
      </c>
      <c r="G58" s="37">
        <v>0</v>
      </c>
    </row>
    <row r="59" spans="1:8" ht="25.5">
      <c r="A59" s="521"/>
      <c r="B59" s="240" t="s">
        <v>1736</v>
      </c>
      <c r="C59" s="431"/>
      <c r="D59" s="155"/>
      <c r="E59" s="387" t="s">
        <v>2171</v>
      </c>
      <c r="F59" s="383" t="b">
        <f t="shared" si="0"/>
        <v>1</v>
      </c>
      <c r="G59" s="37">
        <v>0</v>
      </c>
    </row>
    <row r="60" spans="1:8">
      <c r="A60" s="521"/>
      <c r="B60" s="159" t="s">
        <v>1734</v>
      </c>
      <c r="C60" s="431"/>
      <c r="D60" s="155"/>
      <c r="E60" s="387" t="s">
        <v>2171</v>
      </c>
      <c r="F60" s="383" t="b">
        <f t="shared" si="0"/>
        <v>1</v>
      </c>
      <c r="G60" s="37">
        <v>0</v>
      </c>
    </row>
    <row r="61" spans="1:8">
      <c r="A61" s="521"/>
      <c r="B61" s="159" t="s">
        <v>1735</v>
      </c>
      <c r="C61" s="431"/>
      <c r="D61" s="155"/>
      <c r="E61" s="387" t="s">
        <v>2171</v>
      </c>
      <c r="F61" s="383" t="b">
        <f t="shared" si="0"/>
        <v>1</v>
      </c>
      <c r="G61" s="37">
        <v>0</v>
      </c>
    </row>
    <row r="62" spans="1:8" ht="25.5">
      <c r="A62" s="521"/>
      <c r="B62" s="240" t="s">
        <v>2002</v>
      </c>
      <c r="C62" s="434"/>
      <c r="D62" s="155"/>
      <c r="E62" s="387" t="s">
        <v>1693</v>
      </c>
      <c r="F62" s="383" t="b">
        <f t="shared" si="0"/>
        <v>1</v>
      </c>
      <c r="G62" s="37">
        <v>0</v>
      </c>
    </row>
    <row r="63" spans="1:8">
      <c r="A63" s="521"/>
      <c r="B63" s="159" t="s">
        <v>1734</v>
      </c>
      <c r="C63" s="434"/>
      <c r="D63" s="155"/>
      <c r="E63" s="387" t="s">
        <v>1693</v>
      </c>
      <c r="F63" s="383" t="b">
        <f t="shared" si="0"/>
        <v>1</v>
      </c>
      <c r="G63" s="37">
        <v>0</v>
      </c>
    </row>
    <row r="64" spans="1:8">
      <c r="A64" s="521"/>
      <c r="B64" s="159" t="s">
        <v>1735</v>
      </c>
      <c r="C64" s="434"/>
      <c r="D64" s="155"/>
      <c r="E64" s="387" t="s">
        <v>1693</v>
      </c>
      <c r="F64" s="383" t="b">
        <f t="shared" si="0"/>
        <v>1</v>
      </c>
      <c r="G64" s="37">
        <v>0</v>
      </c>
    </row>
    <row r="65" spans="1:8">
      <c r="A65" s="521"/>
      <c r="B65" s="159" t="s">
        <v>1729</v>
      </c>
      <c r="C65" s="306"/>
      <c r="D65" s="155"/>
      <c r="E65" s="386" t="s">
        <v>1338</v>
      </c>
      <c r="F65" s="383" t="b">
        <f t="shared" si="0"/>
        <v>1</v>
      </c>
      <c r="G65" s="37">
        <v>0</v>
      </c>
    </row>
    <row r="66" spans="1:8">
      <c r="A66" s="521"/>
      <c r="B66" s="159" t="s">
        <v>1730</v>
      </c>
      <c r="C66" s="308"/>
      <c r="D66" s="155"/>
      <c r="E66" s="385" t="s">
        <v>1393</v>
      </c>
      <c r="F66" s="383" t="b">
        <f t="shared" si="0"/>
        <v>1</v>
      </c>
      <c r="G66" s="37">
        <v>0</v>
      </c>
    </row>
    <row r="67" spans="1:8">
      <c r="A67" s="521"/>
      <c r="B67" s="159" t="s">
        <v>1737</v>
      </c>
      <c r="C67" s="306"/>
      <c r="D67" s="155"/>
      <c r="E67" s="386" t="s">
        <v>1743</v>
      </c>
      <c r="F67" s="383" t="b">
        <f t="shared" si="0"/>
        <v>1</v>
      </c>
      <c r="G67" s="37">
        <v>0</v>
      </c>
    </row>
    <row r="68" spans="1:8">
      <c r="A68" s="521"/>
      <c r="B68" s="159" t="s">
        <v>2527</v>
      </c>
      <c r="C68" s="306"/>
      <c r="D68" s="155"/>
      <c r="E68" s="386" t="s">
        <v>1338</v>
      </c>
      <c r="F68" s="383" t="b">
        <f t="shared" si="0"/>
        <v>1</v>
      </c>
      <c r="G68" s="37">
        <v>0</v>
      </c>
    </row>
    <row r="69" spans="1:8">
      <c r="A69" s="521"/>
      <c r="B69" s="159" t="s">
        <v>1732</v>
      </c>
      <c r="C69" s="308"/>
      <c r="D69" s="155"/>
      <c r="E69" s="385" t="s">
        <v>1393</v>
      </c>
      <c r="F69" s="383" t="b">
        <f t="shared" si="0"/>
        <v>1</v>
      </c>
      <c r="G69" s="37">
        <v>0</v>
      </c>
    </row>
    <row r="70" spans="1:8">
      <c r="A70" s="521"/>
      <c r="B70" s="159" t="s">
        <v>2528</v>
      </c>
      <c r="C70" s="306"/>
      <c r="D70" s="155"/>
      <c r="E70" s="386" t="s">
        <v>1338</v>
      </c>
      <c r="F70" s="383" t="b">
        <f t="shared" si="0"/>
        <v>1</v>
      </c>
      <c r="G70" s="37">
        <v>0</v>
      </c>
    </row>
    <row r="71" spans="1:8" ht="13.5" thickBot="1">
      <c r="A71" s="521"/>
      <c r="B71" s="159" t="s">
        <v>1732</v>
      </c>
      <c r="C71" s="308"/>
      <c r="D71" s="155"/>
      <c r="E71" s="385" t="s">
        <v>1393</v>
      </c>
      <c r="F71" s="383" t="b">
        <f t="shared" si="0"/>
        <v>1</v>
      </c>
      <c r="G71" s="37">
        <v>0</v>
      </c>
    </row>
    <row r="72" spans="1:8" ht="25.5">
      <c r="A72" s="531" t="s">
        <v>1594</v>
      </c>
      <c r="B72" s="301" t="s">
        <v>1733</v>
      </c>
      <c r="C72" s="305"/>
      <c r="D72" s="166"/>
      <c r="E72" s="385" t="s">
        <v>1393</v>
      </c>
      <c r="F72" s="383" t="b">
        <f t="shared" ref="F72:F74" si="1">$G72&lt;=$C$7</f>
        <v>1</v>
      </c>
      <c r="G72" s="37">
        <v>10000</v>
      </c>
    </row>
    <row r="73" spans="1:8" ht="26.25" thickBot="1">
      <c r="A73" s="535"/>
      <c r="B73" s="245" t="s">
        <v>1593</v>
      </c>
      <c r="C73" s="309"/>
      <c r="D73" s="171"/>
      <c r="E73" s="385" t="s">
        <v>1546</v>
      </c>
      <c r="F73" s="383" t="b">
        <f t="shared" si="1"/>
        <v>1</v>
      </c>
      <c r="G73" s="37">
        <v>10000</v>
      </c>
    </row>
    <row r="74" spans="1:8" ht="13.5" thickBot="1">
      <c r="A74" s="375" t="s">
        <v>1900</v>
      </c>
      <c r="B74" s="354" t="s">
        <v>1934</v>
      </c>
      <c r="C74" s="447"/>
      <c r="D74" s="171"/>
      <c r="E74" s="384" t="s">
        <v>1338</v>
      </c>
      <c r="F74" s="383" t="b">
        <f t="shared" si="1"/>
        <v>1</v>
      </c>
      <c r="G74" s="37">
        <v>0</v>
      </c>
    </row>
    <row r="75" spans="1:8" ht="13.5" thickBot="1"/>
    <row r="76" spans="1:8" ht="20.25" customHeight="1">
      <c r="A76" s="555" t="s">
        <v>1749</v>
      </c>
      <c r="B76" s="556"/>
      <c r="C76" s="556"/>
      <c r="D76" s="557"/>
      <c r="E76" s="552" t="s">
        <v>1907</v>
      </c>
    </row>
    <row r="77" spans="1:8">
      <c r="A77" s="558" t="s">
        <v>1750</v>
      </c>
      <c r="B77" s="559"/>
      <c r="C77" s="559"/>
      <c r="D77" s="560"/>
      <c r="E77" s="553"/>
    </row>
    <row r="78" spans="1:8" ht="13.5" thickBot="1">
      <c r="A78" s="364" t="s">
        <v>1329</v>
      </c>
      <c r="B78" s="365" t="s">
        <v>4</v>
      </c>
      <c r="C78" s="365" t="s">
        <v>1343</v>
      </c>
      <c r="D78" s="366" t="s">
        <v>1308</v>
      </c>
      <c r="E78" s="553"/>
    </row>
    <row r="79" spans="1:8">
      <c r="A79" s="554" t="s">
        <v>180</v>
      </c>
      <c r="B79" s="301" t="s">
        <v>1751</v>
      </c>
      <c r="C79" s="429"/>
      <c r="D79" s="166"/>
      <c r="E79" s="387" t="s">
        <v>1619</v>
      </c>
      <c r="F79" s="383" t="b">
        <f>AND($G79&lt;=$C$7,OR($C$9='Lookup Tables'!$B$444,$C$9='Lookup Tables'!$B$445,$C$9='Lookup Tables'!$B$446))</f>
        <v>1</v>
      </c>
      <c r="G79" s="37">
        <v>50000</v>
      </c>
      <c r="H79" s="37" t="s">
        <v>2207</v>
      </c>
    </row>
    <row r="80" spans="1:8" ht="12.75" customHeight="1" thickBot="1">
      <c r="A80" s="535"/>
      <c r="B80" s="245" t="s">
        <v>1752</v>
      </c>
      <c r="C80" s="446"/>
      <c r="D80" s="171"/>
      <c r="E80" s="387" t="s">
        <v>1619</v>
      </c>
      <c r="F80" s="383" t="b">
        <f>AND($G80&lt;=$C$7,OR($C$9='Lookup Tables'!$B$444,$C$9='Lookup Tables'!$B$445,$C$9='Lookup Tables'!$B$446))</f>
        <v>1</v>
      </c>
      <c r="G80" s="37">
        <v>50000</v>
      </c>
      <c r="H80" s="37" t="s">
        <v>2207</v>
      </c>
    </row>
    <row r="81" spans="1:8" ht="25.5">
      <c r="A81" s="531" t="s">
        <v>1757</v>
      </c>
      <c r="B81" s="301" t="s">
        <v>1756</v>
      </c>
      <c r="C81" s="429"/>
      <c r="D81" s="166"/>
      <c r="E81" s="387" t="s">
        <v>1619</v>
      </c>
      <c r="F81" s="383" t="b">
        <f>AND($G81&lt;=$C$7,OR($C$9='Lookup Tables'!$B$444,$C$9='Lookup Tables'!$B$445,$C$9='Lookup Tables'!$B$446))</f>
        <v>1</v>
      </c>
      <c r="G81" s="37">
        <v>50000</v>
      </c>
      <c r="H81" s="37" t="s">
        <v>2207</v>
      </c>
    </row>
    <row r="82" spans="1:8">
      <c r="A82" s="534"/>
      <c r="B82" s="240" t="s">
        <v>1827</v>
      </c>
      <c r="C82" s="431"/>
      <c r="D82" s="155"/>
      <c r="E82" s="387" t="s">
        <v>1619</v>
      </c>
      <c r="F82" s="383" t="b">
        <f>AND($G82&lt;=$C$7,OR($C$9='Lookup Tables'!$B$444,$C$9='Lookup Tables'!$B$445,$C$9='Lookup Tables'!$B$446))</f>
        <v>1</v>
      </c>
      <c r="H82" s="37" t="s">
        <v>2207</v>
      </c>
    </row>
    <row r="83" spans="1:8">
      <c r="A83" s="534"/>
      <c r="B83" s="240" t="s">
        <v>1759</v>
      </c>
      <c r="C83" s="306"/>
      <c r="D83" s="155"/>
      <c r="E83" s="386" t="s">
        <v>1760</v>
      </c>
      <c r="F83" s="383" t="b">
        <f>AND($G83&lt;=$C$7,OR($C$9='Lookup Tables'!$B$444,$C$9='Lookup Tables'!$B$445,$C$9='Lookup Tables'!$B$446))</f>
        <v>1</v>
      </c>
      <c r="G83" s="37">
        <v>0</v>
      </c>
      <c r="H83" s="37" t="s">
        <v>2207</v>
      </c>
    </row>
    <row r="84" spans="1:8">
      <c r="A84" s="534"/>
      <c r="B84" s="240" t="s">
        <v>1758</v>
      </c>
      <c r="C84" s="306"/>
      <c r="D84" s="155"/>
      <c r="E84" s="386" t="s">
        <v>1766</v>
      </c>
      <c r="F84" s="383" t="b">
        <f>AND($G84&lt;=$C$7,OR($C$9='Lookup Tables'!$B$444,$C$9='Lookup Tables'!$B$445,$C$9='Lookup Tables'!$B$446))</f>
        <v>1</v>
      </c>
      <c r="G84" s="37">
        <v>0</v>
      </c>
      <c r="H84" s="37" t="s">
        <v>2207</v>
      </c>
    </row>
    <row r="85" spans="1:8" ht="26.25" thickBot="1">
      <c r="A85" s="535"/>
      <c r="B85" s="245" t="s">
        <v>1753</v>
      </c>
      <c r="C85" s="307"/>
      <c r="D85" s="171"/>
      <c r="E85" s="386" t="s">
        <v>1774</v>
      </c>
      <c r="F85" s="383" t="b">
        <f>AND($G85&lt;=$C$7,OR($C$9='Lookup Tables'!$B$444,$C$9='Lookup Tables'!$B$445,$C$9='Lookup Tables'!$B$446))</f>
        <v>1</v>
      </c>
      <c r="G85" s="37">
        <v>0</v>
      </c>
      <c r="H85" s="37" t="s">
        <v>2207</v>
      </c>
    </row>
    <row r="86" spans="1:8">
      <c r="A86" s="554" t="s">
        <v>190</v>
      </c>
      <c r="B86" s="165" t="s">
        <v>1754</v>
      </c>
      <c r="C86" s="305"/>
      <c r="D86" s="166"/>
      <c r="E86" s="385" t="s">
        <v>1393</v>
      </c>
      <c r="F86" s="383" t="b">
        <f>AND($G86&lt;=$C$7,OR($C$9='Lookup Tables'!$B$444,$C$9='Lookup Tables'!$B$445,$C$9='Lookup Tables'!$B$446))</f>
        <v>1</v>
      </c>
      <c r="G86" s="37">
        <v>0</v>
      </c>
      <c r="H86" s="37" t="s">
        <v>2207</v>
      </c>
    </row>
    <row r="87" spans="1:8">
      <c r="A87" s="534"/>
      <c r="B87" s="159" t="s">
        <v>1755</v>
      </c>
      <c r="C87" s="306"/>
      <c r="D87" s="155"/>
      <c r="E87" s="386" t="s">
        <v>1338</v>
      </c>
      <c r="F87" s="383" t="b">
        <f>AND($G87&lt;=$C$7,OR($C$9='Lookup Tables'!$B$444,$C$9='Lookup Tables'!$B$445,$C$9='Lookup Tables'!$B$446))</f>
        <v>1</v>
      </c>
      <c r="G87" s="37">
        <v>50000</v>
      </c>
      <c r="H87" s="37" t="s">
        <v>2207</v>
      </c>
    </row>
    <row r="88" spans="1:8">
      <c r="A88" s="534"/>
      <c r="B88" s="159" t="s">
        <v>1781</v>
      </c>
      <c r="C88" s="306"/>
      <c r="D88" s="155"/>
      <c r="E88" s="386" t="s">
        <v>1338</v>
      </c>
      <c r="F88" s="383" t="b">
        <f>AND($G88&lt;=$C$7,OR($C$9='Lookup Tables'!$B$444,$C$9='Lookup Tables'!$B$445,$C$9='Lookup Tables'!$B$446))</f>
        <v>1</v>
      </c>
      <c r="G88" s="37">
        <v>50000</v>
      </c>
      <c r="H88" s="37" t="s">
        <v>2207</v>
      </c>
    </row>
    <row r="89" spans="1:8">
      <c r="A89" s="534"/>
      <c r="B89" s="159" t="s">
        <v>1790</v>
      </c>
      <c r="C89" s="306"/>
      <c r="D89" s="155"/>
      <c r="E89" s="386" t="s">
        <v>1338</v>
      </c>
      <c r="F89" s="383" t="b">
        <f>AND($G89&lt;=$C$7,OR($C$9='Lookup Tables'!$B$444,$C$9='Lookup Tables'!$B$445,$C$9='Lookup Tables'!$B$446))</f>
        <v>1</v>
      </c>
      <c r="G89" s="37">
        <v>50000</v>
      </c>
      <c r="H89" s="37" t="s">
        <v>2207</v>
      </c>
    </row>
    <row r="90" spans="1:8">
      <c r="A90" s="534"/>
      <c r="B90" s="324" t="s">
        <v>198</v>
      </c>
      <c r="C90" s="435"/>
      <c r="D90" s="293"/>
      <c r="E90" s="387" t="s">
        <v>1694</v>
      </c>
      <c r="F90" s="383" t="b">
        <f>AND($G90&lt;=$C$7,OR($C$9='Lookup Tables'!$B$444,$C$9='Lookup Tables'!$B$445,$C$9='Lookup Tables'!$B$446))</f>
        <v>1</v>
      </c>
      <c r="G90" s="37">
        <v>0</v>
      </c>
      <c r="H90" s="37" t="s">
        <v>2207</v>
      </c>
    </row>
    <row r="91" spans="1:8">
      <c r="A91" s="534"/>
      <c r="B91" s="339" t="s">
        <v>1789</v>
      </c>
      <c r="C91" s="306"/>
      <c r="D91" s="155"/>
      <c r="E91" s="386" t="s">
        <v>1796</v>
      </c>
      <c r="F91" s="383" t="b">
        <f>AND($G91&lt;=$C$7,OR($C$9='Lookup Tables'!$B$444,$C$9='Lookup Tables'!$B$445,$C$9='Lookup Tables'!$B$446))</f>
        <v>1</v>
      </c>
      <c r="G91" s="37">
        <v>0</v>
      </c>
      <c r="H91" s="37" t="s">
        <v>2207</v>
      </c>
    </row>
    <row r="92" spans="1:8">
      <c r="A92" s="534"/>
      <c r="B92" s="339" t="s">
        <v>1797</v>
      </c>
      <c r="C92" s="306"/>
      <c r="D92" s="155"/>
      <c r="E92" s="386" t="s">
        <v>1798</v>
      </c>
      <c r="F92" s="383" t="b">
        <f>AND($G92&lt;=$C$7,OR($C$9='Lookup Tables'!$B$444,$C$9='Lookup Tables'!$B$445,$C$9='Lookup Tables'!$B$446))</f>
        <v>1</v>
      </c>
      <c r="G92" s="37">
        <v>50000</v>
      </c>
      <c r="H92" s="37" t="s">
        <v>2207</v>
      </c>
    </row>
    <row r="93" spans="1:8" ht="13.5" thickBot="1">
      <c r="A93" s="535"/>
      <c r="B93" s="172" t="s">
        <v>1805</v>
      </c>
      <c r="C93" s="309"/>
      <c r="D93" s="171"/>
      <c r="E93" s="385" t="s">
        <v>1393</v>
      </c>
      <c r="F93" s="383" t="b">
        <f>AND($G93&lt;=$C$7,OR($C$9='Lookup Tables'!$B$444,$C$9='Lookup Tables'!$B$445,$C$9='Lookup Tables'!$B$446))</f>
        <v>1</v>
      </c>
      <c r="G93" s="37">
        <v>50000</v>
      </c>
      <c r="H93" s="37" t="s">
        <v>2207</v>
      </c>
    </row>
    <row r="94" spans="1:8">
      <c r="A94" s="554" t="s">
        <v>199</v>
      </c>
      <c r="B94" s="165" t="s">
        <v>1782</v>
      </c>
      <c r="C94" s="310"/>
      <c r="D94" s="166"/>
      <c r="E94" s="386" t="s">
        <v>1788</v>
      </c>
      <c r="F94" s="383" t="b">
        <f>AND($G94&lt;=$C$7,OR($C$9='Lookup Tables'!$B$444,$C$9='Lookup Tables'!$B$445,$C$9='Lookup Tables'!$B$446))</f>
        <v>1</v>
      </c>
      <c r="G94" s="37">
        <v>50000</v>
      </c>
      <c r="H94" s="37" t="s">
        <v>2207</v>
      </c>
    </row>
    <row r="95" spans="1:8">
      <c r="A95" s="534"/>
      <c r="B95" s="159" t="s">
        <v>1783</v>
      </c>
      <c r="C95" s="306"/>
      <c r="D95" s="155"/>
      <c r="E95" s="386" t="s">
        <v>1813</v>
      </c>
      <c r="F95" s="383" t="b">
        <f>AND($G95&lt;=$C$7,OR($C$9='Lookup Tables'!$B$444,$C$9='Lookup Tables'!$B$445,$C$9='Lookup Tables'!$B$446))</f>
        <v>1</v>
      </c>
      <c r="G95" s="37">
        <v>50000</v>
      </c>
      <c r="H95" s="37" t="s">
        <v>2207</v>
      </c>
    </row>
    <row r="96" spans="1:8">
      <c r="A96" s="534"/>
      <c r="B96" s="159" t="s">
        <v>1784</v>
      </c>
      <c r="C96" s="306"/>
      <c r="D96" s="155"/>
      <c r="E96" s="386" t="s">
        <v>1818</v>
      </c>
      <c r="F96" s="383" t="b">
        <f>AND($G96&lt;=$C$7,OR($C$9='Lookup Tables'!$B$444,$C$9='Lookup Tables'!$B$445,$C$9='Lookup Tables'!$B$446))</f>
        <v>1</v>
      </c>
      <c r="G96" s="37">
        <v>50000</v>
      </c>
      <c r="H96" s="37" t="s">
        <v>2207</v>
      </c>
    </row>
    <row r="97" spans="1:8">
      <c r="A97" s="534"/>
      <c r="B97" s="159" t="s">
        <v>1785</v>
      </c>
      <c r="C97" s="306"/>
      <c r="D97" s="155"/>
      <c r="E97" s="384" t="s">
        <v>1464</v>
      </c>
      <c r="F97" s="383" t="b">
        <f>AND($G97&lt;=$C$7,OR($C$9='Lookup Tables'!$B$444,$C$9='Lookup Tables'!$B$445,$C$9='Lookup Tables'!$B$446))</f>
        <v>1</v>
      </c>
      <c r="G97" s="37">
        <v>50000</v>
      </c>
      <c r="H97" s="37" t="s">
        <v>2207</v>
      </c>
    </row>
    <row r="98" spans="1:8">
      <c r="A98" s="534"/>
      <c r="B98" s="159" t="s">
        <v>1786</v>
      </c>
      <c r="C98" s="306"/>
      <c r="D98" s="155"/>
      <c r="E98" s="386" t="s">
        <v>1338</v>
      </c>
      <c r="F98" s="383" t="b">
        <f>AND($G98&lt;=$C$7,OR($C$9='Lookup Tables'!$B$444,$C$9='Lookup Tables'!$B$445,$C$9='Lookup Tables'!$B$446))</f>
        <v>1</v>
      </c>
      <c r="G98" s="37">
        <v>50000</v>
      </c>
      <c r="H98" s="37" t="s">
        <v>2207</v>
      </c>
    </row>
    <row r="99" spans="1:8">
      <c r="A99" s="534"/>
      <c r="B99" s="159" t="s">
        <v>1787</v>
      </c>
      <c r="C99" s="313"/>
      <c r="D99" s="300"/>
      <c r="E99" s="385" t="s">
        <v>1393</v>
      </c>
      <c r="F99" s="383" t="b">
        <f>AND($G99&lt;=$C$7,OR($C$9='Lookup Tables'!$B$444,$C$9='Lookup Tables'!$B$445,$C$9='Lookup Tables'!$B$446))</f>
        <v>1</v>
      </c>
      <c r="G99" s="37">
        <v>50000</v>
      </c>
      <c r="H99" s="37" t="s">
        <v>2207</v>
      </c>
    </row>
    <row r="100" spans="1:8">
      <c r="A100" s="534"/>
      <c r="B100" s="159" t="s">
        <v>1828</v>
      </c>
      <c r="C100" s="306"/>
      <c r="D100" s="155"/>
      <c r="E100" s="386" t="s">
        <v>1832</v>
      </c>
      <c r="F100" s="383" t="b">
        <f>AND($G100&lt;=$C$7,OR($C$9='Lookup Tables'!$B$444,$C$9='Lookup Tables'!$B$445,$C$9='Lookup Tables'!$B$446))</f>
        <v>1</v>
      </c>
      <c r="G100" s="37">
        <v>50000</v>
      </c>
      <c r="H100" s="37" t="s">
        <v>2207</v>
      </c>
    </row>
    <row r="101" spans="1:8" ht="13.5" thickBot="1">
      <c r="A101" s="535"/>
      <c r="B101" s="172" t="s">
        <v>1829</v>
      </c>
      <c r="C101" s="307"/>
      <c r="D101" s="171"/>
      <c r="E101" s="386" t="s">
        <v>1837</v>
      </c>
      <c r="F101" s="383" t="b">
        <f>AND($G101&lt;=$C$7,OR($C$9='Lookup Tables'!$B$444,$C$9='Lookup Tables'!$B$445,$C$9='Lookup Tables'!$B$446))</f>
        <v>1</v>
      </c>
      <c r="G101" s="37">
        <v>50000</v>
      </c>
      <c r="H101" s="37" t="s">
        <v>2207</v>
      </c>
    </row>
    <row r="102" spans="1:8" ht="25.5">
      <c r="A102" s="541" t="s">
        <v>1847</v>
      </c>
      <c r="B102" s="301" t="s">
        <v>1845</v>
      </c>
      <c r="C102" s="310"/>
      <c r="D102" s="166"/>
      <c r="E102" s="384" t="s">
        <v>1464</v>
      </c>
      <c r="F102" s="383" t="b">
        <f>AND($G102&lt;=$C$7,OR($C$9='Lookup Tables'!$B$444,$C$9='Lookup Tables'!$B$445,$C$9='Lookup Tables'!$B$446))</f>
        <v>1</v>
      </c>
      <c r="G102" s="37">
        <v>50000</v>
      </c>
      <c r="H102" s="37" t="s">
        <v>2207</v>
      </c>
    </row>
    <row r="103" spans="1:8">
      <c r="A103" s="521"/>
      <c r="B103" s="159" t="s">
        <v>1844</v>
      </c>
      <c r="C103" s="306"/>
      <c r="D103" s="155"/>
      <c r="E103" s="384" t="s">
        <v>1464</v>
      </c>
      <c r="F103" s="383" t="b">
        <f>AND($G103&lt;=$C$7,OR($C$9='Lookup Tables'!$B$444,$C$9='Lookup Tables'!$B$445,$C$9='Lookup Tables'!$B$446))</f>
        <v>1</v>
      </c>
      <c r="G103" s="37">
        <v>50000</v>
      </c>
      <c r="H103" s="37" t="s">
        <v>2207</v>
      </c>
    </row>
    <row r="104" spans="1:8">
      <c r="A104" s="521"/>
      <c r="B104" s="159" t="s">
        <v>1846</v>
      </c>
      <c r="C104" s="306"/>
      <c r="D104" s="155"/>
      <c r="E104" s="384" t="s">
        <v>1464</v>
      </c>
      <c r="F104" s="383" t="b">
        <f>AND($G104&lt;=$C$7,OR($C$9='Lookup Tables'!$B$444,$C$9='Lookup Tables'!$B$445,$C$9='Lookup Tables'!$B$446))</f>
        <v>1</v>
      </c>
      <c r="G104" s="37">
        <v>50000</v>
      </c>
      <c r="H104" s="37" t="s">
        <v>2207</v>
      </c>
    </row>
    <row r="105" spans="1:8" ht="13.5" thickBot="1">
      <c r="A105" s="523"/>
      <c r="B105" s="172" t="s">
        <v>1848</v>
      </c>
      <c r="C105" s="307"/>
      <c r="D105" s="171"/>
      <c r="E105" s="384" t="s">
        <v>1464</v>
      </c>
      <c r="F105" s="383" t="b">
        <f>AND($G105&lt;=$C$7,OR($C$9='Lookup Tables'!$B$444,$C$9='Lookup Tables'!$B$445,$C$9='Lookup Tables'!$B$446))</f>
        <v>1</v>
      </c>
      <c r="G105" s="37">
        <v>50000</v>
      </c>
      <c r="H105" s="37" t="s">
        <v>2207</v>
      </c>
    </row>
    <row r="106" spans="1:8" ht="13.5" thickBot="1">
      <c r="A106" s="375" t="s">
        <v>1900</v>
      </c>
      <c r="B106" s="354" t="s">
        <v>1950</v>
      </c>
      <c r="C106" s="307"/>
      <c r="D106" s="171"/>
      <c r="E106" s="384" t="s">
        <v>1338</v>
      </c>
      <c r="F106" s="383" t="b">
        <f>AND($G106&lt;=$C$7,OR($C$9='Lookup Tables'!$B$444,$C$9='Lookup Tables'!$B$445,$C$9='Lookup Tables'!$B$446))</f>
        <v>1</v>
      </c>
      <c r="G106" s="37">
        <v>0</v>
      </c>
      <c r="H106" s="37" t="s">
        <v>2207</v>
      </c>
    </row>
  </sheetData>
  <mergeCells count="24">
    <mergeCell ref="H1:H3"/>
    <mergeCell ref="I1:I3"/>
    <mergeCell ref="A102:A105"/>
    <mergeCell ref="A81:A85"/>
    <mergeCell ref="A79:A80"/>
    <mergeCell ref="A86:A93"/>
    <mergeCell ref="A48:A51"/>
    <mergeCell ref="A52:A71"/>
    <mergeCell ref="A76:D76"/>
    <mergeCell ref="A77:D77"/>
    <mergeCell ref="A72:A73"/>
    <mergeCell ref="F1:F3"/>
    <mergeCell ref="G1:G3"/>
    <mergeCell ref="E76:E78"/>
    <mergeCell ref="A41:A45"/>
    <mergeCell ref="A94:A101"/>
    <mergeCell ref="A35:A40"/>
    <mergeCell ref="A23:A28"/>
    <mergeCell ref="A33:A34"/>
    <mergeCell ref="A46:A47"/>
    <mergeCell ref="A13:A22"/>
    <mergeCell ref="A1:D1"/>
    <mergeCell ref="E1:E3"/>
    <mergeCell ref="A2:D2"/>
  </mergeCells>
  <phoneticPr fontId="33" type="noConversion"/>
  <conditionalFormatting sqref="F4:F67 F72:F74">
    <cfRule type="cellIs" dxfId="135" priority="8" operator="equal">
      <formula>TRUE</formula>
    </cfRule>
  </conditionalFormatting>
  <conditionalFormatting sqref="F79:F106">
    <cfRule type="cellIs" dxfId="134" priority="7" operator="equal">
      <formula>TRUE</formula>
    </cfRule>
  </conditionalFormatting>
  <conditionalFormatting sqref="A4:D67 A79:D106 A72:D75">
    <cfRule type="expression" dxfId="133" priority="3">
      <formula>$F4=FALSE</formula>
    </cfRule>
  </conditionalFormatting>
  <conditionalFormatting sqref="F68:F71">
    <cfRule type="cellIs" dxfId="132" priority="2" operator="equal">
      <formula>TRUE</formula>
    </cfRule>
  </conditionalFormatting>
  <conditionalFormatting sqref="B68:D71">
    <cfRule type="expression" dxfId="131" priority="1">
      <formula>$F68=FALSE</formula>
    </cfRule>
  </conditionalFormatting>
  <dataValidations count="3">
    <dataValidation type="list" allowBlank="1" showInputMessage="1" showErrorMessage="1" sqref="C15:C17 C13 C6 C8:C9 C38 C40:C42 C56:C58 C65 C74 C46:C50 C83:C85 C87:C89 C91:C92 C94:C98 C100:C106 C67:C68 C70" xr:uid="{CB0C6B85-44DA-474F-A942-ABAF90C2DA08}">
      <formula1>INDIRECT($E6)</formula1>
    </dataValidation>
    <dataValidation type="whole" operator="greaterThanOrEqual" allowBlank="1" showInputMessage="1" showErrorMessage="1" sqref="C19:C21 C30:C31 C23:C24 C79:C82 C33 C36 C7 C51:C52 C43:C45 C59:C61" xr:uid="{3E3AB8EA-713F-45FD-8BA9-8CEA0534C0E6}">
      <formula1>0</formula1>
    </dataValidation>
    <dataValidation type="decimal" operator="greaterThan" allowBlank="1" showInputMessage="1" showErrorMessage="1" sqref="C90 C62:C64" xr:uid="{1528AE57-51D1-4EE8-973F-A4D37DB129CC}">
      <formula1>0</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4B53-8AE4-43A7-857F-BA22226A42A0}">
  <sheetPr>
    <tabColor theme="4" tint="0.79998168889431442"/>
  </sheetPr>
  <dimension ref="A1:G19"/>
  <sheetViews>
    <sheetView workbookViewId="0">
      <selection activeCell="C18" sqref="C18"/>
    </sheetView>
  </sheetViews>
  <sheetFormatPr defaultRowHeight="12.75"/>
  <cols>
    <col min="1" max="1" width="20" style="37" customWidth="1"/>
    <col min="2" max="2" width="86.5703125" style="37" customWidth="1"/>
    <col min="3" max="3" width="33.28515625" style="314" customWidth="1"/>
    <col min="4" max="4" width="16.85546875" style="37" customWidth="1"/>
    <col min="5" max="5" width="58.28515625" style="37" customWidth="1"/>
    <col min="6" max="6" width="25.85546875" style="37" customWidth="1"/>
    <col min="7" max="16384" width="9.140625" style="37"/>
  </cols>
  <sheetData>
    <row r="1" spans="1:6" ht="20.25" customHeight="1">
      <c r="A1" s="555" t="s">
        <v>1954</v>
      </c>
      <c r="B1" s="556"/>
      <c r="C1" s="556"/>
      <c r="D1" s="557"/>
      <c r="E1" s="552" t="s">
        <v>1907</v>
      </c>
      <c r="F1" s="517" t="s">
        <v>1953</v>
      </c>
    </row>
    <row r="2" spans="1:6" ht="25.5" customHeight="1">
      <c r="A2" s="558" t="s">
        <v>1106</v>
      </c>
      <c r="B2" s="559"/>
      <c r="C2" s="559"/>
      <c r="D2" s="560"/>
      <c r="E2" s="553"/>
      <c r="F2" s="517"/>
    </row>
    <row r="3" spans="1:6">
      <c r="A3" s="394" t="s">
        <v>1329</v>
      </c>
      <c r="B3" s="243" t="s">
        <v>4</v>
      </c>
      <c r="C3" s="243" t="s">
        <v>1343</v>
      </c>
      <c r="D3" s="395" t="s">
        <v>1308</v>
      </c>
      <c r="E3" s="553"/>
      <c r="F3" s="517"/>
    </row>
    <row r="4" spans="1:6">
      <c r="A4" s="562" t="s">
        <v>1853</v>
      </c>
      <c r="B4" s="159" t="s">
        <v>1849</v>
      </c>
      <c r="C4" s="308"/>
      <c r="D4" s="155"/>
      <c r="E4" s="389" t="s">
        <v>1850</v>
      </c>
      <c r="F4" s="383" t="b">
        <v>1</v>
      </c>
    </row>
    <row r="5" spans="1:6" ht="13.5" thickBot="1">
      <c r="A5" s="561"/>
      <c r="B5" s="339" t="s">
        <v>1851</v>
      </c>
      <c r="C5" s="444"/>
      <c r="D5" s="293"/>
      <c r="E5" s="389" t="s">
        <v>1852</v>
      </c>
      <c r="F5" s="383" t="b">
        <v>1</v>
      </c>
    </row>
    <row r="6" spans="1:6">
      <c r="A6" s="563" t="s">
        <v>1854</v>
      </c>
      <c r="B6" s="165" t="s">
        <v>1855</v>
      </c>
      <c r="C6" s="305"/>
      <c r="D6" s="166"/>
      <c r="E6" s="385" t="s">
        <v>1859</v>
      </c>
      <c r="F6" s="383" t="b">
        <v>1</v>
      </c>
    </row>
    <row r="7" spans="1:6">
      <c r="A7" s="564"/>
      <c r="B7" s="159" t="s">
        <v>1857</v>
      </c>
      <c r="C7" s="431"/>
      <c r="D7" s="155"/>
      <c r="E7" s="387" t="s">
        <v>1856</v>
      </c>
      <c r="F7" s="383" t="b">
        <v>1</v>
      </c>
    </row>
    <row r="8" spans="1:6">
      <c r="A8" s="564"/>
      <c r="B8" s="159" t="s">
        <v>1858</v>
      </c>
      <c r="C8" s="431"/>
      <c r="D8" s="155"/>
      <c r="E8" s="387" t="s">
        <v>1856</v>
      </c>
      <c r="F8" s="383" t="b">
        <v>1</v>
      </c>
    </row>
    <row r="9" spans="1:6">
      <c r="A9" s="564"/>
      <c r="B9" s="159" t="s">
        <v>1955</v>
      </c>
      <c r="C9" s="431"/>
      <c r="D9" s="155"/>
      <c r="E9" s="387" t="s">
        <v>1956</v>
      </c>
      <c r="F9" s="383" t="b">
        <v>1</v>
      </c>
    </row>
    <row r="10" spans="1:6">
      <c r="A10" s="564"/>
      <c r="B10" s="159" t="s">
        <v>1865</v>
      </c>
      <c r="C10" s="431"/>
      <c r="D10" s="155"/>
      <c r="E10" s="387" t="s">
        <v>1866</v>
      </c>
      <c r="F10" s="383" t="b">
        <v>1</v>
      </c>
    </row>
    <row r="11" spans="1:6">
      <c r="A11" s="564"/>
      <c r="B11" s="159" t="s">
        <v>1860</v>
      </c>
      <c r="C11" s="308"/>
      <c r="D11" s="155"/>
      <c r="E11" s="385" t="s">
        <v>1859</v>
      </c>
      <c r="F11" s="383" t="b">
        <v>1</v>
      </c>
    </row>
    <row r="12" spans="1:6">
      <c r="A12" s="564"/>
      <c r="B12" s="159" t="s">
        <v>1861</v>
      </c>
      <c r="C12" s="308"/>
      <c r="D12" s="155"/>
      <c r="E12" s="385" t="s">
        <v>1859</v>
      </c>
      <c r="F12" s="383" t="b">
        <v>1</v>
      </c>
    </row>
    <row r="13" spans="1:6">
      <c r="A13" s="564"/>
      <c r="B13" s="159" t="s">
        <v>1862</v>
      </c>
      <c r="C13" s="442"/>
      <c r="D13" s="155"/>
      <c r="E13" s="387" t="s">
        <v>1863</v>
      </c>
      <c r="F13" s="383" t="b">
        <v>1</v>
      </c>
    </row>
    <row r="14" spans="1:6" ht="38.25">
      <c r="A14" s="564"/>
      <c r="B14" s="240" t="s">
        <v>1868</v>
      </c>
      <c r="C14" s="442"/>
      <c r="D14" s="155"/>
      <c r="E14" s="387" t="s">
        <v>1863</v>
      </c>
      <c r="F14" s="383" t="b">
        <v>1</v>
      </c>
    </row>
    <row r="15" spans="1:6">
      <c r="A15" s="564"/>
      <c r="B15" s="159" t="s">
        <v>1867</v>
      </c>
      <c r="C15" s="442"/>
      <c r="D15" s="155"/>
      <c r="E15" s="387" t="s">
        <v>1863</v>
      </c>
      <c r="F15" s="383" t="b">
        <v>1</v>
      </c>
    </row>
    <row r="16" spans="1:6" ht="25.5">
      <c r="A16" s="564"/>
      <c r="B16" s="240" t="s">
        <v>1869</v>
      </c>
      <c r="C16" s="442"/>
      <c r="D16" s="155"/>
      <c r="E16" s="387" t="s">
        <v>1863</v>
      </c>
      <c r="F16" s="383" t="b">
        <v>1</v>
      </c>
    </row>
    <row r="17" spans="1:7">
      <c r="A17" s="562"/>
      <c r="B17" s="377" t="s">
        <v>1952</v>
      </c>
      <c r="C17" s="442"/>
      <c r="D17" s="155"/>
      <c r="E17" s="387" t="s">
        <v>1863</v>
      </c>
      <c r="F17" s="383" t="b">
        <f>C5&gt;1</f>
        <v>0</v>
      </c>
    </row>
    <row r="18" spans="1:7" ht="13.5" thickBot="1">
      <c r="A18" s="565"/>
      <c r="B18" s="172" t="s">
        <v>1870</v>
      </c>
      <c r="C18" s="448" t="str">
        <f>IF(OR(C10="",C13=""),"",(C13-C15-C16+C17)/C10)</f>
        <v/>
      </c>
      <c r="D18" s="171"/>
      <c r="E18" s="396" t="s">
        <v>2173</v>
      </c>
      <c r="F18" s="383" t="b">
        <v>1</v>
      </c>
    </row>
    <row r="19" spans="1:7" ht="13.5" thickBot="1">
      <c r="A19" s="375" t="s">
        <v>1900</v>
      </c>
      <c r="B19" s="354" t="s">
        <v>2027</v>
      </c>
      <c r="C19" s="443" t="b">
        <f>AND(C6&lt;&gt;"",C7&amp;C8&amp;C9&lt;&gt;"",C11&lt;&gt;"",C12&lt;&gt;"",C13&lt;&gt;"")</f>
        <v>0</v>
      </c>
      <c r="D19" s="355"/>
      <c r="E19" s="419" t="s">
        <v>1546</v>
      </c>
      <c r="F19" s="420" t="b">
        <f>$G19&lt;=$C$7</f>
        <v>1</v>
      </c>
      <c r="G19" s="37">
        <v>0</v>
      </c>
    </row>
  </sheetData>
  <mergeCells count="6">
    <mergeCell ref="A6:A18"/>
    <mergeCell ref="F1:F3"/>
    <mergeCell ref="A1:D1"/>
    <mergeCell ref="E1:E3"/>
    <mergeCell ref="A2:D2"/>
    <mergeCell ref="A4:A5"/>
  </mergeCells>
  <conditionalFormatting sqref="F4:F18">
    <cfRule type="cellIs" dxfId="130" priority="4" operator="equal">
      <formula>TRUE</formula>
    </cfRule>
  </conditionalFormatting>
  <conditionalFormatting sqref="F19">
    <cfRule type="cellIs" dxfId="129" priority="2" operator="equal">
      <formula>TRUE</formula>
    </cfRule>
  </conditionalFormatting>
  <conditionalFormatting sqref="B19 D19">
    <cfRule type="expression" dxfId="128" priority="3">
      <formula>$G19&gt;$C$7</formula>
    </cfRule>
  </conditionalFormatting>
  <conditionalFormatting sqref="A4:D18">
    <cfRule type="expression" dxfId="127" priority="1">
      <formula>$F4=FALSE</formula>
    </cfRule>
  </conditionalFormatting>
  <dataValidations count="1">
    <dataValidation type="whole" operator="greaterThanOrEqual" allowBlank="1" showInputMessage="1" showErrorMessage="1" sqref="C7:C10 C13:C17" xr:uid="{FFF936FF-9AD6-4D19-A96D-E647AB479C1D}">
      <formula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E9D97-A4EF-4F6D-9632-478F3D30125B}">
  <sheetPr>
    <tabColor theme="6" tint="0.79998168889431442"/>
  </sheetPr>
  <dimension ref="A1:F49"/>
  <sheetViews>
    <sheetView workbookViewId="0">
      <selection activeCell="C19" sqref="C19"/>
    </sheetView>
  </sheetViews>
  <sheetFormatPr defaultRowHeight="12.75"/>
  <cols>
    <col min="1" max="1" width="20" style="37" customWidth="1"/>
    <col min="2" max="2" width="86.5703125" style="37" customWidth="1"/>
    <col min="3" max="3" width="33.28515625" style="314" customWidth="1"/>
    <col min="4" max="4" width="16.85546875" style="37" customWidth="1"/>
    <col min="5" max="5" width="59.7109375" style="37" customWidth="1"/>
    <col min="6" max="6" width="27.28515625" style="37" customWidth="1"/>
    <col min="7" max="7" width="29.7109375" style="37" customWidth="1"/>
    <col min="8" max="16384" width="9.140625" style="37"/>
  </cols>
  <sheetData>
    <row r="1" spans="1:6" ht="20.25">
      <c r="A1" s="545" t="s">
        <v>1902</v>
      </c>
      <c r="B1" s="546"/>
      <c r="C1" s="546"/>
      <c r="D1" s="547"/>
      <c r="E1" s="527" t="s">
        <v>1907</v>
      </c>
      <c r="F1" s="517" t="s">
        <v>1953</v>
      </c>
    </row>
    <row r="2" spans="1:6" ht="13.5" thickBot="1">
      <c r="A2" s="548" t="s">
        <v>1434</v>
      </c>
      <c r="B2" s="549"/>
      <c r="C2" s="549"/>
      <c r="D2" s="550"/>
      <c r="E2" s="528"/>
      <c r="F2" s="517"/>
    </row>
    <row r="3" spans="1:6" ht="13.5" thickBot="1">
      <c r="A3" s="693" t="s">
        <v>1329</v>
      </c>
      <c r="B3" s="694" t="s">
        <v>4</v>
      </c>
      <c r="C3" s="694" t="s">
        <v>1343</v>
      </c>
      <c r="D3" s="695" t="s">
        <v>1308</v>
      </c>
      <c r="E3" s="528"/>
      <c r="F3" s="517"/>
    </row>
    <row r="4" spans="1:6">
      <c r="A4" s="692" t="s">
        <v>1540</v>
      </c>
      <c r="B4" s="165" t="s">
        <v>1439</v>
      </c>
      <c r="C4" s="305"/>
      <c r="D4" s="166"/>
      <c r="E4" s="385" t="s">
        <v>1546</v>
      </c>
      <c r="F4" s="383" t="b">
        <v>1</v>
      </c>
    </row>
    <row r="5" spans="1:6" ht="25.5">
      <c r="A5" s="696"/>
      <c r="B5" s="240" t="s">
        <v>1912</v>
      </c>
      <c r="C5" s="306" t="s">
        <v>783</v>
      </c>
      <c r="D5" s="155"/>
      <c r="E5" s="384" t="s">
        <v>1338</v>
      </c>
      <c r="F5" s="383" t="b">
        <v>1</v>
      </c>
    </row>
    <row r="6" spans="1:6" ht="13.5" customHeight="1" thickBot="1">
      <c r="A6" s="697"/>
      <c r="B6" s="245" t="s">
        <v>1539</v>
      </c>
      <c r="C6" s="309"/>
      <c r="D6" s="171"/>
      <c r="E6" s="389" t="s">
        <v>1393</v>
      </c>
      <c r="F6" s="383" t="b">
        <f>C5&lt;&gt;"Yes"</f>
        <v>1</v>
      </c>
    </row>
    <row r="7" spans="1:6" ht="12.75" customHeight="1">
      <c r="A7" s="566" t="s">
        <v>1938</v>
      </c>
      <c r="B7" s="239" t="s">
        <v>735</v>
      </c>
      <c r="C7" s="432"/>
      <c r="D7" s="300"/>
      <c r="E7" s="384" t="s">
        <v>1903</v>
      </c>
      <c r="F7" s="383" t="b">
        <v>1</v>
      </c>
    </row>
    <row r="8" spans="1:6">
      <c r="A8" s="564"/>
      <c r="B8" s="159" t="s">
        <v>736</v>
      </c>
      <c r="C8" s="306"/>
      <c r="D8" s="155"/>
      <c r="E8" s="384" t="s">
        <v>1903</v>
      </c>
      <c r="F8" s="383" t="b">
        <v>1</v>
      </c>
    </row>
    <row r="9" spans="1:6">
      <c r="A9" s="564"/>
      <c r="B9" s="99" t="s">
        <v>753</v>
      </c>
      <c r="C9" s="306"/>
      <c r="D9" s="155"/>
      <c r="E9" s="384" t="s">
        <v>1903</v>
      </c>
      <c r="F9" s="383" t="b">
        <v>1</v>
      </c>
    </row>
    <row r="10" spans="1:6" ht="13.5" thickBot="1">
      <c r="A10" s="565"/>
      <c r="B10" s="172" t="s">
        <v>1919</v>
      </c>
      <c r="C10" s="307"/>
      <c r="D10" s="171"/>
      <c r="E10" s="384" t="s">
        <v>1903</v>
      </c>
      <c r="F10" s="383" t="b">
        <v>1</v>
      </c>
    </row>
    <row r="11" spans="1:6">
      <c r="A11" s="563" t="s">
        <v>89</v>
      </c>
      <c r="B11" s="165" t="s">
        <v>737</v>
      </c>
      <c r="C11" s="310"/>
      <c r="D11" s="166"/>
      <c r="E11" s="384" t="s">
        <v>1903</v>
      </c>
      <c r="F11" s="383" t="b">
        <v>1</v>
      </c>
    </row>
    <row r="12" spans="1:6">
      <c r="A12" s="564"/>
      <c r="B12" s="159" t="s">
        <v>738</v>
      </c>
      <c r="C12" s="306"/>
      <c r="D12" s="155"/>
      <c r="E12" s="384" t="s">
        <v>1903</v>
      </c>
      <c r="F12" s="383" t="b">
        <v>1</v>
      </c>
    </row>
    <row r="13" spans="1:6">
      <c r="A13" s="564"/>
      <c r="B13" s="159" t="s">
        <v>739</v>
      </c>
      <c r="C13" s="306"/>
      <c r="D13" s="155"/>
      <c r="E13" s="384" t="s">
        <v>1903</v>
      </c>
      <c r="F13" s="383" t="b">
        <v>1</v>
      </c>
    </row>
    <row r="14" spans="1:6">
      <c r="A14" s="564"/>
      <c r="B14" s="159" t="s">
        <v>741</v>
      </c>
      <c r="C14" s="306"/>
      <c r="D14" s="155"/>
      <c r="E14" s="384" t="s">
        <v>1903</v>
      </c>
      <c r="F14" s="383" t="b">
        <v>1</v>
      </c>
    </row>
    <row r="15" spans="1:6">
      <c r="A15" s="564"/>
      <c r="B15" s="159" t="s">
        <v>742</v>
      </c>
      <c r="C15" s="306"/>
      <c r="D15" s="155"/>
      <c r="E15" s="384" t="s">
        <v>1903</v>
      </c>
      <c r="F15" s="383" t="b">
        <v>1</v>
      </c>
    </row>
    <row r="16" spans="1:6" ht="26.25" thickBot="1">
      <c r="A16" s="565"/>
      <c r="B16" s="245" t="s">
        <v>1917</v>
      </c>
      <c r="C16" s="307"/>
      <c r="D16" s="171"/>
      <c r="E16" s="384" t="s">
        <v>1903</v>
      </c>
      <c r="F16" s="383" t="b">
        <v>1</v>
      </c>
    </row>
    <row r="17" spans="1:6">
      <c r="A17" s="563" t="s">
        <v>278</v>
      </c>
      <c r="B17" s="164" t="s">
        <v>748</v>
      </c>
      <c r="C17" s="310"/>
      <c r="D17" s="166"/>
      <c r="E17" s="384" t="s">
        <v>1903</v>
      </c>
      <c r="F17" s="383" t="b">
        <v>1</v>
      </c>
    </row>
    <row r="18" spans="1:6">
      <c r="A18" s="564"/>
      <c r="B18" s="99" t="s">
        <v>749</v>
      </c>
      <c r="C18" s="306"/>
      <c r="D18" s="155"/>
      <c r="E18" s="384" t="s">
        <v>1903</v>
      </c>
      <c r="F18" s="383" t="b">
        <v>1</v>
      </c>
    </row>
    <row r="19" spans="1:6">
      <c r="A19" s="564"/>
      <c r="B19" s="99" t="s">
        <v>750</v>
      </c>
      <c r="C19" s="306"/>
      <c r="D19" s="155"/>
      <c r="E19" s="384" t="s">
        <v>1903</v>
      </c>
      <c r="F19" s="383" t="b">
        <v>1</v>
      </c>
    </row>
    <row r="20" spans="1:6">
      <c r="A20" s="564"/>
      <c r="B20" s="99" t="s">
        <v>751</v>
      </c>
      <c r="C20" s="306"/>
      <c r="D20" s="155"/>
      <c r="E20" s="384" t="s">
        <v>1903</v>
      </c>
      <c r="F20" s="383" t="b">
        <v>1</v>
      </c>
    </row>
    <row r="21" spans="1:6">
      <c r="A21" s="564"/>
      <c r="B21" s="159" t="s">
        <v>1918</v>
      </c>
      <c r="C21" s="306"/>
      <c r="D21" s="155"/>
      <c r="E21" s="384" t="s">
        <v>1903</v>
      </c>
      <c r="F21" s="383" t="b">
        <v>1</v>
      </c>
    </row>
    <row r="22" spans="1:6">
      <c r="A22" s="564"/>
      <c r="B22" s="99" t="s">
        <v>754</v>
      </c>
      <c r="C22" s="306"/>
      <c r="D22" s="155"/>
      <c r="E22" s="384" t="s">
        <v>1903</v>
      </c>
      <c r="F22" s="383" t="b">
        <v>1</v>
      </c>
    </row>
    <row r="23" spans="1:6">
      <c r="A23" s="564"/>
      <c r="B23" s="159" t="s">
        <v>1935</v>
      </c>
      <c r="C23" s="306"/>
      <c r="D23" s="155"/>
      <c r="E23" s="384" t="s">
        <v>1903</v>
      </c>
      <c r="F23" s="383" t="b">
        <v>1</v>
      </c>
    </row>
    <row r="24" spans="1:6">
      <c r="A24" s="564"/>
      <c r="B24" s="99" t="s">
        <v>764</v>
      </c>
      <c r="C24" s="306"/>
      <c r="D24" s="155"/>
      <c r="E24" s="384" t="s">
        <v>1903</v>
      </c>
      <c r="F24" s="383" t="b">
        <v>1</v>
      </c>
    </row>
    <row r="25" spans="1:6">
      <c r="A25" s="564"/>
      <c r="B25" s="159" t="s">
        <v>1936</v>
      </c>
      <c r="C25" s="306"/>
      <c r="D25" s="155"/>
      <c r="E25" s="384" t="s">
        <v>1903</v>
      </c>
      <c r="F25" s="383" t="b">
        <v>1</v>
      </c>
    </row>
    <row r="26" spans="1:6">
      <c r="A26" s="564"/>
      <c r="B26" s="159" t="s">
        <v>1937</v>
      </c>
      <c r="C26" s="306"/>
      <c r="D26" s="155"/>
      <c r="E26" s="384" t="s">
        <v>1903</v>
      </c>
      <c r="F26" s="383" t="b">
        <v>1</v>
      </c>
    </row>
    <row r="27" spans="1:6">
      <c r="A27" s="564"/>
      <c r="B27" s="99" t="s">
        <v>767</v>
      </c>
      <c r="C27" s="306"/>
      <c r="D27" s="155"/>
      <c r="E27" s="384" t="s">
        <v>1903</v>
      </c>
      <c r="F27" s="383" t="b">
        <v>1</v>
      </c>
    </row>
    <row r="28" spans="1:6">
      <c r="A28" s="564"/>
      <c r="B28" s="99" t="s">
        <v>768</v>
      </c>
      <c r="C28" s="306"/>
      <c r="D28" s="155"/>
      <c r="E28" s="384" t="s">
        <v>1903</v>
      </c>
      <c r="F28" s="383" t="b">
        <v>1</v>
      </c>
    </row>
    <row r="29" spans="1:6">
      <c r="A29" s="564"/>
      <c r="B29" s="99" t="s">
        <v>769</v>
      </c>
      <c r="C29" s="306"/>
      <c r="D29" s="155"/>
      <c r="E29" s="384" t="s">
        <v>1903</v>
      </c>
      <c r="F29" s="383" t="b">
        <v>1</v>
      </c>
    </row>
    <row r="30" spans="1:6">
      <c r="A30" s="564"/>
      <c r="B30" s="99" t="s">
        <v>770</v>
      </c>
      <c r="C30" s="306"/>
      <c r="D30" s="155"/>
      <c r="E30" s="384" t="s">
        <v>1903</v>
      </c>
      <c r="F30" s="383" t="b">
        <v>1</v>
      </c>
    </row>
    <row r="31" spans="1:6">
      <c r="A31" s="564"/>
      <c r="B31" s="99" t="s">
        <v>771</v>
      </c>
      <c r="C31" s="306"/>
      <c r="D31" s="155"/>
      <c r="E31" s="384" t="s">
        <v>1903</v>
      </c>
      <c r="F31" s="383" t="b">
        <v>1</v>
      </c>
    </row>
    <row r="32" spans="1:6" ht="13.5" thickBot="1">
      <c r="A32" s="565"/>
      <c r="B32" s="172" t="s">
        <v>1948</v>
      </c>
      <c r="C32" s="307"/>
      <c r="D32" s="171"/>
      <c r="E32" s="384" t="s">
        <v>1903</v>
      </c>
      <c r="F32" s="383" t="b">
        <v>1</v>
      </c>
    </row>
    <row r="33" spans="1:6">
      <c r="A33" s="563" t="s">
        <v>169</v>
      </c>
      <c r="B33" s="165" t="s">
        <v>1939</v>
      </c>
      <c r="C33" s="319"/>
      <c r="D33" s="166"/>
      <c r="E33" s="456" t="s">
        <v>1903</v>
      </c>
      <c r="F33" s="383" t="b">
        <v>1</v>
      </c>
    </row>
    <row r="34" spans="1:6">
      <c r="A34" s="564"/>
      <c r="B34" s="159" t="s">
        <v>1940</v>
      </c>
      <c r="C34" s="316"/>
      <c r="D34" s="155"/>
      <c r="E34" s="457" t="s">
        <v>1903</v>
      </c>
      <c r="F34" s="383" t="b">
        <v>1</v>
      </c>
    </row>
    <row r="35" spans="1:6">
      <c r="A35" s="564"/>
      <c r="B35" s="159" t="s">
        <v>1941</v>
      </c>
      <c r="C35" s="316"/>
      <c r="D35" s="155"/>
      <c r="E35" s="457" t="s">
        <v>1903</v>
      </c>
      <c r="F35" s="383" t="b">
        <v>1</v>
      </c>
    </row>
    <row r="36" spans="1:6">
      <c r="A36" s="564"/>
      <c r="B36" s="159" t="s">
        <v>1949</v>
      </c>
      <c r="C36" s="316"/>
      <c r="D36" s="155"/>
      <c r="E36" s="457" t="s">
        <v>1903</v>
      </c>
      <c r="F36" s="383" t="b">
        <v>1</v>
      </c>
    </row>
    <row r="37" spans="1:6" ht="13.5" thickBot="1">
      <c r="A37" s="565"/>
      <c r="B37" s="172" t="s">
        <v>1942</v>
      </c>
      <c r="C37" s="411"/>
      <c r="D37" s="171"/>
      <c r="E37" s="458" t="s">
        <v>1338</v>
      </c>
      <c r="F37" s="383" t="b">
        <v>1</v>
      </c>
    </row>
    <row r="38" spans="1:6">
      <c r="A38" s="566" t="s">
        <v>1943</v>
      </c>
      <c r="B38" s="239" t="s">
        <v>1944</v>
      </c>
      <c r="C38" s="432"/>
      <c r="D38" s="300"/>
      <c r="E38" s="384" t="s">
        <v>1903</v>
      </c>
      <c r="F38" s="383" t="b">
        <v>1</v>
      </c>
    </row>
    <row r="39" spans="1:6">
      <c r="A39" s="564"/>
      <c r="B39" s="159" t="s">
        <v>1945</v>
      </c>
      <c r="C39" s="306"/>
      <c r="D39" s="155"/>
      <c r="E39" s="384" t="s">
        <v>1903</v>
      </c>
      <c r="F39" s="383" t="b">
        <v>1</v>
      </c>
    </row>
    <row r="40" spans="1:6">
      <c r="A40" s="564"/>
      <c r="B40" s="159" t="s">
        <v>1946</v>
      </c>
      <c r="C40" s="306"/>
      <c r="D40" s="155"/>
      <c r="E40" s="384" t="s">
        <v>1903</v>
      </c>
      <c r="F40" s="383" t="b">
        <v>1</v>
      </c>
    </row>
    <row r="41" spans="1:6">
      <c r="A41" s="564"/>
      <c r="B41" s="159" t="s">
        <v>1947</v>
      </c>
      <c r="C41" s="306"/>
      <c r="D41" s="155"/>
      <c r="E41" s="384" t="s">
        <v>1903</v>
      </c>
      <c r="F41" s="383" t="b">
        <v>1</v>
      </c>
    </row>
    <row r="42" spans="1:6" ht="13.5" thickBot="1">
      <c r="A42" s="565"/>
      <c r="B42" s="172" t="s">
        <v>1951</v>
      </c>
      <c r="C42" s="307"/>
      <c r="D42" s="171"/>
      <c r="E42" s="384" t="s">
        <v>1903</v>
      </c>
      <c r="F42" s="383" t="b">
        <v>1</v>
      </c>
    </row>
    <row r="43" spans="1:6" ht="13.5" thickBot="1">
      <c r="A43" s="321" t="s">
        <v>1900</v>
      </c>
      <c r="B43" s="356" t="s">
        <v>1901</v>
      </c>
      <c r="C43" s="441"/>
      <c r="D43" s="353"/>
      <c r="E43" s="384" t="s">
        <v>1338</v>
      </c>
      <c r="F43" s="383" t="b">
        <v>1</v>
      </c>
    </row>
    <row r="44" spans="1:6" ht="13.5" thickBot="1"/>
    <row r="45" spans="1:6" ht="21" thickBot="1">
      <c r="A45" s="524" t="s">
        <v>2003</v>
      </c>
      <c r="B45" s="525"/>
      <c r="C45" s="525"/>
      <c r="D45" s="526"/>
    </row>
    <row r="46" spans="1:6">
      <c r="A46" s="518" t="s">
        <v>1684</v>
      </c>
      <c r="B46" s="519"/>
      <c r="C46" s="519"/>
      <c r="D46" s="520"/>
    </row>
    <row r="47" spans="1:6">
      <c r="A47" s="243" t="s">
        <v>1329</v>
      </c>
      <c r="B47" s="243" t="s">
        <v>4</v>
      </c>
      <c r="C47" s="243" t="s">
        <v>1343</v>
      </c>
      <c r="D47" s="243" t="s">
        <v>1308</v>
      </c>
    </row>
    <row r="48" spans="1:6">
      <c r="A48" s="543" t="s">
        <v>1983</v>
      </c>
      <c r="B48" s="159" t="s">
        <v>1985</v>
      </c>
      <c r="C48" s="306"/>
      <c r="D48" s="99"/>
      <c r="E48" s="349" t="s">
        <v>1338</v>
      </c>
      <c r="F48" s="383" t="b">
        <v>1</v>
      </c>
    </row>
    <row r="49" spans="1:6">
      <c r="A49" s="544"/>
      <c r="B49" s="159" t="s">
        <v>1984</v>
      </c>
      <c r="C49" s="431"/>
      <c r="D49" s="99"/>
      <c r="E49" s="382" t="s">
        <v>1619</v>
      </c>
      <c r="F49" s="383" t="b">
        <v>1</v>
      </c>
    </row>
  </sheetData>
  <mergeCells count="13">
    <mergeCell ref="A48:A49"/>
    <mergeCell ref="E1:E3"/>
    <mergeCell ref="F1:F3"/>
    <mergeCell ref="A38:A42"/>
    <mergeCell ref="A1:D1"/>
    <mergeCell ref="A2:D2"/>
    <mergeCell ref="A45:D45"/>
    <mergeCell ref="A46:D46"/>
    <mergeCell ref="A4:A6"/>
    <mergeCell ref="A7:A10"/>
    <mergeCell ref="A11:A16"/>
    <mergeCell ref="A17:A32"/>
    <mergeCell ref="A33:A37"/>
  </mergeCells>
  <conditionalFormatting sqref="F4:F5 F7:F43">
    <cfRule type="cellIs" dxfId="126" priority="7" operator="equal">
      <formula>TRUE</formula>
    </cfRule>
  </conditionalFormatting>
  <conditionalFormatting sqref="F48:F49">
    <cfRule type="cellIs" dxfId="125" priority="3" operator="equal">
      <formula>TRUE</formula>
    </cfRule>
  </conditionalFormatting>
  <conditionalFormatting sqref="F6">
    <cfRule type="cellIs" dxfId="124" priority="2" operator="equal">
      <formula>TRUE</formula>
    </cfRule>
  </conditionalFormatting>
  <conditionalFormatting sqref="B6:D6">
    <cfRule type="expression" dxfId="123" priority="1">
      <formula>$F6=FALSE</formula>
    </cfRule>
  </conditionalFormatting>
  <dataValidations count="2">
    <dataValidation type="list" allowBlank="1" showInputMessage="1" showErrorMessage="1" sqref="C5 C48 C7:C43" xr:uid="{77023A76-CF58-4293-97D2-96A99B55D0DD}">
      <formula1>INDIRECT($E5)</formula1>
    </dataValidation>
    <dataValidation type="whole" operator="greaterThanOrEqual" allowBlank="1" showInputMessage="1" showErrorMessage="1" sqref="C49" xr:uid="{AA662DC5-9F25-4043-85CC-21516473DF9D}">
      <formula1>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EF56-80C8-4A68-9D79-78B5CF08785B}">
  <dimension ref="A1:AK438"/>
  <sheetViews>
    <sheetView workbookViewId="0"/>
  </sheetViews>
  <sheetFormatPr defaultRowHeight="13.5" customHeight="1"/>
  <cols>
    <col min="1" max="1" width="9.140625" style="37"/>
    <col min="2" max="2" width="76.85546875" style="412" customWidth="1"/>
    <col min="3" max="10" width="15.140625" style="37" customWidth="1"/>
    <col min="11" max="11" width="35.5703125" style="37" customWidth="1"/>
    <col min="12" max="16" width="15.140625" style="37" customWidth="1"/>
    <col min="17" max="18" width="9.140625" style="37" customWidth="1"/>
    <col min="19" max="19" width="9" style="37" customWidth="1"/>
    <col min="20" max="20" width="12.28515625" style="37" customWidth="1"/>
    <col min="21" max="25" width="9.140625" style="37" customWidth="1"/>
    <col min="26" max="26" width="13.85546875" style="37" customWidth="1"/>
    <col min="27" max="27" width="13" style="37" customWidth="1"/>
    <col min="28" max="28" width="9.140625" style="37" customWidth="1"/>
    <col min="29" max="29" width="23" style="37" customWidth="1"/>
    <col min="30" max="30" width="9.140625" style="37" customWidth="1"/>
    <col min="31" max="31" width="14.7109375" style="37" customWidth="1"/>
    <col min="32" max="32" width="41" style="37" customWidth="1"/>
    <col min="33" max="33" width="18.42578125" style="774" customWidth="1"/>
    <col min="34" max="34" width="63.85546875" style="37" customWidth="1"/>
    <col min="35" max="16384" width="9.140625" style="37"/>
  </cols>
  <sheetData>
    <row r="1" spans="2:7" ht="20.25">
      <c r="B1" s="710" t="s">
        <v>2223</v>
      </c>
      <c r="C1" s="711"/>
      <c r="D1" s="711"/>
      <c r="E1" s="711"/>
      <c r="F1" s="712"/>
    </row>
    <row r="2" spans="2:7" ht="13.5" customHeight="1">
      <c r="B2" s="713" t="s">
        <v>1957</v>
      </c>
      <c r="C2" s="159" t="s">
        <v>1960</v>
      </c>
      <c r="D2" s="137"/>
      <c r="E2" s="137"/>
      <c r="F2" s="714"/>
      <c r="G2" s="102" t="s">
        <v>2224</v>
      </c>
    </row>
    <row r="3" spans="2:7" ht="13.5" customHeight="1">
      <c r="B3" s="715" t="s">
        <v>1971</v>
      </c>
      <c r="C3" s="389" t="b">
        <f ca="1">NOT(ISERROR(INDIRECT(C2&amp;"!A1")))</f>
        <v>1</v>
      </c>
      <c r="D3" s="137"/>
      <c r="E3" s="137"/>
      <c r="F3" s="714"/>
    </row>
    <row r="4" spans="2:7" ht="13.5" customHeight="1">
      <c r="B4" s="715" t="s">
        <v>1970</v>
      </c>
      <c r="C4" s="383" t="b">
        <f ca="1">IF(C3,AND(P56:P90),FALSE)</f>
        <v>1</v>
      </c>
      <c r="D4" s="137"/>
      <c r="E4" s="137"/>
      <c r="F4" s="714"/>
    </row>
    <row r="5" spans="2:7" ht="13.5" customHeight="1">
      <c r="B5" s="715" t="s">
        <v>1969</v>
      </c>
      <c r="C5" s="383" t="b">
        <f ca="1">AND(C3:C4,C90="Yes")</f>
        <v>1</v>
      </c>
      <c r="D5" s="137"/>
      <c r="E5" s="137"/>
      <c r="F5" s="714"/>
    </row>
    <row r="6" spans="2:7" ht="13.5" customHeight="1">
      <c r="B6" s="715" t="s">
        <v>1975</v>
      </c>
      <c r="C6" s="383" t="b">
        <f ca="1">IF(C3,AND(P92:P99),FALSE)</f>
        <v>1</v>
      </c>
      <c r="D6" s="137"/>
      <c r="E6" s="137"/>
      <c r="F6" s="714"/>
    </row>
    <row r="7" spans="2:7" ht="13.5" customHeight="1">
      <c r="B7" s="716"/>
      <c r="C7" s="137"/>
      <c r="D7" s="137"/>
      <c r="E7" s="137"/>
      <c r="F7" s="714"/>
    </row>
    <row r="8" spans="2:7" ht="13.5" customHeight="1">
      <c r="B8" s="717" t="s">
        <v>1976</v>
      </c>
      <c r="C8" s="159" t="s">
        <v>1977</v>
      </c>
      <c r="D8" s="159" t="s">
        <v>1979</v>
      </c>
      <c r="E8" s="137"/>
      <c r="F8" s="714"/>
    </row>
    <row r="9" spans="2:7" ht="13.5" customHeight="1">
      <c r="B9" s="718" t="s">
        <v>1971</v>
      </c>
      <c r="C9" s="389" t="b">
        <f ca="1">NOT(ISERROR(INDIRECT(C8&amp;"!A1")))</f>
        <v>1</v>
      </c>
      <c r="D9" s="389" t="b">
        <f ca="1">NOT(ISERROR(INDIRECT(D8&amp;"!A1")))</f>
        <v>1</v>
      </c>
      <c r="E9" s="137"/>
      <c r="F9" s="714"/>
    </row>
    <row r="10" spans="2:7" ht="13.5" customHeight="1">
      <c r="B10" s="718" t="s">
        <v>1970</v>
      </c>
      <c r="C10" s="389" t="b">
        <f ca="1">IF($C$9,AND(P103:P121),FALSE)</f>
        <v>1</v>
      </c>
      <c r="D10" s="389" t="b">
        <f ca="1">IF($C$9,AND(Q103:Q121),FALSE)</f>
        <v>1</v>
      </c>
      <c r="E10" s="137"/>
      <c r="F10" s="714"/>
    </row>
    <row r="11" spans="2:7" ht="13.5" customHeight="1">
      <c r="B11" s="718" t="s">
        <v>1986</v>
      </c>
      <c r="C11" s="383" t="b">
        <f ca="1">IF(AND(C9:C10),C121="Yes",FALSE)</f>
        <v>1</v>
      </c>
      <c r="D11" s="383" t="b">
        <f ca="1">IF(AND(D9:D10),D121="Yes",FALSE)</f>
        <v>1</v>
      </c>
      <c r="E11" s="137"/>
      <c r="F11" s="714"/>
    </row>
    <row r="12" spans="2:7" ht="13.5" customHeight="1">
      <c r="B12" s="718" t="s">
        <v>1997</v>
      </c>
      <c r="C12" s="383" t="b">
        <f ca="1">IF(AND(C9:C11),C123="Yes",FALSE)</f>
        <v>1</v>
      </c>
      <c r="D12" s="383" t="b">
        <f ca="1">IF(AND(D9:D11),D123="Yes",FALSE)</f>
        <v>1</v>
      </c>
      <c r="E12" s="137"/>
      <c r="F12" s="714"/>
    </row>
    <row r="13" spans="2:7" ht="13.5" customHeight="1">
      <c r="B13" s="716"/>
      <c r="C13" s="137"/>
      <c r="D13" s="137"/>
      <c r="E13" s="137"/>
      <c r="F13" s="714"/>
    </row>
    <row r="14" spans="2:7" ht="13.5" customHeight="1">
      <c r="B14" s="713" t="s">
        <v>1958</v>
      </c>
      <c r="C14" s="159" t="s">
        <v>1967</v>
      </c>
      <c r="D14" s="137"/>
      <c r="E14" s="137"/>
      <c r="F14" s="714"/>
    </row>
    <row r="15" spans="2:7" ht="13.5" customHeight="1">
      <c r="B15" s="715" t="s">
        <v>1971</v>
      </c>
      <c r="C15" s="383" t="b">
        <f ca="1">NOT(ISERROR(INDIRECT(C14&amp;"!A1")))</f>
        <v>1</v>
      </c>
      <c r="D15" s="137"/>
      <c r="E15" s="137"/>
      <c r="F15" s="714"/>
    </row>
    <row r="16" spans="2:7" ht="13.5" customHeight="1">
      <c r="B16" s="715" t="s">
        <v>1970</v>
      </c>
      <c r="C16" s="383" t="b">
        <f ca="1">IF(C15,AND(P128:P198),FALSE)</f>
        <v>1</v>
      </c>
      <c r="D16" s="137"/>
      <c r="E16" s="137"/>
      <c r="F16" s="714"/>
    </row>
    <row r="17" spans="2:6" ht="13.5" customHeight="1">
      <c r="B17" s="715" t="s">
        <v>1969</v>
      </c>
      <c r="C17" s="383" t="b">
        <f ca="1">AND(C15:C16,C198="Yes")</f>
        <v>1</v>
      </c>
      <c r="D17" s="137"/>
      <c r="E17" s="137"/>
      <c r="F17" s="714"/>
    </row>
    <row r="18" spans="2:6" ht="13.5" customHeight="1">
      <c r="B18" s="716"/>
      <c r="C18" s="137"/>
      <c r="D18" s="137"/>
      <c r="E18" s="137"/>
      <c r="F18" s="714"/>
    </row>
    <row r="19" spans="2:6" ht="13.5" customHeight="1">
      <c r="B19" s="713" t="s">
        <v>2014</v>
      </c>
      <c r="C19" s="159" t="s">
        <v>2015</v>
      </c>
      <c r="D19" s="159" t="s">
        <v>2016</v>
      </c>
      <c r="E19" s="159" t="s">
        <v>2017</v>
      </c>
      <c r="F19" s="460" t="s">
        <v>2018</v>
      </c>
    </row>
    <row r="20" spans="2:6" ht="13.5" customHeight="1">
      <c r="B20" s="715" t="s">
        <v>1971</v>
      </c>
      <c r="C20" s="383" t="b">
        <f ca="1">NOT(ISERROR(INDIRECT(C19&amp;"!A1")))</f>
        <v>1</v>
      </c>
      <c r="D20" s="383" t="b">
        <f ca="1">NOT(ISERROR(INDIRECT(D19&amp;"!A1")))</f>
        <v>1</v>
      </c>
      <c r="E20" s="383" t="b">
        <f ca="1">NOT(ISERROR(INDIRECT(E19&amp;"!A1")))</f>
        <v>1</v>
      </c>
      <c r="F20" s="391" t="b">
        <f ca="1">NOT(ISERROR(INDIRECT(F19&amp;"!A1")))</f>
        <v>1</v>
      </c>
    </row>
    <row r="21" spans="2:6" ht="13.5" customHeight="1">
      <c r="B21" s="715" t="s">
        <v>1970</v>
      </c>
      <c r="C21" s="383" t="b">
        <f ca="1">AND(C20,P234:P247)</f>
        <v>1</v>
      </c>
      <c r="D21" s="383" t="b">
        <f ca="1">AND(D20,Q234:Q247)</f>
        <v>1</v>
      </c>
      <c r="E21" s="383" t="b">
        <f ca="1">AND(E20,R234:R247)</f>
        <v>1</v>
      </c>
      <c r="F21" s="391" t="b">
        <f ca="1">AND(F20,S234:S247)</f>
        <v>1</v>
      </c>
    </row>
    <row r="22" spans="2:6" ht="13.5" customHeight="1">
      <c r="B22" s="715" t="s">
        <v>2032</v>
      </c>
      <c r="C22" s="383" t="b">
        <f ca="1">AND(C20:C21,C247)</f>
        <v>1</v>
      </c>
      <c r="D22" s="383" t="b">
        <f ca="1">AND(D20:D21,D247)</f>
        <v>1</v>
      </c>
      <c r="E22" s="383" t="b">
        <f ca="1">AND(E20:E21,E247)</f>
        <v>1</v>
      </c>
      <c r="F22" s="391" t="b">
        <f ca="1">AND(F20:F21,F247)</f>
        <v>1</v>
      </c>
    </row>
    <row r="23" spans="2:6" ht="13.5" customHeight="1">
      <c r="B23" s="716"/>
      <c r="C23" s="137"/>
      <c r="D23" s="137"/>
      <c r="E23" s="137"/>
      <c r="F23" s="714"/>
    </row>
    <row r="24" spans="2:6" ht="13.5" customHeight="1">
      <c r="B24" s="717" t="s">
        <v>1902</v>
      </c>
      <c r="C24" s="159" t="s">
        <v>1998</v>
      </c>
      <c r="D24" s="159" t="s">
        <v>1999</v>
      </c>
      <c r="E24" s="137"/>
      <c r="F24" s="714"/>
    </row>
    <row r="25" spans="2:6" ht="13.5" customHeight="1">
      <c r="B25" s="718" t="s">
        <v>1971</v>
      </c>
      <c r="C25" s="383" t="b">
        <f ca="1">NOT(ISERROR(INDIRECT(C24&amp;"!A1")))</f>
        <v>1</v>
      </c>
      <c r="D25" s="383" t="b">
        <f ca="1">NOT(ISERROR(INDIRECT(D24&amp;"!A1")))</f>
        <v>1</v>
      </c>
      <c r="E25" s="137"/>
      <c r="F25" s="714"/>
    </row>
    <row r="26" spans="2:6" ht="13.5" customHeight="1">
      <c r="B26" s="718" t="s">
        <v>1970</v>
      </c>
      <c r="C26" s="389" t="b">
        <f ca="1">AND(C25,P252:P291,P293:P294)</f>
        <v>1</v>
      </c>
      <c r="D26" s="389" t="b">
        <f ca="1">AND(D25,Q252:Q291,Q293:Q294)</f>
        <v>1</v>
      </c>
      <c r="E26" s="137"/>
      <c r="F26" s="714"/>
    </row>
    <row r="27" spans="2:6" ht="13.5" customHeight="1">
      <c r="B27" s="718" t="s">
        <v>1986</v>
      </c>
      <c r="C27" s="383" t="b">
        <f ca="1">AND(C25:C26,C291="Yes")</f>
        <v>1</v>
      </c>
      <c r="D27" s="383" t="b">
        <f ca="1">AND(D25:D26,D291="Yes")</f>
        <v>1</v>
      </c>
      <c r="E27" s="137"/>
      <c r="F27" s="714"/>
    </row>
    <row r="28" spans="2:6" ht="13.5" customHeight="1">
      <c r="B28" s="718" t="s">
        <v>1997</v>
      </c>
      <c r="C28" s="383" t="b">
        <f ca="1">AND(C25:C27,C293="Yes")</f>
        <v>1</v>
      </c>
      <c r="D28" s="383" t="b">
        <f ca="1">AND(D25:D27,D293="Yes")</f>
        <v>1</v>
      </c>
      <c r="E28" s="137"/>
      <c r="F28" s="714"/>
    </row>
    <row r="29" spans="2:6" ht="13.5" customHeight="1">
      <c r="B29" s="716"/>
      <c r="C29" s="137"/>
      <c r="D29" s="137"/>
      <c r="E29" s="137"/>
      <c r="F29" s="714"/>
    </row>
    <row r="30" spans="2:6" ht="13.5" customHeight="1">
      <c r="B30" s="713" t="s">
        <v>2006</v>
      </c>
      <c r="C30" s="159" t="s">
        <v>1961</v>
      </c>
      <c r="D30" s="159" t="s">
        <v>1962</v>
      </c>
      <c r="E30" s="159" t="s">
        <v>1963</v>
      </c>
      <c r="F30" s="714"/>
    </row>
    <row r="31" spans="2:6" ht="13.5" customHeight="1">
      <c r="B31" s="715" t="s">
        <v>1971</v>
      </c>
      <c r="C31" s="383" t="b">
        <f ca="1">NOT(ISERROR(INDIRECT(C30&amp;"!A1")))</f>
        <v>1</v>
      </c>
      <c r="D31" s="383" t="b">
        <f ca="1">NOT(ISERROR(INDIRECT(D30&amp;"!A1")))</f>
        <v>1</v>
      </c>
      <c r="E31" s="383" t="b">
        <f ca="1">NOT(ISERROR(INDIRECT(E30&amp;"!A1")))</f>
        <v>1</v>
      </c>
      <c r="F31" s="714"/>
    </row>
    <row r="32" spans="2:6" ht="13.5" customHeight="1">
      <c r="B32" s="715" t="s">
        <v>1970</v>
      </c>
      <c r="C32" s="383" t="b">
        <f ca="1">AND(C31,P298:P335)</f>
        <v>1</v>
      </c>
      <c r="D32" s="383" t="b">
        <f ca="1">AND(D31,Q298:Q335)</f>
        <v>1</v>
      </c>
      <c r="E32" s="383" t="b">
        <f ca="1">AND(E31,R298:R335)</f>
        <v>1</v>
      </c>
      <c r="F32" s="714"/>
    </row>
    <row r="33" spans="2:6" ht="13.5" customHeight="1">
      <c r="B33" s="715" t="s">
        <v>1969</v>
      </c>
      <c r="C33" s="383" t="b">
        <f ca="1">AND(C31:C32,C335="Yes")</f>
        <v>1</v>
      </c>
      <c r="D33" s="383" t="b">
        <f ca="1">AND(D31:D32,D335="Yes")</f>
        <v>1</v>
      </c>
      <c r="E33" s="383" t="b">
        <f ca="1">AND(E31:E32,E335="Yes")</f>
        <v>1</v>
      </c>
      <c r="F33" s="714"/>
    </row>
    <row r="34" spans="2:6" ht="13.5" customHeight="1">
      <c r="B34" s="716"/>
      <c r="C34" s="137"/>
      <c r="D34" s="137"/>
      <c r="E34" s="137"/>
      <c r="F34" s="714"/>
    </row>
    <row r="35" spans="2:6" ht="13.5" customHeight="1">
      <c r="B35" s="717" t="s">
        <v>2007</v>
      </c>
      <c r="C35" s="159" t="s">
        <v>2011</v>
      </c>
      <c r="D35" s="159" t="s">
        <v>2012</v>
      </c>
      <c r="E35" s="159" t="s">
        <v>2013</v>
      </c>
      <c r="F35" s="714"/>
    </row>
    <row r="36" spans="2:6" ht="13.5" customHeight="1">
      <c r="B36" s="718" t="s">
        <v>1971</v>
      </c>
      <c r="C36" s="383" t="b">
        <f ca="1">NOT(ISERROR(INDIRECT(C35&amp;"!A1")))</f>
        <v>1</v>
      </c>
      <c r="D36" s="383" t="b">
        <f ca="1">NOT(ISERROR(INDIRECT(D35&amp;"!A1")))</f>
        <v>1</v>
      </c>
      <c r="E36" s="383" t="b">
        <f ca="1">NOT(ISERROR(INDIRECT(E35&amp;"!A1")))</f>
        <v>1</v>
      </c>
      <c r="F36" s="714"/>
    </row>
    <row r="37" spans="2:6" ht="13.5" customHeight="1">
      <c r="B37" s="718" t="s">
        <v>1970</v>
      </c>
      <c r="C37" s="389" t="b">
        <f ca="1">AND(C36,P339:P359)</f>
        <v>1</v>
      </c>
      <c r="D37" s="389" t="b">
        <f ca="1">AND(D36,Q339:Q359)</f>
        <v>1</v>
      </c>
      <c r="E37" s="389" t="b">
        <f ca="1">AND(E36,R339:R359)</f>
        <v>1</v>
      </c>
      <c r="F37" s="714"/>
    </row>
    <row r="38" spans="2:6" ht="13.5" customHeight="1">
      <c r="B38" s="718" t="s">
        <v>1986</v>
      </c>
      <c r="C38" s="383" t="b">
        <f ca="1">AND(C36:C37,C359="Yes")</f>
        <v>1</v>
      </c>
      <c r="D38" s="383" t="b">
        <f ca="1">AND(D36:D37,D359="Yes")</f>
        <v>1</v>
      </c>
      <c r="E38" s="383" t="b">
        <f ca="1">AND(E36:E37,E359="Yes")</f>
        <v>1</v>
      </c>
      <c r="F38" s="714"/>
    </row>
    <row r="39" spans="2:6" ht="13.5" customHeight="1">
      <c r="B39" s="718" t="s">
        <v>1997</v>
      </c>
      <c r="C39" s="383" t="b">
        <f ca="1">AND(C36:C37,C361="Yes")</f>
        <v>1</v>
      </c>
      <c r="D39" s="383" t="b">
        <f ca="1">AND(D36:D37,D361="Yes")</f>
        <v>1</v>
      </c>
      <c r="E39" s="383" t="b">
        <f ca="1">AND(E36:E37,E361="Yes")</f>
        <v>1</v>
      </c>
      <c r="F39" s="714"/>
    </row>
    <row r="40" spans="2:6" ht="13.5" customHeight="1">
      <c r="B40" s="716"/>
      <c r="C40" s="137"/>
      <c r="D40" s="137"/>
      <c r="E40" s="137"/>
      <c r="F40" s="714"/>
    </row>
    <row r="41" spans="2:6" ht="13.5" customHeight="1">
      <c r="B41" s="713" t="s">
        <v>2010</v>
      </c>
      <c r="C41" s="159" t="s">
        <v>1964</v>
      </c>
      <c r="D41" s="159" t="s">
        <v>1965</v>
      </c>
      <c r="E41" s="159" t="s">
        <v>1966</v>
      </c>
      <c r="F41" s="714"/>
    </row>
    <row r="42" spans="2:6" ht="13.5" customHeight="1">
      <c r="B42" s="715" t="s">
        <v>1971</v>
      </c>
      <c r="C42" s="383" t="b">
        <f ca="1">NOT(ISERROR(INDIRECT(C41&amp;"!A1")))</f>
        <v>1</v>
      </c>
      <c r="D42" s="383" t="b">
        <f ca="1">NOT(ISERROR(INDIRECT(D41&amp;"!A1")))</f>
        <v>1</v>
      </c>
      <c r="E42" s="383" t="b">
        <f ca="1">NOT(ISERROR(INDIRECT(E41&amp;"!A1")))</f>
        <v>1</v>
      </c>
      <c r="F42" s="714"/>
    </row>
    <row r="43" spans="2:6" ht="13.5" customHeight="1">
      <c r="B43" s="715" t="s">
        <v>1970</v>
      </c>
      <c r="C43" s="383" t="b">
        <f ca="1">AND(C42,P366:P392)</f>
        <v>1</v>
      </c>
      <c r="D43" s="383" t="b">
        <f ca="1">AND(D42,Q366:Q392)</f>
        <v>1</v>
      </c>
      <c r="E43" s="383" t="b">
        <f ca="1">AND(E42,R366:R392)</f>
        <v>1</v>
      </c>
      <c r="F43" s="714"/>
    </row>
    <row r="44" spans="2:6" ht="13.5" customHeight="1">
      <c r="B44" s="715" t="s">
        <v>1969</v>
      </c>
      <c r="C44" s="383" t="b">
        <f ca="1">AND(C42:C43,C392="Yes")</f>
        <v>1</v>
      </c>
      <c r="D44" s="383" t="b">
        <f ca="1">AND(D42:D43,D392="Yes")</f>
        <v>1</v>
      </c>
      <c r="E44" s="383" t="b">
        <f ca="1">AND(E42:E43,E392="Yes")</f>
        <v>1</v>
      </c>
      <c r="F44" s="714"/>
    </row>
    <row r="45" spans="2:6" ht="13.5" customHeight="1">
      <c r="B45" s="716"/>
      <c r="C45" s="137"/>
      <c r="D45" s="137"/>
      <c r="E45" s="137"/>
      <c r="F45" s="714"/>
    </row>
    <row r="46" spans="2:6" ht="13.5" customHeight="1">
      <c r="B46" s="717" t="s">
        <v>2009</v>
      </c>
      <c r="C46" s="159" t="s">
        <v>2045</v>
      </c>
      <c r="D46" s="159" t="s">
        <v>2162</v>
      </c>
      <c r="E46" s="137"/>
      <c r="F46" s="714"/>
    </row>
    <row r="47" spans="2:6" ht="13.5" customHeight="1">
      <c r="B47" s="718" t="s">
        <v>1971</v>
      </c>
      <c r="C47" s="383" t="b">
        <f ca="1">NOT(ISERROR(INDIRECT(C46&amp;"!A1")))</f>
        <v>1</v>
      </c>
      <c r="D47" s="383" t="b">
        <f ca="1">NOT(ISERROR(INDIRECT(D46&amp;"!A1")))</f>
        <v>1</v>
      </c>
      <c r="E47" s="137"/>
      <c r="F47" s="714"/>
    </row>
    <row r="48" spans="2:6" ht="13.5" customHeight="1">
      <c r="B48" s="718" t="s">
        <v>1970</v>
      </c>
      <c r="C48" s="389" t="b">
        <f ca="1">AND(C47,P396:P432,P434:P435)</f>
        <v>1</v>
      </c>
      <c r="D48" s="389" t="b">
        <f ca="1">AND(D47,Q396:Q432,Q434:Q435)</f>
        <v>1</v>
      </c>
      <c r="E48" s="137"/>
      <c r="F48" s="714"/>
    </row>
    <row r="49" spans="1:34" ht="13.5" customHeight="1">
      <c r="B49" s="718" t="s">
        <v>1986</v>
      </c>
      <c r="C49" s="383" t="b">
        <f ca="1">AND(C47:C48,C432="Yes")</f>
        <v>1</v>
      </c>
      <c r="D49" s="383" t="b">
        <f ca="1">AND(D47:D48,D432="Yes")</f>
        <v>1</v>
      </c>
      <c r="E49" s="137"/>
      <c r="F49" s="714"/>
    </row>
    <row r="50" spans="1:34" ht="13.5" customHeight="1" thickBot="1">
      <c r="B50" s="719" t="s">
        <v>1997</v>
      </c>
      <c r="C50" s="720" t="b">
        <f ca="1">AND(C47:C48,C434="Yes")</f>
        <v>1</v>
      </c>
      <c r="D50" s="720" t="b">
        <f ca="1">AND(D47:D48,D434="Yes")</f>
        <v>1</v>
      </c>
      <c r="E50" s="721"/>
      <c r="F50" s="722"/>
    </row>
    <row r="53" spans="1:34" ht="20.25" customHeight="1">
      <c r="B53" s="701" t="s">
        <v>1978</v>
      </c>
      <c r="C53" s="702"/>
      <c r="D53" s="702"/>
      <c r="E53" s="702"/>
      <c r="F53" s="702"/>
      <c r="G53" s="702"/>
      <c r="H53" s="702"/>
      <c r="I53" s="702"/>
      <c r="J53" s="702"/>
      <c r="K53" s="702"/>
      <c r="L53" s="702"/>
      <c r="M53" s="702"/>
      <c r="N53" s="702"/>
      <c r="O53" s="703"/>
      <c r="P53" s="577" t="s">
        <v>1980</v>
      </c>
      <c r="Q53" s="577"/>
      <c r="R53" s="577"/>
      <c r="S53" s="577"/>
      <c r="T53" s="577" t="s">
        <v>2168</v>
      </c>
      <c r="U53" s="577"/>
      <c r="V53" s="577"/>
      <c r="W53" s="577"/>
      <c r="X53" s="577"/>
      <c r="Y53" s="577"/>
      <c r="Z53" s="577"/>
      <c r="AA53" s="577"/>
      <c r="AB53" s="577"/>
      <c r="AC53" s="770" t="s">
        <v>2196</v>
      </c>
      <c r="AD53" s="771"/>
      <c r="AE53" s="771"/>
      <c r="AF53" s="771"/>
      <c r="AG53" s="771"/>
      <c r="AH53" s="771"/>
    </row>
    <row r="54" spans="1:34" ht="15.75">
      <c r="A54" s="412"/>
      <c r="B54" s="753" t="s">
        <v>1959</v>
      </c>
      <c r="C54" s="754"/>
      <c r="D54" s="754"/>
      <c r="E54" s="754"/>
      <c r="F54" s="754"/>
      <c r="G54" s="754"/>
      <c r="H54" s="754"/>
      <c r="I54" s="754"/>
      <c r="J54" s="754"/>
      <c r="K54" s="754"/>
      <c r="L54" s="754"/>
      <c r="M54" s="754"/>
      <c r="N54" s="754"/>
      <c r="O54" s="755"/>
      <c r="P54" s="756" t="s">
        <v>1981</v>
      </c>
      <c r="Q54" s="756"/>
      <c r="R54" s="756"/>
      <c r="S54" s="757"/>
      <c r="T54" s="758" t="s">
        <v>2169</v>
      </c>
      <c r="U54" s="758" t="s">
        <v>2174</v>
      </c>
      <c r="V54" s="758"/>
      <c r="W54" s="758"/>
      <c r="X54" s="758"/>
      <c r="Y54" s="759" t="s">
        <v>2181</v>
      </c>
      <c r="Z54" s="760" t="s">
        <v>2182</v>
      </c>
      <c r="AA54" s="760"/>
      <c r="AB54" s="760"/>
      <c r="AC54" s="764" t="s">
        <v>2197</v>
      </c>
      <c r="AD54" s="764" t="s">
        <v>2225</v>
      </c>
      <c r="AE54" s="764" t="s">
        <v>2226</v>
      </c>
      <c r="AF54" s="767" t="s">
        <v>2280</v>
      </c>
      <c r="AG54" s="764" t="s">
        <v>2278</v>
      </c>
      <c r="AH54" s="767" t="s">
        <v>2277</v>
      </c>
    </row>
    <row r="55" spans="1:34" thickBot="1">
      <c r="A55" s="412"/>
      <c r="B55" s="414" t="s">
        <v>4</v>
      </c>
      <c r="C55" s="414" t="s">
        <v>801</v>
      </c>
      <c r="D55" s="412"/>
      <c r="E55" s="412"/>
      <c r="F55" s="761"/>
      <c r="G55" s="414" t="s">
        <v>1968</v>
      </c>
      <c r="H55" s="412"/>
      <c r="I55" s="412"/>
      <c r="J55" s="412"/>
      <c r="K55" s="414" t="s">
        <v>1988</v>
      </c>
      <c r="L55" s="762" t="s">
        <v>2219</v>
      </c>
      <c r="M55" s="762" t="s">
        <v>2220</v>
      </c>
      <c r="N55" s="762" t="s">
        <v>2221</v>
      </c>
      <c r="O55" s="762" t="s">
        <v>2222</v>
      </c>
      <c r="P55" s="763" t="s">
        <v>1993</v>
      </c>
      <c r="Q55" s="761"/>
      <c r="R55" s="761"/>
      <c r="S55" s="761"/>
      <c r="T55" s="756"/>
      <c r="U55" s="413" t="s">
        <v>1993</v>
      </c>
      <c r="V55" s="413" t="s">
        <v>1994</v>
      </c>
      <c r="W55" s="413" t="s">
        <v>1995</v>
      </c>
      <c r="X55" s="413" t="s">
        <v>1996</v>
      </c>
      <c r="Y55" s="764"/>
      <c r="Z55" s="765" t="s">
        <v>2183</v>
      </c>
      <c r="AA55" s="765" t="s">
        <v>2184</v>
      </c>
      <c r="AB55" s="765" t="s">
        <v>2185</v>
      </c>
      <c r="AC55" s="766"/>
      <c r="AD55" s="766"/>
      <c r="AE55" s="766"/>
      <c r="AF55" s="768"/>
      <c r="AG55" s="766"/>
      <c r="AH55" s="768"/>
    </row>
    <row r="56" spans="1:34" ht="13.5" customHeight="1">
      <c r="B56" s="397" t="s">
        <v>1114</v>
      </c>
      <c r="C56" s="161" t="str">
        <f t="shared" ref="C56:C90" ca="1" si="0">IF(INDIRECT($C$2&amp;"!C"&amp;ROW()-ROW($C$56)+4)="","",INDIRECT($C$2&amp;"!C"&amp;ROW()-ROW($C$56)+4))</f>
        <v>SampleOrg</v>
      </c>
      <c r="F56" s="137"/>
      <c r="G56" s="161" t="str">
        <f t="shared" ref="G56:G90" ca="1" si="1">IF(INDIRECT($C$2&amp;"!D"&amp;ROW()-ROW($G$56)+4)="","",INDIRECT($C$2&amp;"!D"&amp;ROW()-ROW($G$56)+4))</f>
        <v/>
      </c>
      <c r="K56" s="99" t="str">
        <f t="shared" ref="K56:K90" ca="1" si="2">IF(INDIRECT($C$2&amp;"!E"&amp;ROW()-ROW($G$56)+4)="","",INDIRECT($C$2&amp;"!E"&amp;ROW()-ROW($G$56)+4))</f>
        <v>Not evaluated</v>
      </c>
      <c r="L56" s="99" t="b">
        <f t="shared" ref="L56:L90" ca="1" si="3">IF(INDIRECT($C$2&amp;"!F"&amp;ROW()-ROW($G$56)+4)="","",INDIRECT($C$2&amp;"!F"&amp;ROW()-ROW($G$56)+4))</f>
        <v>1</v>
      </c>
      <c r="M56" s="99"/>
      <c r="N56" s="99"/>
      <c r="O56" s="99"/>
      <c r="P56" s="99" t="b">
        <f t="shared" ref="P56:P90" ca="1" si="4">INDIRECT($C$2&amp;"!B"&amp;ROW()-ROW($P$56)+4)=B56</f>
        <v>1</v>
      </c>
      <c r="S56" s="137"/>
      <c r="T56" s="99" t="str">
        <f ca="1">IF(NOT(ISERROR(MATCH(K56,'Lookup Tables'!A:A,0))),"Lookup",IF(OR(NOT(ISERROR(FIND("Numeric",K56))),NOT(ISERROR(FIND("Percentage",K56))),NOT(ISERROR(FIND("Date",K56)))),"Numeric",IF(NOT(ISERROR(FIND("lank",K56))),"Non-blank",IF(NOT(ISERROR(FIND("Not evaluated",K56))),"Skipped","Other"))))</f>
        <v>Skipped</v>
      </c>
      <c r="U56" s="99"/>
      <c r="V56" s="99"/>
      <c r="W56" s="99"/>
      <c r="X56" s="99"/>
      <c r="Y56" s="99">
        <f>COUNTA($C$2:$F$2)</f>
        <v>1</v>
      </c>
      <c r="Z56" s="99"/>
      <c r="AA56" s="99"/>
      <c r="AB56" s="379"/>
      <c r="AC56" s="161"/>
      <c r="AD56" s="161"/>
      <c r="AE56" s="352"/>
      <c r="AF56" s="99"/>
      <c r="AG56" s="248"/>
      <c r="AH56" s="99"/>
    </row>
    <row r="57" spans="1:34" ht="13.5" customHeight="1">
      <c r="B57" s="335" t="s">
        <v>1436</v>
      </c>
      <c r="C57" s="99" t="str">
        <f t="shared" ca="1" si="0"/>
        <v>sampleorg.com</v>
      </c>
      <c r="G57" s="99" t="str">
        <f t="shared" ca="1" si="1"/>
        <v/>
      </c>
      <c r="K57" s="99" t="str">
        <f t="shared" ca="1" si="2"/>
        <v>Not evaluated</v>
      </c>
      <c r="L57" s="99" t="b">
        <f t="shared" ca="1" si="3"/>
        <v>1</v>
      </c>
      <c r="M57" s="99"/>
      <c r="N57" s="99"/>
      <c r="O57" s="99"/>
      <c r="P57" s="99" t="b">
        <f t="shared" ca="1" si="4"/>
        <v>1</v>
      </c>
      <c r="S57" s="137"/>
      <c r="T57" s="99" t="str">
        <f ca="1">IF(NOT(ISERROR(MATCH(K57,'Lookup Tables'!A:A,0))),"Lookup",IF(OR(NOT(ISERROR(FIND("Numeric",K57))),NOT(ISERROR(FIND("Percentage",K57))),NOT(ISERROR(FIND("Date",K57)))),"Numeric",IF(NOT(ISERROR(FIND("lank",K57))),"Non-blank",IF(NOT(ISERROR(FIND("Not evaluated",K57))),"Skipped","Other"))))</f>
        <v>Skipped</v>
      </c>
      <c r="U57" s="99"/>
      <c r="V57" s="99"/>
      <c r="W57" s="99"/>
      <c r="X57" s="99"/>
      <c r="Y57" s="99">
        <f t="shared" ref="Y57:Y99" si="5">COUNTA($C$2:$F$2)</f>
        <v>1</v>
      </c>
      <c r="Z57" s="99"/>
      <c r="AA57" s="99"/>
      <c r="AB57" s="379"/>
      <c r="AC57" s="99"/>
      <c r="AD57" s="99"/>
      <c r="AE57" s="379"/>
      <c r="AF57" s="99"/>
      <c r="AG57" s="248"/>
      <c r="AH57" s="99"/>
    </row>
    <row r="58" spans="1:34" ht="13.5" customHeight="1">
      <c r="B58" s="327" t="s">
        <v>1113</v>
      </c>
      <c r="C58" s="99" t="str">
        <f t="shared" ca="1" si="0"/>
        <v>Public benefit corporation (PBC)</v>
      </c>
      <c r="G58" s="99" t="str">
        <f t="shared" ca="1" si="1"/>
        <v/>
      </c>
      <c r="K58" s="99" t="str">
        <f t="shared" ca="1" si="2"/>
        <v>Org_Type</v>
      </c>
      <c r="L58" s="99" t="b">
        <f t="shared" ca="1" si="3"/>
        <v>1</v>
      </c>
      <c r="M58" s="99"/>
      <c r="N58" s="99"/>
      <c r="O58" s="99"/>
      <c r="P58" s="99" t="b">
        <f t="shared" ca="1" si="4"/>
        <v>1</v>
      </c>
      <c r="S58" s="137"/>
      <c r="T58" s="99" t="str">
        <f ca="1">IF(NOT(ISERROR(MATCH(K58,'Lookup Tables'!A:A,0))),"Lookup",IF(OR(NOT(ISERROR(FIND("Numeric",K58))),NOT(ISERROR(FIND("Percentage",K58))),NOT(ISERROR(FIND("Date",K58)))),"Numeric",IF(NOT(ISERROR(FIND("lank",K58))),"Non-blank",IF(NOT(ISERROR(FIND("Not evaluated",K58))),"Skipped","Other"))))</f>
        <v>Lookup</v>
      </c>
      <c r="U58" s="461">
        <f ca="1">IF(COLUMN()-COLUMN($U$55)+1&lt;=$Y58,INDEX(OFFSET(INDIRECT($K58),0,1),MATCH(C58,INDIRECT($K58),0)),"")</f>
        <v>1</v>
      </c>
      <c r="V58" s="461" t="str">
        <f ca="1">IF(COLUMN()-COLUMN($U$55)+1&lt;=$Y58,INDEX(OFFSET(INDIRECT($K58),0,1),MATCH(D58,INDIRECT($K58),0)),"")</f>
        <v/>
      </c>
      <c r="W58" s="461" t="str">
        <f ca="1">IF(COLUMN()-COLUMN($U$55)+1&lt;=$Y58,INDEX(OFFSET(INDIRECT($K58),0,1),MATCH(E58,INDIRECT($K58),0)),"")</f>
        <v/>
      </c>
      <c r="X58" s="461" t="str">
        <f ca="1">IF(COLUMN()-COLUMN($U$55)+1&lt;=$Y58,INDEX(OFFSET(INDIRECT($K58),0,1),MATCH(F58,INDIRECT($K58),0)),"")</f>
        <v/>
      </c>
      <c r="Y58" s="99">
        <f t="shared" si="5"/>
        <v>1</v>
      </c>
      <c r="Z58" s="99"/>
      <c r="AA58" s="99"/>
      <c r="AB58" s="379"/>
      <c r="AC58" s="159" t="s">
        <v>2198</v>
      </c>
      <c r="AD58" s="101">
        <f ca="1">IF(U58="","",U58)</f>
        <v>1</v>
      </c>
      <c r="AE58" s="379" t="b">
        <f ca="1">IF(AD58="","",NOT(P58))</f>
        <v>0</v>
      </c>
      <c r="AF58" s="159" t="s">
        <v>2281</v>
      </c>
      <c r="AG58" s="783">
        <f>COUNTIF('VA Detailed Scorecard Config'!D:D,AF58)</f>
        <v>1</v>
      </c>
      <c r="AH58" s="99"/>
    </row>
    <row r="59" spans="1:34" ht="13.5" customHeight="1" thickBot="1">
      <c r="B59" s="398" t="s">
        <v>1309</v>
      </c>
      <c r="C59" s="99" t="str">
        <f t="shared" ca="1" si="0"/>
        <v>United States</v>
      </c>
      <c r="G59" s="99" t="str">
        <f t="shared" ca="1" si="1"/>
        <v/>
      </c>
      <c r="K59" s="99" t="str">
        <f t="shared" ca="1" si="2"/>
        <v>Countries</v>
      </c>
      <c r="L59" s="99" t="b">
        <f t="shared" ca="1" si="3"/>
        <v>1</v>
      </c>
      <c r="M59" s="99"/>
      <c r="N59" s="99"/>
      <c r="O59" s="99"/>
      <c r="P59" s="99" t="b">
        <f t="shared" ca="1" si="4"/>
        <v>1</v>
      </c>
      <c r="S59" s="137"/>
      <c r="T59" s="99" t="str">
        <f ca="1">IF(NOT(ISERROR(MATCH(K59,'Lookup Tables'!A:A,0))),"Lookup",IF(OR(NOT(ISERROR(FIND("Numeric",K59))),NOT(ISERROR(FIND("Percentage",K59))),NOT(ISERROR(FIND("Date",K59)))),"Numeric",IF(NOT(ISERROR(FIND("lank",K59))),"Non-blank",IF(NOT(ISERROR(FIND("Not evaluated",K59))),"Skipped","Other"))))</f>
        <v>Lookup</v>
      </c>
      <c r="U59" s="461">
        <f ca="1">IF(COLUMN()-COLUMN($U$55)+1&lt;=$Y59,INDEX(OFFSET(INDIRECT($K59),0,1),MATCH(C59,INDIRECT($K59),0)),"")</f>
        <v>1</v>
      </c>
      <c r="V59" s="461" t="str">
        <f ca="1">IF(COLUMN()-COLUMN($U$55)+1&lt;=$Y59,INDEX(OFFSET(INDIRECT($K59),0,1),MATCH(D59,INDIRECT($K59),0)),"")</f>
        <v/>
      </c>
      <c r="W59" s="461" t="str">
        <f ca="1">IF(COLUMN()-COLUMN($U$55)+1&lt;=$Y59,INDEX(OFFSET(INDIRECT($K59),0,1),MATCH(E59,INDIRECT($K59),0)),"")</f>
        <v/>
      </c>
      <c r="X59" s="461" t="str">
        <f ca="1">IF(COLUMN()-COLUMN($U$55)+1&lt;=$Y59,INDEX(OFFSET(INDIRECT($K59),0,1),MATCH(F59,INDIRECT($K59),0)),"")</f>
        <v/>
      </c>
      <c r="Y59" s="99">
        <f t="shared" si="5"/>
        <v>1</v>
      </c>
      <c r="Z59" s="99"/>
      <c r="AA59" s="99"/>
      <c r="AB59" s="379"/>
      <c r="AC59" s="159" t="s">
        <v>2198</v>
      </c>
      <c r="AD59" s="101">
        <f t="shared" ref="AD59:AD99" ca="1" si="6">IF(U59="","",U59)</f>
        <v>1</v>
      </c>
      <c r="AE59" s="379" t="b">
        <f t="shared" ref="AE59:AE61" ca="1" si="7">IF(AD59="","",NOT(P59))</f>
        <v>0</v>
      </c>
      <c r="AF59" s="159" t="s">
        <v>2282</v>
      </c>
      <c r="AG59" s="783">
        <f>COUNTIF('VA Detailed Scorecard Config'!D:D,AF59)</f>
        <v>0</v>
      </c>
      <c r="AH59" s="99"/>
    </row>
    <row r="60" spans="1:34" ht="13.5" customHeight="1">
      <c r="B60" s="397" t="s">
        <v>1310</v>
      </c>
      <c r="C60" s="99" t="str">
        <f t="shared" ca="1" si="0"/>
        <v>Alex V</v>
      </c>
      <c r="G60" s="99" t="str">
        <f t="shared" ca="1" si="1"/>
        <v/>
      </c>
      <c r="K60" s="99" t="str">
        <f t="shared" ca="1" si="2"/>
        <v>Non-blank required</v>
      </c>
      <c r="L60" s="99" t="b">
        <f t="shared" ca="1" si="3"/>
        <v>1</v>
      </c>
      <c r="M60" s="99"/>
      <c r="N60" s="99"/>
      <c r="O60" s="99"/>
      <c r="P60" s="99" t="b">
        <f t="shared" ca="1" si="4"/>
        <v>1</v>
      </c>
      <c r="S60" s="137"/>
      <c r="T60" s="99" t="str">
        <f ca="1">IF(NOT(ISERROR(MATCH(K60,'Lookup Tables'!A:A,0))),"Lookup",IF(OR(NOT(ISERROR(FIND("Numeric",K60))),NOT(ISERROR(FIND("Percentage",K60))),NOT(ISERROR(FIND("Date",K60)))),"Numeric",IF(NOT(ISERROR(FIND("lank",K60))),"Non-blank",IF(NOT(ISERROR(FIND("Not evaluated",K60))),"Skipped","Other"))))</f>
        <v>Non-blank</v>
      </c>
      <c r="U60" s="461">
        <f ca="1">IF(COLUMN()-COLUMN($U$55)+1&lt;=$Y60,IF(C60="",0,1),"")</f>
        <v>1</v>
      </c>
      <c r="V60" s="461" t="str">
        <f>IF(COLUMN()-COLUMN($U$55)+1&lt;=$Y60,IF(D60="",0,1),"")</f>
        <v/>
      </c>
      <c r="W60" s="461" t="str">
        <f>IF(COLUMN()-COLUMN($U$55)+1&lt;=$Y60,IF(E60="",0,1),"")</f>
        <v/>
      </c>
      <c r="X60" s="461" t="str">
        <f>IF(COLUMN()-COLUMN($U$55)+1&lt;=$Y60,IF(F60="",0,1),"")</f>
        <v/>
      </c>
      <c r="Y60" s="99">
        <f t="shared" si="5"/>
        <v>1</v>
      </c>
      <c r="Z60" s="99"/>
      <c r="AA60" s="99"/>
      <c r="AB60" s="379"/>
      <c r="AC60" s="159" t="s">
        <v>2198</v>
      </c>
      <c r="AD60" s="101">
        <f t="shared" ca="1" si="6"/>
        <v>1</v>
      </c>
      <c r="AE60" s="379" t="b">
        <f t="shared" ca="1" si="7"/>
        <v>0</v>
      </c>
      <c r="AF60" s="159" t="s">
        <v>2247</v>
      </c>
      <c r="AG60" s="783">
        <f>COUNTIF('VA Detailed Scorecard Config'!D:D,AF60)</f>
        <v>0</v>
      </c>
      <c r="AH60" s="99"/>
    </row>
    <row r="61" spans="1:34" ht="13.5" customHeight="1">
      <c r="B61" s="327" t="s">
        <v>1311</v>
      </c>
      <c r="C61" s="99" t="str">
        <f t="shared" ca="1" si="0"/>
        <v>alex@ramprate.com</v>
      </c>
      <c r="G61" s="99" t="str">
        <f t="shared" ca="1" si="1"/>
        <v/>
      </c>
      <c r="K61" s="99" t="str">
        <f t="shared" ca="1" si="2"/>
        <v>Non-blank required</v>
      </c>
      <c r="L61" s="99" t="b">
        <f t="shared" ca="1" si="3"/>
        <v>1</v>
      </c>
      <c r="M61" s="99"/>
      <c r="N61" s="99"/>
      <c r="O61" s="99"/>
      <c r="P61" s="99" t="b">
        <f t="shared" ca="1" si="4"/>
        <v>1</v>
      </c>
      <c r="S61" s="137"/>
      <c r="T61" s="99" t="str">
        <f ca="1">IF(NOT(ISERROR(MATCH(K61,'Lookup Tables'!A:A,0))),"Lookup",IF(OR(NOT(ISERROR(FIND("Numeric",K61))),NOT(ISERROR(FIND("Percentage",K61))),NOT(ISERROR(FIND("Date",K61)))),"Numeric",IF(NOT(ISERROR(FIND("lank",K61))),"Non-blank",IF(NOT(ISERROR(FIND("Not evaluated",K61))),"Skipped","Other"))))</f>
        <v>Non-blank</v>
      </c>
      <c r="U61" s="461">
        <f ca="1">IF(COLUMN()-COLUMN($U$55)+1&lt;=$Y61,IF(C61="",0,1),"")</f>
        <v>1</v>
      </c>
      <c r="V61" s="461" t="str">
        <f>IF(COLUMN()-COLUMN($U$55)+1&lt;=$Y61,IF(D61="",0,1),"")</f>
        <v/>
      </c>
      <c r="W61" s="461" t="str">
        <f>IF(COLUMN()-COLUMN($U$55)+1&lt;=$Y61,IF(E61="",0,1),"")</f>
        <v/>
      </c>
      <c r="X61" s="461" t="str">
        <f>IF(COLUMN()-COLUMN($U$55)+1&lt;=$Y61,IF(F61="",0,1),"")</f>
        <v/>
      </c>
      <c r="Y61" s="99">
        <f t="shared" si="5"/>
        <v>1</v>
      </c>
      <c r="Z61" s="99"/>
      <c r="AA61" s="99"/>
      <c r="AB61" s="379"/>
      <c r="AC61" s="159" t="s">
        <v>2198</v>
      </c>
      <c r="AD61" s="101">
        <f t="shared" ca="1" si="6"/>
        <v>1</v>
      </c>
      <c r="AE61" s="379" t="b">
        <f t="shared" ca="1" si="7"/>
        <v>0</v>
      </c>
      <c r="AF61" s="159" t="s">
        <v>2279</v>
      </c>
      <c r="AG61" s="783">
        <f>COUNTIF('VA Detailed Scorecard Config'!D:D,AF61)</f>
        <v>0</v>
      </c>
      <c r="AH61" s="99"/>
    </row>
    <row r="62" spans="1:34" ht="13.5" customHeight="1">
      <c r="B62" s="327" t="s">
        <v>1312</v>
      </c>
      <c r="C62" s="99" t="str">
        <f t="shared" ca="1" si="0"/>
        <v>617-000-0000</v>
      </c>
      <c r="G62" s="99" t="str">
        <f t="shared" ca="1" si="1"/>
        <v/>
      </c>
      <c r="K62" s="99" t="str">
        <f t="shared" ca="1" si="2"/>
        <v>Not evaluated</v>
      </c>
      <c r="L62" s="99" t="b">
        <f t="shared" ca="1" si="3"/>
        <v>1</v>
      </c>
      <c r="M62" s="99"/>
      <c r="N62" s="99"/>
      <c r="O62" s="99"/>
      <c r="P62" s="99" t="b">
        <f t="shared" ca="1" si="4"/>
        <v>1</v>
      </c>
      <c r="S62" s="137"/>
      <c r="T62" s="99" t="str">
        <f ca="1">IF(NOT(ISERROR(MATCH(K62,'Lookup Tables'!A:A,0))),"Lookup",IF(OR(NOT(ISERROR(FIND("Numeric",K62))),NOT(ISERROR(FIND("Percentage",K62))),NOT(ISERROR(FIND("Date",K62)))),"Numeric",IF(NOT(ISERROR(FIND("lank",K62))),"Non-blank",IF(NOT(ISERROR(FIND("Not evaluated",K62))),"Skipped","Other"))))</f>
        <v>Skipped</v>
      </c>
      <c r="U62" s="99"/>
      <c r="V62" s="99"/>
      <c r="W62" s="99"/>
      <c r="X62" s="99"/>
      <c r="Y62" s="99">
        <f t="shared" si="5"/>
        <v>1</v>
      </c>
      <c r="Z62" s="99"/>
      <c r="AA62" s="99"/>
      <c r="AB62" s="379"/>
      <c r="AC62" s="99"/>
      <c r="AD62" s="101" t="str">
        <f t="shared" si="6"/>
        <v/>
      </c>
      <c r="AE62" s="379"/>
      <c r="AF62" s="99"/>
      <c r="AG62" s="248"/>
      <c r="AH62" s="99"/>
    </row>
    <row r="63" spans="1:34" ht="13.5" customHeight="1" thickBot="1">
      <c r="B63" s="399" t="s">
        <v>1326</v>
      </c>
      <c r="C63" s="99" t="str">
        <f t="shared" ca="1" si="0"/>
        <v>aveytsel</v>
      </c>
      <c r="G63" s="99" t="str">
        <f t="shared" ca="1" si="1"/>
        <v/>
      </c>
      <c r="K63" s="99" t="str">
        <f t="shared" ca="1" si="2"/>
        <v>Not evaluated</v>
      </c>
      <c r="L63" s="99" t="b">
        <f t="shared" ca="1" si="3"/>
        <v>1</v>
      </c>
      <c r="M63" s="99"/>
      <c r="N63" s="99"/>
      <c r="O63" s="99"/>
      <c r="P63" s="99" t="b">
        <f t="shared" ca="1" si="4"/>
        <v>1</v>
      </c>
      <c r="S63" s="137"/>
      <c r="T63" s="99" t="str">
        <f ca="1">IF(NOT(ISERROR(MATCH(K63,'Lookup Tables'!A:A,0))),"Lookup",IF(OR(NOT(ISERROR(FIND("Numeric",K63))),NOT(ISERROR(FIND("Percentage",K63))),NOT(ISERROR(FIND("Date",K63)))),"Numeric",IF(NOT(ISERROR(FIND("lank",K63))),"Non-blank",IF(NOT(ISERROR(FIND("Not evaluated",K63))),"Skipped","Other"))))</f>
        <v>Skipped</v>
      </c>
      <c r="U63" s="99"/>
      <c r="V63" s="99"/>
      <c r="W63" s="99"/>
      <c r="X63" s="99"/>
      <c r="Y63" s="99">
        <f t="shared" si="5"/>
        <v>1</v>
      </c>
      <c r="Z63" s="99"/>
      <c r="AA63" s="99"/>
      <c r="AB63" s="379"/>
      <c r="AC63" s="99"/>
      <c r="AD63" s="101" t="str">
        <f t="shared" si="6"/>
        <v/>
      </c>
      <c r="AE63" s="379"/>
      <c r="AF63" s="99"/>
      <c r="AG63" s="248"/>
      <c r="AH63" s="99"/>
    </row>
    <row r="64" spans="1:34" ht="13.5" customHeight="1" thickBot="1">
      <c r="B64" s="334" t="s">
        <v>1548</v>
      </c>
      <c r="C64" s="99" t="str">
        <f t="shared" ca="1" si="0"/>
        <v/>
      </c>
      <c r="G64" s="99" t="str">
        <f t="shared" ca="1" si="1"/>
        <v/>
      </c>
      <c r="K64" s="99" t="str">
        <f t="shared" ca="1" si="2"/>
        <v>Initiates registration of one or more Proposer Individual Profile</v>
      </c>
      <c r="L64" s="99" t="b">
        <f t="shared" ca="1" si="3"/>
        <v>1</v>
      </c>
      <c r="M64" s="99"/>
      <c r="N64" s="99"/>
      <c r="O64" s="99"/>
      <c r="P64" s="99" t="b">
        <f t="shared" ca="1" si="4"/>
        <v>1</v>
      </c>
      <c r="S64" s="137"/>
      <c r="T64" s="99" t="s">
        <v>2191</v>
      </c>
      <c r="U64" s="99"/>
      <c r="V64" s="99"/>
      <c r="W64" s="99"/>
      <c r="X64" s="99"/>
      <c r="Y64" s="99">
        <f t="shared" si="5"/>
        <v>1</v>
      </c>
      <c r="Z64" s="99"/>
      <c r="AA64" s="99"/>
      <c r="AB64" s="379"/>
      <c r="AC64" s="99"/>
      <c r="AD64" s="101" t="str">
        <f t="shared" si="6"/>
        <v/>
      </c>
      <c r="AE64" s="379"/>
      <c r="AF64" s="99"/>
      <c r="AG64" s="248"/>
      <c r="AH64" s="99"/>
    </row>
    <row r="65" spans="2:34" ht="13.5" customHeight="1">
      <c r="B65" s="397" t="s">
        <v>1315</v>
      </c>
      <c r="C65" s="99" t="str">
        <f t="shared" ca="1" si="0"/>
        <v>Centralized with employees owning &gt;50% of stock</v>
      </c>
      <c r="G65" s="99" t="str">
        <f t="shared" ca="1" si="1"/>
        <v/>
      </c>
      <c r="K65" s="99" t="str">
        <f t="shared" ca="1" si="2"/>
        <v>Centralization</v>
      </c>
      <c r="L65" s="99" t="b">
        <f t="shared" ca="1" si="3"/>
        <v>1</v>
      </c>
      <c r="M65" s="99"/>
      <c r="N65" s="99"/>
      <c r="O65" s="99"/>
      <c r="P65" s="99" t="b">
        <f t="shared" ca="1" si="4"/>
        <v>1</v>
      </c>
      <c r="S65" s="137"/>
      <c r="T65" s="99" t="str">
        <f ca="1">IF(NOT(ISERROR(MATCH(K65,'Lookup Tables'!A:A,0))),"Lookup",IF(OR(NOT(ISERROR(FIND("Numeric",K65))),NOT(ISERROR(FIND("Percentage",K65))),NOT(ISERROR(FIND("Date",K65)))),"Numeric",IF(NOT(ISERROR(FIND("lank",K65))),"Non-blank",IF(NOT(ISERROR(FIND("Not evaluated",K65))),"Skipped","Other"))))</f>
        <v>Lookup</v>
      </c>
      <c r="U65" s="461">
        <f ca="1">IF(COLUMN()-COLUMN($U$55)+1&lt;=$Y65,INDEX(OFFSET(INDIRECT($K65),0,1),MATCH(C65,INDIRECT($K65),0)),"")</f>
        <v>0.5</v>
      </c>
      <c r="V65" s="461" t="str">
        <f ca="1">IF(COLUMN()-COLUMN($U$55)+1&lt;=$Y65,INDEX(OFFSET(INDIRECT($K65),0,1),MATCH(D65,INDIRECT($K65),0)),"")</f>
        <v/>
      </c>
      <c r="W65" s="461" t="str">
        <f ca="1">IF(COLUMN()-COLUMN($U$55)+1&lt;=$Y65,INDEX(OFFSET(INDIRECT($K65),0,1),MATCH(E65,INDIRECT($K65),0)),"")</f>
        <v/>
      </c>
      <c r="X65" s="461" t="str">
        <f ca="1">IF(COLUMN()-COLUMN($U$55)+1&lt;=$Y65,INDEX(OFFSET(INDIRECT($K65),0,1),MATCH(F65,INDIRECT($K65),0)),"")</f>
        <v/>
      </c>
      <c r="Y65" s="99">
        <f t="shared" si="5"/>
        <v>1</v>
      </c>
      <c r="Z65" s="99"/>
      <c r="AA65" s="99"/>
      <c r="AB65" s="379"/>
      <c r="AC65" s="159" t="s">
        <v>2198</v>
      </c>
      <c r="AD65" s="101">
        <f t="shared" ca="1" si="6"/>
        <v>0.5</v>
      </c>
      <c r="AE65" s="379" t="b">
        <f t="shared" ref="AE65:AE85" ca="1" si="8">IF(AD65="","",NOT(P65))</f>
        <v>0</v>
      </c>
      <c r="AF65" s="159" t="s">
        <v>2252</v>
      </c>
      <c r="AG65" s="783">
        <f>COUNTIF('VA Detailed Scorecard Config'!D:D,AF65)</f>
        <v>1</v>
      </c>
      <c r="AH65" s="99"/>
    </row>
    <row r="66" spans="2:34" ht="13.5" customHeight="1">
      <c r="B66" s="327" t="s">
        <v>1332</v>
      </c>
      <c r="C66" s="99" t="str">
        <f t="shared" ca="1" si="0"/>
        <v>Participated in DAO voting or governance</v>
      </c>
      <c r="G66" s="99" t="str">
        <f t="shared" ca="1" si="1"/>
        <v/>
      </c>
      <c r="K66" s="99" t="str">
        <f t="shared" ca="1" si="2"/>
        <v>DAO_Experience</v>
      </c>
      <c r="L66" s="99" t="b">
        <f t="shared" ca="1" si="3"/>
        <v>1</v>
      </c>
      <c r="M66" s="99"/>
      <c r="N66" s="99"/>
      <c r="O66" s="99"/>
      <c r="P66" s="99" t="b">
        <f t="shared" ca="1" si="4"/>
        <v>1</v>
      </c>
      <c r="S66" s="137"/>
      <c r="T66" s="99" t="str">
        <f ca="1">IF(NOT(ISERROR(MATCH(K66,'Lookup Tables'!A:A,0))),"Lookup",IF(OR(NOT(ISERROR(FIND("Numeric",K66))),NOT(ISERROR(FIND("Percentage",K66))),NOT(ISERROR(FIND("Date",K66)))),"Numeric",IF(NOT(ISERROR(FIND("lank",K66))),"Non-blank",IF(NOT(ISERROR(FIND("Not evaluated",K66))),"Skipped","Other"))))</f>
        <v>Lookup</v>
      </c>
      <c r="U66" s="461">
        <f ca="1">IF(COLUMN()-COLUMN($U$55)+1&lt;=$Y66,INDEX(OFFSET(INDIRECT($K66),0,1),MATCH(C66,INDIRECT($K66),0)),"")</f>
        <v>0.9</v>
      </c>
      <c r="V66" s="461" t="str">
        <f ca="1">IF(COLUMN()-COLUMN($U$55)+1&lt;=$Y66,INDEX(OFFSET(INDIRECT($K66),0,1),MATCH(D66,INDIRECT($K66),0)),"")</f>
        <v/>
      </c>
      <c r="W66" s="461" t="str">
        <f ca="1">IF(COLUMN()-COLUMN($U$55)+1&lt;=$Y66,INDEX(OFFSET(INDIRECT($K66),0,1),MATCH(E66,INDIRECT($K66),0)),"")</f>
        <v/>
      </c>
      <c r="X66" s="461" t="str">
        <f ca="1">IF(COLUMN()-COLUMN($U$55)+1&lt;=$Y66,INDEX(OFFSET(INDIRECT($K66),0,1),MATCH(F66,INDIRECT($K66),0)),"")</f>
        <v/>
      </c>
      <c r="Y66" s="99">
        <f t="shared" si="5"/>
        <v>1</v>
      </c>
      <c r="Z66" s="99"/>
      <c r="AA66" s="99"/>
      <c r="AB66" s="379"/>
      <c r="AC66" s="159" t="s">
        <v>2198</v>
      </c>
      <c r="AD66" s="101">
        <f t="shared" ca="1" si="6"/>
        <v>0.9</v>
      </c>
      <c r="AE66" s="379" t="b">
        <f t="shared" ca="1" si="8"/>
        <v>0</v>
      </c>
      <c r="AF66" s="159" t="s">
        <v>2248</v>
      </c>
      <c r="AG66" s="783">
        <f>COUNTIF('VA Detailed Scorecard Config'!D:D,AF66)</f>
        <v>1</v>
      </c>
      <c r="AH66" s="99"/>
    </row>
    <row r="67" spans="2:34" ht="13.5" customHeight="1">
      <c r="B67" s="327" t="s">
        <v>971</v>
      </c>
      <c r="C67" s="99" t="str">
        <f t="shared" ca="1" si="0"/>
        <v>Yes</v>
      </c>
      <c r="G67" s="99" t="str">
        <f t="shared" ca="1" si="1"/>
        <v/>
      </c>
      <c r="K67" s="99" t="str">
        <f t="shared" ca="1" si="2"/>
        <v>YES_No</v>
      </c>
      <c r="L67" s="99" t="b">
        <f t="shared" ca="1" si="3"/>
        <v>1</v>
      </c>
      <c r="M67" s="99"/>
      <c r="N67" s="99"/>
      <c r="O67" s="99"/>
      <c r="P67" s="99" t="b">
        <f t="shared" ca="1" si="4"/>
        <v>1</v>
      </c>
      <c r="S67" s="137"/>
      <c r="T67" s="99" t="str">
        <f ca="1">IF(NOT(ISERROR(MATCH(K67,'Lookup Tables'!A:A,0))),"Lookup",IF(OR(NOT(ISERROR(FIND("Numeric",K67))),NOT(ISERROR(FIND("Percentage",K67))),NOT(ISERROR(FIND("Date",K67)))),"Numeric",IF(NOT(ISERROR(FIND("lank",K67))),"Non-blank",IF(NOT(ISERROR(FIND("Not evaluated",K67))),"Skipped","Other"))))</f>
        <v>Lookup</v>
      </c>
      <c r="U67" s="461">
        <f ca="1">IF(COLUMN()-COLUMN($U$55)+1&lt;=$Y67,INDEX(OFFSET(INDIRECT($K67),0,1),MATCH(C67,INDIRECT($K67),0)),"")</f>
        <v>1</v>
      </c>
      <c r="V67" s="461" t="str">
        <f ca="1">IF(COLUMN()-COLUMN($U$55)+1&lt;=$Y67,INDEX(OFFSET(INDIRECT($K67),0,1),MATCH(D67,INDIRECT($K67),0)),"")</f>
        <v/>
      </c>
      <c r="W67" s="461" t="str">
        <f ca="1">IF(COLUMN()-COLUMN($U$55)+1&lt;=$Y67,INDEX(OFFSET(INDIRECT($K67),0,1),MATCH(E67,INDIRECT($K67),0)),"")</f>
        <v/>
      </c>
      <c r="X67" s="461" t="str">
        <f ca="1">IF(COLUMN()-COLUMN($U$55)+1&lt;=$Y67,INDEX(OFFSET(INDIRECT($K67),0,1),MATCH(F67,INDIRECT($K67),0)),"")</f>
        <v/>
      </c>
      <c r="Y67" s="99">
        <f t="shared" si="5"/>
        <v>1</v>
      </c>
      <c r="Z67" s="99"/>
      <c r="AA67" s="99"/>
      <c r="AB67" s="379"/>
      <c r="AC67" s="159" t="s">
        <v>2198</v>
      </c>
      <c r="AD67" s="101">
        <f t="shared" ca="1" si="6"/>
        <v>1</v>
      </c>
      <c r="AE67" s="379" t="b">
        <f t="shared" ca="1" si="8"/>
        <v>0</v>
      </c>
      <c r="AF67" s="159" t="s">
        <v>2249</v>
      </c>
      <c r="AG67" s="783">
        <f>COUNTIF('VA Detailed Scorecard Config'!D:D,AF67)</f>
        <v>1</v>
      </c>
      <c r="AH67" s="99"/>
    </row>
    <row r="68" spans="2:34" ht="13.5" customHeight="1">
      <c r="B68" s="327" t="s">
        <v>1336</v>
      </c>
      <c r="C68" s="99" t="str">
        <f t="shared" ca="1" si="0"/>
        <v>No</v>
      </c>
      <c r="G68" s="99" t="str">
        <f t="shared" ca="1" si="1"/>
        <v/>
      </c>
      <c r="K68" s="99" t="str">
        <f t="shared" ca="1" si="2"/>
        <v>YES_No</v>
      </c>
      <c r="L68" s="99" t="b">
        <f t="shared" ca="1" si="3"/>
        <v>1</v>
      </c>
      <c r="M68" s="99"/>
      <c r="N68" s="99"/>
      <c r="O68" s="99"/>
      <c r="P68" s="99" t="b">
        <f t="shared" ca="1" si="4"/>
        <v>1</v>
      </c>
      <c r="S68" s="137"/>
      <c r="T68" s="99" t="str">
        <f ca="1">IF(NOT(ISERROR(MATCH(K68,'Lookup Tables'!A:A,0))),"Lookup",IF(OR(NOT(ISERROR(FIND("Numeric",K68))),NOT(ISERROR(FIND("Percentage",K68))),NOT(ISERROR(FIND("Date",K68)))),"Numeric",IF(NOT(ISERROR(FIND("lank",K68))),"Non-blank",IF(NOT(ISERROR(FIND("Not evaluated",K68))),"Skipped","Other"))))</f>
        <v>Lookup</v>
      </c>
      <c r="U68" s="461">
        <f t="shared" ref="U68:U73" ca="1" si="9">IF(COLUMN()-COLUMN($U$55)+1&lt;=$Y68,INDEX(OFFSET(INDIRECT($K68),0,1),MATCH(C68,INDIRECT($K68),0)),"")</f>
        <v>0</v>
      </c>
      <c r="V68" s="461" t="str">
        <f t="shared" ref="V68:V73" ca="1" si="10">IF(COLUMN()-COLUMN($U$55)+1&lt;=$Y68,INDEX(OFFSET(INDIRECT($K68),0,1),MATCH(D68,INDIRECT($K68),0)),"")</f>
        <v/>
      </c>
      <c r="W68" s="461" t="str">
        <f t="shared" ref="W68:W73" ca="1" si="11">IF(COLUMN()-COLUMN($U$55)+1&lt;=$Y68,INDEX(OFFSET(INDIRECT($K68),0,1),MATCH(E68,INDIRECT($K68),0)),"")</f>
        <v/>
      </c>
      <c r="X68" s="461" t="str">
        <f t="shared" ref="X68:X73" ca="1" si="12">IF(COLUMN()-COLUMN($U$55)+1&lt;=$Y68,INDEX(OFFSET(INDIRECT($K68),0,1),MATCH(F68,INDIRECT($K68),0)),"")</f>
        <v/>
      </c>
      <c r="Y68" s="99">
        <f t="shared" si="5"/>
        <v>1</v>
      </c>
      <c r="Z68" s="99"/>
      <c r="AA68" s="99"/>
      <c r="AB68" s="379"/>
      <c r="AC68" s="159" t="s">
        <v>2198</v>
      </c>
      <c r="AD68" s="101">
        <f t="shared" ca="1" si="6"/>
        <v>0</v>
      </c>
      <c r="AE68" s="379" t="b">
        <f t="shared" ca="1" si="8"/>
        <v>0</v>
      </c>
      <c r="AF68" s="159" t="s">
        <v>2250</v>
      </c>
      <c r="AG68" s="783">
        <f>COUNTIF('VA Detailed Scorecard Config'!D:D,AF68)</f>
        <v>1</v>
      </c>
      <c r="AH68" s="99"/>
    </row>
    <row r="69" spans="2:34" ht="13.5" customHeight="1">
      <c r="B69" s="327" t="s">
        <v>1348</v>
      </c>
      <c r="C69" s="99" t="str">
        <f t="shared" ca="1" si="0"/>
        <v>Executive Team</v>
      </c>
      <c r="G69" s="99" t="str">
        <f t="shared" ca="1" si="1"/>
        <v/>
      </c>
      <c r="K69" s="99" t="str">
        <f t="shared" ca="1" si="2"/>
        <v>Decisions</v>
      </c>
      <c r="L69" s="99" t="b">
        <f t="shared" ca="1" si="3"/>
        <v>1</v>
      </c>
      <c r="M69" s="99"/>
      <c r="N69" s="99"/>
      <c r="O69" s="99"/>
      <c r="P69" s="99" t="b">
        <f t="shared" ca="1" si="4"/>
        <v>1</v>
      </c>
      <c r="S69" s="137"/>
      <c r="T69" s="99" t="str">
        <f ca="1">IF(NOT(ISERROR(MATCH(K69,'Lookup Tables'!A:A,0))),"Lookup",IF(OR(NOT(ISERROR(FIND("Numeric",K69))),NOT(ISERROR(FIND("Percentage",K69))),NOT(ISERROR(FIND("Date",K69)))),"Numeric",IF(NOT(ISERROR(FIND("lank",K69))),"Non-blank",IF(NOT(ISERROR(FIND("Not evaluated",K69))),"Skipped","Other"))))</f>
        <v>Lookup</v>
      </c>
      <c r="U69" s="461">
        <f t="shared" ca="1" si="9"/>
        <v>0.1</v>
      </c>
      <c r="V69" s="461" t="str">
        <f t="shared" ca="1" si="10"/>
        <v/>
      </c>
      <c r="W69" s="461" t="str">
        <f t="shared" ca="1" si="11"/>
        <v/>
      </c>
      <c r="X69" s="461" t="str">
        <f t="shared" ca="1" si="12"/>
        <v/>
      </c>
      <c r="Y69" s="99">
        <f t="shared" si="5"/>
        <v>1</v>
      </c>
      <c r="Z69" s="99"/>
      <c r="AA69" s="99"/>
      <c r="AB69" s="379"/>
      <c r="AC69" s="159" t="s">
        <v>2198</v>
      </c>
      <c r="AD69" s="101">
        <f t="shared" ca="1" si="6"/>
        <v>0.1</v>
      </c>
      <c r="AE69" s="379" t="b">
        <f t="shared" ca="1" si="8"/>
        <v>0</v>
      </c>
      <c r="AF69" s="159" t="s">
        <v>2251</v>
      </c>
      <c r="AG69" s="783">
        <f>COUNTIF('VA Detailed Scorecard Config'!D:D,AF69)</f>
        <v>1</v>
      </c>
      <c r="AH69" s="99"/>
    </row>
    <row r="70" spans="2:34" ht="13.5" customHeight="1" thickBot="1">
      <c r="B70" s="399" t="s">
        <v>1349</v>
      </c>
      <c r="C70" s="99" t="str">
        <f t="shared" ca="1" si="0"/>
        <v>No</v>
      </c>
      <c r="G70" s="99" t="str">
        <f t="shared" ca="1" si="1"/>
        <v/>
      </c>
      <c r="K70" s="99" t="str">
        <f t="shared" ca="1" si="2"/>
        <v>YES_No</v>
      </c>
      <c r="L70" s="99" t="b">
        <f t="shared" ca="1" si="3"/>
        <v>1</v>
      </c>
      <c r="M70" s="99"/>
      <c r="N70" s="99"/>
      <c r="O70" s="99"/>
      <c r="P70" s="99" t="b">
        <f t="shared" ca="1" si="4"/>
        <v>1</v>
      </c>
      <c r="S70" s="137"/>
      <c r="T70" s="99" t="str">
        <f ca="1">IF(NOT(ISERROR(MATCH(K70,'Lookup Tables'!A:A,0))),"Lookup",IF(OR(NOT(ISERROR(FIND("Numeric",K70))),NOT(ISERROR(FIND("Percentage",K70))),NOT(ISERROR(FIND("Date",K70)))),"Numeric",IF(NOT(ISERROR(FIND("lank",K70))),"Non-blank",IF(NOT(ISERROR(FIND("Not evaluated",K70))),"Skipped","Other"))))</f>
        <v>Lookup</v>
      </c>
      <c r="U70" s="461">
        <f t="shared" ca="1" si="9"/>
        <v>0</v>
      </c>
      <c r="V70" s="461" t="str">
        <f t="shared" ca="1" si="10"/>
        <v/>
      </c>
      <c r="W70" s="461" t="str">
        <f t="shared" ca="1" si="11"/>
        <v/>
      </c>
      <c r="X70" s="461" t="str">
        <f t="shared" ca="1" si="12"/>
        <v/>
      </c>
      <c r="Y70" s="99">
        <f t="shared" si="5"/>
        <v>1</v>
      </c>
      <c r="Z70" s="99"/>
      <c r="AA70" s="99"/>
      <c r="AB70" s="379"/>
      <c r="AC70" s="159" t="s">
        <v>2198</v>
      </c>
      <c r="AD70" s="101">
        <f t="shared" ca="1" si="6"/>
        <v>0</v>
      </c>
      <c r="AE70" s="379" t="b">
        <f t="shared" ca="1" si="8"/>
        <v>0</v>
      </c>
      <c r="AF70" s="159" t="s">
        <v>2253</v>
      </c>
      <c r="AG70" s="783">
        <f>COUNTIF('VA Detailed Scorecard Config'!D:D,AF70)</f>
        <v>1</v>
      </c>
      <c r="AH70" s="99"/>
    </row>
    <row r="71" spans="2:34" ht="13.5" customHeight="1">
      <c r="B71" s="397" t="s">
        <v>1557</v>
      </c>
      <c r="C71" s="99" t="str">
        <f t="shared" ca="1" si="0"/>
        <v>€1 000 000 - €9 999 999</v>
      </c>
      <c r="G71" s="99" t="str">
        <f t="shared" ca="1" si="1"/>
        <v/>
      </c>
      <c r="K71" s="99" t="str">
        <f t="shared" ca="1" si="2"/>
        <v>Revenue_Buckets</v>
      </c>
      <c r="L71" s="99" t="b">
        <f t="shared" ca="1" si="3"/>
        <v>1</v>
      </c>
      <c r="M71" s="99"/>
      <c r="N71" s="99"/>
      <c r="O71" s="99"/>
      <c r="P71" s="99" t="b">
        <f t="shared" ca="1" si="4"/>
        <v>1</v>
      </c>
      <c r="S71" s="137"/>
      <c r="T71" s="99" t="str">
        <f ca="1">IF(NOT(ISERROR(MATCH(K71,'Lookup Tables'!A:A,0))),"Lookup",IF(OR(NOT(ISERROR(FIND("Numeric",K71))),NOT(ISERROR(FIND("Percentage",K71))),NOT(ISERROR(FIND("Date",K71)))),"Numeric",IF(NOT(ISERROR(FIND("lank",K71))),"Non-blank",IF(NOT(ISERROR(FIND("Not evaluated",K71))),"Skipped","Other"))))</f>
        <v>Lookup</v>
      </c>
      <c r="U71" s="461">
        <f t="shared" ca="1" si="9"/>
        <v>1</v>
      </c>
      <c r="V71" s="461" t="str">
        <f t="shared" ca="1" si="10"/>
        <v/>
      </c>
      <c r="W71" s="461" t="str">
        <f t="shared" ca="1" si="11"/>
        <v/>
      </c>
      <c r="X71" s="461" t="str">
        <f t="shared" ca="1" si="12"/>
        <v/>
      </c>
      <c r="Y71" s="99">
        <f t="shared" si="5"/>
        <v>1</v>
      </c>
      <c r="Z71" s="99"/>
      <c r="AA71" s="99"/>
      <c r="AB71" s="379"/>
      <c r="AC71" s="159" t="s">
        <v>2198</v>
      </c>
      <c r="AD71" s="101">
        <f t="shared" ca="1" si="6"/>
        <v>1</v>
      </c>
      <c r="AE71" s="379" t="b">
        <f t="shared" ca="1" si="8"/>
        <v>0</v>
      </c>
      <c r="AF71" s="159" t="s">
        <v>2254</v>
      </c>
      <c r="AG71" s="783">
        <f>COUNTIF('VA Detailed Scorecard Config'!D:D,AF71)</f>
        <v>1</v>
      </c>
      <c r="AH71" s="99"/>
    </row>
    <row r="72" spans="2:34" ht="13.5" customHeight="1">
      <c r="B72" s="335" t="s">
        <v>1874</v>
      </c>
      <c r="C72" s="99" t="str">
        <f t="shared" ca="1" si="0"/>
        <v>No External Funding</v>
      </c>
      <c r="G72" s="99" t="str">
        <f t="shared" ca="1" si="1"/>
        <v/>
      </c>
      <c r="K72" s="99" t="str">
        <f t="shared" ca="1" si="2"/>
        <v>Funding_Buckets</v>
      </c>
      <c r="L72" s="99" t="b">
        <f t="shared" ca="1" si="3"/>
        <v>1</v>
      </c>
      <c r="M72" s="99"/>
      <c r="N72" s="99"/>
      <c r="O72" s="99"/>
      <c r="P72" s="99" t="b">
        <f t="shared" ca="1" si="4"/>
        <v>1</v>
      </c>
      <c r="S72" s="137"/>
      <c r="T72" s="99" t="str">
        <f ca="1">IF(NOT(ISERROR(MATCH(K72,'Lookup Tables'!A:A,0))),"Lookup",IF(OR(NOT(ISERROR(FIND("Numeric",K72))),NOT(ISERROR(FIND("Percentage",K72))),NOT(ISERROR(FIND("Date",K72)))),"Numeric",IF(NOT(ISERROR(FIND("lank",K72))),"Non-blank",IF(NOT(ISERROR(FIND("Not evaluated",K72))),"Skipped","Other"))))</f>
        <v>Lookup</v>
      </c>
      <c r="U72" s="461">
        <f t="shared" ca="1" si="9"/>
        <v>0</v>
      </c>
      <c r="V72" s="461" t="str">
        <f t="shared" ca="1" si="10"/>
        <v/>
      </c>
      <c r="W72" s="461" t="str">
        <f t="shared" ca="1" si="11"/>
        <v/>
      </c>
      <c r="X72" s="461" t="str">
        <f t="shared" ca="1" si="12"/>
        <v/>
      </c>
      <c r="Y72" s="99">
        <f t="shared" si="5"/>
        <v>1</v>
      </c>
      <c r="Z72" s="99"/>
      <c r="AA72" s="99"/>
      <c r="AB72" s="379"/>
      <c r="AC72" s="159" t="s">
        <v>2198</v>
      </c>
      <c r="AD72" s="101">
        <f t="shared" ca="1" si="6"/>
        <v>0</v>
      </c>
      <c r="AE72" s="379" t="b">
        <f t="shared" ca="1" si="8"/>
        <v>0</v>
      </c>
      <c r="AF72" s="159" t="s">
        <v>2255</v>
      </c>
      <c r="AG72" s="783">
        <f>COUNTIF('VA Detailed Scorecard Config'!D:D,AF72)</f>
        <v>1</v>
      </c>
      <c r="AH72" s="99"/>
    </row>
    <row r="73" spans="2:34" ht="13.5" customHeight="1">
      <c r="B73" s="363" t="s">
        <v>47</v>
      </c>
      <c r="C73" s="99" t="str">
        <f t="shared" ca="1" si="0"/>
        <v>6 to 20</v>
      </c>
      <c r="G73" s="99" t="str">
        <f t="shared" ca="1" si="1"/>
        <v/>
      </c>
      <c r="K73" s="99" t="str">
        <f t="shared" ca="1" si="2"/>
        <v>Staff_Buckets</v>
      </c>
      <c r="L73" s="99" t="b">
        <f t="shared" ca="1" si="3"/>
        <v>1</v>
      </c>
      <c r="M73" s="99"/>
      <c r="N73" s="99"/>
      <c r="O73" s="99"/>
      <c r="P73" s="99" t="b">
        <f t="shared" ca="1" si="4"/>
        <v>1</v>
      </c>
      <c r="S73" s="137"/>
      <c r="T73" s="99" t="str">
        <f ca="1">IF(NOT(ISERROR(MATCH(K73,'Lookup Tables'!A:A,0))),"Lookup",IF(OR(NOT(ISERROR(FIND("Numeric",K73))),NOT(ISERROR(FIND("Percentage",K73))),NOT(ISERROR(FIND("Date",K73)))),"Numeric",IF(NOT(ISERROR(FIND("lank",K73))),"Non-blank",IF(NOT(ISERROR(FIND("Not evaluated",K73))),"Skipped","Other"))))</f>
        <v>Lookup</v>
      </c>
      <c r="U73" s="461">
        <f t="shared" ca="1" si="9"/>
        <v>0.5</v>
      </c>
      <c r="V73" s="461" t="str">
        <f t="shared" ca="1" si="10"/>
        <v/>
      </c>
      <c r="W73" s="461" t="str">
        <f t="shared" ca="1" si="11"/>
        <v/>
      </c>
      <c r="X73" s="461" t="str">
        <f t="shared" ca="1" si="12"/>
        <v/>
      </c>
      <c r="Y73" s="99">
        <f t="shared" si="5"/>
        <v>1</v>
      </c>
      <c r="Z73" s="99"/>
      <c r="AA73" s="99"/>
      <c r="AB73" s="379"/>
      <c r="AC73" s="159" t="s">
        <v>2198</v>
      </c>
      <c r="AD73" s="101">
        <f t="shared" ca="1" si="6"/>
        <v>0.5</v>
      </c>
      <c r="AE73" s="379" t="b">
        <f t="shared" ca="1" si="8"/>
        <v>0</v>
      </c>
      <c r="AF73" s="159" t="s">
        <v>2526</v>
      </c>
      <c r="AG73" s="783">
        <f>COUNTIF('VA Detailed Scorecard Config'!D:D,AF73)</f>
        <v>2</v>
      </c>
      <c r="AH73" s="99"/>
    </row>
    <row r="74" spans="2:34" ht="13.5" customHeight="1" thickBot="1">
      <c r="B74" s="327" t="s">
        <v>1390</v>
      </c>
      <c r="C74" s="99">
        <f t="shared" ca="1" si="0"/>
        <v>5</v>
      </c>
      <c r="G74" s="99" t="str">
        <f t="shared" ca="1" si="1"/>
        <v/>
      </c>
      <c r="K74" s="99" t="str">
        <f t="shared" ca="1" si="2"/>
        <v>Numerical (Larger is better, log scale)</v>
      </c>
      <c r="L74" s="99" t="b">
        <f t="shared" ca="1" si="3"/>
        <v>1</v>
      </c>
      <c r="M74" s="99"/>
      <c r="N74" s="99"/>
      <c r="O74" s="99"/>
      <c r="P74" s="99" t="b">
        <f t="shared" ca="1" si="4"/>
        <v>1</v>
      </c>
      <c r="S74" s="137"/>
      <c r="T74" s="99" t="str">
        <f ca="1">IF(NOT(ISERROR(MATCH(K74,'Lookup Tables'!A:A,0))),"Lookup",IF(OR(NOT(ISERROR(FIND("Numeric",K74))),NOT(ISERROR(FIND("Percentage",K74))),NOT(ISERROR(FIND("Date",K74)))),"Numeric",IF(NOT(ISERROR(FIND("lank",K74))),"Non-blank",IF(NOT(ISERROR(FIND("Not evaluated",K74))),"Skipped","Other"))))</f>
        <v>Numeric</v>
      </c>
      <c r="U74" s="101">
        <f ca="1">IF(COLUMN()-COLUMN($U$55)+1&lt;=$Y73,(LOG(C74+1)-LOG(MIN($C74:$F74,$Z74:$AA74)+1))/(LOG(MAX($AA74,$C74:$F74)+1)-LOG(MIN($C74:$F74,$Z74:$AA74)+1)),"")</f>
        <v>1</v>
      </c>
      <c r="V74" s="101" t="str">
        <f>IF(COLUMN()-COLUMN($U$55)+1&lt;=$Y73,(LOG(D74+1)-LOG(MIN($C74:$F74,$Z74:$AA74)+1))/(LOG(MAX($AA74,$C74:$F74)+1)-LOG(MIN($C74:$F74,$Z74:$AA74)+1)),"")</f>
        <v/>
      </c>
      <c r="W74" s="101" t="str">
        <f>IF(COLUMN()-COLUMN($U$55)+1&lt;=$Y73,(LOG(E74+1)-LOG(MIN($C74:$F74,$Z74:$AA74)+1))/(LOG(MAX($AA74,$C74:$F74)+1)-LOG(MIN($C74:$F74,$Z74:$AA74)+1)),"")</f>
        <v/>
      </c>
      <c r="X74" s="101" t="str">
        <f>IF(COLUMN()-COLUMN($U$55)+1&lt;=$Y73,(LOG(F74+1)-LOG(MIN($C74:$F74,$Z74:$AA74)+1))/(LOG(MAX($AA74,$C74:$F74)+1)-LOG(MIN($C74:$F74,$Z74:$AA74)+1)),"")</f>
        <v/>
      </c>
      <c r="Y74" s="99">
        <f t="shared" si="5"/>
        <v>1</v>
      </c>
      <c r="Z74" s="99">
        <v>0</v>
      </c>
      <c r="AA74" s="99">
        <v>5</v>
      </c>
      <c r="AB74" s="723" t="s">
        <v>2186</v>
      </c>
      <c r="AC74" s="159" t="s">
        <v>2198</v>
      </c>
      <c r="AD74" s="101">
        <f t="shared" ca="1" si="6"/>
        <v>1</v>
      </c>
      <c r="AE74" s="379" t="b">
        <f t="shared" ca="1" si="8"/>
        <v>0</v>
      </c>
      <c r="AF74" s="159" t="s">
        <v>2256</v>
      </c>
      <c r="AG74" s="783">
        <f>COUNTIF('VA Detailed Scorecard Config'!D:D,AF74)</f>
        <v>2</v>
      </c>
      <c r="AH74" s="99"/>
    </row>
    <row r="75" spans="2:34" ht="13.5" customHeight="1">
      <c r="B75" s="400" t="s">
        <v>1350</v>
      </c>
      <c r="C75" s="99" t="str">
        <f t="shared" ca="1" si="0"/>
        <v>No</v>
      </c>
      <c r="G75" s="99" t="str">
        <f t="shared" ca="1" si="1"/>
        <v/>
      </c>
      <c r="K75" s="99" t="str">
        <f t="shared" ca="1" si="2"/>
        <v>YES_No</v>
      </c>
      <c r="L75" s="99" t="b">
        <f t="shared" ca="1" si="3"/>
        <v>1</v>
      </c>
      <c r="M75" s="99"/>
      <c r="N75" s="99"/>
      <c r="O75" s="99"/>
      <c r="P75" s="99" t="b">
        <f t="shared" ca="1" si="4"/>
        <v>1</v>
      </c>
      <c r="S75" s="137"/>
      <c r="T75" s="99" t="str">
        <f ca="1">IF(NOT(ISERROR(MATCH(K75,'Lookup Tables'!A:A,0))),"Lookup",IF(OR(NOT(ISERROR(FIND("Numeric",K75))),NOT(ISERROR(FIND("Percentage",K75))),NOT(ISERROR(FIND("Date",K75)))),"Numeric",IF(NOT(ISERROR(FIND("lank",K75))),"Non-blank",IF(NOT(ISERROR(FIND("Not evaluated",K75))),"Skipped","Other"))))</f>
        <v>Lookup</v>
      </c>
      <c r="U75" s="461">
        <f t="shared" ref="U75:U81" ca="1" si="13">IF(COLUMN()-COLUMN($U$55)+1&lt;=$Y75,INDEX(OFFSET(INDIRECT($K75),0,1),MATCH(C75,INDIRECT($K75),0)),"")</f>
        <v>0</v>
      </c>
      <c r="V75" s="461" t="str">
        <f t="shared" ref="V75:V81" ca="1" si="14">IF(COLUMN()-COLUMN($U$55)+1&lt;=$Y75,INDEX(OFFSET(INDIRECT($K75),0,1),MATCH(D75,INDIRECT($K75),0)),"")</f>
        <v/>
      </c>
      <c r="W75" s="461" t="str">
        <f t="shared" ref="W75:W81" ca="1" si="15">IF(COLUMN()-COLUMN($U$55)+1&lt;=$Y75,INDEX(OFFSET(INDIRECT($K75),0,1),MATCH(E75,INDIRECT($K75),0)),"")</f>
        <v/>
      </c>
      <c r="X75" s="461" t="str">
        <f t="shared" ref="X75:X81" ca="1" si="16">IF(COLUMN()-COLUMN($U$55)+1&lt;=$Y75,INDEX(OFFSET(INDIRECT($K75),0,1),MATCH(F75,INDIRECT($K75),0)),"")</f>
        <v/>
      </c>
      <c r="Y75" s="99">
        <f t="shared" si="5"/>
        <v>1</v>
      </c>
      <c r="Z75" s="99"/>
      <c r="AA75" s="99"/>
      <c r="AB75" s="379"/>
      <c r="AC75" s="159" t="s">
        <v>2198</v>
      </c>
      <c r="AD75" s="101">
        <f t="shared" ca="1" si="6"/>
        <v>0</v>
      </c>
      <c r="AE75" s="379" t="b">
        <f t="shared" ca="1" si="8"/>
        <v>0</v>
      </c>
      <c r="AF75" s="159" t="s">
        <v>2257</v>
      </c>
      <c r="AG75" s="783">
        <f>COUNTIF('VA Detailed Scorecard Config'!D:D,AF75)</f>
        <v>1</v>
      </c>
      <c r="AH75" s="99"/>
    </row>
    <row r="76" spans="2:34" ht="13.5" customHeight="1">
      <c r="B76" s="344" t="s">
        <v>1515</v>
      </c>
      <c r="C76" s="99" t="str">
        <f t="shared" ca="1" si="0"/>
        <v>No</v>
      </c>
      <c r="G76" s="99" t="str">
        <f t="shared" ca="1" si="1"/>
        <v/>
      </c>
      <c r="K76" s="99" t="str">
        <f t="shared" ca="1" si="2"/>
        <v>YES_No</v>
      </c>
      <c r="L76" s="99" t="b">
        <f t="shared" ca="1" si="3"/>
        <v>1</v>
      </c>
      <c r="M76" s="99"/>
      <c r="N76" s="99"/>
      <c r="O76" s="99"/>
      <c r="P76" s="99" t="b">
        <f t="shared" ca="1" si="4"/>
        <v>1</v>
      </c>
      <c r="S76" s="137"/>
      <c r="T76" s="99" t="str">
        <f ca="1">IF(NOT(ISERROR(MATCH(K76,'Lookup Tables'!A:A,0))),"Lookup",IF(OR(NOT(ISERROR(FIND("Numeric",K76))),NOT(ISERROR(FIND("Percentage",K76))),NOT(ISERROR(FIND("Date",K76)))),"Numeric",IF(NOT(ISERROR(FIND("lank",K76))),"Non-blank",IF(NOT(ISERROR(FIND("Not evaluated",K76))),"Skipped","Other"))))</f>
        <v>Lookup</v>
      </c>
      <c r="U76" s="461">
        <f t="shared" ca="1" si="13"/>
        <v>0</v>
      </c>
      <c r="V76" s="461" t="str">
        <f t="shared" ca="1" si="14"/>
        <v/>
      </c>
      <c r="W76" s="461" t="str">
        <f t="shared" ca="1" si="15"/>
        <v/>
      </c>
      <c r="X76" s="461" t="str">
        <f t="shared" ca="1" si="16"/>
        <v/>
      </c>
      <c r="Y76" s="99">
        <f t="shared" si="5"/>
        <v>1</v>
      </c>
      <c r="Z76" s="99"/>
      <c r="AA76" s="99"/>
      <c r="AB76" s="379"/>
      <c r="AC76" s="159" t="s">
        <v>2198</v>
      </c>
      <c r="AD76" s="101">
        <f t="shared" ca="1" si="6"/>
        <v>0</v>
      </c>
      <c r="AE76" s="379" t="b">
        <f t="shared" ca="1" si="8"/>
        <v>0</v>
      </c>
      <c r="AF76" s="159" t="s">
        <v>2258</v>
      </c>
      <c r="AG76" s="783">
        <f>COUNTIF('VA Detailed Scorecard Config'!D:D,AF76)</f>
        <v>1</v>
      </c>
      <c r="AH76" s="99"/>
    </row>
    <row r="77" spans="2:34" ht="13.5" customHeight="1">
      <c r="B77" s="401" t="s">
        <v>1351</v>
      </c>
      <c r="C77" s="99" t="str">
        <f t="shared" ca="1" si="0"/>
        <v>Consulting services</v>
      </c>
      <c r="G77" s="99" t="str">
        <f t="shared" ca="1" si="1"/>
        <v/>
      </c>
      <c r="K77" s="99" t="str">
        <f t="shared" ca="1" si="2"/>
        <v>Industry_Diversity</v>
      </c>
      <c r="L77" s="99" t="b">
        <f t="shared" ca="1" si="3"/>
        <v>1</v>
      </c>
      <c r="M77" s="99"/>
      <c r="N77" s="99"/>
      <c r="O77" s="99"/>
      <c r="P77" s="99" t="b">
        <f t="shared" ca="1" si="4"/>
        <v>1</v>
      </c>
      <c r="S77" s="137"/>
      <c r="T77" s="99" t="str">
        <f ca="1">IF(NOT(ISERROR(MATCH(K77,'Lookup Tables'!A:A,0))),"Lookup",IF(OR(NOT(ISERROR(FIND("Numeric",K77))),NOT(ISERROR(FIND("Percentage",K77))),NOT(ISERROR(FIND("Date",K77)))),"Numeric",IF(NOT(ISERROR(FIND("lank",K77))),"Non-blank",IF(NOT(ISERROR(FIND("Not evaluated",K77))),"Skipped","Other"))))</f>
        <v>Lookup</v>
      </c>
      <c r="U77" s="461">
        <f t="shared" ca="1" si="13"/>
        <v>0.1</v>
      </c>
      <c r="V77" s="461" t="str">
        <f t="shared" ca="1" si="14"/>
        <v/>
      </c>
      <c r="W77" s="461" t="str">
        <f t="shared" ca="1" si="15"/>
        <v/>
      </c>
      <c r="X77" s="461" t="str">
        <f t="shared" ca="1" si="16"/>
        <v/>
      </c>
      <c r="Y77" s="99">
        <f t="shared" si="5"/>
        <v>1</v>
      </c>
      <c r="Z77" s="99"/>
      <c r="AA77" s="99"/>
      <c r="AB77" s="379"/>
      <c r="AC77" s="159" t="s">
        <v>2198</v>
      </c>
      <c r="AD77" s="101">
        <f t="shared" ca="1" si="6"/>
        <v>0.1</v>
      </c>
      <c r="AE77" s="379" t="b">
        <f t="shared" ca="1" si="8"/>
        <v>0</v>
      </c>
      <c r="AF77" s="159" t="s">
        <v>2259</v>
      </c>
      <c r="AG77" s="783">
        <f>COUNTIF('VA Detailed Scorecard Config'!D:D,AF77)</f>
        <v>2</v>
      </c>
      <c r="AH77" s="99"/>
    </row>
    <row r="78" spans="2:34" ht="13.5" customHeight="1">
      <c r="B78" s="529" t="s">
        <v>1360</v>
      </c>
      <c r="C78" s="99" t="str">
        <f t="shared" ca="1" si="0"/>
        <v>Services provided to DxD</v>
      </c>
      <c r="G78" s="99" t="str">
        <f t="shared" ca="1" si="1"/>
        <v/>
      </c>
      <c r="K78" s="99" t="str">
        <f t="shared" ca="1" si="2"/>
        <v>Focus_Area_Diversity</v>
      </c>
      <c r="L78" s="99" t="b">
        <f t="shared" ca="1" si="3"/>
        <v>1</v>
      </c>
      <c r="M78" s="99"/>
      <c r="N78" s="99"/>
      <c r="O78" s="99"/>
      <c r="P78" s="99" t="b">
        <f t="shared" ca="1" si="4"/>
        <v>1</v>
      </c>
      <c r="S78" s="137"/>
      <c r="T78" s="99" t="str">
        <f ca="1">IF(NOT(ISERROR(MATCH(K78,'Lookup Tables'!A:A,0))),"Lookup",IF(OR(NOT(ISERROR(FIND("Numeric",K78))),NOT(ISERROR(FIND("Percentage",K78))),NOT(ISERROR(FIND("Date",K78)))),"Numeric",IF(NOT(ISERROR(FIND("lank",K78))),"Non-blank",IF(NOT(ISERROR(FIND("Not evaluated",K78))),"Skipped","Other"))))</f>
        <v>Lookup</v>
      </c>
      <c r="U78" s="461">
        <f t="shared" ca="1" si="13"/>
        <v>0.25</v>
      </c>
      <c r="V78" s="461" t="str">
        <f t="shared" ca="1" si="14"/>
        <v/>
      </c>
      <c r="W78" s="461" t="str">
        <f t="shared" ca="1" si="15"/>
        <v/>
      </c>
      <c r="X78" s="461" t="str">
        <f t="shared" ca="1" si="16"/>
        <v/>
      </c>
      <c r="Y78" s="99">
        <f t="shared" si="5"/>
        <v>1</v>
      </c>
      <c r="Z78" s="99"/>
      <c r="AA78" s="99"/>
      <c r="AB78" s="379"/>
      <c r="AC78" s="159" t="s">
        <v>2260</v>
      </c>
      <c r="AD78" s="101">
        <f ca="1">MAX(U78:U80)</f>
        <v>1</v>
      </c>
      <c r="AE78" s="379" t="b">
        <f t="shared" ca="1" si="8"/>
        <v>0</v>
      </c>
      <c r="AF78" s="159" t="s">
        <v>2261</v>
      </c>
      <c r="AG78" s="783">
        <f>COUNTIF('VA Detailed Scorecard Config'!D:D,AF78)</f>
        <v>3</v>
      </c>
      <c r="AH78" s="99"/>
    </row>
    <row r="79" spans="2:34" ht="13.5" customHeight="1">
      <c r="B79" s="530"/>
      <c r="C79" s="99" t="str">
        <f t="shared" ca="1" si="0"/>
        <v>New software for DAO operations</v>
      </c>
      <c r="G79" s="99" t="str">
        <f t="shared" ca="1" si="1"/>
        <v/>
      </c>
      <c r="K79" s="99" t="str">
        <f t="shared" ca="1" si="2"/>
        <v>Focus_Area_Diversity</v>
      </c>
      <c r="L79" s="99" t="b">
        <f t="shared" ca="1" si="3"/>
        <v>1</v>
      </c>
      <c r="M79" s="99"/>
      <c r="N79" s="99"/>
      <c r="O79" s="99"/>
      <c r="P79" s="99" t="b">
        <f t="shared" ca="1" si="4"/>
        <v>1</v>
      </c>
      <c r="S79" s="137"/>
      <c r="T79" s="99" t="str">
        <f ca="1">IF(NOT(ISERROR(MATCH(K79,'Lookup Tables'!A:A,0))),"Lookup",IF(OR(NOT(ISERROR(FIND("Numeric",K79))),NOT(ISERROR(FIND("Percentage",K79))),NOT(ISERROR(FIND("Date",K79)))),"Numeric",IF(NOT(ISERROR(FIND("lank",K79))),"Non-blank",IF(NOT(ISERROR(FIND("Not evaluated",K79))),"Skipped","Other"))))</f>
        <v>Lookup</v>
      </c>
      <c r="U79" s="461">
        <f t="shared" ca="1" si="13"/>
        <v>0.25</v>
      </c>
      <c r="V79" s="461" t="str">
        <f t="shared" ca="1" si="14"/>
        <v/>
      </c>
      <c r="W79" s="461" t="str">
        <f t="shared" ca="1" si="15"/>
        <v/>
      </c>
      <c r="X79" s="461" t="str">
        <f t="shared" ca="1" si="16"/>
        <v/>
      </c>
      <c r="Y79" s="99">
        <f t="shared" si="5"/>
        <v>1</v>
      </c>
      <c r="Z79" s="99"/>
      <c r="AA79" s="99"/>
      <c r="AB79" s="379"/>
      <c r="AC79" s="159"/>
      <c r="AD79" s="101"/>
      <c r="AE79" s="379"/>
      <c r="AF79" s="99"/>
      <c r="AG79" s="248"/>
      <c r="AH79" s="99"/>
    </row>
    <row r="80" spans="2:34" ht="13.5" customHeight="1" thickBot="1">
      <c r="B80" s="530"/>
      <c r="C80" s="99" t="str">
        <f t="shared" ca="1" si="0"/>
        <v>Established org converting to DAO</v>
      </c>
      <c r="G80" s="99" t="str">
        <f t="shared" ca="1" si="1"/>
        <v/>
      </c>
      <c r="K80" s="99" t="str">
        <f t="shared" ca="1" si="2"/>
        <v>Focus_Area_Diversity</v>
      </c>
      <c r="L80" s="99" t="b">
        <f t="shared" ca="1" si="3"/>
        <v>1</v>
      </c>
      <c r="M80" s="99"/>
      <c r="N80" s="99"/>
      <c r="O80" s="99"/>
      <c r="P80" s="99" t="b">
        <f t="shared" ca="1" si="4"/>
        <v>1</v>
      </c>
      <c r="S80" s="137"/>
      <c r="T80" s="99" t="str">
        <f ca="1">IF(NOT(ISERROR(MATCH(K80,'Lookup Tables'!A:A,0))),"Lookup",IF(OR(NOT(ISERROR(FIND("Numeric",K80))),NOT(ISERROR(FIND("Percentage",K80))),NOT(ISERROR(FIND("Date",K80)))),"Numeric",IF(NOT(ISERROR(FIND("lank",K80))),"Non-blank",IF(NOT(ISERROR(FIND("Not evaluated",K80))),"Skipped","Other"))))</f>
        <v>Lookup</v>
      </c>
      <c r="U80" s="461">
        <f t="shared" ca="1" si="13"/>
        <v>1</v>
      </c>
      <c r="V80" s="461" t="str">
        <f t="shared" ca="1" si="14"/>
        <v/>
      </c>
      <c r="W80" s="461" t="str">
        <f t="shared" ca="1" si="15"/>
        <v/>
      </c>
      <c r="X80" s="461" t="str">
        <f t="shared" ca="1" si="16"/>
        <v/>
      </c>
      <c r="Y80" s="99">
        <f t="shared" si="5"/>
        <v>1</v>
      </c>
      <c r="Z80" s="99"/>
      <c r="AA80" s="99"/>
      <c r="AB80" s="379"/>
      <c r="AC80" s="159"/>
      <c r="AD80" s="101"/>
      <c r="AE80" s="379"/>
      <c r="AF80" s="99"/>
      <c r="AG80" s="248"/>
      <c r="AH80" s="99"/>
    </row>
    <row r="81" spans="2:34" ht="13.5" customHeight="1">
      <c r="B81" s="402" t="s">
        <v>1388</v>
      </c>
      <c r="C81" s="99" t="str">
        <f t="shared" ca="1" si="0"/>
        <v>Large enterprise (Fortune 1000)</v>
      </c>
      <c r="G81" s="99" t="str">
        <f t="shared" ca="1" si="1"/>
        <v/>
      </c>
      <c r="K81" s="99" t="str">
        <f t="shared" ca="1" si="2"/>
        <v>Client_Type</v>
      </c>
      <c r="L81" s="99" t="b">
        <f t="shared" ca="1" si="3"/>
        <v>1</v>
      </c>
      <c r="M81" s="99"/>
      <c r="N81" s="99"/>
      <c r="O81" s="99"/>
      <c r="P81" s="99" t="b">
        <f t="shared" ca="1" si="4"/>
        <v>1</v>
      </c>
      <c r="S81" s="137"/>
      <c r="T81" s="99" t="str">
        <f ca="1">IF(NOT(ISERROR(MATCH(K81,'Lookup Tables'!A:A,0))),"Lookup",IF(OR(NOT(ISERROR(FIND("Numeric",K81))),NOT(ISERROR(FIND("Percentage",K81))),NOT(ISERROR(FIND("Date",K81)))),"Numeric",IF(NOT(ISERROR(FIND("lank",K81))),"Non-blank",IF(NOT(ISERROR(FIND("Not evaluated",K81))),"Skipped","Other"))))</f>
        <v>Lookup</v>
      </c>
      <c r="U81" s="461">
        <f t="shared" ca="1" si="13"/>
        <v>0.5</v>
      </c>
      <c r="V81" s="461" t="str">
        <f t="shared" ca="1" si="14"/>
        <v/>
      </c>
      <c r="W81" s="461" t="str">
        <f t="shared" ca="1" si="15"/>
        <v/>
      </c>
      <c r="X81" s="461" t="str">
        <f t="shared" ca="1" si="16"/>
        <v/>
      </c>
      <c r="Y81" s="99">
        <f t="shared" si="5"/>
        <v>1</v>
      </c>
      <c r="Z81" s="99"/>
      <c r="AA81" s="99"/>
      <c r="AB81" s="379"/>
      <c r="AC81" s="159" t="s">
        <v>2198</v>
      </c>
      <c r="AD81" s="101">
        <f t="shared" ca="1" si="6"/>
        <v>0.5</v>
      </c>
      <c r="AE81" s="379" t="b">
        <f t="shared" ca="1" si="8"/>
        <v>0</v>
      </c>
      <c r="AF81" s="159" t="s">
        <v>2262</v>
      </c>
      <c r="AG81" s="783">
        <f>COUNTIF('VA Detailed Scorecard Config'!D:D,AF81)</f>
        <v>1</v>
      </c>
      <c r="AH81" s="99"/>
    </row>
    <row r="82" spans="2:34" ht="13.5" customHeight="1">
      <c r="B82" s="328" t="s">
        <v>11</v>
      </c>
      <c r="C82" s="99">
        <f t="shared" ca="1" si="0"/>
        <v>5</v>
      </c>
      <c r="G82" s="99" t="str">
        <f t="shared" ca="1" si="1"/>
        <v/>
      </c>
      <c r="K82" s="99" t="str">
        <f t="shared" ca="1" si="2"/>
        <v>Numerical (Larger is better, log scale)</v>
      </c>
      <c r="L82" s="99" t="b">
        <f t="shared" ca="1" si="3"/>
        <v>1</v>
      </c>
      <c r="M82" s="99"/>
      <c r="N82" s="99"/>
      <c r="O82" s="99"/>
      <c r="P82" s="99" t="b">
        <f t="shared" ca="1" si="4"/>
        <v>1</v>
      </c>
      <c r="S82" s="137"/>
      <c r="T82" s="99" t="str">
        <f ca="1">IF(NOT(ISERROR(MATCH(K82,'Lookup Tables'!A:A,0))),"Lookup",IF(OR(NOT(ISERROR(FIND("Numeric",K82))),NOT(ISERROR(FIND("Percentage",K82))),NOT(ISERROR(FIND("Date",K82)))),"Numeric",IF(NOT(ISERROR(FIND("lank",K82))),"Non-blank",IF(NOT(ISERROR(FIND("Not evaluated",K82))),"Skipped","Other"))))</f>
        <v>Numeric</v>
      </c>
      <c r="U82" s="101">
        <f ca="1">IF(COLUMN()-COLUMN($U$55)+1&lt;=$Y81,(LOG(C82+1)-LOG(MIN($C82:$F82,$Z82:$AA82)+1))/(LOG(MAX($AA82,$C82:$F82)+1)-LOG(MIN($C82:$F82,$Z82:$AA82)+1)),"")</f>
        <v>0.58851905541148319</v>
      </c>
      <c r="V82" s="101" t="str">
        <f>IF(COLUMN()-COLUMN($U$55)+1&lt;=$Y81,(LOG(D82+1)-LOG(MIN($C82:$F82,$Z82:$AA82)+1))/(LOG(MAX($AA82,$C82:$F82)+1)-LOG(MIN($C82:$F82,$Z82:$AA82)+1)),"")</f>
        <v/>
      </c>
      <c r="W82" s="101" t="str">
        <f>IF(COLUMN()-COLUMN($U$55)+1&lt;=$Y81,(LOG(E82+1)-LOG(MIN($C82:$F82,$Z82:$AA82)+1))/(LOG(MAX($AA82,$C82:$F82)+1)-LOG(MIN($C82:$F82,$Z82:$AA82)+1)),"")</f>
        <v/>
      </c>
      <c r="X82" s="101" t="str">
        <f>IF(COLUMN()-COLUMN($U$55)+1&lt;=$Y81,(LOG(F82+1)-LOG(MIN($C82:$F82,$Z82:$AA82)+1))/(LOG(MAX($AA82,$C82:$F82)+1)-LOG(MIN($C82:$F82,$Z82:$AA82)+1)),"")</f>
        <v/>
      </c>
      <c r="Y82" s="99">
        <f t="shared" si="5"/>
        <v>1</v>
      </c>
      <c r="Z82" s="99">
        <v>0</v>
      </c>
      <c r="AA82" s="99">
        <v>20</v>
      </c>
      <c r="AB82" s="723" t="s">
        <v>2186</v>
      </c>
      <c r="AC82" s="159" t="s">
        <v>2198</v>
      </c>
      <c r="AD82" s="101">
        <f t="shared" ca="1" si="6"/>
        <v>0.58851905541148319</v>
      </c>
      <c r="AE82" s="379" t="b">
        <f t="shared" ca="1" si="8"/>
        <v>0</v>
      </c>
      <c r="AF82" s="159" t="s">
        <v>2524</v>
      </c>
      <c r="AG82" s="783">
        <f>COUNTIF('VA Detailed Scorecard Config'!D:D,AF82)</f>
        <v>3</v>
      </c>
      <c r="AH82" s="99"/>
    </row>
    <row r="83" spans="2:34" ht="13.5" customHeight="1">
      <c r="B83" s="327" t="s">
        <v>1392</v>
      </c>
      <c r="C83" s="99" t="str">
        <f t="shared" ca="1" si="0"/>
        <v>Marketing, project management, scorecarding</v>
      </c>
      <c r="G83" s="99" t="str">
        <f t="shared" ca="1" si="1"/>
        <v/>
      </c>
      <c r="K83" s="99" t="str">
        <f t="shared" ca="1" si="2"/>
        <v>Non-blank is better</v>
      </c>
      <c r="L83" s="99" t="b">
        <f t="shared" ca="1" si="3"/>
        <v>1</v>
      </c>
      <c r="M83" s="99"/>
      <c r="N83" s="99"/>
      <c r="O83" s="99"/>
      <c r="P83" s="99" t="b">
        <f t="shared" ca="1" si="4"/>
        <v>1</v>
      </c>
      <c r="S83" s="137"/>
      <c r="T83" s="99" t="str">
        <f ca="1">IF(NOT(ISERROR(MATCH(K83,'Lookup Tables'!A:A,0))),"Lookup",IF(OR(NOT(ISERROR(FIND("Numeric",K83))),NOT(ISERROR(FIND("Percentage",K83))),NOT(ISERROR(FIND("Date",K83)))),"Numeric",IF(NOT(ISERROR(FIND("lank",K83))),"Non-blank",IF(NOT(ISERROR(FIND("Not evaluated",K83))),"Skipped","Other"))))</f>
        <v>Non-blank</v>
      </c>
      <c r="U83" s="461">
        <f ca="1">IF(COLUMN()-COLUMN($U$55)+1&lt;=$Y83,IF(C83="",0,1),"")</f>
        <v>1</v>
      </c>
      <c r="V83" s="461" t="str">
        <f>IF(COLUMN()-COLUMN($U$55)+1&lt;=$Y83,IF(D83="",0,1),"")</f>
        <v/>
      </c>
      <c r="W83" s="461" t="str">
        <f>IF(COLUMN()-COLUMN($U$55)+1&lt;=$Y83,IF(E83="",0,1),"")</f>
        <v/>
      </c>
      <c r="X83" s="461" t="str">
        <f>IF(COLUMN()-COLUMN($U$55)+1&lt;=$Y83,IF(F83="",0,1),"")</f>
        <v/>
      </c>
      <c r="Y83" s="99">
        <f t="shared" si="5"/>
        <v>1</v>
      </c>
      <c r="Z83" s="99"/>
      <c r="AA83" s="99"/>
      <c r="AB83" s="379"/>
      <c r="AC83" s="159" t="s">
        <v>2198</v>
      </c>
      <c r="AD83" s="101">
        <f t="shared" ca="1" si="6"/>
        <v>1</v>
      </c>
      <c r="AE83" s="379" t="b">
        <f t="shared" ca="1" si="8"/>
        <v>0</v>
      </c>
      <c r="AF83" s="159" t="s">
        <v>2523</v>
      </c>
      <c r="AG83" s="783">
        <f>COUNTIF('VA Detailed Scorecard Config'!D:D,AF83)</f>
        <v>2</v>
      </c>
      <c r="AH83" s="99"/>
    </row>
    <row r="84" spans="2:34" ht="13.5" customHeight="1">
      <c r="B84" s="328" t="s">
        <v>1313</v>
      </c>
      <c r="C84" s="99">
        <f t="shared" ca="1" si="0"/>
        <v>0</v>
      </c>
      <c r="G84" s="99" t="str">
        <f t="shared" ca="1" si="1"/>
        <v/>
      </c>
      <c r="K84" s="99" t="str">
        <f t="shared" ca="1" si="2"/>
        <v>Numerical (Larger is better, log scale)</v>
      </c>
      <c r="L84" s="99" t="b">
        <f t="shared" ca="1" si="3"/>
        <v>1</v>
      </c>
      <c r="M84" s="99"/>
      <c r="N84" s="99"/>
      <c r="O84" s="99"/>
      <c r="P84" s="99" t="b">
        <f t="shared" ca="1" si="4"/>
        <v>1</v>
      </c>
      <c r="S84" s="137"/>
      <c r="T84" s="99" t="str">
        <f ca="1">IF(NOT(ISERROR(MATCH(K84,'Lookup Tables'!A:A,0))),"Lookup",IF(OR(NOT(ISERROR(FIND("Numeric",K84))),NOT(ISERROR(FIND("Percentage",K84))),NOT(ISERROR(FIND("Date",K84)))),"Numeric",IF(NOT(ISERROR(FIND("lank",K84))),"Non-blank",IF(NOT(ISERROR(FIND("Not evaluated",K84))),"Skipped","Other"))))</f>
        <v>Numeric</v>
      </c>
      <c r="U84" s="101">
        <f ca="1">IF(COLUMN()-COLUMN($U$55)+1&lt;=$Y83,(LOG(C84+1)-LOG(MIN($C84:$F84,$Z84:$AA84)+1))/(LOG(MAX($AA84,$C84:$F84)+1)-LOG(MIN($C84:$F84,$Z84:$AA84)+1)),"")</f>
        <v>0</v>
      </c>
      <c r="V84" s="101" t="str">
        <f>IF(COLUMN()-COLUMN($U$55)+1&lt;=$Y83,(LOG(D84+1)-LOG(MIN($C84:$F84,$Z84:$AA84)+1))/(LOG(MAX($AA84,$C84:$F84)+1)-LOG(MIN($C84:$F84,$Z84:$AA84)+1)),"")</f>
        <v/>
      </c>
      <c r="W84" s="101" t="str">
        <f>IF(COLUMN()-COLUMN($U$55)+1&lt;=$Y83,(LOG(E84+1)-LOG(MIN($C84:$F84,$Z84:$AA84)+1))/(LOG(MAX($AA84,$C84:$F84)+1)-LOG(MIN($C84:$F84,$Z84:$AA84)+1)),"")</f>
        <v/>
      </c>
      <c r="X84" s="101" t="str">
        <f>IF(COLUMN()-COLUMN($U$55)+1&lt;=$Y83,(LOG(F84+1)-LOG(MIN($C84:$F84,$Z84:$AA84)+1))/(LOG(MAX($AA84,$C84:$F84)+1)-LOG(MIN($C84:$F84,$Z84:$AA84)+1)),"")</f>
        <v/>
      </c>
      <c r="Y84" s="99">
        <f t="shared" si="5"/>
        <v>1</v>
      </c>
      <c r="Z84" s="99">
        <v>0</v>
      </c>
      <c r="AA84" s="99">
        <v>20</v>
      </c>
      <c r="AB84" s="723" t="s">
        <v>2186</v>
      </c>
      <c r="AC84" s="159" t="s">
        <v>2198</v>
      </c>
      <c r="AD84" s="101">
        <f t="shared" ca="1" si="6"/>
        <v>0</v>
      </c>
      <c r="AE84" s="379" t="b">
        <f t="shared" ca="1" si="8"/>
        <v>0</v>
      </c>
      <c r="AF84" s="159" t="s">
        <v>2264</v>
      </c>
      <c r="AG84" s="783">
        <f>COUNTIF('VA Detailed Scorecard Config'!D:D,AF84)</f>
        <v>3</v>
      </c>
      <c r="AH84" s="99"/>
    </row>
    <row r="85" spans="2:34" ht="13.5" customHeight="1">
      <c r="B85" s="328" t="s">
        <v>1314</v>
      </c>
      <c r="C85" s="99">
        <f t="shared" ca="1" si="0"/>
        <v>0</v>
      </c>
      <c r="G85" s="99" t="str">
        <f t="shared" ca="1" si="1"/>
        <v/>
      </c>
      <c r="K85" s="99" t="str">
        <f t="shared" ca="1" si="2"/>
        <v>Numerical (Larger is better, log scale)</v>
      </c>
      <c r="L85" s="99" t="b">
        <f t="shared" ca="1" si="3"/>
        <v>1</v>
      </c>
      <c r="M85" s="99"/>
      <c r="N85" s="99"/>
      <c r="O85" s="99"/>
      <c r="P85" s="99" t="b">
        <f t="shared" ca="1" si="4"/>
        <v>1</v>
      </c>
      <c r="S85" s="137"/>
      <c r="T85" s="99" t="str">
        <f ca="1">IF(NOT(ISERROR(MATCH(K85,'Lookup Tables'!A:A,0))),"Lookup",IF(OR(NOT(ISERROR(FIND("Numeric",K85))),NOT(ISERROR(FIND("Percentage",K85))),NOT(ISERROR(FIND("Date",K85)))),"Numeric",IF(NOT(ISERROR(FIND("lank",K85))),"Non-blank",IF(NOT(ISERROR(FIND("Not evaluated",K85))),"Skipped","Other"))))</f>
        <v>Numeric</v>
      </c>
      <c r="U85" s="101">
        <f ca="1">IF(COLUMN()-COLUMN($U$55)+1&lt;=$Y84,(LOG(C85+1)-LOG(MIN($C85:$F85,$Z85:$AA85)+1))/(LOG(MAX($AA85,$C85:$F85)+1)-LOG(MIN($C85:$F85,$Z85:$AA85)+1)),"")</f>
        <v>0</v>
      </c>
      <c r="V85" s="101" t="str">
        <f>IF(COLUMN()-COLUMN($U$55)+1&lt;=$Y84,(LOG(D85+1)-LOG(MIN($C85:$F85,$Z85:$AA85)+1))/(LOG(MAX($AA85,$C85:$F85)+1)-LOG(MIN($C85:$F85,$Z85:$AA85)+1)),"")</f>
        <v/>
      </c>
      <c r="W85" s="101" t="str">
        <f>IF(COLUMN()-COLUMN($U$55)+1&lt;=$Y84,(LOG(E85+1)-LOG(MIN($C85:$F85,$Z85:$AA85)+1))/(LOG(MAX($AA85,$C85:$F85)+1)-LOG(MIN($C85:$F85,$Z85:$AA85)+1)),"")</f>
        <v/>
      </c>
      <c r="X85" s="101" t="str">
        <f>IF(COLUMN()-COLUMN($U$55)+1&lt;=$Y84,(LOG(F85+1)-LOG(MIN($C85:$F85,$Z85:$AA85)+1))/(LOG(MAX($AA85,$C85:$F85)+1)-LOG(MIN($C85:$F85,$Z85:$AA85)+1)),"")</f>
        <v/>
      </c>
      <c r="Y85" s="99">
        <f t="shared" si="5"/>
        <v>1</v>
      </c>
      <c r="Z85" s="99">
        <v>0</v>
      </c>
      <c r="AA85" s="99">
        <v>20</v>
      </c>
      <c r="AB85" s="723" t="s">
        <v>2186</v>
      </c>
      <c r="AC85" s="159" t="s">
        <v>2198</v>
      </c>
      <c r="AD85" s="101">
        <f t="shared" ca="1" si="6"/>
        <v>0</v>
      </c>
      <c r="AE85" s="379" t="b">
        <f t="shared" ca="1" si="8"/>
        <v>0</v>
      </c>
      <c r="AF85" s="159" t="s">
        <v>2263</v>
      </c>
      <c r="AG85" s="783">
        <f>COUNTIF('VA Detailed Scorecard Config'!D:D,AF85)</f>
        <v>3</v>
      </c>
      <c r="AH85" s="99"/>
    </row>
    <row r="86" spans="2:34" ht="13.5" customHeight="1">
      <c r="B86" s="344" t="s">
        <v>2071</v>
      </c>
      <c r="C86" s="99" t="str">
        <f t="shared" ca="1" si="0"/>
        <v/>
      </c>
      <c r="G86" s="99" t="str">
        <f t="shared" ca="1" si="1"/>
        <v/>
      </c>
      <c r="K86" s="99" t="str">
        <f t="shared" ca="1" si="2"/>
        <v>Pop-up to create one or more Reference Project tables</v>
      </c>
      <c r="L86" s="99" t="b">
        <f t="shared" ca="1" si="3"/>
        <v>1</v>
      </c>
      <c r="M86" s="99"/>
      <c r="N86" s="99"/>
      <c r="O86" s="99"/>
      <c r="P86" s="99" t="b">
        <f t="shared" ca="1" si="4"/>
        <v>1</v>
      </c>
      <c r="S86" s="137"/>
      <c r="T86" s="99" t="s">
        <v>2191</v>
      </c>
      <c r="U86" s="99"/>
      <c r="V86" s="99"/>
      <c r="W86" s="99"/>
      <c r="X86" s="99"/>
      <c r="Y86" s="99">
        <f t="shared" si="5"/>
        <v>1</v>
      </c>
      <c r="Z86" s="99"/>
      <c r="AA86" s="99"/>
      <c r="AB86" s="379"/>
      <c r="AC86" s="99"/>
      <c r="AD86" s="101" t="str">
        <f t="shared" si="6"/>
        <v/>
      </c>
      <c r="AE86" s="379"/>
      <c r="AF86" s="99"/>
      <c r="AG86" s="248"/>
      <c r="AH86" s="99"/>
    </row>
    <row r="87" spans="2:34" ht="13.5" customHeight="1">
      <c r="B87" s="326" t="s">
        <v>1327</v>
      </c>
      <c r="C87" s="99" t="str">
        <f t="shared" ca="1" si="0"/>
        <v>50%-74%</v>
      </c>
      <c r="G87" s="99" t="str">
        <f t="shared" ca="1" si="1"/>
        <v/>
      </c>
      <c r="K87" s="99" t="str">
        <f t="shared" ca="1" si="2"/>
        <v>High_Percent_Good</v>
      </c>
      <c r="L87" s="99" t="b">
        <f t="shared" ca="1" si="3"/>
        <v>1</v>
      </c>
      <c r="M87" s="99"/>
      <c r="N87" s="99"/>
      <c r="O87" s="99"/>
      <c r="P87" s="99" t="b">
        <f t="shared" ca="1" si="4"/>
        <v>1</v>
      </c>
      <c r="S87" s="137"/>
      <c r="T87" s="99" t="str">
        <f ca="1">IF(NOT(ISERROR(MATCH(K87,'Lookup Tables'!A:A,0))),"Lookup",IF(OR(NOT(ISERROR(FIND("Numeric",K87))),NOT(ISERROR(FIND("Percentage",K87))),NOT(ISERROR(FIND("Date",K87)))),"Numeric",IF(NOT(ISERROR(FIND("lank",K87))),"Non-blank",IF(NOT(ISERROR(FIND("Not evaluated",K87))),"Skipped","Other"))))</f>
        <v>Lookup</v>
      </c>
      <c r="U87" s="461">
        <f ca="1">IF(COLUMN()-COLUMN($U$55)+1&lt;=$Y87,INDEX(OFFSET(INDIRECT($K87),0,1),MATCH(C87,INDIRECT($K87),0)),"")</f>
        <v>0.62</v>
      </c>
      <c r="V87" s="461" t="str">
        <f ca="1">IF(COLUMN()-COLUMN($U$55)+1&lt;=$Y87,INDEX(OFFSET(INDIRECT($K87),0,1),MATCH(D87,INDIRECT($K87),0)),"")</f>
        <v/>
      </c>
      <c r="W87" s="461" t="str">
        <f ca="1">IF(COLUMN()-COLUMN($U$55)+1&lt;=$Y87,INDEX(OFFSET(INDIRECT($K87),0,1),MATCH(E87,INDIRECT($K87),0)),"")</f>
        <v/>
      </c>
      <c r="X87" s="461" t="str">
        <f ca="1">IF(COLUMN()-COLUMN($U$55)+1&lt;=$Y87,INDEX(OFFSET(INDIRECT($K87),0,1),MATCH(F87,INDIRECT($K87),0)),"")</f>
        <v/>
      </c>
      <c r="Y87" s="99">
        <f t="shared" si="5"/>
        <v>1</v>
      </c>
      <c r="Z87" s="99"/>
      <c r="AA87" s="99"/>
      <c r="AB87" s="379"/>
      <c r="AC87" s="159" t="s">
        <v>2198</v>
      </c>
      <c r="AD87" s="101">
        <f t="shared" ca="1" si="6"/>
        <v>0.62</v>
      </c>
      <c r="AE87" s="379" t="b">
        <f t="shared" ref="AE87:AE90" ca="1" si="17">IF(AD87="","",NOT(P87))</f>
        <v>0</v>
      </c>
      <c r="AF87" s="159" t="s">
        <v>2265</v>
      </c>
      <c r="AG87" s="783">
        <f>COUNTIF('VA Detailed Scorecard Config'!D:D,AF87)</f>
        <v>1</v>
      </c>
      <c r="AH87" s="99"/>
    </row>
    <row r="88" spans="2:34" ht="13.5" customHeight="1">
      <c r="B88" s="327" t="s">
        <v>1328</v>
      </c>
      <c r="C88" s="99" t="str">
        <f t="shared" ca="1" si="0"/>
        <v>75%-99%</v>
      </c>
      <c r="G88" s="99" t="str">
        <f t="shared" ca="1" si="1"/>
        <v/>
      </c>
      <c r="K88" s="99" t="str">
        <f t="shared" ca="1" si="2"/>
        <v>High_Percent_Good</v>
      </c>
      <c r="L88" s="99" t="b">
        <f t="shared" ca="1" si="3"/>
        <v>1</v>
      </c>
      <c r="M88" s="99"/>
      <c r="N88" s="99"/>
      <c r="O88" s="99"/>
      <c r="P88" s="99" t="b">
        <f t="shared" ca="1" si="4"/>
        <v>1</v>
      </c>
      <c r="S88" s="137"/>
      <c r="T88" s="99" t="str">
        <f ca="1">IF(NOT(ISERROR(MATCH(K88,'Lookup Tables'!A:A,0))),"Lookup",IF(OR(NOT(ISERROR(FIND("Numeric",K88))),NOT(ISERROR(FIND("Percentage",K88))),NOT(ISERROR(FIND("Date",K88)))),"Numeric",IF(NOT(ISERROR(FIND("lank",K88))),"Non-blank",IF(NOT(ISERROR(FIND("Not evaluated",K88))),"Skipped","Other"))))</f>
        <v>Lookup</v>
      </c>
      <c r="U88" s="461">
        <f ca="1">IF(COLUMN()-COLUMN($U$55)+1&lt;=$Y88,INDEX(OFFSET(INDIRECT($K88),0,1),MATCH(C88,INDIRECT($K88),0)),"")</f>
        <v>0.87</v>
      </c>
      <c r="V88" s="461" t="str">
        <f ca="1">IF(COLUMN()-COLUMN($U$55)+1&lt;=$Y88,INDEX(OFFSET(INDIRECT($K88),0,1),MATCH(D88,INDIRECT($K88),0)),"")</f>
        <v/>
      </c>
      <c r="W88" s="461" t="str">
        <f ca="1">IF(COLUMN()-COLUMN($U$55)+1&lt;=$Y88,INDEX(OFFSET(INDIRECT($K88),0,1),MATCH(E88,INDIRECT($K88),0)),"")</f>
        <v/>
      </c>
      <c r="X88" s="461" t="str">
        <f ca="1">IF(COLUMN()-COLUMN($U$55)+1&lt;=$Y88,INDEX(OFFSET(INDIRECT($K88),0,1),MATCH(F88,INDIRECT($K88),0)),"")</f>
        <v/>
      </c>
      <c r="Y88" s="99">
        <f t="shared" si="5"/>
        <v>1</v>
      </c>
      <c r="Z88" s="99"/>
      <c r="AA88" s="99"/>
      <c r="AB88" s="379"/>
      <c r="AC88" s="159" t="s">
        <v>2198</v>
      </c>
      <c r="AD88" s="101">
        <f t="shared" ca="1" si="6"/>
        <v>0.87</v>
      </c>
      <c r="AE88" s="379" t="b">
        <f t="shared" ca="1" si="17"/>
        <v>0</v>
      </c>
      <c r="AF88" s="159" t="s">
        <v>2266</v>
      </c>
      <c r="AG88" s="783">
        <f>COUNTIF('VA Detailed Scorecard Config'!D:D,AF88)</f>
        <v>1</v>
      </c>
      <c r="AH88" s="99"/>
    </row>
    <row r="89" spans="2:34" ht="13.5" customHeight="1" thickBot="1">
      <c r="B89" s="399" t="s">
        <v>1389</v>
      </c>
      <c r="C89" s="99">
        <f t="shared" ca="1" si="0"/>
        <v>1</v>
      </c>
      <c r="G89" s="99" t="str">
        <f t="shared" ca="1" si="1"/>
        <v/>
      </c>
      <c r="K89" s="99" t="str">
        <f t="shared" ca="1" si="2"/>
        <v>High_Percent_Good</v>
      </c>
      <c r="L89" s="99" t="b">
        <f t="shared" ca="1" si="3"/>
        <v>1</v>
      </c>
      <c r="M89" s="99"/>
      <c r="N89" s="99"/>
      <c r="O89" s="99"/>
      <c r="P89" s="99" t="b">
        <f t="shared" ca="1" si="4"/>
        <v>1</v>
      </c>
      <c r="S89" s="137"/>
      <c r="T89" s="99" t="str">
        <f ca="1">IF(NOT(ISERROR(MATCH(K89,'Lookup Tables'!A:A,0))),"Lookup",IF(OR(NOT(ISERROR(FIND("Numeric",K89))),NOT(ISERROR(FIND("Percentage",K89))),NOT(ISERROR(FIND("Date",K89)))),"Numeric",IF(NOT(ISERROR(FIND("lank",K89))),"Non-blank",IF(NOT(ISERROR(FIND("Not evaluated",K89))),"Skipped","Other"))))</f>
        <v>Lookup</v>
      </c>
      <c r="U89" s="461">
        <f ca="1">IF(COLUMN()-COLUMN($U$55)+1&lt;=$Y89,INDEX(OFFSET(INDIRECT($K89),0,1),MATCH(C89,INDIRECT($K89),0)),"")</f>
        <v>1</v>
      </c>
      <c r="V89" s="461" t="str">
        <f ca="1">IF(COLUMN()-COLUMN($U$55)+1&lt;=$Y89,INDEX(OFFSET(INDIRECT($K89),0,1),MATCH(D89,INDIRECT($K89),0)),"")</f>
        <v/>
      </c>
      <c r="W89" s="461" t="str">
        <f ca="1">IF(COLUMN()-COLUMN($U$55)+1&lt;=$Y89,INDEX(OFFSET(INDIRECT($K89),0,1),MATCH(E89,INDIRECT($K89),0)),"")</f>
        <v/>
      </c>
      <c r="X89" s="461" t="str">
        <f ca="1">IF(COLUMN()-COLUMN($U$55)+1&lt;=$Y89,INDEX(OFFSET(INDIRECT($K89),0,1),MATCH(F89,INDIRECT($K89),0)),"")</f>
        <v/>
      </c>
      <c r="Y89" s="99">
        <f t="shared" si="5"/>
        <v>1</v>
      </c>
      <c r="Z89" s="99"/>
      <c r="AA89" s="99"/>
      <c r="AB89" s="379"/>
      <c r="AC89" s="159" t="s">
        <v>2198</v>
      </c>
      <c r="AD89" s="101">
        <f t="shared" ca="1" si="6"/>
        <v>1</v>
      </c>
      <c r="AE89" s="379" t="b">
        <f t="shared" ca="1" si="17"/>
        <v>0</v>
      </c>
      <c r="AF89" s="159" t="s">
        <v>2267</v>
      </c>
      <c r="AG89" s="783">
        <f>COUNTIF('VA Detailed Scorecard Config'!D:D,AF89)</f>
        <v>2</v>
      </c>
      <c r="AH89" s="99"/>
    </row>
    <row r="90" spans="2:34" ht="13.5" customHeight="1" thickBot="1">
      <c r="B90" s="403" t="s">
        <v>1933</v>
      </c>
      <c r="C90" s="324" t="str">
        <f t="shared" ca="1" si="0"/>
        <v>Yes</v>
      </c>
      <c r="G90" s="99" t="str">
        <f t="shared" ca="1" si="1"/>
        <v/>
      </c>
      <c r="K90" s="99" t="str">
        <f t="shared" ca="1" si="2"/>
        <v>YES_No</v>
      </c>
      <c r="L90" s="99" t="b">
        <f t="shared" ca="1" si="3"/>
        <v>1</v>
      </c>
      <c r="M90" s="99"/>
      <c r="N90" s="99"/>
      <c r="O90" s="99"/>
      <c r="P90" s="99" t="b">
        <f t="shared" ca="1" si="4"/>
        <v>1</v>
      </c>
      <c r="S90" s="137"/>
      <c r="T90" s="99" t="str">
        <f ca="1">IF(NOT(ISERROR(MATCH(K90,'Lookup Tables'!A:A,0))),"Lookup",IF(OR(NOT(ISERROR(FIND("Numeric",K90))),NOT(ISERROR(FIND("Percentage",K90))),NOT(ISERROR(FIND("Date",K90)))),"Numeric",IF(NOT(ISERROR(FIND("lank",K90))),"Non-blank",IF(NOT(ISERROR(FIND("Not evaluated",K90))),"Skipped","Other"))))</f>
        <v>Lookup</v>
      </c>
      <c r="U90" s="461">
        <f ca="1">IF(COLUMN()-COLUMN($U$55)+1&lt;=$Y90,INDEX(OFFSET(INDIRECT($K90),0,1),MATCH(C90,INDIRECT($K90),0)),"")</f>
        <v>1</v>
      </c>
      <c r="V90" s="461" t="str">
        <f ca="1">IF(COLUMN()-COLUMN($U$55)+1&lt;=$Y90,INDEX(OFFSET(INDIRECT($K90),0,1),MATCH(D90,INDIRECT($K90),0)),"")</f>
        <v/>
      </c>
      <c r="W90" s="461" t="str">
        <f ca="1">IF(COLUMN()-COLUMN($U$55)+1&lt;=$Y90,INDEX(OFFSET(INDIRECT($K90),0,1),MATCH(E90,INDIRECT($K90),0)),"")</f>
        <v/>
      </c>
      <c r="X90" s="461" t="str">
        <f ca="1">IF(COLUMN()-COLUMN($U$55)+1&lt;=$Y90,INDEX(OFFSET(INDIRECT($K90),0,1),MATCH(F90,INDIRECT($K90),0)),"")</f>
        <v/>
      </c>
      <c r="Y90" s="99">
        <f t="shared" si="5"/>
        <v>1</v>
      </c>
      <c r="Z90" s="99"/>
      <c r="AA90" s="99"/>
      <c r="AB90" s="379"/>
      <c r="AC90" s="159" t="s">
        <v>2198</v>
      </c>
      <c r="AD90" s="101">
        <f t="shared" ca="1" si="6"/>
        <v>1</v>
      </c>
      <c r="AE90" s="379" t="b">
        <f t="shared" ca="1" si="17"/>
        <v>0</v>
      </c>
      <c r="AF90" s="159" t="s">
        <v>2268</v>
      </c>
      <c r="AG90" s="783">
        <f>COUNTIF('VA Detailed Scorecard Config'!D:D,AF90)</f>
        <v>0</v>
      </c>
      <c r="AH90" s="99"/>
    </row>
    <row r="91" spans="2:34" ht="13.5" customHeight="1">
      <c r="B91" s="414" t="s">
        <v>1974</v>
      </c>
      <c r="C91" s="404" t="s">
        <v>801</v>
      </c>
      <c r="G91" s="404" t="s">
        <v>1968</v>
      </c>
      <c r="K91" s="404" t="s">
        <v>1988</v>
      </c>
      <c r="L91" s="700" t="s">
        <v>2219</v>
      </c>
      <c r="M91" s="700" t="s">
        <v>2220</v>
      </c>
      <c r="N91" s="700" t="s">
        <v>2221</v>
      </c>
      <c r="O91" s="700" t="s">
        <v>2222</v>
      </c>
      <c r="P91" s="407" t="s">
        <v>1993</v>
      </c>
      <c r="S91" s="137"/>
      <c r="T91" s="137"/>
      <c r="U91" s="137"/>
      <c r="V91" s="137"/>
      <c r="W91" s="137"/>
      <c r="X91" s="137"/>
      <c r="Y91" s="137"/>
      <c r="Z91" s="137"/>
      <c r="AA91" s="137"/>
      <c r="AB91" s="137"/>
      <c r="AC91" s="137"/>
      <c r="AD91" s="137"/>
      <c r="AE91" s="137"/>
      <c r="AF91" s="99"/>
      <c r="AG91" s="248"/>
      <c r="AH91" s="99"/>
    </row>
    <row r="92" spans="2:34" ht="13.5" customHeight="1">
      <c r="B92" s="328" t="s">
        <v>1698</v>
      </c>
      <c r="C92" s="324" t="str">
        <f t="shared" ref="C92:C99" ca="1" si="18">IF(INDIRECT($C$2&amp;"!C"&amp;ROW()-ROW($C$56)+7)="","",INDIRECT($C$2&amp;"!C"&amp;ROW()-ROW($C$56)+7))</f>
        <v>Yes</v>
      </c>
      <c r="G92" s="324" t="str">
        <f t="shared" ref="G92:G99" ca="1" si="19">IF(INDIRECT($C$2&amp;"!D"&amp;ROW()-ROW($C$56)+7)="","",INDIRECT($C$2&amp;"!D"&amp;ROW()-ROW($C$56)+7))</f>
        <v/>
      </c>
      <c r="K92" s="99" t="str">
        <f t="shared" ref="K92:K99" ca="1" si="20">IF(INDIRECT($C$2&amp;"!E"&amp;ROW()-ROW($C$56)+7)="","",INDIRECT($C$2&amp;"!E"&amp;ROW()-ROW($C$56)+7))</f>
        <v>YES_No</v>
      </c>
      <c r="L92" s="99" t="b">
        <f t="shared" ref="L92:L99" ca="1" si="21">IF(INDIRECT($C$2&amp;"!E"&amp;ROW()-ROW($C$56)+7)="","",INDIRECT($C$2&amp;"!F"&amp;ROW()-ROW($C$56)+7))</f>
        <v>1</v>
      </c>
      <c r="M92" s="99"/>
      <c r="N92" s="99"/>
      <c r="O92" s="99"/>
      <c r="P92" s="99" t="b">
        <f t="shared" ref="P92:P99" ca="1" si="22">INDIRECT($C$2&amp;"!B"&amp;ROW()-ROW($P$56)+7)=B92</f>
        <v>1</v>
      </c>
      <c r="S92" s="137"/>
      <c r="T92" s="99" t="str">
        <f ca="1">IF(NOT(ISERROR(MATCH(K92,'Lookup Tables'!A:A,0))),"Lookup",IF(OR(NOT(ISERROR(FIND("Numeric",K92))),NOT(ISERROR(FIND("Percentage",K92))),NOT(ISERROR(FIND("Date",K92)))),"Numeric",IF(NOT(ISERROR(FIND("lank",K92))),"Non-blank",IF(NOT(ISERROR(FIND("Not evaluated",K92))),"Skipped","Other"))))</f>
        <v>Lookup</v>
      </c>
      <c r="U92" s="461">
        <f ca="1">IF(COLUMN()-COLUMN($U$55)+1&lt;=$Y92,INDEX(OFFSET(INDIRECT($K92),0,1),MATCH(C92,INDIRECT($K92),0)),"")</f>
        <v>1</v>
      </c>
      <c r="V92" s="461" t="str">
        <f ca="1">IF(COLUMN()-COLUMN($U$55)+1&lt;=$Y92,INDEX(OFFSET(INDIRECT($K92),0,1),MATCH(D92,INDIRECT($K92),0)),"")</f>
        <v/>
      </c>
      <c r="W92" s="461" t="str">
        <f ca="1">IF(COLUMN()-COLUMN($U$55)+1&lt;=$Y92,INDEX(OFFSET(INDIRECT($K92),0,1),MATCH(E92,INDIRECT($K92),0)),"")</f>
        <v/>
      </c>
      <c r="X92" s="461" t="str">
        <f ca="1">IF(COLUMN()-COLUMN($U$55)+1&lt;=$Y92,INDEX(OFFSET(INDIRECT($K92),0,1),MATCH(F92,INDIRECT($K92),0)),"")</f>
        <v/>
      </c>
      <c r="Y92" s="99">
        <f t="shared" si="5"/>
        <v>1</v>
      </c>
      <c r="Z92" s="99"/>
      <c r="AA92" s="99"/>
      <c r="AB92" s="379"/>
      <c r="AC92" s="159" t="s">
        <v>2198</v>
      </c>
      <c r="AD92" s="101">
        <f t="shared" ca="1" si="6"/>
        <v>1</v>
      </c>
      <c r="AE92" s="379" t="b">
        <f t="shared" ref="AE92:AE99" ca="1" si="23">IF(AD92="","",NOT(P92))</f>
        <v>0</v>
      </c>
      <c r="AF92" s="159" t="s">
        <v>2269</v>
      </c>
      <c r="AG92" s="783">
        <f>COUNTIF('VA Detailed Scorecard Config'!D:D,AF92)</f>
        <v>1</v>
      </c>
      <c r="AH92" s="99"/>
    </row>
    <row r="93" spans="2:34" ht="13.5" customHeight="1">
      <c r="B93" s="328" t="s">
        <v>1699</v>
      </c>
      <c r="C93" s="324">
        <f t="shared" ca="1" si="18"/>
        <v>1000</v>
      </c>
      <c r="G93" s="324" t="str">
        <f t="shared" ca="1" si="19"/>
        <v/>
      </c>
      <c r="K93" s="99" t="str">
        <f t="shared" ca="1" si="20"/>
        <v>Sum of individuals linked to org; Numerical (Larger is better, log scale)</v>
      </c>
      <c r="L93" s="99" t="b">
        <f t="shared" ca="1" si="21"/>
        <v>1</v>
      </c>
      <c r="M93" s="99"/>
      <c r="N93" s="99"/>
      <c r="O93" s="99"/>
      <c r="P93" s="99" t="b">
        <f t="shared" ca="1" si="22"/>
        <v>1</v>
      </c>
      <c r="S93" s="137"/>
      <c r="T93" s="99" t="str">
        <f ca="1">IF(NOT(ISERROR(MATCH(K93,'Lookup Tables'!A:A,0))),"Lookup",IF(OR(NOT(ISERROR(FIND("Numeric",K93))),NOT(ISERROR(FIND("Percentage",K93))),NOT(ISERROR(FIND("Date",K93)))),"Numeric",IF(NOT(ISERROR(FIND("lank",K93))),"Non-blank",IF(NOT(ISERROR(FIND("Not evaluated",K93))),"Skipped","Other"))))</f>
        <v>Numeric</v>
      </c>
      <c r="U93" s="101">
        <f ca="1">IF(COLUMN()-COLUMN($U$55)+1&lt;=$Y92,(LOG(C93+1)-LOG(MIN($C93:$F93,$Z93:$AA93)+1))/(LOG(MAX($AA93,$C93:$F93)+1)-LOG(MIN($C93:$F93,$Z93:$AA93)+1)),"")</f>
        <v>0.90887897722276756</v>
      </c>
      <c r="V93" s="101" t="str">
        <f>IF(COLUMN()-COLUMN($U$55)+1&lt;=$Y92,(LOG(D93+1)-LOG(MIN($C93:$F93,$Z93:$AA93)+1))/(LOG(MAX($AA93,$C93:$F93)+1)-LOG(MIN($C93:$F93,$Z93:$AA93)+1)),"")</f>
        <v/>
      </c>
      <c r="W93" s="101" t="str">
        <f>IF(COLUMN()-COLUMN($U$55)+1&lt;=$Y92,(LOG(E93+1)-LOG(MIN($C93:$F93,$Z93:$AA93)+1))/(LOG(MAX($AA93,$C93:$F93)+1)-LOG(MIN($C93:$F93,$Z93:$AA93)+1)),"")</f>
        <v/>
      </c>
      <c r="X93" s="101" t="str">
        <f>IF(COLUMN()-COLUMN($U$55)+1&lt;=$Y92,(LOG(F93+1)-LOG(MIN($C93:$F93,$Z93:$AA93)+1))/(LOG(MAX($AA93,$C93:$F93)+1)-LOG(MIN($C93:$F93,$Z93:$AA93)+1)),"")</f>
        <v/>
      </c>
      <c r="Y93" s="99">
        <f t="shared" si="5"/>
        <v>1</v>
      </c>
      <c r="Z93" s="99">
        <v>0</v>
      </c>
      <c r="AA93" s="99">
        <v>2000</v>
      </c>
      <c r="AB93" s="723" t="s">
        <v>2186</v>
      </c>
      <c r="AC93" s="159" t="s">
        <v>2198</v>
      </c>
      <c r="AD93" s="101">
        <f t="shared" ca="1" si="6"/>
        <v>0.90887897722276756</v>
      </c>
      <c r="AE93" s="379" t="b">
        <f t="shared" ca="1" si="23"/>
        <v>0</v>
      </c>
      <c r="AF93" s="159" t="s">
        <v>2270</v>
      </c>
      <c r="AG93" s="783">
        <f>COUNTIF('VA Detailed Scorecard Config'!D:D,AF93)</f>
        <v>2</v>
      </c>
      <c r="AH93" s="99"/>
    </row>
    <row r="94" spans="2:34" ht="13.5" customHeight="1">
      <c r="B94" s="328" t="s">
        <v>1700</v>
      </c>
      <c r="C94" s="324">
        <f t="shared" ca="1" si="18"/>
        <v>0.56999999999999995</v>
      </c>
      <c r="G94" s="324" t="str">
        <f t="shared" ca="1" si="19"/>
        <v/>
      </c>
      <c r="K94" s="99" t="str">
        <f t="shared" ca="1" si="20"/>
        <v>Average of individuals linked to org; Numerical (Larger is better, log scale)</v>
      </c>
      <c r="L94" s="99" t="b">
        <f t="shared" ca="1" si="21"/>
        <v>1</v>
      </c>
      <c r="M94" s="99"/>
      <c r="N94" s="99"/>
      <c r="O94" s="99"/>
      <c r="P94" s="99" t="b">
        <f t="shared" ca="1" si="22"/>
        <v>1</v>
      </c>
      <c r="S94" s="137"/>
      <c r="T94" s="99" t="str">
        <f ca="1">IF(NOT(ISERROR(MATCH(K94,'Lookup Tables'!A:A,0))),"Lookup",IF(OR(NOT(ISERROR(FIND("Numeric",K94))),NOT(ISERROR(FIND("Percentage",K94))),NOT(ISERROR(FIND("Date",K94)))),"Numeric",IF(NOT(ISERROR(FIND("lank",K94))),"Non-blank",IF(NOT(ISERROR(FIND("Not evaluated",K94))),"Skipped","Other"))))</f>
        <v>Numeric</v>
      </c>
      <c r="U94" s="101">
        <f ca="1">IF(COLUMN()-COLUMN($U$55)+1&lt;=$Y93,C94,"")</f>
        <v>0.56999999999999995</v>
      </c>
      <c r="V94" s="101" t="str">
        <f>IF(COLUMN()-COLUMN($U$55)+1&lt;=$Y93,D94,"")</f>
        <v/>
      </c>
      <c r="W94" s="101" t="str">
        <f>IF(COLUMN()-COLUMN($U$55)+1&lt;=$Y93,E94,"")</f>
        <v/>
      </c>
      <c r="X94" s="101" t="str">
        <f>IF(COLUMN()-COLUMN($U$55)+1&lt;=$Y93,F94,"")</f>
        <v/>
      </c>
      <c r="Y94" s="99">
        <f t="shared" si="5"/>
        <v>1</v>
      </c>
      <c r="Z94" s="99"/>
      <c r="AA94" s="99"/>
      <c r="AB94" s="723" t="s">
        <v>2187</v>
      </c>
      <c r="AC94" s="159" t="s">
        <v>2198</v>
      </c>
      <c r="AD94" s="101">
        <f t="shared" ca="1" si="6"/>
        <v>0.56999999999999995</v>
      </c>
      <c r="AE94" s="379" t="b">
        <f t="shared" ca="1" si="23"/>
        <v>0</v>
      </c>
      <c r="AF94" s="159" t="s">
        <v>2271</v>
      </c>
      <c r="AG94" s="783">
        <f>COUNTIF('VA Detailed Scorecard Config'!D:D,AF94)</f>
        <v>0</v>
      </c>
      <c r="AH94" s="99"/>
    </row>
    <row r="95" spans="2:34" ht="13.5" customHeight="1">
      <c r="B95" s="328" t="s">
        <v>1701</v>
      </c>
      <c r="C95" s="324">
        <f t="shared" ca="1" si="18"/>
        <v>0.72</v>
      </c>
      <c r="G95" s="324" t="str">
        <f t="shared" ca="1" si="19"/>
        <v/>
      </c>
      <c r="K95" s="99" t="str">
        <f t="shared" ca="1" si="20"/>
        <v>Average of individuals linked to org; Numerical (Larger is better, log scale)</v>
      </c>
      <c r="L95" s="99" t="b">
        <f t="shared" ca="1" si="21"/>
        <v>1</v>
      </c>
      <c r="M95" s="99"/>
      <c r="N95" s="99"/>
      <c r="O95" s="99"/>
      <c r="P95" s="99" t="b">
        <f t="shared" ca="1" si="22"/>
        <v>1</v>
      </c>
      <c r="S95" s="137"/>
      <c r="T95" s="99" t="str">
        <f ca="1">IF(NOT(ISERROR(MATCH(K95,'Lookup Tables'!A:A,0))),"Lookup",IF(OR(NOT(ISERROR(FIND("Numeric",K95))),NOT(ISERROR(FIND("Percentage",K95))),NOT(ISERROR(FIND("Date",K95)))),"Numeric",IF(NOT(ISERROR(FIND("lank",K95))),"Non-blank",IF(NOT(ISERROR(FIND("Not evaluated",K95))),"Skipped","Other"))))</f>
        <v>Numeric</v>
      </c>
      <c r="U95" s="101">
        <f ca="1">IF(COLUMN()-COLUMN($U$55)+1&lt;=$Y94,C95,"")</f>
        <v>0.72</v>
      </c>
      <c r="V95" s="101" t="str">
        <f>IF(COLUMN()-COLUMN($U$55)+1&lt;=$Y94,D95,"")</f>
        <v/>
      </c>
      <c r="W95" s="101" t="str">
        <f>IF(COLUMN()-COLUMN($U$55)+1&lt;=$Y94,E95,"")</f>
        <v/>
      </c>
      <c r="X95" s="101" t="str">
        <f>IF(COLUMN()-COLUMN($U$55)+1&lt;=$Y94,F95,"")</f>
        <v/>
      </c>
      <c r="Y95" s="99">
        <f t="shared" si="5"/>
        <v>1</v>
      </c>
      <c r="Z95" s="99"/>
      <c r="AA95" s="99"/>
      <c r="AB95" s="723" t="s">
        <v>2187</v>
      </c>
      <c r="AC95" s="159" t="s">
        <v>2198</v>
      </c>
      <c r="AD95" s="101">
        <f t="shared" ca="1" si="6"/>
        <v>0.72</v>
      </c>
      <c r="AE95" s="379" t="b">
        <f t="shared" ca="1" si="23"/>
        <v>0</v>
      </c>
      <c r="AF95" s="159" t="s">
        <v>2272</v>
      </c>
      <c r="AG95" s="783">
        <f>COUNTIF('VA Detailed Scorecard Config'!D:D,AF95)</f>
        <v>0</v>
      </c>
      <c r="AH95" s="99"/>
    </row>
    <row r="96" spans="2:34" ht="13.5" customHeight="1">
      <c r="B96" s="328" t="s">
        <v>1704</v>
      </c>
      <c r="C96" s="324">
        <f t="shared" ca="1" si="18"/>
        <v>5</v>
      </c>
      <c r="G96" s="324" t="str">
        <f t="shared" ca="1" si="19"/>
        <v/>
      </c>
      <c r="K96" s="99" t="str">
        <f t="shared" ca="1" si="20"/>
        <v>Numerical (Larger is better, log scale)</v>
      </c>
      <c r="L96" s="99" t="b">
        <f t="shared" ca="1" si="21"/>
        <v>1</v>
      </c>
      <c r="M96" s="99"/>
      <c r="N96" s="99"/>
      <c r="O96" s="99"/>
      <c r="P96" s="99" t="b">
        <f t="shared" ca="1" si="22"/>
        <v>1</v>
      </c>
      <c r="S96" s="137"/>
      <c r="T96" s="99" t="str">
        <f ca="1">IF(NOT(ISERROR(MATCH(K96,'Lookup Tables'!A:A,0))),"Lookup",IF(OR(NOT(ISERROR(FIND("Numeric",K96))),NOT(ISERROR(FIND("Percentage",K96))),NOT(ISERROR(FIND("Date",K96)))),"Numeric",IF(NOT(ISERROR(FIND("lank",K96))),"Non-blank",IF(NOT(ISERROR(FIND("Not evaluated",K96))),"Skipped","Other"))))</f>
        <v>Numeric</v>
      </c>
      <c r="U96" s="101">
        <f ca="1">IF(COLUMN()-COLUMN($U$55)+1&lt;=$Y95,(LOG(C96+1)-LOG(MIN($C96:$F96,$Z96:$AA96)+1))/(LOG(MAX($AA96,$C96:$F96)+1)-LOG(MIN($C96:$F96,$Z96:$AA96)+1)),"")</f>
        <v>0.23571433143015907</v>
      </c>
      <c r="V96" s="101" t="str">
        <f>IF(COLUMN()-COLUMN($U$55)+1&lt;=$Y95,(LOG(D96+1)-LOG(MIN($C96:$F96,$Z96:$AA96)+1))/(LOG(MAX($AA96,$C96:$F96)+1)-LOG(MIN($C96:$F96,$Z96:$AA96)+1)),"")</f>
        <v/>
      </c>
      <c r="W96" s="101" t="str">
        <f>IF(COLUMN()-COLUMN($U$55)+1&lt;=$Y95,(LOG(E96+1)-LOG(MIN($C96:$F96,$Z96:$AA96)+1))/(LOG(MAX($AA96,$C96:$F96)+1)-LOG(MIN($C96:$F96,$Z96:$AA96)+1)),"")</f>
        <v/>
      </c>
      <c r="X96" s="101" t="str">
        <f>IF(COLUMN()-COLUMN($U$55)+1&lt;=$Y95,(LOG(F96+1)-LOG(MIN($C96:$F96,$Z96:$AA96)+1))/(LOG(MAX($AA96,$C96:$F96)+1)-LOG(MIN($C96:$F96,$Z96:$AA96)+1)),"")</f>
        <v/>
      </c>
      <c r="Y96" s="99">
        <f t="shared" si="5"/>
        <v>1</v>
      </c>
      <c r="Z96" s="99">
        <v>0</v>
      </c>
      <c r="AA96" s="99">
        <v>2000</v>
      </c>
      <c r="AB96" s="723" t="s">
        <v>2186</v>
      </c>
      <c r="AC96" s="159" t="s">
        <v>2198</v>
      </c>
      <c r="AD96" s="101">
        <f t="shared" ca="1" si="6"/>
        <v>0.23571433143015907</v>
      </c>
      <c r="AE96" s="379" t="b">
        <f t="shared" ca="1" si="23"/>
        <v>0</v>
      </c>
      <c r="AF96" s="159" t="s">
        <v>2273</v>
      </c>
      <c r="AG96" s="783">
        <f>COUNTIF('VA Detailed Scorecard Config'!D:D,AF96)</f>
        <v>0</v>
      </c>
      <c r="AH96" s="99"/>
    </row>
    <row r="97" spans="2:34" ht="13.5" customHeight="1">
      <c r="B97" s="328" t="s">
        <v>1703</v>
      </c>
      <c r="C97" s="324">
        <f t="shared" ca="1" si="18"/>
        <v>0.6</v>
      </c>
      <c r="G97" s="324" t="str">
        <f t="shared" ca="1" si="19"/>
        <v/>
      </c>
      <c r="K97" s="99" t="str">
        <f t="shared" ca="1" si="20"/>
        <v>Percentage, larger is better</v>
      </c>
      <c r="L97" s="99" t="b">
        <f t="shared" ca="1" si="21"/>
        <v>1</v>
      </c>
      <c r="M97" s="99"/>
      <c r="N97" s="99"/>
      <c r="O97" s="99"/>
      <c r="P97" s="99" t="b">
        <f t="shared" ca="1" si="22"/>
        <v>1</v>
      </c>
      <c r="S97" s="137"/>
      <c r="T97" s="99" t="str">
        <f ca="1">IF(NOT(ISERROR(MATCH(K97,'Lookup Tables'!A:A,0))),"Lookup",IF(OR(NOT(ISERROR(FIND("Numeric",K97))),NOT(ISERROR(FIND("Percentage",K97))),NOT(ISERROR(FIND("Date",K97)))),"Numeric",IF(NOT(ISERROR(FIND("lank",K97))),"Non-blank",IF(NOT(ISERROR(FIND("Not evaluated",K97))),"Skipped","Other"))))</f>
        <v>Numeric</v>
      </c>
      <c r="U97" s="101">
        <f ca="1">IF(COLUMN()-COLUMN($U$55)+1&lt;=$Y96,C97,"")</f>
        <v>0.6</v>
      </c>
      <c r="V97" s="101" t="str">
        <f>IF(COLUMN()-COLUMN($U$55)+1&lt;=$Y96,D97,"")</f>
        <v/>
      </c>
      <c r="W97" s="101" t="str">
        <f>IF(COLUMN()-COLUMN($U$55)+1&lt;=$Y96,E97,"")</f>
        <v/>
      </c>
      <c r="X97" s="101" t="str">
        <f>IF(COLUMN()-COLUMN($U$55)+1&lt;=$Y96,F97,"")</f>
        <v/>
      </c>
      <c r="Y97" s="99">
        <f t="shared" si="5"/>
        <v>1</v>
      </c>
      <c r="Z97" s="99"/>
      <c r="AA97" s="99"/>
      <c r="AB97" s="723" t="s">
        <v>2187</v>
      </c>
      <c r="AC97" s="159" t="s">
        <v>2198</v>
      </c>
      <c r="AD97" s="101">
        <f t="shared" ca="1" si="6"/>
        <v>0.6</v>
      </c>
      <c r="AE97" s="379" t="b">
        <f t="shared" ca="1" si="23"/>
        <v>0</v>
      </c>
      <c r="AF97" s="159" t="s">
        <v>2274</v>
      </c>
      <c r="AG97" s="783">
        <f>COUNTIF('VA Detailed Scorecard Config'!D:D,AF97)</f>
        <v>2</v>
      </c>
      <c r="AH97" s="99"/>
    </row>
    <row r="98" spans="2:34" ht="13.5" customHeight="1">
      <c r="B98" s="328" t="s">
        <v>1702</v>
      </c>
      <c r="C98" s="324">
        <f t="shared" ca="1" si="18"/>
        <v>0.2</v>
      </c>
      <c r="G98" s="324" t="str">
        <f t="shared" ca="1" si="19"/>
        <v/>
      </c>
      <c r="K98" s="99" t="str">
        <f t="shared" ca="1" si="20"/>
        <v>Percentage, smaller is better</v>
      </c>
      <c r="L98" s="99" t="b">
        <f t="shared" ca="1" si="21"/>
        <v>1</v>
      </c>
      <c r="M98" s="99"/>
      <c r="N98" s="99"/>
      <c r="O98" s="99"/>
      <c r="P98" s="99" t="b">
        <f t="shared" ca="1" si="22"/>
        <v>1</v>
      </c>
      <c r="S98" s="137"/>
      <c r="T98" s="99" t="str">
        <f ca="1">IF(NOT(ISERROR(MATCH(K98,'Lookup Tables'!A:A,0))),"Lookup",IF(OR(NOT(ISERROR(FIND("Numeric",K98))),NOT(ISERROR(FIND("Percentage",K98))),NOT(ISERROR(FIND("Date",K98)))),"Numeric",IF(NOT(ISERROR(FIND("lank",K98))),"Non-blank",IF(NOT(ISERROR(FIND("Not evaluated",K98))),"Skipped","Other"))))</f>
        <v>Numeric</v>
      </c>
      <c r="U98" s="101">
        <f ca="1">IF(COLUMN()-COLUMN($U$55)+1&lt;=$Y97,1-C98,"")</f>
        <v>0.8</v>
      </c>
      <c r="V98" s="101" t="str">
        <f>IF(COLUMN()-COLUMN($U$55)+1&lt;=$Y97,1-D98,"")</f>
        <v/>
      </c>
      <c r="W98" s="101" t="str">
        <f>IF(COLUMN()-COLUMN($U$55)+1&lt;=$Y97,1-E98,"")</f>
        <v/>
      </c>
      <c r="X98" s="101" t="str">
        <f>IF(COLUMN()-COLUMN($U$55)+1&lt;=$Y97,1-F98,"")</f>
        <v/>
      </c>
      <c r="Y98" s="99">
        <f t="shared" si="5"/>
        <v>1</v>
      </c>
      <c r="Z98" s="99"/>
      <c r="AA98" s="99"/>
      <c r="AB98" s="723" t="s">
        <v>2188</v>
      </c>
      <c r="AC98" s="159" t="s">
        <v>2198</v>
      </c>
      <c r="AD98" s="101">
        <f t="shared" ca="1" si="6"/>
        <v>0.8</v>
      </c>
      <c r="AE98" s="379" t="b">
        <f t="shared" ca="1" si="23"/>
        <v>0</v>
      </c>
      <c r="AF98" s="159" t="s">
        <v>2276</v>
      </c>
      <c r="AG98" s="783">
        <f>COUNTIF('VA Detailed Scorecard Config'!D:D,AF98)</f>
        <v>2</v>
      </c>
      <c r="AH98" s="99"/>
    </row>
    <row r="99" spans="2:34" ht="13.5" customHeight="1">
      <c r="B99" s="328" t="s">
        <v>1705</v>
      </c>
      <c r="C99" s="324">
        <f t="shared" ca="1" si="18"/>
        <v>0</v>
      </c>
      <c r="G99" s="324" t="str">
        <f t="shared" ca="1" si="19"/>
        <v/>
      </c>
      <c r="K99" s="99" t="str">
        <f t="shared" ca="1" si="20"/>
        <v>Percentage, smaller is better</v>
      </c>
      <c r="L99" s="99" t="b">
        <f t="shared" ca="1" si="21"/>
        <v>1</v>
      </c>
      <c r="M99" s="99"/>
      <c r="N99" s="99"/>
      <c r="O99" s="99"/>
      <c r="P99" s="99" t="b">
        <f t="shared" ca="1" si="22"/>
        <v>1</v>
      </c>
      <c r="S99" s="137"/>
      <c r="T99" s="99" t="str">
        <f ca="1">IF(NOT(ISERROR(MATCH(K99,'Lookup Tables'!A:A,0))),"Lookup",IF(OR(NOT(ISERROR(FIND("Numeric",K99))),NOT(ISERROR(FIND("Percentage",K99))),NOT(ISERROR(FIND("Date",K99)))),"Numeric",IF(NOT(ISERROR(FIND("lank",K99))),"Non-blank",IF(NOT(ISERROR(FIND("Not evaluated",K99))),"Skipped","Other"))))</f>
        <v>Numeric</v>
      </c>
      <c r="U99" s="101">
        <f ca="1">IF(COLUMN()-COLUMN($U$55)+1&lt;=$Y98,1-C99,"")</f>
        <v>1</v>
      </c>
      <c r="V99" s="101" t="str">
        <f>IF(COLUMN()-COLUMN($U$55)+1&lt;=$Y98,1-D99,"")</f>
        <v/>
      </c>
      <c r="W99" s="101" t="str">
        <f>IF(COLUMN()-COLUMN($U$55)+1&lt;=$Y98,1-E99,"")</f>
        <v/>
      </c>
      <c r="X99" s="101" t="str">
        <f>IF(COLUMN()-COLUMN($U$55)+1&lt;=$Y98,1-F99,"")</f>
        <v/>
      </c>
      <c r="Y99" s="99">
        <f t="shared" si="5"/>
        <v>1</v>
      </c>
      <c r="Z99" s="99"/>
      <c r="AA99" s="99"/>
      <c r="AB99" s="723" t="s">
        <v>2188</v>
      </c>
      <c r="AC99" s="159" t="s">
        <v>2198</v>
      </c>
      <c r="AD99" s="101">
        <f t="shared" ca="1" si="6"/>
        <v>1</v>
      </c>
      <c r="AE99" s="379" t="b">
        <f t="shared" ca="1" si="23"/>
        <v>0</v>
      </c>
      <c r="AF99" s="159" t="s">
        <v>2275</v>
      </c>
      <c r="AG99" s="783">
        <f>COUNTIF('VA Detailed Scorecard Config'!D:D,AF99)</f>
        <v>2</v>
      </c>
      <c r="AH99" s="99"/>
    </row>
    <row r="100" spans="2:34" ht="13.5" customHeight="1">
      <c r="AC100" s="102"/>
    </row>
    <row r="101" spans="2:34" ht="13.5" customHeight="1">
      <c r="B101" s="707" t="s">
        <v>1987</v>
      </c>
      <c r="C101" s="708"/>
      <c r="D101" s="708"/>
      <c r="E101" s="708"/>
      <c r="F101" s="708"/>
      <c r="G101" s="708"/>
      <c r="H101" s="708"/>
      <c r="I101" s="708"/>
      <c r="J101" s="708"/>
      <c r="K101" s="708"/>
      <c r="L101" s="708"/>
      <c r="M101" s="708"/>
      <c r="N101" s="708"/>
      <c r="O101" s="709"/>
      <c r="P101" s="583" t="s">
        <v>1981</v>
      </c>
      <c r="Q101" s="583"/>
      <c r="R101" s="583"/>
      <c r="S101" s="583"/>
      <c r="T101" s="578" t="s">
        <v>2169</v>
      </c>
      <c r="U101" s="578" t="s">
        <v>2174</v>
      </c>
      <c r="V101" s="578"/>
      <c r="W101" s="578"/>
      <c r="X101" s="578"/>
      <c r="Y101" s="580" t="s">
        <v>2181</v>
      </c>
      <c r="Z101" s="582" t="s">
        <v>2182</v>
      </c>
      <c r="AA101" s="582"/>
      <c r="AB101" s="582"/>
      <c r="AC101" s="581" t="s">
        <v>2197</v>
      </c>
      <c r="AD101" s="581" t="s">
        <v>2225</v>
      </c>
      <c r="AE101" s="581" t="s">
        <v>2226</v>
      </c>
      <c r="AF101" s="767" t="s">
        <v>2246</v>
      </c>
      <c r="AG101" s="764" t="s">
        <v>2278</v>
      </c>
      <c r="AH101" s="767" t="s">
        <v>2277</v>
      </c>
    </row>
    <row r="102" spans="2:34" ht="13.5" customHeight="1">
      <c r="B102" s="421" t="s">
        <v>4</v>
      </c>
      <c r="C102" s="408" t="s">
        <v>1989</v>
      </c>
      <c r="D102" s="408" t="s">
        <v>1990</v>
      </c>
      <c r="E102" s="176"/>
      <c r="F102" s="176"/>
      <c r="G102" s="408" t="s">
        <v>1991</v>
      </c>
      <c r="H102" s="408" t="s">
        <v>1992</v>
      </c>
      <c r="I102" s="176"/>
      <c r="J102" s="176"/>
      <c r="K102" s="410" t="s">
        <v>1988</v>
      </c>
      <c r="L102" s="410" t="s">
        <v>2219</v>
      </c>
      <c r="M102" s="699" t="s">
        <v>2220</v>
      </c>
      <c r="N102" s="699" t="s">
        <v>2221</v>
      </c>
      <c r="O102" s="699" t="s">
        <v>2222</v>
      </c>
      <c r="P102" s="409" t="s">
        <v>1993</v>
      </c>
      <c r="Q102" s="409" t="s">
        <v>1994</v>
      </c>
      <c r="R102" s="409" t="s">
        <v>1995</v>
      </c>
      <c r="S102" s="409" t="s">
        <v>1996</v>
      </c>
      <c r="T102" s="579"/>
      <c r="U102" s="190" t="s">
        <v>1993</v>
      </c>
      <c r="V102" s="190" t="s">
        <v>1994</v>
      </c>
      <c r="W102" s="190" t="s">
        <v>1995</v>
      </c>
      <c r="X102" s="190" t="s">
        <v>1996</v>
      </c>
      <c r="Y102" s="581"/>
      <c r="Z102" s="381" t="s">
        <v>2183</v>
      </c>
      <c r="AA102" s="381" t="s">
        <v>2184</v>
      </c>
      <c r="AB102" s="381" t="s">
        <v>2185</v>
      </c>
      <c r="AC102" s="769"/>
      <c r="AD102" s="769"/>
      <c r="AE102" s="769"/>
      <c r="AF102" s="768"/>
      <c r="AG102" s="766"/>
      <c r="AH102" s="768"/>
    </row>
    <row r="103" spans="2:34" ht="13.5" customHeight="1">
      <c r="B103" s="335" t="s">
        <v>1439</v>
      </c>
      <c r="C103" s="161" t="str">
        <f t="shared" ref="C103:D121" ca="1" si="24">IF(INDIRECT(C$8&amp;"!C"&amp;ROW()-ROW($C$103)+4)="","",INDIRECT(C$8&amp;"!C"&amp;ROW()-ROW($C$103)+4))</f>
        <v>MickeyMouse</v>
      </c>
      <c r="D103" s="161" t="str">
        <f t="shared" ca="1" si="24"/>
        <v>DonaldDuck</v>
      </c>
      <c r="E103" s="137"/>
      <c r="F103" s="137"/>
      <c r="G103" s="161" t="str">
        <f ca="1">IF(INDIRECT(C$8&amp;"!D"&amp;ROW()-ROW($C$103)+4)="","",INDIRECT(C$8&amp;"!D"&amp;ROW()-ROW($C$103)+4))</f>
        <v/>
      </c>
      <c r="H103" s="161" t="str">
        <f ca="1">IF(INDIRECT(D$8&amp;"!D"&amp;ROW()-ROW($C$103)+4)="","",INDIRECT(D$8&amp;"!D"&amp;ROW()-ROW($C$103)+4))</f>
        <v/>
      </c>
      <c r="I103" s="137"/>
      <c r="J103" s="137"/>
      <c r="K103" s="99" t="str">
        <f ca="1">IF(INDIRECT(C$8&amp;"!E"&amp;ROW()-ROW($C$103)+4)="","",INDIRECT(C$8&amp;"!E"&amp;ROW()-ROW($C$103)+4))</f>
        <v>Not evaluated</v>
      </c>
      <c r="L103" s="99" t="b">
        <f ca="1">IF(INDIRECT(C$8&amp;"!F"&amp;ROW()-ROW($C$103)+4)="","",INDIRECT(C$8&amp;"!F"&amp;ROW()-ROW($C$103)+4))</f>
        <v>1</v>
      </c>
      <c r="M103" s="99"/>
      <c r="N103" s="99"/>
      <c r="O103" s="99"/>
      <c r="P103" s="99" t="b">
        <f t="shared" ref="P103:P121" ca="1" si="25">INDIRECT(C$8&amp;"!B"&amp;ROW()-ROW($P$103)+4)=$B103</f>
        <v>1</v>
      </c>
      <c r="Q103" s="99" t="b">
        <f ca="1">INDIRECT(C$8&amp;"!B"&amp;ROW()-ROW($P$103)+4)=$B103</f>
        <v>1</v>
      </c>
      <c r="T103" s="37" t="str">
        <f ca="1">IF(NOT(ISERROR(MATCH(K103,'Lookup Tables'!A:A,0))),"Lookup",IF(OR(NOT(ISERROR(FIND("Numeric",K103))),NOT(ISERROR(FIND("Percentage",K103))),NOT(ISERROR(FIND("Date",K103)))),"Numeric",IF(NOT(ISERROR(FIND("lank",K103))),"Non-blank",IF(NOT(ISERROR(FIND("Not evaluated",K103))),"Skipped","Other"))))</f>
        <v>Skipped</v>
      </c>
      <c r="X103" s="137"/>
      <c r="Y103" s="99">
        <f>COUNTA($C$8:$F$8)</f>
        <v>2</v>
      </c>
      <c r="Z103" s="99"/>
      <c r="AA103" s="99"/>
      <c r="AB103" s="379"/>
      <c r="AC103" s="159"/>
      <c r="AD103" s="99"/>
      <c r="AE103" s="99"/>
      <c r="AF103" s="99"/>
      <c r="AG103" s="248"/>
      <c r="AH103" s="99"/>
    </row>
    <row r="104" spans="2:34" ht="13.5" customHeight="1">
      <c r="B104" s="327" t="s">
        <v>1438</v>
      </c>
      <c r="C104" s="99" t="str">
        <f t="shared" ca="1" si="24"/>
        <v>Yes</v>
      </c>
      <c r="D104" s="99" t="str">
        <f t="shared" ca="1" si="24"/>
        <v>Yes</v>
      </c>
      <c r="G104" s="99" t="str">
        <f t="shared" ref="G104:H121" ca="1" si="26">IF(INDIRECT(C$8&amp;"!D"&amp;ROW()-ROW($C$103)+4)="","",INDIRECT(C$8&amp;"!D"&amp;ROW()-ROW($C$103)+4))</f>
        <v/>
      </c>
      <c r="H104" s="99" t="str">
        <f t="shared" ca="1" si="26"/>
        <v/>
      </c>
      <c r="K104" s="99" t="str">
        <f t="shared" ref="K104:K121" ca="1" si="27">IF(INDIRECT(C$8&amp;"!E"&amp;ROW()-ROW($C$103)+4)="","",INDIRECT(C$8&amp;"!E"&amp;ROW()-ROW($C$103)+4))</f>
        <v>YES_No</v>
      </c>
      <c r="L104" s="99" t="b">
        <f t="shared" ref="L104:L121" ca="1" si="28">IF(INDIRECT(C$8&amp;"!F"&amp;ROW()-ROW($C$103)+4)="","",INDIRECT(C$8&amp;"!F"&amp;ROW()-ROW($C$103)+4))</f>
        <v>1</v>
      </c>
      <c r="M104" s="99"/>
      <c r="N104" s="99"/>
      <c r="O104" s="99"/>
      <c r="P104" s="99" t="b">
        <f t="shared" ca="1" si="25"/>
        <v>1</v>
      </c>
      <c r="Q104" s="99" t="b">
        <f t="shared" ref="Q104:Q121" ca="1" si="29">INDIRECT(D$8&amp;"!B"&amp;ROW()-ROW($P$103)+4)=$B104</f>
        <v>1</v>
      </c>
      <c r="T104" s="37" t="str">
        <f ca="1">IF(NOT(ISERROR(MATCH(K104,'Lookup Tables'!A:A,0))),"Lookup",IF(OR(NOT(ISERROR(FIND("Numeric",K104))),NOT(ISERROR(FIND("Percentage",K104))),NOT(ISERROR(FIND("Date",K104)))),"Numeric",IF(NOT(ISERROR(FIND("lank",K104))),"Non-blank",IF(NOT(ISERROR(FIND("Not evaluated",K104))),"Skipped","Other"))))</f>
        <v>Lookup</v>
      </c>
      <c r="U104" s="461">
        <f ca="1">IF(COLUMN()-COLUMN($U$55)+1&lt;=$Y104,INDEX(OFFSET(INDIRECT($K104),0,1),MATCH(C104,INDIRECT($K104),0)),"")</f>
        <v>1</v>
      </c>
      <c r="V104" s="461">
        <f ca="1">IF(COLUMN()-COLUMN($U$55)+1&lt;=$Y104,INDEX(OFFSET(INDIRECT($K104),0,1),MATCH(D104,INDIRECT($K104),0)),"")</f>
        <v>1</v>
      </c>
      <c r="W104" s="461" t="str">
        <f ca="1">IF(COLUMN()-COLUMN($U$55)+1&lt;=$Y104,INDEX(OFFSET(INDIRECT($K104),0,1),MATCH(E104,INDIRECT($K104),0)),"")</f>
        <v/>
      </c>
      <c r="X104" s="465" t="str">
        <f ca="1">IF(COLUMN()-COLUMN($U$55)+1&lt;=$Y104,INDEX(OFFSET(INDIRECT($K104),0,1),MATCH(F104,INDIRECT($K104),0)),"")</f>
        <v/>
      </c>
      <c r="Y104" s="99">
        <f t="shared" ref="Y104:Y124" si="30">COUNTA($C$8:$F$8)</f>
        <v>2</v>
      </c>
      <c r="Z104" s="99"/>
      <c r="AA104" s="99"/>
      <c r="AB104" s="379"/>
      <c r="AC104" s="159" t="s">
        <v>2199</v>
      </c>
      <c r="AD104" s="107">
        <f ca="1">IFERROR(SUMPRODUCT(U104:X104,$U$124:$X$124)/SUM($U$124:$X$124),AVERAGE(U104:X104))</f>
        <v>1</v>
      </c>
      <c r="AE104" s="99" t="b">
        <f t="shared" ref="AE104:AE121" ca="1" si="31">IF(AD104="","",NOT(L104))</f>
        <v>0</v>
      </c>
      <c r="AF104" s="159" t="s">
        <v>2283</v>
      </c>
      <c r="AG104" s="783">
        <f>COUNTIF('VA Detailed Scorecard Config'!D:D,AF104)</f>
        <v>0</v>
      </c>
      <c r="AH104" s="159" t="s">
        <v>2284</v>
      </c>
    </row>
    <row r="105" spans="2:34" ht="13.5" customHeight="1">
      <c r="B105" s="327" t="s">
        <v>1539</v>
      </c>
      <c r="C105" s="99" t="str">
        <f t="shared" ca="1" si="24"/>
        <v/>
      </c>
      <c r="D105" s="99" t="str">
        <f t="shared" ca="1" si="24"/>
        <v/>
      </c>
      <c r="G105" s="99" t="str">
        <f t="shared" ca="1" si="26"/>
        <v/>
      </c>
      <c r="H105" s="99" t="str">
        <f t="shared" ca="1" si="26"/>
        <v/>
      </c>
      <c r="K105" s="99" t="str">
        <f t="shared" ca="1" si="27"/>
        <v>Non-blank is better</v>
      </c>
      <c r="L105" s="99" t="b">
        <f t="shared" ca="1" si="28"/>
        <v>0</v>
      </c>
      <c r="M105" s="99"/>
      <c r="N105" s="99"/>
      <c r="O105" s="99"/>
      <c r="P105" s="99" t="b">
        <f t="shared" ca="1" si="25"/>
        <v>1</v>
      </c>
      <c r="Q105" s="99" t="b">
        <f t="shared" ca="1" si="29"/>
        <v>1</v>
      </c>
      <c r="T105" s="99" t="str">
        <f ca="1">IF(NOT(ISERROR(MATCH(K105,'Lookup Tables'!A:A,0))),"Lookup",IF(OR(NOT(ISERROR(FIND("Numeric",K105))),NOT(ISERROR(FIND("Percentage",K105))),NOT(ISERROR(FIND("Date",K105)))),"Numeric",IF(NOT(ISERROR(FIND("lank",K105))),"Non-blank",IF(NOT(ISERROR(FIND("Not evaluated",K105))),"Skipped","Other"))))</f>
        <v>Non-blank</v>
      </c>
      <c r="U105" s="461">
        <f ca="1">IF(COLUMN()-COLUMN($U$55)+1&lt;=$Y105,IF(C105="",0,1),"")</f>
        <v>0</v>
      </c>
      <c r="V105" s="461">
        <f ca="1">IF(COLUMN()-COLUMN($U$55)+1&lt;=$Y105,IF(D105="",0,1),"")</f>
        <v>0</v>
      </c>
      <c r="W105" s="461" t="str">
        <f>IF(COLUMN()-COLUMN($U$55)+1&lt;=$Y105,IF(E105="",0,1),"")</f>
        <v/>
      </c>
      <c r="X105" s="465" t="str">
        <f>IF(COLUMN()-COLUMN($U$55)+1&lt;=$Y105,IF(F105="",0,1),"")</f>
        <v/>
      </c>
      <c r="Y105" s="99">
        <f t="shared" si="30"/>
        <v>2</v>
      </c>
      <c r="Z105" s="99"/>
      <c r="AA105" s="99"/>
      <c r="AB105" s="379"/>
      <c r="AC105" s="159" t="s">
        <v>2199</v>
      </c>
      <c r="AD105" s="107">
        <f t="shared" ref="AD105:AD109" ca="1" si="32">IFERROR(SUMPRODUCT(U105:X105,$U$124:$X$124)/SUM($U$124:$X$124),AVERAGE(U105:X105))</f>
        <v>0</v>
      </c>
      <c r="AE105" s="99" t="b">
        <f t="shared" ca="1" si="31"/>
        <v>1</v>
      </c>
      <c r="AF105" s="159" t="s">
        <v>2285</v>
      </c>
      <c r="AG105" s="783">
        <f>COUNTIF('VA Detailed Scorecard Config'!D:D,AF105)</f>
        <v>0</v>
      </c>
      <c r="AH105" s="107"/>
    </row>
    <row r="106" spans="2:34" ht="13.5" customHeight="1">
      <c r="B106" s="327" t="s">
        <v>1884</v>
      </c>
      <c r="C106" s="459">
        <f t="shared" ca="1" si="24"/>
        <v>44957</v>
      </c>
      <c r="D106" s="459">
        <f t="shared" ca="1" si="24"/>
        <v>44957</v>
      </c>
      <c r="G106" s="99" t="str">
        <f t="shared" ca="1" si="26"/>
        <v/>
      </c>
      <c r="H106" s="99" t="str">
        <f t="shared" ca="1" si="26"/>
        <v/>
      </c>
      <c r="K106" s="99" t="str">
        <f t="shared" ca="1" si="27"/>
        <v>Date (later is better)</v>
      </c>
      <c r="L106" s="99" t="b">
        <f t="shared" ca="1" si="28"/>
        <v>1</v>
      </c>
      <c r="M106" s="99"/>
      <c r="N106" s="99"/>
      <c r="O106" s="99"/>
      <c r="P106" s="99" t="b">
        <f t="shared" ca="1" si="25"/>
        <v>1</v>
      </c>
      <c r="Q106" s="99" t="b">
        <f t="shared" ca="1" si="29"/>
        <v>1</v>
      </c>
      <c r="T106" s="99" t="str">
        <f ca="1">IF(NOT(ISERROR(MATCH(K106,'Lookup Tables'!A:A,0))),"Lookup",IF(OR(NOT(ISERROR(FIND("Numeric",K106))),NOT(ISERROR(FIND("Percentage",K106))),NOT(ISERROR(FIND("Date",K106)))),"Numeric",IF(NOT(ISERROR(FIND("lank",K106))),"Non-blank",IF(NOT(ISERROR(FIND("Not evaluated",K106))),"Skipped","Other"))))</f>
        <v>Numeric</v>
      </c>
      <c r="U106" s="101">
        <f ca="1">IF(COLUMN()-COLUMN($U$55)+1&lt;=$Y105,(LOG(C106+1)-LOG(MIN($C106:$F106,$Z106:$AA106)+1))/(LOG(MAX($AA106,$C106:$F106)+1)-LOG(MIN($C106:$F106,$Z106:$AA106)+1)),"")</f>
        <v>1</v>
      </c>
      <c r="V106" s="101">
        <f ca="1">IF(COLUMN()-COLUMN($U$55)+1&lt;=$Y105,(LOG(D106+1)-LOG(MIN($C106:$F106,$Z106:$AA106)+1))/(LOG(MAX($AA106,$C106:$F106)+1)-LOG(MIN($C106:$F106,$Z106:$AA106)+1)),"")</f>
        <v>1</v>
      </c>
      <c r="W106" s="101" t="str">
        <f>IF(COLUMN()-COLUMN($U$55)+1&lt;=$Y105,(LOG(E106+1)-LOG(MIN($C106:$F106,$Z106:$AA106)+1))/(LOG(MAX($AA106,$C106:$F106)+1)-LOG(MIN($C106:$F106,$Z106:$AA106)+1)),"")</f>
        <v/>
      </c>
      <c r="X106" s="466" t="str">
        <f>IF(COLUMN()-COLUMN($U$55)+1&lt;=$Y105,(LOG(F106+1)-LOG(MIN($C106:$F106,$Z106:$AA106)+1))/(LOG(MAX($AA106,$C106:$F106)+1)-LOG(MIN($C106:$F106,$Z106:$AA106)+1)),"")</f>
        <v/>
      </c>
      <c r="Y106" s="99">
        <f t="shared" si="30"/>
        <v>2</v>
      </c>
      <c r="Z106" s="459">
        <v>43831</v>
      </c>
      <c r="AA106" s="459">
        <f ca="1">TODAY()</f>
        <v>44957</v>
      </c>
      <c r="AB106" s="723" t="s">
        <v>2189</v>
      </c>
      <c r="AC106" s="159" t="s">
        <v>2199</v>
      </c>
      <c r="AD106" s="107">
        <f t="shared" ca="1" si="32"/>
        <v>1</v>
      </c>
      <c r="AE106" s="99" t="b">
        <f t="shared" ca="1" si="31"/>
        <v>0</v>
      </c>
      <c r="AF106" s="159" t="s">
        <v>2286</v>
      </c>
      <c r="AG106" s="783">
        <f>COUNTIF('VA Detailed Scorecard Config'!D:D,AF106)</f>
        <v>0</v>
      </c>
      <c r="AH106" s="107"/>
    </row>
    <row r="107" spans="2:34" ht="13.5" customHeight="1">
      <c r="B107" s="327" t="s">
        <v>1465</v>
      </c>
      <c r="C107" s="99" t="str">
        <f t="shared" ca="1" si="24"/>
        <v>Yes</v>
      </c>
      <c r="D107" s="99" t="str">
        <f t="shared" ca="1" si="24"/>
        <v>Yes</v>
      </c>
      <c r="G107" s="99" t="str">
        <f t="shared" ca="1" si="26"/>
        <v/>
      </c>
      <c r="H107" s="99" t="str">
        <f t="shared" ca="1" si="26"/>
        <v/>
      </c>
      <c r="K107" s="99" t="str">
        <f t="shared" ca="1" si="27"/>
        <v>YES_No</v>
      </c>
      <c r="L107" s="99" t="b">
        <f t="shared" ca="1" si="28"/>
        <v>1</v>
      </c>
      <c r="M107" s="99"/>
      <c r="N107" s="99"/>
      <c r="O107" s="99"/>
      <c r="P107" s="99" t="b">
        <f t="shared" ca="1" si="25"/>
        <v>1</v>
      </c>
      <c r="Q107" s="99" t="b">
        <f t="shared" ca="1" si="29"/>
        <v>1</v>
      </c>
      <c r="T107" s="37" t="str">
        <f ca="1">IF(NOT(ISERROR(MATCH(K107,'Lookup Tables'!A:A,0))),"Lookup",IF(OR(NOT(ISERROR(FIND("Numeric",K107))),NOT(ISERROR(FIND("Percentage",K107))),NOT(ISERROR(FIND("Date",K107)))),"Numeric",IF(NOT(ISERROR(FIND("lank",K107))),"Non-blank",IF(NOT(ISERROR(FIND("Not evaluated",K107))),"Skipped","Other"))))</f>
        <v>Lookup</v>
      </c>
      <c r="U107" s="461">
        <f ca="1">IF(COLUMN()-COLUMN($U$55)+1&lt;=$Y107,INDEX(OFFSET(INDIRECT($K107),0,1),MATCH(C107,INDIRECT($K107),0)),"")</f>
        <v>1</v>
      </c>
      <c r="V107" s="461">
        <f ca="1">IF(COLUMN()-COLUMN($U$55)+1&lt;=$Y107,INDEX(OFFSET(INDIRECT($K107),0,1),MATCH(D107,INDIRECT($K107),0)),"")</f>
        <v>1</v>
      </c>
      <c r="W107" s="461" t="str">
        <f ca="1">IF(COLUMN()-COLUMN($U$55)+1&lt;=$Y107,INDEX(OFFSET(INDIRECT($K107),0,1),MATCH(E107,INDIRECT($K107),0)),"")</f>
        <v/>
      </c>
      <c r="X107" s="465" t="str">
        <f ca="1">IF(COLUMN()-COLUMN($U$55)+1&lt;=$Y107,INDEX(OFFSET(INDIRECT($K107),0,1),MATCH(F107,INDIRECT($K107),0)),"")</f>
        <v/>
      </c>
      <c r="Y107" s="99">
        <f t="shared" si="30"/>
        <v>2</v>
      </c>
      <c r="Z107" s="99"/>
      <c r="AA107" s="99"/>
      <c r="AB107" s="379"/>
      <c r="AC107" s="159" t="s">
        <v>2199</v>
      </c>
      <c r="AD107" s="107">
        <f t="shared" ca="1" si="32"/>
        <v>1</v>
      </c>
      <c r="AE107" s="99" t="b">
        <f t="shared" ca="1" si="31"/>
        <v>0</v>
      </c>
      <c r="AF107" s="159" t="s">
        <v>2287</v>
      </c>
      <c r="AG107" s="783">
        <f>COUNTIF('VA Detailed Scorecard Config'!D:D,AF107)</f>
        <v>0</v>
      </c>
      <c r="AH107" s="107"/>
    </row>
    <row r="108" spans="2:34" ht="13.5" customHeight="1">
      <c r="B108" s="327" t="s">
        <v>1505</v>
      </c>
      <c r="C108" s="99" t="str">
        <f t="shared" ca="1" si="24"/>
        <v>Yes</v>
      </c>
      <c r="D108" s="99" t="str">
        <f t="shared" ca="1" si="24"/>
        <v>Yes</v>
      </c>
      <c r="G108" s="99" t="str">
        <f t="shared" ca="1" si="26"/>
        <v/>
      </c>
      <c r="H108" s="99" t="str">
        <f t="shared" ca="1" si="26"/>
        <v/>
      </c>
      <c r="K108" s="99" t="str">
        <f t="shared" ca="1" si="27"/>
        <v>YES_No</v>
      </c>
      <c r="L108" s="99" t="b">
        <f t="shared" ca="1" si="28"/>
        <v>1</v>
      </c>
      <c r="M108" s="99"/>
      <c r="N108" s="99"/>
      <c r="O108" s="99"/>
      <c r="P108" s="99" t="b">
        <f t="shared" ca="1" si="25"/>
        <v>1</v>
      </c>
      <c r="Q108" s="99" t="b">
        <f t="shared" ca="1" si="29"/>
        <v>1</v>
      </c>
      <c r="T108" s="37" t="str">
        <f ca="1">IF(NOT(ISERROR(MATCH(K108,'Lookup Tables'!A:A,0))),"Lookup",IF(OR(NOT(ISERROR(FIND("Numeric",K108))),NOT(ISERROR(FIND("Percentage",K108))),NOT(ISERROR(FIND("Date",K108)))),"Numeric",IF(NOT(ISERROR(FIND("lank",K108))),"Non-blank",IF(NOT(ISERROR(FIND("Not evaluated",K108))),"Skipped","Other"))))</f>
        <v>Lookup</v>
      </c>
      <c r="U108" s="461">
        <f ca="1">IF(COLUMN()-COLUMN($U$55)+1&lt;=$Y108,INDEX(OFFSET(INDIRECT($K108),0,1),MATCH(C108,INDIRECT($K108),0)),"")</f>
        <v>1</v>
      </c>
      <c r="V108" s="461">
        <f ca="1">IF(COLUMN()-COLUMN($U$55)+1&lt;=$Y108,INDEX(OFFSET(INDIRECT($K108),0,1),MATCH(D108,INDIRECT($K108),0)),"")</f>
        <v>1</v>
      </c>
      <c r="W108" s="461" t="str">
        <f ca="1">IF(COLUMN()-COLUMN($U$55)+1&lt;=$Y108,INDEX(OFFSET(INDIRECT($K108),0,1),MATCH(E108,INDIRECT($K108),0)),"")</f>
        <v/>
      </c>
      <c r="X108" s="465" t="str">
        <f ca="1">IF(COLUMN()-COLUMN($U$55)+1&lt;=$Y108,INDEX(OFFSET(INDIRECT($K108),0,1),MATCH(F108,INDIRECT($K108),0)),"")</f>
        <v/>
      </c>
      <c r="Y108" s="99">
        <f t="shared" si="30"/>
        <v>2</v>
      </c>
      <c r="Z108" s="99"/>
      <c r="AA108" s="99"/>
      <c r="AB108" s="379"/>
      <c r="AC108" s="159" t="s">
        <v>2199</v>
      </c>
      <c r="AD108" s="107">
        <f t="shared" ca="1" si="32"/>
        <v>1</v>
      </c>
      <c r="AE108" s="99" t="b">
        <f t="shared" ca="1" si="31"/>
        <v>0</v>
      </c>
      <c r="AF108" s="159" t="s">
        <v>2288</v>
      </c>
      <c r="AG108" s="783">
        <f>COUNTIF('VA Detailed Scorecard Config'!D:D,AF108)</f>
        <v>0</v>
      </c>
      <c r="AH108" s="107"/>
    </row>
    <row r="109" spans="2:34" ht="13.5" customHeight="1">
      <c r="B109" s="327" t="s">
        <v>1872</v>
      </c>
      <c r="C109" s="99">
        <f t="shared" ca="1" si="24"/>
        <v>4</v>
      </c>
      <c r="D109" s="99">
        <f t="shared" ca="1" si="24"/>
        <v>5</v>
      </c>
      <c r="G109" s="99" t="str">
        <f t="shared" ca="1" si="26"/>
        <v/>
      </c>
      <c r="H109" s="99" t="str">
        <f t="shared" ca="1" si="26"/>
        <v/>
      </c>
      <c r="K109" s="99" t="str">
        <f t="shared" ca="1" si="27"/>
        <v>Numerical (Larger is better, log scale)</v>
      </c>
      <c r="L109" s="99" t="b">
        <f t="shared" ca="1" si="28"/>
        <v>1</v>
      </c>
      <c r="M109" s="99"/>
      <c r="N109" s="99"/>
      <c r="O109" s="99"/>
      <c r="P109" s="99" t="b">
        <f t="shared" ca="1" si="25"/>
        <v>1</v>
      </c>
      <c r="Q109" s="99" t="b">
        <f t="shared" ca="1" si="29"/>
        <v>1</v>
      </c>
      <c r="T109" s="99" t="str">
        <f ca="1">IF(NOT(ISERROR(MATCH(K109,'Lookup Tables'!A:A,0))),"Lookup",IF(OR(NOT(ISERROR(FIND("Numeric",K109))),NOT(ISERROR(FIND("Percentage",K109))),NOT(ISERROR(FIND("Date",K109)))),"Numeric",IF(NOT(ISERROR(FIND("lank",K109))),"Non-blank",IF(NOT(ISERROR(FIND("Not evaluated",K109))),"Skipped","Other"))))</f>
        <v>Numeric</v>
      </c>
      <c r="U109" s="101">
        <f ca="1">IF(COLUMN()-COLUMN($U$55)+1&lt;=$Y108,(LOG(C109+1)-LOG(MIN($C109:$F109,$Z109:$AA109)+1))/(LOG(MAX($AA109,$C109:$F109)+1)-LOG(MIN($C109:$F109,$Z109:$AA109)+1)),"")</f>
        <v>0.89824440170392728</v>
      </c>
      <c r="V109" s="101">
        <f ca="1">IF(COLUMN()-COLUMN($U$55)+1&lt;=$Y108,(LOG(D109+1)-LOG(MIN($C109:$F109,$Z109:$AA109)+1))/(LOG(MAX($AA109,$C109:$F109)+1)-LOG(MIN($C109:$F109,$Z109:$AA109)+1)),"")</f>
        <v>1</v>
      </c>
      <c r="W109" s="101" t="str">
        <f>IF(COLUMN()-COLUMN($U$55)+1&lt;=$Y108,(LOG(E109+1)-LOG(MIN($C109:$F109,$Z109:$AA109)+1))/(LOG(MAX($AA109,$C109:$F109)+1)-LOG(MIN($C109:$F109,$Z109:$AA109)+1)),"")</f>
        <v/>
      </c>
      <c r="X109" s="466" t="str">
        <f>IF(COLUMN()-COLUMN($U$55)+1&lt;=$Y108,(LOG(F109+1)-LOG(MIN($C109:$F109,$Z109:$AA109)+1))/(LOG(MAX($AA109,$C109:$F109)+1)-LOG(MIN($C109:$F109,$Z109:$AA109)+1)),"")</f>
        <v/>
      </c>
      <c r="Y109" s="99">
        <f t="shared" si="30"/>
        <v>2</v>
      </c>
      <c r="Z109" s="99">
        <v>0</v>
      </c>
      <c r="AA109" s="99">
        <v>5</v>
      </c>
      <c r="AB109" s="723" t="s">
        <v>2186</v>
      </c>
      <c r="AC109" s="159" t="s">
        <v>2199</v>
      </c>
      <c r="AD109" s="107">
        <f t="shared" ca="1" si="32"/>
        <v>0.95929776068157102</v>
      </c>
      <c r="AE109" s="99" t="b">
        <f t="shared" ca="1" si="31"/>
        <v>0</v>
      </c>
      <c r="AF109" s="159" t="s">
        <v>2289</v>
      </c>
      <c r="AG109" s="783">
        <f>COUNTIF('VA Detailed Scorecard Config'!D:D,AF109)</f>
        <v>1</v>
      </c>
      <c r="AH109" s="107"/>
    </row>
    <row r="110" spans="2:34" ht="13.5" customHeight="1">
      <c r="B110" s="327" t="s">
        <v>1875</v>
      </c>
      <c r="C110" s="99" t="str">
        <f t="shared" ca="1" si="24"/>
        <v>Yes</v>
      </c>
      <c r="D110" s="99" t="str">
        <f t="shared" ca="1" si="24"/>
        <v>Yes</v>
      </c>
      <c r="G110" s="99" t="str">
        <f t="shared" ca="1" si="26"/>
        <v/>
      </c>
      <c r="H110" s="99" t="str">
        <f t="shared" ca="1" si="26"/>
        <v/>
      </c>
      <c r="K110" s="99" t="str">
        <f t="shared" ca="1" si="27"/>
        <v>YES_No_Partial</v>
      </c>
      <c r="L110" s="99" t="b">
        <f t="shared" ca="1" si="28"/>
        <v>1</v>
      </c>
      <c r="M110" s="99"/>
      <c r="N110" s="99"/>
      <c r="O110" s="99"/>
      <c r="P110" s="99" t="b">
        <f t="shared" ca="1" si="25"/>
        <v>1</v>
      </c>
      <c r="Q110" s="99" t="b">
        <f t="shared" ca="1" si="29"/>
        <v>1</v>
      </c>
      <c r="T110" s="37" t="str">
        <f ca="1">IF(NOT(ISERROR(MATCH(K110,'Lookup Tables'!A:A,0))),"Lookup",IF(OR(NOT(ISERROR(FIND("Numeric",K110))),NOT(ISERROR(FIND("Percentage",K110))),NOT(ISERROR(FIND("Date",K110)))),"Numeric",IF(NOT(ISERROR(FIND("lank",K110))),"Non-blank",IF(NOT(ISERROR(FIND("Not evaluated",K110))),"Skipped","Other"))))</f>
        <v>Lookup</v>
      </c>
      <c r="U110" s="461">
        <f ca="1">IF(COLUMN()-COLUMN($U$55)+1&lt;=$Y110,INDEX(OFFSET(INDIRECT($K110),0,1),MATCH(C110,INDIRECT($K110),0)),"")</f>
        <v>1</v>
      </c>
      <c r="V110" s="461">
        <f ca="1">IF(COLUMN()-COLUMN($U$55)+1&lt;=$Y110,INDEX(OFFSET(INDIRECT($K110),0,1),MATCH(D110,INDIRECT($K110),0)),"")</f>
        <v>1</v>
      </c>
      <c r="W110" s="461" t="str">
        <f ca="1">IF(COLUMN()-COLUMN($U$55)+1&lt;=$Y110,INDEX(OFFSET(INDIRECT($K110),0,1),MATCH(E110,INDIRECT($K110),0)),"")</f>
        <v/>
      </c>
      <c r="X110" s="465" t="str">
        <f ca="1">IF(COLUMN()-COLUMN($U$55)+1&lt;=$Y110,INDEX(OFFSET(INDIRECT($K110),0,1),MATCH(F110,INDIRECT($K110),0)),"")</f>
        <v/>
      </c>
      <c r="Y110" s="99">
        <f t="shared" si="30"/>
        <v>2</v>
      </c>
      <c r="Z110" s="99"/>
      <c r="AA110" s="99"/>
      <c r="AB110" s="379"/>
      <c r="AC110" s="159" t="s">
        <v>2199</v>
      </c>
      <c r="AD110" s="107">
        <f t="shared" ref="AD110:AD119" ca="1" si="33">IFERROR(SUMPRODUCT(U110:X110,$C$124:$F$124)/SUM($C$124:$F$124),AVERAGE(U110:X110))</f>
        <v>1</v>
      </c>
      <c r="AE110" s="99" t="b">
        <f t="shared" ca="1" si="31"/>
        <v>0</v>
      </c>
      <c r="AF110" s="159" t="s">
        <v>2290</v>
      </c>
      <c r="AG110" s="783">
        <f>COUNTIF('VA Detailed Scorecard Config'!D:D,AF110)</f>
        <v>1</v>
      </c>
      <c r="AH110" s="234" t="s">
        <v>2291</v>
      </c>
    </row>
    <row r="111" spans="2:34" ht="13.5" customHeight="1">
      <c r="B111" s="327" t="s">
        <v>1440</v>
      </c>
      <c r="C111" s="99" t="str">
        <f t="shared" ca="1" si="24"/>
        <v>Yes</v>
      </c>
      <c r="D111" s="99" t="str">
        <f t="shared" ca="1" si="24"/>
        <v>Yes</v>
      </c>
      <c r="G111" s="99" t="str">
        <f t="shared" ca="1" si="26"/>
        <v/>
      </c>
      <c r="H111" s="99" t="str">
        <f t="shared" ca="1" si="26"/>
        <v/>
      </c>
      <c r="K111" s="99" t="str">
        <f t="shared" ca="1" si="27"/>
        <v>YES_No_NA</v>
      </c>
      <c r="L111" s="99" t="b">
        <f t="shared" ca="1" si="28"/>
        <v>1</v>
      </c>
      <c r="M111" s="99"/>
      <c r="N111" s="99"/>
      <c r="O111" s="99"/>
      <c r="P111" s="99" t="b">
        <f t="shared" ca="1" si="25"/>
        <v>1</v>
      </c>
      <c r="Q111" s="99" t="b">
        <f t="shared" ca="1" si="29"/>
        <v>1</v>
      </c>
      <c r="T111" s="37" t="str">
        <f ca="1">IF(NOT(ISERROR(MATCH(K111,'Lookup Tables'!A:A,0))),"Lookup",IF(OR(NOT(ISERROR(FIND("Numeric",K111))),NOT(ISERROR(FIND("Percentage",K111))),NOT(ISERROR(FIND("Date",K111)))),"Numeric",IF(NOT(ISERROR(FIND("lank",K111))),"Non-blank",IF(NOT(ISERROR(FIND("Not evaluated",K111))),"Skipped","Other"))))</f>
        <v>Lookup</v>
      </c>
      <c r="U111" s="461">
        <f ca="1">IF(COLUMN()-COLUMN($U$55)+1&lt;=$Y111,INDEX(OFFSET(INDIRECT($K111),0,1),MATCH(C111,INDIRECT($K111),0)),"")</f>
        <v>1</v>
      </c>
      <c r="V111" s="461">
        <f ca="1">IF(COLUMN()-COLUMN($U$55)+1&lt;=$Y111,INDEX(OFFSET(INDIRECT($K111),0,1),MATCH(D111,INDIRECT($K111),0)),"")</f>
        <v>1</v>
      </c>
      <c r="W111" s="461" t="str">
        <f ca="1">IF(COLUMN()-COLUMN($U$55)+1&lt;=$Y111,INDEX(OFFSET(INDIRECT($K111),0,1),MATCH(E111,INDIRECT($K111),0)),"")</f>
        <v/>
      </c>
      <c r="X111" s="465" t="str">
        <f ca="1">IF(COLUMN()-COLUMN($U$55)+1&lt;=$Y111,INDEX(OFFSET(INDIRECT($K111),0,1),MATCH(F111,INDIRECT($K111),0)),"")</f>
        <v/>
      </c>
      <c r="Y111" s="99">
        <f t="shared" si="30"/>
        <v>2</v>
      </c>
      <c r="Z111" s="99"/>
      <c r="AA111" s="99"/>
      <c r="AB111" s="379"/>
      <c r="AC111" s="159" t="s">
        <v>2199</v>
      </c>
      <c r="AD111" s="107">
        <f t="shared" ca="1" si="33"/>
        <v>1</v>
      </c>
      <c r="AE111" s="99" t="b">
        <f t="shared" ca="1" si="31"/>
        <v>0</v>
      </c>
      <c r="AF111" s="159" t="s">
        <v>2293</v>
      </c>
      <c r="AG111" s="783">
        <f>COUNTIF('VA Detailed Scorecard Config'!D:D,AF111)</f>
        <v>1</v>
      </c>
      <c r="AH111" s="234" t="s">
        <v>2292</v>
      </c>
    </row>
    <row r="112" spans="2:34" ht="13.5" customHeight="1">
      <c r="B112" s="327" t="s">
        <v>1879</v>
      </c>
      <c r="C112" s="99" t="str">
        <f t="shared" ca="1" si="24"/>
        <v>No</v>
      </c>
      <c r="D112" s="99" t="str">
        <f t="shared" ca="1" si="24"/>
        <v>No</v>
      </c>
      <c r="G112" s="99" t="str">
        <f t="shared" ca="1" si="26"/>
        <v/>
      </c>
      <c r="H112" s="99" t="str">
        <f t="shared" ca="1" si="26"/>
        <v/>
      </c>
      <c r="K112" s="99" t="str">
        <f t="shared" ca="1" si="27"/>
        <v>NO_Yes</v>
      </c>
      <c r="L112" s="99" t="b">
        <f t="shared" ca="1" si="28"/>
        <v>1</v>
      </c>
      <c r="M112" s="99"/>
      <c r="N112" s="99"/>
      <c r="O112" s="99"/>
      <c r="P112" s="99" t="b">
        <f t="shared" ca="1" si="25"/>
        <v>1</v>
      </c>
      <c r="Q112" s="99" t="b">
        <f t="shared" ca="1" si="29"/>
        <v>1</v>
      </c>
      <c r="T112" s="37" t="str">
        <f ca="1">IF(NOT(ISERROR(MATCH(K112,'Lookup Tables'!A:A,0))),"Lookup",IF(OR(NOT(ISERROR(FIND("Numeric",K112))),NOT(ISERROR(FIND("Percentage",K112))),NOT(ISERROR(FIND("Date",K112)))),"Numeric",IF(NOT(ISERROR(FIND("lank",K112))),"Non-blank",IF(NOT(ISERROR(FIND("Not evaluated",K112))),"Skipped","Other"))))</f>
        <v>Lookup</v>
      </c>
      <c r="U112" s="461">
        <f ca="1">IF(COLUMN()-COLUMN($U$55)+1&lt;=$Y112,INDEX(OFFSET(INDIRECT($K112),0,1),MATCH(C112,INDIRECT($K112),0)),"")</f>
        <v>1</v>
      </c>
      <c r="V112" s="461">
        <f ca="1">IF(COLUMN()-COLUMN($U$55)+1&lt;=$Y112,INDEX(OFFSET(INDIRECT($K112),0,1),MATCH(D112,INDIRECT($K112),0)),"")</f>
        <v>1</v>
      </c>
      <c r="W112" s="461" t="str">
        <f ca="1">IF(COLUMN()-COLUMN($U$55)+1&lt;=$Y112,INDEX(OFFSET(INDIRECT($K112),0,1),MATCH(E112,INDIRECT($K112),0)),"")</f>
        <v/>
      </c>
      <c r="X112" s="465" t="str">
        <f ca="1">IF(COLUMN()-COLUMN($U$55)+1&lt;=$Y112,INDEX(OFFSET(INDIRECT($K112),0,1),MATCH(F112,INDIRECT($K112),0)),"")</f>
        <v/>
      </c>
      <c r="Y112" s="99">
        <f t="shared" si="30"/>
        <v>2</v>
      </c>
      <c r="Z112" s="99"/>
      <c r="AA112" s="99"/>
      <c r="AB112" s="379"/>
      <c r="AC112" s="159" t="s">
        <v>2199</v>
      </c>
      <c r="AD112" s="107">
        <f t="shared" ca="1" si="33"/>
        <v>1</v>
      </c>
      <c r="AE112" s="99" t="b">
        <f t="shared" ca="1" si="31"/>
        <v>0</v>
      </c>
      <c r="AF112" s="159" t="s">
        <v>2294</v>
      </c>
      <c r="AG112" s="783">
        <f>COUNTIF('VA Detailed Scorecard Config'!D:D,AF112)</f>
        <v>1</v>
      </c>
      <c r="AH112" s="107"/>
    </row>
    <row r="113" spans="2:37" ht="13.5" customHeight="1">
      <c r="B113" s="327" t="s">
        <v>1880</v>
      </c>
      <c r="C113" s="99" t="str">
        <f t="shared" ca="1" si="24"/>
        <v>No</v>
      </c>
      <c r="D113" s="99" t="str">
        <f t="shared" ca="1" si="24"/>
        <v>No</v>
      </c>
      <c r="G113" s="99" t="str">
        <f t="shared" ca="1" si="26"/>
        <v/>
      </c>
      <c r="H113" s="99" t="str">
        <f t="shared" ca="1" si="26"/>
        <v/>
      </c>
      <c r="K113" s="99" t="str">
        <f t="shared" ca="1" si="27"/>
        <v>NO_Yes</v>
      </c>
      <c r="L113" s="99" t="b">
        <f t="shared" ca="1" si="28"/>
        <v>1</v>
      </c>
      <c r="M113" s="99"/>
      <c r="N113" s="99"/>
      <c r="O113" s="99"/>
      <c r="P113" s="99" t="b">
        <f t="shared" ca="1" si="25"/>
        <v>1</v>
      </c>
      <c r="Q113" s="99" t="b">
        <f t="shared" ca="1" si="29"/>
        <v>1</v>
      </c>
      <c r="T113" s="37" t="str">
        <f ca="1">IF(NOT(ISERROR(MATCH(K113,'Lookup Tables'!A:A,0))),"Lookup",IF(OR(NOT(ISERROR(FIND("Numeric",K113))),NOT(ISERROR(FIND("Percentage",K113))),NOT(ISERROR(FIND("Date",K113)))),"Numeric",IF(NOT(ISERROR(FIND("lank",K113))),"Non-blank",IF(NOT(ISERROR(FIND("Not evaluated",K113))),"Skipped","Other"))))</f>
        <v>Lookup</v>
      </c>
      <c r="U113" s="461">
        <f ca="1">IF(COLUMN()-COLUMN($U$55)+1&lt;=$Y113,INDEX(OFFSET(INDIRECT($K113),0,1),MATCH(C113,INDIRECT($K113),0)),"")</f>
        <v>1</v>
      </c>
      <c r="V113" s="461">
        <f ca="1">IF(COLUMN()-COLUMN($U$55)+1&lt;=$Y113,INDEX(OFFSET(INDIRECT($K113),0,1),MATCH(D113,INDIRECT($K113),0)),"")</f>
        <v>1</v>
      </c>
      <c r="W113" s="461" t="str">
        <f ca="1">IF(COLUMN()-COLUMN($U$55)+1&lt;=$Y113,INDEX(OFFSET(INDIRECT($K113),0,1),MATCH(E113,INDIRECT($K113),0)),"")</f>
        <v/>
      </c>
      <c r="X113" s="465" t="str">
        <f ca="1">IF(COLUMN()-COLUMN($U$55)+1&lt;=$Y113,INDEX(OFFSET(INDIRECT($K113),0,1),MATCH(F113,INDIRECT($K113),0)),"")</f>
        <v/>
      </c>
      <c r="Y113" s="99">
        <f t="shared" si="30"/>
        <v>2</v>
      </c>
      <c r="Z113" s="99"/>
      <c r="AA113" s="99"/>
      <c r="AB113" s="379"/>
      <c r="AC113" s="159" t="s">
        <v>2199</v>
      </c>
      <c r="AD113" s="107">
        <f t="shared" ca="1" si="33"/>
        <v>1</v>
      </c>
      <c r="AE113" s="99" t="b">
        <f t="shared" ca="1" si="31"/>
        <v>0</v>
      </c>
      <c r="AF113" s="159" t="s">
        <v>2295</v>
      </c>
      <c r="AG113" s="783">
        <f>COUNTIF('VA Detailed Scorecard Config'!D:D,AF113)</f>
        <v>1</v>
      </c>
      <c r="AH113" s="107"/>
    </row>
    <row r="114" spans="2:37" ht="13.5" customHeight="1">
      <c r="B114" s="327" t="s">
        <v>1881</v>
      </c>
      <c r="C114" s="99" t="str">
        <f t="shared" ca="1" si="24"/>
        <v/>
      </c>
      <c r="D114" s="99" t="str">
        <f t="shared" ca="1" si="24"/>
        <v/>
      </c>
      <c r="G114" s="99" t="str">
        <f t="shared" ca="1" si="26"/>
        <v/>
      </c>
      <c r="H114" s="99" t="str">
        <f t="shared" ca="1" si="26"/>
        <v/>
      </c>
      <c r="K114" s="99" t="str">
        <f t="shared" ca="1" si="27"/>
        <v>Blank is better</v>
      </c>
      <c r="L114" s="99" t="b">
        <f t="shared" ca="1" si="28"/>
        <v>0</v>
      </c>
      <c r="M114" s="99"/>
      <c r="N114" s="99"/>
      <c r="O114" s="99"/>
      <c r="P114" s="99" t="b">
        <f t="shared" ca="1" si="25"/>
        <v>1</v>
      </c>
      <c r="Q114" s="99" t="b">
        <f t="shared" ca="1" si="29"/>
        <v>1</v>
      </c>
      <c r="T114" s="462" t="str">
        <f ca="1">IF(NOT(ISERROR(MATCH(K114,'Lookup Tables'!A:A,0))),"Lookup",IF(OR(NOT(ISERROR(FIND("Numeric",K114))),NOT(ISERROR(FIND("Percentage",K114))),NOT(ISERROR(FIND("Date",K114)))),"Numeric",IF(NOT(ISERROR(FIND("lank",K114))),"Non-blank",IF(NOT(ISERROR(FIND("Not evaluated",K114))),"Skipped","Other"))))</f>
        <v>Non-blank</v>
      </c>
      <c r="U114" s="463">
        <f ca="1">IF(COLUMN()-COLUMN($U$55)+1&lt;=$Y114,IF(C114="",1,0),"")</f>
        <v>1</v>
      </c>
      <c r="V114" s="463">
        <f ca="1">IF(COLUMN()-COLUMN($U$55)+1&lt;=$Y114,IF(D114="",1,0),"")</f>
        <v>1</v>
      </c>
      <c r="W114" s="463" t="str">
        <f>IF(COLUMN()-COLUMN($U$55)+1&lt;=$Y114,IF(E114="",0,1),"")</f>
        <v/>
      </c>
      <c r="X114" s="467" t="str">
        <f>IF(COLUMN()-COLUMN($U$55)+1&lt;=$Y114,IF(F114="",0,1),"")</f>
        <v/>
      </c>
      <c r="Y114" s="99">
        <f t="shared" si="30"/>
        <v>2</v>
      </c>
      <c r="Z114" s="99"/>
      <c r="AA114" s="99"/>
      <c r="AB114" s="379"/>
      <c r="AC114" s="159" t="s">
        <v>2199</v>
      </c>
      <c r="AD114" s="107">
        <f t="shared" ca="1" si="33"/>
        <v>1</v>
      </c>
      <c r="AE114" s="99" t="b">
        <f t="shared" ca="1" si="31"/>
        <v>1</v>
      </c>
      <c r="AF114" s="159" t="s">
        <v>2296</v>
      </c>
      <c r="AG114" s="783">
        <f>COUNTIF('VA Detailed Scorecard Config'!D:D,AF114)</f>
        <v>0</v>
      </c>
      <c r="AH114" s="107"/>
    </row>
    <row r="115" spans="2:37" ht="13.5" customHeight="1">
      <c r="B115" s="327" t="s">
        <v>1437</v>
      </c>
      <c r="C115" s="99" t="str">
        <f t="shared" ca="1" si="24"/>
        <v>No</v>
      </c>
      <c r="D115" s="99" t="str">
        <f t="shared" ca="1" si="24"/>
        <v>N/A</v>
      </c>
      <c r="G115" s="99" t="str">
        <f t="shared" ca="1" si="26"/>
        <v/>
      </c>
      <c r="H115" s="99" t="str">
        <f t="shared" ca="1" si="26"/>
        <v/>
      </c>
      <c r="K115" s="99" t="str">
        <f t="shared" ca="1" si="27"/>
        <v>YES_No_NA</v>
      </c>
      <c r="L115" s="99" t="b">
        <f t="shared" ca="1" si="28"/>
        <v>1</v>
      </c>
      <c r="M115" s="99"/>
      <c r="N115" s="99"/>
      <c r="O115" s="99"/>
      <c r="P115" s="99" t="b">
        <f t="shared" ca="1" si="25"/>
        <v>1</v>
      </c>
      <c r="Q115" s="99" t="b">
        <f t="shared" ca="1" si="29"/>
        <v>1</v>
      </c>
      <c r="T115" s="37" t="str">
        <f ca="1">IF(NOT(ISERROR(MATCH(K115,'Lookup Tables'!A:A,0))),"Lookup",IF(OR(NOT(ISERROR(FIND("Numeric",K115))),NOT(ISERROR(FIND("Percentage",K115))),NOT(ISERROR(FIND("Date",K115)))),"Numeric",IF(NOT(ISERROR(FIND("lank",K115))),"Non-blank",IF(NOT(ISERROR(FIND("Not evaluated",K115))),"Skipped","Other"))))</f>
        <v>Lookup</v>
      </c>
      <c r="U115" s="461">
        <f t="shared" ref="U115:U121" ca="1" si="34">IF(COLUMN()-COLUMN($U$55)+1&lt;=$Y115,INDEX(OFFSET(INDIRECT($K115),0,1),MATCH(C115,INDIRECT($K115),0)),"")</f>
        <v>0</v>
      </c>
      <c r="V115" s="461">
        <f t="shared" ref="V115:V121" ca="1" si="35">IF(COLUMN()-COLUMN($U$55)+1&lt;=$Y115,INDEX(OFFSET(INDIRECT($K115),0,1),MATCH(D115,INDIRECT($K115),0)),"")</f>
        <v>1</v>
      </c>
      <c r="W115" s="461" t="str">
        <f t="shared" ref="W115:W121" ca="1" si="36">IF(COLUMN()-COLUMN($U$55)+1&lt;=$Y115,INDEX(OFFSET(INDIRECT($K115),0,1),MATCH(E115,INDIRECT($K115),0)),"")</f>
        <v/>
      </c>
      <c r="X115" s="465" t="str">
        <f t="shared" ref="X115:X121" ca="1" si="37">IF(COLUMN()-COLUMN($U$55)+1&lt;=$Y115,INDEX(OFFSET(INDIRECT($K115),0,1),MATCH(F115,INDIRECT($K115),0)),"")</f>
        <v/>
      </c>
      <c r="Y115" s="99">
        <f t="shared" si="30"/>
        <v>2</v>
      </c>
      <c r="Z115" s="99"/>
      <c r="AA115" s="99"/>
      <c r="AB115" s="379"/>
      <c r="AC115" s="159" t="s">
        <v>2199</v>
      </c>
      <c r="AD115" s="107">
        <f t="shared" ca="1" si="33"/>
        <v>0.6</v>
      </c>
      <c r="AE115" s="99" t="b">
        <f t="shared" ca="1" si="31"/>
        <v>0</v>
      </c>
      <c r="AF115" s="159" t="s">
        <v>2297</v>
      </c>
      <c r="AG115" s="783">
        <f>COUNTIF('VA Detailed Scorecard Config'!D:D,AF115)</f>
        <v>1</v>
      </c>
      <c r="AH115" s="107"/>
    </row>
    <row r="116" spans="2:37" ht="13.5" customHeight="1">
      <c r="B116" s="327" t="s">
        <v>1878</v>
      </c>
      <c r="C116" s="99" t="str">
        <f t="shared" ca="1" si="24"/>
        <v>1 - Completely Disagree</v>
      </c>
      <c r="D116" s="99" t="str">
        <f t="shared" ca="1" si="24"/>
        <v>1 - Completely Disagree</v>
      </c>
      <c r="G116" s="99" t="str">
        <f t="shared" ca="1" si="26"/>
        <v/>
      </c>
      <c r="H116" s="99" t="str">
        <f t="shared" ca="1" si="26"/>
        <v/>
      </c>
      <c r="K116" s="99" t="str">
        <f t="shared" ca="1" si="27"/>
        <v>Disagree_Agree_1_5</v>
      </c>
      <c r="L116" s="99" t="b">
        <f t="shared" ca="1" si="28"/>
        <v>1</v>
      </c>
      <c r="M116" s="99"/>
      <c r="N116" s="99"/>
      <c r="O116" s="99"/>
      <c r="P116" s="99" t="b">
        <f t="shared" ca="1" si="25"/>
        <v>1</v>
      </c>
      <c r="Q116" s="99" t="b">
        <f t="shared" ca="1" si="29"/>
        <v>1</v>
      </c>
      <c r="T116" s="37" t="str">
        <f ca="1">IF(NOT(ISERROR(MATCH(K116,'Lookup Tables'!A:A,0))),"Lookup",IF(OR(NOT(ISERROR(FIND("Numeric",K116))),NOT(ISERROR(FIND("Percentage",K116))),NOT(ISERROR(FIND("Date",K116)))),"Numeric",IF(NOT(ISERROR(FIND("lank",K116))),"Non-blank",IF(NOT(ISERROR(FIND("Not evaluated",K116))),"Skipped","Other"))))</f>
        <v>Lookup</v>
      </c>
      <c r="U116" s="461">
        <f t="shared" ca="1" si="34"/>
        <v>0</v>
      </c>
      <c r="V116" s="461">
        <f t="shared" ca="1" si="35"/>
        <v>0</v>
      </c>
      <c r="W116" s="461" t="str">
        <f t="shared" ca="1" si="36"/>
        <v/>
      </c>
      <c r="X116" s="465" t="str">
        <f t="shared" ca="1" si="37"/>
        <v/>
      </c>
      <c r="Y116" s="99">
        <f t="shared" si="30"/>
        <v>2</v>
      </c>
      <c r="Z116" s="99"/>
      <c r="AA116" s="99"/>
      <c r="AB116" s="379"/>
      <c r="AC116" s="159" t="s">
        <v>2199</v>
      </c>
      <c r="AD116" s="107">
        <f t="shared" ca="1" si="33"/>
        <v>0</v>
      </c>
      <c r="AE116" s="99" t="b">
        <f t="shared" ca="1" si="31"/>
        <v>0</v>
      </c>
      <c r="AF116" s="159" t="s">
        <v>2298</v>
      </c>
      <c r="AG116" s="783">
        <f>COUNTIF('VA Detailed Scorecard Config'!D:D,AF116)</f>
        <v>1</v>
      </c>
      <c r="AH116" s="107"/>
    </row>
    <row r="117" spans="2:37" ht="13.5" customHeight="1">
      <c r="B117" s="327" t="s">
        <v>1885</v>
      </c>
      <c r="C117" s="99">
        <f t="shared" ca="1" si="24"/>
        <v>3</v>
      </c>
      <c r="D117" s="99">
        <f t="shared" ca="1" si="24"/>
        <v>3</v>
      </c>
      <c r="G117" s="99" t="str">
        <f t="shared" ca="1" si="26"/>
        <v/>
      </c>
      <c r="H117" s="99" t="str">
        <f t="shared" ca="1" si="26"/>
        <v/>
      </c>
      <c r="K117" s="99" t="str">
        <f t="shared" ca="1" si="27"/>
        <v>Disagree_Agree_1_5</v>
      </c>
      <c r="L117" s="99" t="b">
        <f t="shared" ca="1" si="28"/>
        <v>1</v>
      </c>
      <c r="M117" s="99"/>
      <c r="N117" s="99"/>
      <c r="O117" s="99"/>
      <c r="P117" s="99" t="b">
        <f t="shared" ca="1" si="25"/>
        <v>1</v>
      </c>
      <c r="Q117" s="99" t="b">
        <f t="shared" ca="1" si="29"/>
        <v>1</v>
      </c>
      <c r="T117" s="37" t="str">
        <f ca="1">IF(NOT(ISERROR(MATCH(K117,'Lookup Tables'!A:A,0))),"Lookup",IF(OR(NOT(ISERROR(FIND("Numeric",K117))),NOT(ISERROR(FIND("Percentage",K117))),NOT(ISERROR(FIND("Date",K117)))),"Numeric",IF(NOT(ISERROR(FIND("lank",K117))),"Non-blank",IF(NOT(ISERROR(FIND("Not evaluated",K117))),"Skipped","Other"))))</f>
        <v>Lookup</v>
      </c>
      <c r="U117" s="461">
        <f t="shared" ca="1" si="34"/>
        <v>0.5</v>
      </c>
      <c r="V117" s="461">
        <f t="shared" ca="1" si="35"/>
        <v>0.5</v>
      </c>
      <c r="W117" s="461" t="str">
        <f t="shared" ca="1" si="36"/>
        <v/>
      </c>
      <c r="X117" s="465" t="str">
        <f t="shared" ca="1" si="37"/>
        <v/>
      </c>
      <c r="Y117" s="99">
        <f t="shared" si="30"/>
        <v>2</v>
      </c>
      <c r="Z117" s="99"/>
      <c r="AA117" s="99"/>
      <c r="AB117" s="379"/>
      <c r="AC117" s="159" t="s">
        <v>2199</v>
      </c>
      <c r="AD117" s="107">
        <f t="shared" ca="1" si="33"/>
        <v>0.5</v>
      </c>
      <c r="AE117" s="99" t="b">
        <f t="shared" ca="1" si="31"/>
        <v>0</v>
      </c>
      <c r="AF117" s="159" t="s">
        <v>2299</v>
      </c>
      <c r="AG117" s="783">
        <f>COUNTIF('VA Detailed Scorecard Config'!D:D,AF117)</f>
        <v>1</v>
      </c>
      <c r="AH117" s="107"/>
    </row>
    <row r="118" spans="2:37" ht="13.5" customHeight="1">
      <c r="B118" s="327" t="s">
        <v>1886</v>
      </c>
      <c r="C118" s="99" t="str">
        <f t="shared" ca="1" si="24"/>
        <v>1 - Completely Disagree</v>
      </c>
      <c r="D118" s="99" t="str">
        <f t="shared" ca="1" si="24"/>
        <v>1 - Completely Disagree</v>
      </c>
      <c r="G118" s="99" t="str">
        <f t="shared" ca="1" si="26"/>
        <v/>
      </c>
      <c r="H118" s="99" t="str">
        <f t="shared" ca="1" si="26"/>
        <v/>
      </c>
      <c r="K118" s="99" t="str">
        <f t="shared" ca="1" si="27"/>
        <v>Disagree_Agree_1_5</v>
      </c>
      <c r="L118" s="99" t="b">
        <f t="shared" ca="1" si="28"/>
        <v>1</v>
      </c>
      <c r="M118" s="99"/>
      <c r="N118" s="99"/>
      <c r="O118" s="99"/>
      <c r="P118" s="99" t="b">
        <f t="shared" ca="1" si="25"/>
        <v>1</v>
      </c>
      <c r="Q118" s="99" t="b">
        <f t="shared" ca="1" si="29"/>
        <v>1</v>
      </c>
      <c r="T118" s="37" t="str">
        <f ca="1">IF(NOT(ISERROR(MATCH(K118,'Lookup Tables'!A:A,0))),"Lookup",IF(OR(NOT(ISERROR(FIND("Numeric",K118))),NOT(ISERROR(FIND("Percentage",K118))),NOT(ISERROR(FIND("Date",K118)))),"Numeric",IF(NOT(ISERROR(FIND("lank",K118))),"Non-blank",IF(NOT(ISERROR(FIND("Not evaluated",K118))),"Skipped","Other"))))</f>
        <v>Lookup</v>
      </c>
      <c r="U118" s="461">
        <f t="shared" ca="1" si="34"/>
        <v>0</v>
      </c>
      <c r="V118" s="461">
        <f t="shared" ca="1" si="35"/>
        <v>0</v>
      </c>
      <c r="W118" s="461" t="str">
        <f t="shared" ca="1" si="36"/>
        <v/>
      </c>
      <c r="X118" s="465" t="str">
        <f t="shared" ca="1" si="37"/>
        <v/>
      </c>
      <c r="Y118" s="99">
        <f t="shared" si="30"/>
        <v>2</v>
      </c>
      <c r="Z118" s="99"/>
      <c r="AA118" s="99"/>
      <c r="AB118" s="379"/>
      <c r="AC118" s="159" t="s">
        <v>2199</v>
      </c>
      <c r="AD118" s="107">
        <f t="shared" ca="1" si="33"/>
        <v>0</v>
      </c>
      <c r="AE118" s="99" t="b">
        <f t="shared" ca="1" si="31"/>
        <v>0</v>
      </c>
      <c r="AF118" s="159" t="s">
        <v>2300</v>
      </c>
      <c r="AG118" s="783">
        <f>COUNTIF('VA Detailed Scorecard Config'!D:D,AF118)</f>
        <v>1</v>
      </c>
      <c r="AH118" s="107"/>
    </row>
    <row r="119" spans="2:37" ht="13.5" customHeight="1">
      <c r="B119" s="327" t="s">
        <v>1887</v>
      </c>
      <c r="C119" s="99">
        <f t="shared" ca="1" si="24"/>
        <v>3</v>
      </c>
      <c r="D119" s="99">
        <f t="shared" ca="1" si="24"/>
        <v>4</v>
      </c>
      <c r="G119" s="99" t="str">
        <f t="shared" ca="1" si="26"/>
        <v/>
      </c>
      <c r="H119" s="99" t="str">
        <f t="shared" ca="1" si="26"/>
        <v/>
      </c>
      <c r="K119" s="99" t="str">
        <f t="shared" ca="1" si="27"/>
        <v>Disagree_Agree_1_5</v>
      </c>
      <c r="L119" s="99" t="b">
        <f t="shared" ca="1" si="28"/>
        <v>1</v>
      </c>
      <c r="M119" s="99"/>
      <c r="N119" s="99"/>
      <c r="O119" s="99"/>
      <c r="P119" s="99" t="b">
        <f t="shared" ca="1" si="25"/>
        <v>1</v>
      </c>
      <c r="Q119" s="99" t="b">
        <f t="shared" ca="1" si="29"/>
        <v>1</v>
      </c>
      <c r="T119" s="37" t="str">
        <f ca="1">IF(NOT(ISERROR(MATCH(K119,'Lookup Tables'!A:A,0))),"Lookup",IF(OR(NOT(ISERROR(FIND("Numeric",K119))),NOT(ISERROR(FIND("Percentage",K119))),NOT(ISERROR(FIND("Date",K119)))),"Numeric",IF(NOT(ISERROR(FIND("lank",K119))),"Non-blank",IF(NOT(ISERROR(FIND("Not evaluated",K119))),"Skipped","Other"))))</f>
        <v>Lookup</v>
      </c>
      <c r="U119" s="461">
        <f t="shared" ca="1" si="34"/>
        <v>0.5</v>
      </c>
      <c r="V119" s="461">
        <f t="shared" ca="1" si="35"/>
        <v>0.75</v>
      </c>
      <c r="W119" s="461" t="str">
        <f t="shared" ca="1" si="36"/>
        <v/>
      </c>
      <c r="X119" s="465" t="str">
        <f t="shared" ca="1" si="37"/>
        <v/>
      </c>
      <c r="Y119" s="99">
        <f t="shared" si="30"/>
        <v>2</v>
      </c>
      <c r="Z119" s="99"/>
      <c r="AA119" s="99"/>
      <c r="AB119" s="379"/>
      <c r="AC119" s="159" t="s">
        <v>2199</v>
      </c>
      <c r="AD119" s="107">
        <f t="shared" ca="1" si="33"/>
        <v>0.65</v>
      </c>
      <c r="AE119" s="99" t="b">
        <f t="shared" ca="1" si="31"/>
        <v>0</v>
      </c>
      <c r="AF119" s="159" t="s">
        <v>2301</v>
      </c>
      <c r="AG119" s="783">
        <f>COUNTIF('VA Detailed Scorecard Config'!D:D,AF119)</f>
        <v>1</v>
      </c>
      <c r="AH119" s="107"/>
    </row>
    <row r="120" spans="2:37" ht="13.5" customHeight="1">
      <c r="B120" s="327" t="s">
        <v>1888</v>
      </c>
      <c r="C120" s="99" t="str">
        <f t="shared" ca="1" si="24"/>
        <v>5 - Completely Agree</v>
      </c>
      <c r="D120" s="99">
        <f t="shared" ca="1" si="24"/>
        <v>4</v>
      </c>
      <c r="G120" s="99" t="str">
        <f t="shared" ca="1" si="26"/>
        <v/>
      </c>
      <c r="H120" s="99" t="str">
        <f t="shared" ca="1" si="26"/>
        <v/>
      </c>
      <c r="K120" s="99" t="str">
        <f t="shared" ca="1" si="27"/>
        <v>Disagree_Agree_1_5</v>
      </c>
      <c r="L120" s="99" t="b">
        <f t="shared" ca="1" si="28"/>
        <v>1</v>
      </c>
      <c r="M120" s="99"/>
      <c r="N120" s="99"/>
      <c r="O120" s="99"/>
      <c r="P120" s="99" t="b">
        <f t="shared" ca="1" si="25"/>
        <v>1</v>
      </c>
      <c r="Q120" s="99" t="b">
        <f t="shared" ca="1" si="29"/>
        <v>1</v>
      </c>
      <c r="T120" s="37" t="str">
        <f ca="1">IF(NOT(ISERROR(MATCH(K120,'Lookup Tables'!A:A,0))),"Lookup",IF(OR(NOT(ISERROR(FIND("Numeric",K120))),NOT(ISERROR(FIND("Percentage",K120))),NOT(ISERROR(FIND("Date",K120)))),"Numeric",IF(NOT(ISERROR(FIND("lank",K120))),"Non-blank",IF(NOT(ISERROR(FIND("Not evaluated",K120))),"Skipped","Other"))))</f>
        <v>Lookup</v>
      </c>
      <c r="U120" s="461">
        <f t="shared" ca="1" si="34"/>
        <v>1</v>
      </c>
      <c r="V120" s="461">
        <f t="shared" ca="1" si="35"/>
        <v>0.75</v>
      </c>
      <c r="W120" s="461" t="str">
        <f t="shared" ca="1" si="36"/>
        <v/>
      </c>
      <c r="X120" s="465" t="str">
        <f t="shared" ca="1" si="37"/>
        <v/>
      </c>
      <c r="Y120" s="99">
        <f t="shared" si="30"/>
        <v>2</v>
      </c>
      <c r="Z120" s="99"/>
      <c r="AA120" s="99"/>
      <c r="AB120" s="379"/>
      <c r="AC120" s="159" t="s">
        <v>2199</v>
      </c>
      <c r="AD120" s="107">
        <f ca="1">IFERROR(SUMPRODUCT(U120:X120,$C$124:$F$124)/SUM($C$124:$F$124),AVERAGE(U120:X120))</f>
        <v>0.85</v>
      </c>
      <c r="AE120" s="99" t="b">
        <f t="shared" ca="1" si="31"/>
        <v>0</v>
      </c>
      <c r="AF120" s="159" t="s">
        <v>2302</v>
      </c>
      <c r="AG120" s="783">
        <f>COUNTIF('VA Detailed Scorecard Config'!D:D,AF120)</f>
        <v>1</v>
      </c>
      <c r="AH120" s="107"/>
    </row>
    <row r="121" spans="2:37" ht="13.5" customHeight="1">
      <c r="B121" s="327" t="s">
        <v>1901</v>
      </c>
      <c r="C121" s="99" t="str">
        <f t="shared" ca="1" si="24"/>
        <v>Yes</v>
      </c>
      <c r="D121" s="99" t="str">
        <f t="shared" ca="1" si="24"/>
        <v>Yes</v>
      </c>
      <c r="G121" s="99" t="str">
        <f t="shared" ca="1" si="26"/>
        <v/>
      </c>
      <c r="H121" s="99" t="str">
        <f t="shared" ca="1" si="26"/>
        <v/>
      </c>
      <c r="K121" s="99" t="str">
        <f t="shared" ca="1" si="27"/>
        <v>YES_No</v>
      </c>
      <c r="L121" s="99" t="b">
        <f t="shared" ca="1" si="28"/>
        <v>1</v>
      </c>
      <c r="M121" s="99"/>
      <c r="N121" s="99"/>
      <c r="O121" s="99"/>
      <c r="P121" s="99" t="b">
        <f t="shared" ca="1" si="25"/>
        <v>1</v>
      </c>
      <c r="Q121" s="99" t="b">
        <f t="shared" ca="1" si="29"/>
        <v>1</v>
      </c>
      <c r="T121" s="37" t="str">
        <f ca="1">IF(NOT(ISERROR(MATCH(K121,'Lookup Tables'!A:A,0))),"Lookup",IF(OR(NOT(ISERROR(FIND("Numeric",K121))),NOT(ISERROR(FIND("Percentage",K121))),NOT(ISERROR(FIND("Date",K121)))),"Numeric",IF(NOT(ISERROR(FIND("lank",K121))),"Non-blank",IF(NOT(ISERROR(FIND("Not evaluated",K121))),"Skipped","Other"))))</f>
        <v>Lookup</v>
      </c>
      <c r="U121" s="461">
        <f t="shared" ca="1" si="34"/>
        <v>1</v>
      </c>
      <c r="V121" s="461">
        <f t="shared" ca="1" si="35"/>
        <v>1</v>
      </c>
      <c r="W121" s="461" t="str">
        <f t="shared" ca="1" si="36"/>
        <v/>
      </c>
      <c r="X121" s="465" t="str">
        <f t="shared" ca="1" si="37"/>
        <v/>
      </c>
      <c r="Y121" s="99">
        <f t="shared" si="30"/>
        <v>2</v>
      </c>
      <c r="Z121" s="99"/>
      <c r="AA121" s="99"/>
      <c r="AB121" s="379"/>
      <c r="AC121" s="159" t="s">
        <v>2199</v>
      </c>
      <c r="AD121" s="107">
        <f t="shared" ref="AD121" ca="1" si="38">IFERROR(SUMPRODUCT(U121:X121,$C$124:$F$124)/SUM($C$124:$F$124),AVERAGE(U121:X121))</f>
        <v>1</v>
      </c>
      <c r="AE121" s="99" t="b">
        <f t="shared" ca="1" si="31"/>
        <v>0</v>
      </c>
      <c r="AF121" s="159" t="s">
        <v>2303</v>
      </c>
      <c r="AG121" s="783">
        <f>COUNTIF('VA Detailed Scorecard Config'!D:D,AF121)</f>
        <v>0</v>
      </c>
      <c r="AH121" s="107"/>
    </row>
    <row r="122" spans="2:37" ht="13.5" customHeight="1">
      <c r="B122" s="421" t="s">
        <v>1974</v>
      </c>
      <c r="C122" s="408" t="s">
        <v>1989</v>
      </c>
      <c r="D122" s="408" t="s">
        <v>1990</v>
      </c>
      <c r="K122" s="410" t="s">
        <v>1988</v>
      </c>
      <c r="L122" s="410" t="s">
        <v>2219</v>
      </c>
      <c r="M122" s="699" t="s">
        <v>2220</v>
      </c>
      <c r="N122" s="699" t="s">
        <v>2221</v>
      </c>
      <c r="O122" s="699" t="s">
        <v>2222</v>
      </c>
      <c r="P122" s="409" t="s">
        <v>1993</v>
      </c>
      <c r="Q122" s="409" t="s">
        <v>1994</v>
      </c>
      <c r="T122" s="159" t="s">
        <v>2204</v>
      </c>
      <c r="U122" s="101">
        <f>IF(COUNTA($C$8:$F$8)=0,0,(LOG(COUNTA($C$8:$F$8))-LOG(1)))/(LOG(AA122)-LOG(1))</f>
        <v>0.63092975357145742</v>
      </c>
      <c r="V122" s="101"/>
      <c r="W122" s="101" t="str">
        <f>IF(COLUMN()-COLUMN($U$55)+1&lt;=$Y121,(LOG(E122+1)-LOG(MIN($C122:$F122,$Z122:$AA122)+1))/(LOG(MAX($AA122,$C122:$F122)+1)-LOG(MIN($C122:$F122,$Z122:$AA122)+1)),"")</f>
        <v/>
      </c>
      <c r="X122" s="466" t="str">
        <f>IF(COLUMN()-COLUMN($U$55)+1&lt;=$Y121,(LOG(F122+1)-LOG(MIN($C122:$F122,$Z122:$AA122)+1))/(LOG(MAX($AA122,$C122:$F122)+1)-LOG(MIN($C122:$F122,$Z122:$AA122)+1)),"")</f>
        <v/>
      </c>
      <c r="Y122" s="99">
        <f t="shared" si="30"/>
        <v>2</v>
      </c>
      <c r="Z122" s="99">
        <v>0</v>
      </c>
      <c r="AA122" s="99">
        <v>3</v>
      </c>
      <c r="AB122" s="723" t="s">
        <v>2186</v>
      </c>
      <c r="AC122" s="772" t="s">
        <v>2306</v>
      </c>
      <c r="AD122" s="773">
        <f>U122</f>
        <v>0.63092975357145742</v>
      </c>
      <c r="AE122" s="137" t="b">
        <v>0</v>
      </c>
      <c r="AF122" s="159" t="s">
        <v>2305</v>
      </c>
      <c r="AG122" s="783">
        <f>COUNTIF('VA Detailed Scorecard Config'!D:D,AF122)</f>
        <v>1</v>
      </c>
      <c r="AH122" s="159" t="s">
        <v>2536</v>
      </c>
      <c r="AI122" s="137"/>
      <c r="AJ122" s="137"/>
      <c r="AK122" s="137"/>
    </row>
    <row r="123" spans="2:37" ht="13.5" customHeight="1">
      <c r="B123" s="327" t="s">
        <v>1985</v>
      </c>
      <c r="C123" s="99" t="str">
        <f ca="1">IF(INDIRECT(C$8&amp;"!C"&amp;ROW()-ROW($C$103)+7)="","",INDIRECT(C$8&amp;"!C"&amp;ROW()-ROW($C$103)+7))</f>
        <v>Yes</v>
      </c>
      <c r="D123" s="99" t="str">
        <f ca="1">IF(INDIRECT(D$8&amp;"!C"&amp;ROW()-ROW($C$103)+7)="","",INDIRECT(D$8&amp;"!C"&amp;ROW()-ROW($C$103)+7))</f>
        <v>Yes</v>
      </c>
      <c r="K123" s="99" t="str">
        <f ca="1">IF(INDIRECT(C$8&amp;"!E"&amp;ROW()-ROW($C$103)+7)="","",INDIRECT(C$8&amp;"!E"&amp;ROW()-ROW($C$103)+7))</f>
        <v>YES_No</v>
      </c>
      <c r="L123" s="99" t="b">
        <f ca="1">IF(INDIRECT(C$8&amp;"!F"&amp;ROW()-ROW($C$103)+7)="","",INDIRECT(C$8&amp;"!F"&amp;ROW()-ROW($C$103)+7))</f>
        <v>1</v>
      </c>
      <c r="M123" s="99"/>
      <c r="N123" s="99"/>
      <c r="O123" s="99"/>
      <c r="P123" s="99" t="b">
        <f ca="1">INDIRECT(C$8&amp;"!B"&amp;ROW()-ROW($P$103)+7)=$B123</f>
        <v>1</v>
      </c>
      <c r="Q123" s="99" t="b">
        <f ca="1">INDIRECT(D$8&amp;"!B"&amp;ROW()-ROW($P$103)+7)=$B123</f>
        <v>1</v>
      </c>
      <c r="T123" s="37" t="s">
        <v>2191</v>
      </c>
      <c r="U123" s="461"/>
      <c r="V123" s="461"/>
      <c r="W123" s="461"/>
      <c r="X123" s="461"/>
      <c r="Y123" s="99">
        <f t="shared" si="30"/>
        <v>2</v>
      </c>
      <c r="Z123" s="99"/>
      <c r="AA123" s="99"/>
      <c r="AB123" s="379"/>
      <c r="AC123" s="99"/>
      <c r="AD123" s="99"/>
      <c r="AE123" s="99"/>
      <c r="AF123" s="99"/>
      <c r="AG123" s="248"/>
      <c r="AH123" s="99"/>
    </row>
    <row r="124" spans="2:37" ht="13.5" customHeight="1">
      <c r="B124" s="327" t="s">
        <v>1984</v>
      </c>
      <c r="C124" s="99">
        <f ca="1">IF(INDIRECT(C$8&amp;"!C"&amp;ROW()-ROW($C$103)+7)="","",INDIRECT(C$8&amp;"!C"&amp;ROW()-ROW($C$103)+7))</f>
        <v>1000</v>
      </c>
      <c r="D124" s="99">
        <f ca="1">IF(INDIRECT(D$8&amp;"!C"&amp;ROW()-ROW($C$103)+7)="","",INDIRECT(D$8&amp;"!C"&amp;ROW()-ROW($C$103)+7))</f>
        <v>1500</v>
      </c>
      <c r="K124" s="99" t="str">
        <f ca="1">IF(INDIRECT(C$8&amp;"!E"&amp;ROW()-ROW($C$103)+7)="","",INDIRECT(C$8&amp;"!E"&amp;ROW()-ROW($C$103)+7))</f>
        <v>Numerical (Larger is better, linear scale)</v>
      </c>
      <c r="L124" s="99" t="b">
        <f ca="1">IF(INDIRECT(C$8&amp;"!F"&amp;ROW()-ROW($C$103)+7)="","",INDIRECT(C$8&amp;"!F"&amp;ROW()-ROW($C$103)+7))</f>
        <v>1</v>
      </c>
      <c r="M124" s="99"/>
      <c r="N124" s="99"/>
      <c r="O124" s="99"/>
      <c r="P124" s="99" t="b">
        <f ca="1">INDIRECT(C$8&amp;"!B"&amp;ROW()-ROW($P$103)+7)=$B124</f>
        <v>1</v>
      </c>
      <c r="Q124" s="99" t="b">
        <f ca="1">INDIRECT(D$8&amp;"!B"&amp;ROW()-ROW($P$103)+7)=$B124</f>
        <v>1</v>
      </c>
      <c r="T124" s="99" t="str">
        <f ca="1">IF(NOT(ISERROR(MATCH(K124,'Lookup Tables'!A:A,0))),"Lookup",IF(OR(NOT(ISERROR(FIND("Numeric",K124))),NOT(ISERROR(FIND("Percentage",K124))),NOT(ISERROR(FIND("Date",K124)))),"Numeric",IF(NOT(ISERROR(FIND("lank",K124))),"Non-blank",IF(NOT(ISERROR(FIND("Not evaluated",K124))),"Skipped","Other"))))</f>
        <v>Numeric</v>
      </c>
      <c r="U124" s="101">
        <f ca="1">IF(COLUMN()-COLUMN($U$55)+1&lt;=$Y123,(C124-MIN($C124:$F124,$Z124:$AA124))/(MAX($AA124,$C124:$F124)-MIN($C124:$F124,$Z124:$AA124)),"")</f>
        <v>0.66666666666666663</v>
      </c>
      <c r="V124" s="101">
        <f ca="1">IF(COLUMN()-COLUMN($U$55)+1&lt;=$Y123,(D124-MIN($C124:$F124,$Z124:$AA124))/(MAX($AA124,$C124:$F124)-MIN($C124:$F124,$Z124:$AA124)),"")</f>
        <v>1</v>
      </c>
      <c r="W124" s="101" t="str">
        <f>IF(COLUMN()-COLUMN($U$55)+1&lt;=$Y123,(E124-MIN($C124:$F124,$Z124:$AA124))/(MAX($AA124,$C124:$F124)-MIN($C124:$F124,$Z124:$AA124)),"")</f>
        <v/>
      </c>
      <c r="X124" s="101" t="str">
        <f>IF(COLUMN()-COLUMN($U$55)+1&lt;=$Y123,(F124-MIN($C124:$F124,$Z124:$AA124))/(MAX($AA124,$C124:$F124)-MIN($C124:$F124,$Z124:$AA124)),"")</f>
        <v/>
      </c>
      <c r="Y124" s="99">
        <f t="shared" si="30"/>
        <v>2</v>
      </c>
      <c r="Z124" s="99">
        <v>0</v>
      </c>
      <c r="AA124" s="99">
        <v>1000</v>
      </c>
      <c r="AB124" s="723" t="s">
        <v>2190</v>
      </c>
      <c r="AC124" s="159" t="s">
        <v>2229</v>
      </c>
      <c r="AD124" s="107">
        <f ca="1">MEDIAN(U124:X124)</f>
        <v>0.83333333333333326</v>
      </c>
      <c r="AE124" s="99" t="b">
        <f ca="1">IF(AD124="","",NOT(L124))</f>
        <v>0</v>
      </c>
      <c r="AF124" s="159" t="s">
        <v>2304</v>
      </c>
      <c r="AG124" s="783">
        <f>COUNTIF('VA Detailed Scorecard Config'!D:D,AF124)</f>
        <v>1</v>
      </c>
      <c r="AH124" s="99"/>
    </row>
    <row r="125" spans="2:37" ht="13.5" customHeight="1">
      <c r="AF125" s="137"/>
      <c r="AG125" s="775"/>
    </row>
    <row r="126" spans="2:37" ht="13.5" customHeight="1">
      <c r="B126" s="704" t="s">
        <v>2019</v>
      </c>
      <c r="C126" s="705"/>
      <c r="D126" s="705"/>
      <c r="E126" s="705"/>
      <c r="F126" s="705"/>
      <c r="G126" s="705"/>
      <c r="H126" s="705"/>
      <c r="I126" s="705"/>
      <c r="J126" s="705"/>
      <c r="K126" s="705"/>
      <c r="L126" s="705"/>
      <c r="M126" s="705"/>
      <c r="N126" s="705"/>
      <c r="O126" s="706"/>
      <c r="P126" s="579" t="s">
        <v>1981</v>
      </c>
      <c r="Q126" s="579"/>
      <c r="R126" s="579"/>
      <c r="S126" s="579"/>
      <c r="T126" s="578" t="s">
        <v>2169</v>
      </c>
      <c r="U126" s="578" t="s">
        <v>2174</v>
      </c>
      <c r="V126" s="578"/>
      <c r="W126" s="578"/>
      <c r="X126" s="578"/>
      <c r="Y126" s="580" t="s">
        <v>2181</v>
      </c>
      <c r="Z126" s="582" t="s">
        <v>2182</v>
      </c>
      <c r="AA126" s="582"/>
      <c r="AB126" s="582"/>
      <c r="AC126" s="581" t="s">
        <v>2197</v>
      </c>
      <c r="AD126" s="581" t="s">
        <v>2225</v>
      </c>
      <c r="AE126" s="776" t="s">
        <v>2226</v>
      </c>
      <c r="AF126" s="767" t="s">
        <v>2246</v>
      </c>
      <c r="AG126" s="764" t="s">
        <v>2278</v>
      </c>
      <c r="AH126" s="767" t="s">
        <v>2277</v>
      </c>
    </row>
    <row r="127" spans="2:37" ht="13.5" customHeight="1">
      <c r="B127" s="417" t="s">
        <v>4</v>
      </c>
      <c r="C127" s="405" t="s">
        <v>801</v>
      </c>
      <c r="F127" s="137"/>
      <c r="G127" s="404" t="s">
        <v>1968</v>
      </c>
      <c r="K127" s="404" t="s">
        <v>1988</v>
      </c>
      <c r="L127" s="404" t="s">
        <v>2219</v>
      </c>
      <c r="M127" s="698" t="s">
        <v>2220</v>
      </c>
      <c r="N127" s="698" t="s">
        <v>2221</v>
      </c>
      <c r="O127" s="698" t="s">
        <v>2222</v>
      </c>
      <c r="P127" s="407" t="s">
        <v>1993</v>
      </c>
      <c r="Q127" s="137"/>
      <c r="R127" s="137"/>
      <c r="S127" s="137"/>
      <c r="T127" s="579"/>
      <c r="U127" s="190" t="s">
        <v>1993</v>
      </c>
      <c r="V127" s="190" t="s">
        <v>1994</v>
      </c>
      <c r="W127" s="190" t="s">
        <v>1995</v>
      </c>
      <c r="X127" s="190" t="s">
        <v>1996</v>
      </c>
      <c r="Y127" s="581"/>
      <c r="Z127" s="381" t="s">
        <v>2183</v>
      </c>
      <c r="AA127" s="381" t="s">
        <v>2184</v>
      </c>
      <c r="AB127" s="381" t="s">
        <v>2185</v>
      </c>
      <c r="AC127" s="769"/>
      <c r="AD127" s="769"/>
      <c r="AE127" s="777"/>
      <c r="AF127" s="768"/>
      <c r="AG127" s="766"/>
      <c r="AH127" s="768"/>
    </row>
    <row r="128" spans="2:37" ht="13.5" customHeight="1">
      <c r="B128" s="327" t="s">
        <v>1909</v>
      </c>
      <c r="C128" s="99" t="str">
        <f t="shared" ref="C128:C159" ca="1" si="39">IF(INDIRECT(C$14&amp;"!C"&amp;ROW()-ROW($C$128)+4)="","",INDIRECT(C$14&amp;"!C"&amp;ROW()-ROW($C$128)+4))</f>
        <v>SampleOrg</v>
      </c>
      <c r="G128" s="99" t="str">
        <f t="shared" ref="G128:G159" ca="1" si="40">IF(INDIRECT($C$14&amp;"!D"&amp;ROW()-ROW($C$128)+4)="","",INDIRECT($C$14&amp;"!D"&amp;ROW()-ROW($C$128)+4))</f>
        <v/>
      </c>
      <c r="K128" s="99" t="str">
        <f t="shared" ref="K128:K159" ca="1" si="41">IF(INDIRECT($C$14&amp;"!E"&amp;ROW()-ROW($C$128)+4)="","",INDIRECT($C$14&amp;"!E"&amp;ROW()-ROW($C$128)+4))</f>
        <v>Org profile link</v>
      </c>
      <c r="L128" s="99" t="b">
        <f t="shared" ref="L128:L159" ca="1" si="42">IF(INDIRECT($C$14&amp;"!F"&amp;ROW()-ROW($C$128)+4)="","",INDIRECT($C$14&amp;"!F"&amp;ROW()-ROW($C$128)+4))</f>
        <v>1</v>
      </c>
      <c r="M128" s="99"/>
      <c r="N128" s="99"/>
      <c r="O128" s="99"/>
      <c r="P128" s="99" t="b">
        <f t="shared" ref="P128:P159" ca="1" si="43">INDIRECT(C$14&amp;"!B"&amp;ROW()-ROW($C$128)+4)=B128</f>
        <v>1</v>
      </c>
      <c r="T128" s="37" t="s">
        <v>2191</v>
      </c>
      <c r="X128" s="137"/>
      <c r="AE128" s="137"/>
      <c r="AF128" s="159"/>
      <c r="AG128" s="248"/>
      <c r="AH128" s="99"/>
    </row>
    <row r="129" spans="2:34" ht="13.5" customHeight="1">
      <c r="B129" s="327" t="s">
        <v>1397</v>
      </c>
      <c r="C129" s="99" t="str">
        <f t="shared" ca="1" si="39"/>
        <v>Scorecarding</v>
      </c>
      <c r="G129" s="99" t="str">
        <f t="shared" ca="1" si="40"/>
        <v/>
      </c>
      <c r="K129" s="99" t="str">
        <f t="shared" ca="1" si="41"/>
        <v>Non-blank required</v>
      </c>
      <c r="L129" s="99" t="b">
        <f t="shared" ca="1" si="42"/>
        <v>1</v>
      </c>
      <c r="M129" s="99"/>
      <c r="N129" s="99"/>
      <c r="O129" s="99"/>
      <c r="P129" s="99" t="b">
        <f t="shared" ca="1" si="43"/>
        <v>1</v>
      </c>
      <c r="T129" s="99" t="str">
        <f ca="1">IF(NOT(ISERROR(MATCH(K129,'Lookup Tables'!A:A,0))),"Lookup",IF(OR(NOT(ISERROR(FIND("Numeric",K129))),NOT(ISERROR(FIND("Percentage",K129))),NOT(ISERROR(FIND("Date",K129)))),"Numeric",IF(NOT(ISERROR(FIND("lank",K129))),"Non-blank",IF(NOT(ISERROR(FIND("Not evaluated",K129))),"Skipped","Other"))))</f>
        <v>Non-blank</v>
      </c>
      <c r="U129" s="461">
        <f ca="1">IF(COLUMN()-COLUMN($U$55)+1&lt;=$Y129,IF(C129="",0,1),"")</f>
        <v>1</v>
      </c>
      <c r="V129" s="461" t="str">
        <f>IF(COLUMN()-COLUMN($U$55)+1&lt;=$Y129,IF(D129="",0,1),"")</f>
        <v/>
      </c>
      <c r="W129" s="461" t="str">
        <f>IF(COLUMN()-COLUMN($U$55)+1&lt;=$Y129,IF(E129="",0,1),"")</f>
        <v/>
      </c>
      <c r="X129" s="465" t="str">
        <f>IF(COLUMN()-COLUMN($U$55)+1&lt;=$Y129,IF(F129="",0,1),"")</f>
        <v/>
      </c>
      <c r="Y129" s="99">
        <f t="shared" ref="Y129:Y191" si="44">COUNTA($C$14:$F$14)</f>
        <v>1</v>
      </c>
      <c r="Z129" s="99"/>
      <c r="AA129" s="99"/>
      <c r="AB129" s="99"/>
      <c r="AC129" s="159" t="s">
        <v>2198</v>
      </c>
      <c r="AD129" s="101">
        <f t="shared" ref="AD129:AD192" ca="1" si="45">IF(U129="","",U129)</f>
        <v>1</v>
      </c>
      <c r="AE129" s="379" t="b">
        <f t="shared" ref="AE129:AE135" ca="1" si="46">IF(AD129="","",NOT(L129))</f>
        <v>0</v>
      </c>
      <c r="AF129" s="159" t="s">
        <v>2307</v>
      </c>
      <c r="AG129" s="783">
        <f>COUNTIF('VA Detailed Scorecard Config'!D:D,AF129)</f>
        <v>0</v>
      </c>
      <c r="AH129" s="99"/>
    </row>
    <row r="130" spans="2:34" ht="13.5" customHeight="1">
      <c r="B130" s="327" t="s">
        <v>1398</v>
      </c>
      <c r="C130" s="99" t="str">
        <f t="shared" ca="1" si="39"/>
        <v>New software for DAO operations</v>
      </c>
      <c r="G130" s="99" t="str">
        <f t="shared" ca="1" si="40"/>
        <v/>
      </c>
      <c r="K130" s="99" t="str">
        <f t="shared" ca="1" si="41"/>
        <v>Focus_Area_Fit</v>
      </c>
      <c r="L130" s="99" t="b">
        <f t="shared" ca="1" si="42"/>
        <v>1</v>
      </c>
      <c r="M130" s="99"/>
      <c r="N130" s="99"/>
      <c r="O130" s="99"/>
      <c r="P130" s="99" t="b">
        <f t="shared" ca="1" si="43"/>
        <v>1</v>
      </c>
      <c r="T130" s="37" t="str">
        <f ca="1">IF(NOT(ISERROR(MATCH(K130,'Lookup Tables'!A:A,0))),"Lookup",IF(OR(NOT(ISERROR(FIND("Numeric",K130))),NOT(ISERROR(FIND("Percentage",K130))),NOT(ISERROR(FIND("Date",K130)))),"Numeric",IF(NOT(ISERROR(FIND("lank",K130))),"Non-blank",IF(NOT(ISERROR(FIND("Not evaluated",K130))),"Skipped","Other"))))</f>
        <v>Lookup</v>
      </c>
      <c r="U130" s="461">
        <f ca="1">IF(COLUMN()-COLUMN($U$55)+1&lt;=$Y130,INDEX(OFFSET(INDIRECT($K130),0,1),MATCH(C130,INDIRECT($K130),0)),"")</f>
        <v>0.75</v>
      </c>
      <c r="V130" s="461" t="str">
        <f ca="1">IF(COLUMN()-COLUMN($U$55)+1&lt;=$Y130,INDEX(OFFSET(INDIRECT($K130),0,1),MATCH(D130,INDIRECT($K130),0)),"")</f>
        <v/>
      </c>
      <c r="W130" s="461" t="str">
        <f ca="1">IF(COLUMN()-COLUMN($U$55)+1&lt;=$Y130,INDEX(OFFSET(INDIRECT($K130),0,1),MATCH(E130,INDIRECT($K130),0)),"")</f>
        <v/>
      </c>
      <c r="X130" s="465" t="str">
        <f ca="1">IF(COLUMN()-COLUMN($U$55)+1&lt;=$Y130,INDEX(OFFSET(INDIRECT($K130),0,1),MATCH(F130,INDIRECT($K130),0)),"")</f>
        <v/>
      </c>
      <c r="Y130" s="99">
        <f t="shared" si="44"/>
        <v>1</v>
      </c>
      <c r="Z130" s="99"/>
      <c r="AA130" s="99"/>
      <c r="AB130" s="99"/>
      <c r="AC130" s="159" t="s">
        <v>2198</v>
      </c>
      <c r="AD130" s="101">
        <f t="shared" ca="1" si="45"/>
        <v>0.75</v>
      </c>
      <c r="AE130" s="379" t="b">
        <f t="shared" ca="1" si="46"/>
        <v>0</v>
      </c>
      <c r="AF130" s="159" t="s">
        <v>2308</v>
      </c>
      <c r="AG130" s="783">
        <f>COUNTIF('VA Detailed Scorecard Config'!D:D,AF130)</f>
        <v>3</v>
      </c>
      <c r="AH130" s="99"/>
    </row>
    <row r="131" spans="2:34" ht="13.5" customHeight="1">
      <c r="B131" s="327" t="s">
        <v>1637</v>
      </c>
      <c r="C131" s="99">
        <f t="shared" ca="1" si="39"/>
        <v>300000</v>
      </c>
      <c r="G131" s="99" t="str">
        <f t="shared" ca="1" si="40"/>
        <v/>
      </c>
      <c r="K131" s="99" t="str">
        <f t="shared" ca="1" si="41"/>
        <v>Numerical value in Euro - can be used as a trigger to show / hide some of the questions below (TBD later)</v>
      </c>
      <c r="L131" s="99" t="b">
        <f t="shared" ca="1" si="42"/>
        <v>1</v>
      </c>
      <c r="M131" s="99"/>
      <c r="N131" s="99"/>
      <c r="O131" s="99"/>
      <c r="P131" s="99" t="b">
        <f t="shared" ca="1" si="43"/>
        <v>1</v>
      </c>
      <c r="T131" s="99" t="str">
        <f ca="1">IF(NOT(ISERROR(MATCH(K131,'Lookup Tables'!A:A,0))),"Lookup",IF(OR(NOT(ISERROR(FIND("Numeric",K131))),NOT(ISERROR(FIND("Percentage",K131))),NOT(ISERROR(FIND("Date",K131)))),"Numeric",IF(NOT(ISERROR(FIND("lank",K131))),"Non-blank",IF(NOT(ISERROR(FIND("Not evaluated",K131))),"Skipped","Other"))))</f>
        <v>Numeric</v>
      </c>
      <c r="U131" s="101">
        <f ca="1">IF(COLUMN()-COLUMN($U$55)+1&lt;=$Y130,1-((LOG(C131+1)-LOG(MIN($C131:$F131,$Z131:$AA131)+1))/(LOG(MAX($AA131,$C131:$F131)+1)-LOG(MIN($C131:$F131,$Z131:$AA131)+1))),"")</f>
        <v>0.35996236982380592</v>
      </c>
      <c r="V131" s="101" t="str">
        <f>IF(COLUMN()-COLUMN($U$55)+1&lt;=$Y130,(LOG(D131+1)-LOG(MIN($C131:$F131,$Z131:$AA131)+1))/(LOG(MAX($AA131,$C131:$F131)+1)-LOG(MIN($C131:$F131,$Z131:$AA131)+1)),"")</f>
        <v/>
      </c>
      <c r="W131" s="101" t="str">
        <f>IF(COLUMN()-COLUMN($U$55)+1&lt;=$Y130,(LOG(E131+1)-LOG(MIN($C131:$F131,$Z131:$AA131)+1))/(LOG(MAX($AA131,$C131:$F131)+1)-LOG(MIN($C131:$F131,$Z131:$AA131)+1)),"")</f>
        <v/>
      </c>
      <c r="X131" s="466" t="str">
        <f>IF(COLUMN()-COLUMN($U$55)+1&lt;=$Y130,(LOG(F131+1)-LOG(MIN($C131:$F131,$Z131:$AA131)+1))/(LOG(MAX($AA131,$C131:$F131)+1)-LOG(MIN($C131:$F131,$Z131:$AA131)+1)),"")</f>
        <v/>
      </c>
      <c r="Y131" s="99">
        <f>COUNTA($C$2:$F$2)</f>
        <v>1</v>
      </c>
      <c r="Z131" s="99">
        <v>5000</v>
      </c>
      <c r="AA131" s="99">
        <v>3000000</v>
      </c>
      <c r="AB131" s="159" t="s">
        <v>2192</v>
      </c>
      <c r="AC131" s="159" t="s">
        <v>2198</v>
      </c>
      <c r="AD131" s="101">
        <f t="shared" ca="1" si="45"/>
        <v>0.35996236982380592</v>
      </c>
      <c r="AE131" s="379" t="b">
        <f t="shared" ca="1" si="46"/>
        <v>0</v>
      </c>
      <c r="AF131" s="159" t="s">
        <v>2309</v>
      </c>
      <c r="AG131" s="783">
        <f>COUNTIF('VA Detailed Scorecard Config'!D:D,AF131)</f>
        <v>1</v>
      </c>
      <c r="AH131" s="99"/>
    </row>
    <row r="132" spans="2:34" ht="13.5" customHeight="1">
      <c r="B132" s="344" t="s">
        <v>1911</v>
      </c>
      <c r="C132" s="99" t="str">
        <f t="shared" ca="1" si="39"/>
        <v>No</v>
      </c>
      <c r="G132" s="99" t="str">
        <f t="shared" ca="1" si="40"/>
        <v/>
      </c>
      <c r="K132" s="99" t="str">
        <f t="shared" ca="1" si="41"/>
        <v>NO_Yes</v>
      </c>
      <c r="L132" s="99" t="b">
        <f t="shared" ca="1" si="42"/>
        <v>1</v>
      </c>
      <c r="M132" s="99"/>
      <c r="N132" s="99"/>
      <c r="O132" s="99"/>
      <c r="P132" s="99" t="b">
        <f t="shared" ca="1" si="43"/>
        <v>1</v>
      </c>
      <c r="T132" s="37" t="str">
        <f ca="1">IF(NOT(ISERROR(MATCH(K132,'Lookup Tables'!A:A,0))),"Lookup",IF(OR(NOT(ISERROR(FIND("Numeric",K132))),NOT(ISERROR(FIND("Percentage",K132))),NOT(ISERROR(FIND("Date",K132)))),"Numeric",IF(NOT(ISERROR(FIND("lank",K132))),"Non-blank",IF(NOT(ISERROR(FIND("Not evaluated",K132))),"Skipped","Other"))))</f>
        <v>Lookup</v>
      </c>
      <c r="U132" s="461">
        <f ca="1">IF(COLUMN()-COLUMN($U$55)+1&lt;=$Y132,INDEX(OFFSET(INDIRECT($K132),0,1),MATCH(C132,INDIRECT($K132),0)),"")</f>
        <v>1</v>
      </c>
      <c r="V132" s="461" t="str">
        <f ca="1">IF(COLUMN()-COLUMN($U$55)+1&lt;=$Y132,INDEX(OFFSET(INDIRECT($K132),0,1),MATCH(D132,INDIRECT($K132),0)),"")</f>
        <v/>
      </c>
      <c r="W132" s="461" t="str">
        <f ca="1">IF(COLUMN()-COLUMN($U$55)+1&lt;=$Y132,INDEX(OFFSET(INDIRECT($K132),0,1),MATCH(E132,INDIRECT($K132),0)),"")</f>
        <v/>
      </c>
      <c r="X132" s="465" t="str">
        <f ca="1">IF(COLUMN()-COLUMN($U$55)+1&lt;=$Y132,INDEX(OFFSET(INDIRECT($K132),0,1),MATCH(F132,INDIRECT($K132),0)),"")</f>
        <v/>
      </c>
      <c r="Y132" s="99">
        <f t="shared" si="44"/>
        <v>1</v>
      </c>
      <c r="Z132" s="99"/>
      <c r="AA132" s="99"/>
      <c r="AB132" s="99"/>
      <c r="AC132" s="159" t="s">
        <v>2198</v>
      </c>
      <c r="AD132" s="101">
        <f t="shared" ca="1" si="45"/>
        <v>1</v>
      </c>
      <c r="AE132" s="379" t="b">
        <f t="shared" ca="1" si="46"/>
        <v>0</v>
      </c>
      <c r="AF132" s="159" t="s">
        <v>2310</v>
      </c>
      <c r="AG132" s="783">
        <f>COUNTIF('VA Detailed Scorecard Config'!D:D,AF132)</f>
        <v>1</v>
      </c>
      <c r="AH132" s="99"/>
    </row>
    <row r="133" spans="2:34" ht="13.5" customHeight="1">
      <c r="B133" s="327" t="s">
        <v>1636</v>
      </c>
      <c r="C133" s="99" t="str">
        <f t="shared" ca="1" si="39"/>
        <v>Ongoing program for fixed duration</v>
      </c>
      <c r="G133" s="99" t="str">
        <f t="shared" ca="1" si="40"/>
        <v/>
      </c>
      <c r="K133" s="99" t="str">
        <f t="shared" ca="1" si="41"/>
        <v>Project_Program</v>
      </c>
      <c r="L133" s="99" t="b">
        <f t="shared" ca="1" si="42"/>
        <v>1</v>
      </c>
      <c r="M133" s="99"/>
      <c r="N133" s="99"/>
      <c r="O133" s="99"/>
      <c r="P133" s="99" t="b">
        <f t="shared" ca="1" si="43"/>
        <v>1</v>
      </c>
      <c r="T133" s="37" t="str">
        <f ca="1">IF(NOT(ISERROR(MATCH(K133,'Lookup Tables'!A:A,0))),"Lookup",IF(OR(NOT(ISERROR(FIND("Numeric",K133))),NOT(ISERROR(FIND("Percentage",K133))),NOT(ISERROR(FIND("Date",K133)))),"Numeric",IF(NOT(ISERROR(FIND("lank",K133))),"Non-blank",IF(NOT(ISERROR(FIND("Not evaluated",K133))),"Skipped","Other"))))</f>
        <v>Lookup</v>
      </c>
      <c r="U133" s="461">
        <f ca="1">IF(COLUMN()-COLUMN($U$55)+1&lt;=$Y133,INDEX(OFFSET(INDIRECT($K133),0,1),MATCH(C133,INDIRECT($K133),0)),"")</f>
        <v>1</v>
      </c>
      <c r="V133" s="461" t="str">
        <f ca="1">IF(COLUMN()-COLUMN($U$55)+1&lt;=$Y133,INDEX(OFFSET(INDIRECT($K133),0,1),MATCH(D133,INDIRECT($K133),0)),"")</f>
        <v/>
      </c>
      <c r="W133" s="461" t="str">
        <f ca="1">IF(COLUMN()-COLUMN($U$55)+1&lt;=$Y133,INDEX(OFFSET(INDIRECT($K133),0,1),MATCH(E133,INDIRECT($K133),0)),"")</f>
        <v/>
      </c>
      <c r="X133" s="465" t="str">
        <f ca="1">IF(COLUMN()-COLUMN($U$55)+1&lt;=$Y133,INDEX(OFFSET(INDIRECT($K133),0,1),MATCH(F133,INDIRECT($K133),0)),"")</f>
        <v/>
      </c>
      <c r="Y133" s="99">
        <f t="shared" si="44"/>
        <v>1</v>
      </c>
      <c r="Z133" s="99"/>
      <c r="AA133" s="99"/>
      <c r="AB133" s="99"/>
      <c r="AC133" s="159" t="s">
        <v>2198</v>
      </c>
      <c r="AD133" s="101">
        <f t="shared" ca="1" si="45"/>
        <v>1</v>
      </c>
      <c r="AE133" s="379" t="b">
        <f t="shared" ca="1" si="46"/>
        <v>0</v>
      </c>
      <c r="AF133" s="159" t="s">
        <v>2311</v>
      </c>
      <c r="AG133" s="783">
        <f>COUNTIF('VA Detailed Scorecard Config'!D:D,AF133)</f>
        <v>0</v>
      </c>
      <c r="AH133" s="99"/>
    </row>
    <row r="134" spans="2:34" ht="13.5" customHeight="1">
      <c r="B134" s="344" t="s">
        <v>1625</v>
      </c>
      <c r="C134" s="99" t="str">
        <f t="shared" ca="1" si="39"/>
        <v>We will build a scorecard for DEVxDAO to evaluate grant proposals</v>
      </c>
      <c r="G134" s="99" t="str">
        <f t="shared" ca="1" si="40"/>
        <v/>
      </c>
      <c r="K134" s="99" t="str">
        <f t="shared" ca="1" si="41"/>
        <v>Non-blank is better</v>
      </c>
      <c r="L134" s="99" t="b">
        <f t="shared" ca="1" si="42"/>
        <v>1</v>
      </c>
      <c r="M134" s="99"/>
      <c r="N134" s="99"/>
      <c r="O134" s="99"/>
      <c r="P134" s="99" t="b">
        <f t="shared" ca="1" si="43"/>
        <v>1</v>
      </c>
      <c r="T134" s="99" t="str">
        <f ca="1">IF(NOT(ISERROR(MATCH(K134,'Lookup Tables'!A:A,0))),"Lookup",IF(OR(NOT(ISERROR(FIND("Numeric",K134))),NOT(ISERROR(FIND("Percentage",K134))),NOT(ISERROR(FIND("Date",K134)))),"Numeric",IF(NOT(ISERROR(FIND("lank",K134))),"Non-blank",IF(NOT(ISERROR(FIND("Not evaluated",K134))),"Skipped","Other"))))</f>
        <v>Non-blank</v>
      </c>
      <c r="U134" s="461">
        <f ca="1">IF(COLUMN()-COLUMN($U$55)+1&lt;=$Y134,IF(C134="",0,1),"")</f>
        <v>1</v>
      </c>
      <c r="V134" s="461" t="str">
        <f>IF(COLUMN()-COLUMN($U$55)+1&lt;=$Y134,IF(D134="",0,1),"")</f>
        <v/>
      </c>
      <c r="W134" s="461" t="str">
        <f>IF(COLUMN()-COLUMN($U$55)+1&lt;=$Y134,IF(E134="",0,1),"")</f>
        <v/>
      </c>
      <c r="X134" s="465" t="str">
        <f>IF(COLUMN()-COLUMN($U$55)+1&lt;=$Y134,IF(F134="",0,1),"")</f>
        <v/>
      </c>
      <c r="Y134" s="99">
        <f t="shared" si="44"/>
        <v>1</v>
      </c>
      <c r="Z134" s="99"/>
      <c r="AA134" s="99"/>
      <c r="AB134" s="99"/>
      <c r="AC134" s="159" t="s">
        <v>2198</v>
      </c>
      <c r="AD134" s="101">
        <f t="shared" ca="1" si="45"/>
        <v>1</v>
      </c>
      <c r="AE134" s="379" t="b">
        <f t="shared" ca="1" si="46"/>
        <v>0</v>
      </c>
      <c r="AF134" s="159" t="s">
        <v>2312</v>
      </c>
      <c r="AG134" s="783">
        <f>COUNTIF('VA Detailed Scorecard Config'!D:D,AF134)</f>
        <v>0</v>
      </c>
      <c r="AH134" s="99"/>
    </row>
    <row r="135" spans="2:34" ht="13.5" customHeight="1">
      <c r="B135" s="344" t="s">
        <v>1682</v>
      </c>
      <c r="C135" s="99" t="str">
        <f t="shared" ca="1" si="39"/>
        <v>Loom URL</v>
      </c>
      <c r="G135" s="99" t="str">
        <f t="shared" ca="1" si="40"/>
        <v/>
      </c>
      <c r="K135" s="99" t="str">
        <f t="shared" ca="1" si="41"/>
        <v>Non-blank is better</v>
      </c>
      <c r="L135" s="99" t="b">
        <f t="shared" ca="1" si="42"/>
        <v>1</v>
      </c>
      <c r="M135" s="99"/>
      <c r="N135" s="99"/>
      <c r="O135" s="99"/>
      <c r="P135" s="99" t="b">
        <f t="shared" ca="1" si="43"/>
        <v>1</v>
      </c>
      <c r="T135" s="99" t="str">
        <f ca="1">IF(NOT(ISERROR(MATCH(K135,'Lookup Tables'!A:A,0))),"Lookup",IF(OR(NOT(ISERROR(FIND("Numeric",K135))),NOT(ISERROR(FIND("Percentage",K135))),NOT(ISERROR(FIND("Date",K135)))),"Numeric",IF(NOT(ISERROR(FIND("lank",K135))),"Non-blank",IF(NOT(ISERROR(FIND("Not evaluated",K135))),"Skipped","Other"))))</f>
        <v>Non-blank</v>
      </c>
      <c r="U135" s="461">
        <f ca="1">IF(COLUMN()-COLUMN($U$55)+1&lt;=$Y135,IF(C135="",0,1),"")</f>
        <v>1</v>
      </c>
      <c r="V135" s="461" t="str">
        <f>IF(COLUMN()-COLUMN($U$55)+1&lt;=$Y135,IF(D135="",0,1),"")</f>
        <v/>
      </c>
      <c r="W135" s="461" t="str">
        <f>IF(COLUMN()-COLUMN($U$55)+1&lt;=$Y135,IF(E135="",0,1),"")</f>
        <v/>
      </c>
      <c r="X135" s="465" t="str">
        <f>IF(COLUMN()-COLUMN($U$55)+1&lt;=$Y135,IF(F135="",0,1),"")</f>
        <v/>
      </c>
      <c r="Y135" s="99">
        <f t="shared" si="44"/>
        <v>1</v>
      </c>
      <c r="Z135" s="99"/>
      <c r="AA135" s="99"/>
      <c r="AB135" s="99"/>
      <c r="AC135" s="159" t="s">
        <v>2198</v>
      </c>
      <c r="AD135" s="101">
        <f t="shared" ca="1" si="45"/>
        <v>1</v>
      </c>
      <c r="AE135" s="379" t="b">
        <f t="shared" ca="1" si="46"/>
        <v>0</v>
      </c>
      <c r="AF135" s="159" t="s">
        <v>2313</v>
      </c>
      <c r="AG135" s="783">
        <f>COUNTIF('VA Detailed Scorecard Config'!D:D,AF135)</f>
        <v>0</v>
      </c>
      <c r="AH135" s="99"/>
    </row>
    <row r="136" spans="2:34" ht="13.5" customHeight="1">
      <c r="B136" s="344" t="s">
        <v>1748</v>
      </c>
      <c r="C136" s="99" t="str">
        <f t="shared" ca="1" si="39"/>
        <v/>
      </c>
      <c r="G136" s="99" t="str">
        <f t="shared" ca="1" si="40"/>
        <v/>
      </c>
      <c r="K136" s="99" t="str">
        <f t="shared" ca="1" si="41"/>
        <v>Leads to Milestone record creation</v>
      </c>
      <c r="L136" s="99" t="b">
        <f t="shared" ca="1" si="42"/>
        <v>1</v>
      </c>
      <c r="M136" s="99"/>
      <c r="N136" s="99"/>
      <c r="O136" s="99"/>
      <c r="P136" s="99" t="b">
        <f t="shared" ca="1" si="43"/>
        <v>1</v>
      </c>
      <c r="T136" s="37" t="str">
        <f ca="1">IF(NOT(ISERROR(MATCH(K136,'Lookup Tables'!A:A,0))),"Lookup",IF(OR(NOT(ISERROR(FIND("Numeric",K136))),NOT(ISERROR(FIND("Percentage",K136))),NOT(ISERROR(FIND("Date",K136)))),"Numeric",IF(NOT(ISERROR(FIND("lank",K136))),"Non-blank",IF(NOT(ISERROR(FIND("Not evaluated",K136))),"Skipped","Other"))))</f>
        <v>Other</v>
      </c>
      <c r="X136" s="137"/>
      <c r="Y136" s="99">
        <f t="shared" si="44"/>
        <v>1</v>
      </c>
      <c r="Z136" s="99"/>
      <c r="AA136" s="99"/>
      <c r="AB136" s="99"/>
      <c r="AC136" s="159"/>
      <c r="AD136" s="101" t="str">
        <f t="shared" si="45"/>
        <v/>
      </c>
      <c r="AE136" s="379" t="str">
        <f t="shared" ref="AE136:AE188" si="47">IF(AD136="","",NOT(P136))</f>
        <v/>
      </c>
      <c r="AF136" s="99"/>
      <c r="AG136" s="248"/>
      <c r="AH136" s="99"/>
    </row>
    <row r="137" spans="2:34" ht="13.5" customHeight="1">
      <c r="B137" s="239" t="s">
        <v>2075</v>
      </c>
      <c r="C137" s="99" t="str">
        <f t="shared" ca="1" si="39"/>
        <v>Decentralization</v>
      </c>
      <c r="G137" s="99" t="str">
        <f t="shared" ca="1" si="40"/>
        <v/>
      </c>
      <c r="K137" s="99" t="str">
        <f t="shared" ca="1" si="41"/>
        <v>Mission_Fit</v>
      </c>
      <c r="L137" s="99" t="b">
        <f t="shared" ca="1" si="42"/>
        <v>1</v>
      </c>
      <c r="M137" s="99"/>
      <c r="N137" s="99"/>
      <c r="O137" s="99"/>
      <c r="P137" s="99" t="b">
        <f t="shared" ca="1" si="43"/>
        <v>1</v>
      </c>
      <c r="T137" s="37" t="str">
        <f ca="1">IF(NOT(ISERROR(MATCH(K137,'Lookup Tables'!A:A,0))),"Lookup",IF(OR(NOT(ISERROR(FIND("Numeric",K137))),NOT(ISERROR(FIND("Percentage",K137))),NOT(ISERROR(FIND("Date",K137)))),"Numeric",IF(NOT(ISERROR(FIND("lank",K137))),"Non-blank",IF(NOT(ISERROR(FIND("Not evaluated",K137))),"Skipped","Other"))))</f>
        <v>Lookup</v>
      </c>
      <c r="U137" s="461">
        <f ca="1">IF(COLUMN()-COLUMN($U$55)+1&lt;=$Y137,INDEX(OFFSET(INDIRECT($K137),0,1),MATCH(C137,INDIRECT($K137),0)),"")</f>
        <v>1</v>
      </c>
      <c r="V137" s="461" t="str">
        <f ca="1">IF(COLUMN()-COLUMN($U$55)+1&lt;=$Y137,INDEX(OFFSET(INDIRECT($K137),0,1),MATCH(D137,INDIRECT($K137),0)),"")</f>
        <v/>
      </c>
      <c r="W137" s="461" t="str">
        <f ca="1">IF(COLUMN()-COLUMN($U$55)+1&lt;=$Y137,INDEX(OFFSET(INDIRECT($K137),0,1),MATCH(E137,INDIRECT($K137),0)),"")</f>
        <v/>
      </c>
      <c r="X137" s="465" t="str">
        <f ca="1">IF(COLUMN()-COLUMN($U$55)+1&lt;=$Y137,INDEX(OFFSET(INDIRECT($K137),0,1),MATCH(F137,INDIRECT($K137),0)),"")</f>
        <v/>
      </c>
      <c r="Y137" s="99">
        <f t="shared" si="44"/>
        <v>1</v>
      </c>
      <c r="Z137" s="99"/>
      <c r="AA137" s="99"/>
      <c r="AB137" s="99"/>
      <c r="AC137" s="159" t="s">
        <v>2198</v>
      </c>
      <c r="AD137" s="101">
        <f t="shared" ca="1" si="45"/>
        <v>1</v>
      </c>
      <c r="AE137" s="379" t="b">
        <f t="shared" ref="AE137:AE138" ca="1" si="48">IF(AD137="","",NOT(L137))</f>
        <v>0</v>
      </c>
      <c r="AF137" s="159" t="s">
        <v>2314</v>
      </c>
      <c r="AG137" s="783">
        <f>COUNTIF('VA Detailed Scorecard Config'!D:D,AF137)</f>
        <v>1</v>
      </c>
      <c r="AH137" s="99"/>
    </row>
    <row r="138" spans="2:34" ht="13.5" customHeight="1">
      <c r="B138" s="327" t="s">
        <v>1671</v>
      </c>
      <c r="C138" s="99" t="str">
        <f t="shared" ca="1" si="39"/>
        <v>We enable decentralized organizations make more efficient decisions by creating data analysis tools for them</v>
      </c>
      <c r="G138" s="99" t="str">
        <f t="shared" ca="1" si="40"/>
        <v/>
      </c>
      <c r="K138" s="99" t="str">
        <f t="shared" ca="1" si="41"/>
        <v>Non-blank is better</v>
      </c>
      <c r="L138" s="99" t="b">
        <f t="shared" ca="1" si="42"/>
        <v>1</v>
      </c>
      <c r="M138" s="99"/>
      <c r="N138" s="99"/>
      <c r="O138" s="99"/>
      <c r="P138" s="99" t="b">
        <f t="shared" ca="1" si="43"/>
        <v>1</v>
      </c>
      <c r="T138" s="99" t="str">
        <f ca="1">IF(NOT(ISERROR(MATCH(K138,'Lookup Tables'!A:A,0))),"Lookup",IF(OR(NOT(ISERROR(FIND("Numeric",K138))),NOT(ISERROR(FIND("Percentage",K138))),NOT(ISERROR(FIND("Date",K138)))),"Numeric",IF(NOT(ISERROR(FIND("lank",K138))),"Non-blank",IF(NOT(ISERROR(FIND("Not evaluated",K138))),"Skipped","Other"))))</f>
        <v>Non-blank</v>
      </c>
      <c r="U138" s="461">
        <f ca="1">IF(COLUMN()-COLUMN($U$55)+1&lt;=$Y138,IF(C138="",0,1),"")</f>
        <v>1</v>
      </c>
      <c r="V138" s="461" t="str">
        <f>IF(COLUMN()-COLUMN($U$55)+1&lt;=$Y138,IF(D138="",0,1),"")</f>
        <v/>
      </c>
      <c r="W138" s="461" t="str">
        <f>IF(COLUMN()-COLUMN($U$55)+1&lt;=$Y138,IF(E138="",0,1),"")</f>
        <v/>
      </c>
      <c r="X138" s="465" t="str">
        <f>IF(COLUMN()-COLUMN($U$55)+1&lt;=$Y138,IF(F138="",0,1),"")</f>
        <v/>
      </c>
      <c r="Y138" s="99">
        <f t="shared" si="44"/>
        <v>1</v>
      </c>
      <c r="Z138" s="99"/>
      <c r="AA138" s="99"/>
      <c r="AB138" s="99"/>
      <c r="AC138" s="159" t="s">
        <v>2198</v>
      </c>
      <c r="AD138" s="101">
        <f t="shared" ca="1" si="45"/>
        <v>1</v>
      </c>
      <c r="AE138" s="379" t="b">
        <f t="shared" ca="1" si="48"/>
        <v>0</v>
      </c>
      <c r="AF138" s="159" t="s">
        <v>2315</v>
      </c>
      <c r="AG138" s="783">
        <f>COUNTIF('VA Detailed Scorecard Config'!D:D,AF138)</f>
        <v>1</v>
      </c>
      <c r="AH138" s="99"/>
    </row>
    <row r="139" spans="2:34" ht="13.5" customHeight="1">
      <c r="B139" s="344" t="s">
        <v>2020</v>
      </c>
      <c r="C139" s="99" t="str">
        <f t="shared" ca="1" si="39"/>
        <v/>
      </c>
      <c r="G139" s="99" t="str">
        <f t="shared" ca="1" si="40"/>
        <v/>
      </c>
      <c r="K139" s="99" t="str">
        <f t="shared" ca="1" si="41"/>
        <v>Existing_Problems</v>
      </c>
      <c r="L139" s="99" t="b">
        <f t="shared" ca="1" si="42"/>
        <v>0</v>
      </c>
      <c r="M139" s="99"/>
      <c r="N139" s="99"/>
      <c r="O139" s="99"/>
      <c r="P139" s="99" t="b">
        <f t="shared" ca="1" si="43"/>
        <v>1</v>
      </c>
      <c r="T139" s="37" t="str">
        <f ca="1">IF(NOT(ISERROR(MATCH(K139,'Lookup Tables'!A:A,0))),"Lookup",IF(OR(NOT(ISERROR(FIND("Numeric",K139))),NOT(ISERROR(FIND("Percentage",K139))),NOT(ISERROR(FIND("Date",K139)))),"Numeric",IF(NOT(ISERROR(FIND("lank",K139))),"Non-blank",IF(NOT(ISERROR(FIND("Not evaluated",K139))),"Skipped","Other"))))</f>
        <v>Lookup</v>
      </c>
      <c r="U139" s="461">
        <f ca="1">IF(COLUMN()-COLUMN($U$55)+1&lt;=$Y139,INDEX(OFFSET(INDIRECT($K139),0,1),MATCH(C139,INDIRECT($K139),0)),"")</f>
        <v>0</v>
      </c>
      <c r="V139" s="461" t="str">
        <f ca="1">IF(COLUMN()-COLUMN($U$55)+1&lt;=$Y139,INDEX(OFFSET(INDIRECT($K139),0,1),MATCH(D139,INDIRECT($K139),0)),"")</f>
        <v/>
      </c>
      <c r="W139" s="461" t="str">
        <f ca="1">IF(COLUMN()-COLUMN($U$55)+1&lt;=$Y139,INDEX(OFFSET(INDIRECT($K139),0,1),MATCH(E139,INDIRECT($K139),0)),"")</f>
        <v/>
      </c>
      <c r="X139" s="465" t="str">
        <f ca="1">IF(COLUMN()-COLUMN($U$55)+1&lt;=$Y139,INDEX(OFFSET(INDIRECT($K139),0,1),MATCH(F139,INDIRECT($K139),0)),"")</f>
        <v/>
      </c>
      <c r="Y139" s="99">
        <f t="shared" si="44"/>
        <v>1</v>
      </c>
      <c r="Z139" s="99"/>
      <c r="AA139" s="99"/>
      <c r="AB139" s="99"/>
      <c r="AC139" s="159" t="s">
        <v>2317</v>
      </c>
      <c r="AD139" s="101">
        <f ca="1">MIN(1,SUM(U139:U141))</f>
        <v>0</v>
      </c>
      <c r="AE139" s="379" t="b">
        <f ca="1">IF(AD139="","",NOT(L139))</f>
        <v>1</v>
      </c>
      <c r="AF139" s="159" t="s">
        <v>2316</v>
      </c>
      <c r="AG139" s="783">
        <f>COUNTIF('VA Detailed Scorecard Config'!D:D,AF139)</f>
        <v>1</v>
      </c>
      <c r="AH139" s="99"/>
    </row>
    <row r="140" spans="2:34" ht="13.5" customHeight="1">
      <c r="B140" s="327" t="s">
        <v>2021</v>
      </c>
      <c r="C140" s="99" t="str">
        <f t="shared" ca="1" si="39"/>
        <v/>
      </c>
      <c r="G140" s="99" t="str">
        <f t="shared" ca="1" si="40"/>
        <v/>
      </c>
      <c r="K140" s="99" t="str">
        <f t="shared" ca="1" si="41"/>
        <v>Existing_Problems</v>
      </c>
      <c r="L140" s="99" t="b">
        <f t="shared" ca="1" si="42"/>
        <v>0</v>
      </c>
      <c r="M140" s="99"/>
      <c r="N140" s="99"/>
      <c r="O140" s="99"/>
      <c r="P140" s="99" t="b">
        <f t="shared" ca="1" si="43"/>
        <v>1</v>
      </c>
      <c r="T140" s="37" t="str">
        <f ca="1">IF(NOT(ISERROR(MATCH(K140,'Lookup Tables'!A:A,0))),"Lookup",IF(OR(NOT(ISERROR(FIND("Numeric",K140))),NOT(ISERROR(FIND("Percentage",K140))),NOT(ISERROR(FIND("Date",K140)))),"Numeric",IF(NOT(ISERROR(FIND("lank",K140))),"Non-blank",IF(NOT(ISERROR(FIND("Not evaluated",K140))),"Skipped","Other"))))</f>
        <v>Lookup</v>
      </c>
      <c r="U140" s="461">
        <f ca="1">IF(COLUMN()-COLUMN($U$55)+1&lt;=$Y140,INDEX(OFFSET(INDIRECT($K140),0,1),MATCH(C140,INDIRECT($K140),0)),"")</f>
        <v>0</v>
      </c>
      <c r="V140" s="461" t="str">
        <f ca="1">IF(COLUMN()-COLUMN($U$55)+1&lt;=$Y140,INDEX(OFFSET(INDIRECT($K140),0,1),MATCH(D140,INDIRECT($K140),0)),"")</f>
        <v/>
      </c>
      <c r="W140" s="461" t="str">
        <f ca="1">IF(COLUMN()-COLUMN($U$55)+1&lt;=$Y140,INDEX(OFFSET(INDIRECT($K140),0,1),MATCH(E140,INDIRECT($K140),0)),"")</f>
        <v/>
      </c>
      <c r="X140" s="465" t="str">
        <f ca="1">IF(COLUMN()-COLUMN($U$55)+1&lt;=$Y140,INDEX(OFFSET(INDIRECT($K140),0,1),MATCH(F140,INDIRECT($K140),0)),"")</f>
        <v/>
      </c>
      <c r="Y140" s="99">
        <f t="shared" si="44"/>
        <v>1</v>
      </c>
      <c r="Z140" s="99"/>
      <c r="AA140" s="99"/>
      <c r="AB140" s="99"/>
      <c r="AC140" s="159"/>
      <c r="AD140" s="101"/>
      <c r="AE140" s="379" t="str">
        <f t="shared" ref="AE140:AE142" si="49">IF(AD140="","",NOT(L140))</f>
        <v/>
      </c>
      <c r="AF140" s="99"/>
      <c r="AG140" s="248"/>
      <c r="AH140" s="99"/>
    </row>
    <row r="141" spans="2:34" ht="13.5" customHeight="1">
      <c r="B141" s="327" t="s">
        <v>2022</v>
      </c>
      <c r="C141" s="99" t="str">
        <f t="shared" ca="1" si="39"/>
        <v/>
      </c>
      <c r="G141" s="99" t="str">
        <f t="shared" ca="1" si="40"/>
        <v/>
      </c>
      <c r="K141" s="99" t="str">
        <f t="shared" ca="1" si="41"/>
        <v>Existing_Problems</v>
      </c>
      <c r="L141" s="99" t="b">
        <f t="shared" ca="1" si="42"/>
        <v>0</v>
      </c>
      <c r="M141" s="99"/>
      <c r="N141" s="99"/>
      <c r="O141" s="99"/>
      <c r="P141" s="99" t="b">
        <f t="shared" ca="1" si="43"/>
        <v>1</v>
      </c>
      <c r="T141" s="37" t="str">
        <f ca="1">IF(NOT(ISERROR(MATCH(K141,'Lookup Tables'!A:A,0))),"Lookup",IF(OR(NOT(ISERROR(FIND("Numeric",K141))),NOT(ISERROR(FIND("Percentage",K141))),NOT(ISERROR(FIND("Date",K141)))),"Numeric",IF(NOT(ISERROR(FIND("lank",K141))),"Non-blank",IF(NOT(ISERROR(FIND("Not evaluated",K141))),"Skipped","Other"))))</f>
        <v>Lookup</v>
      </c>
      <c r="U141" s="461">
        <f ca="1">IF(COLUMN()-COLUMN($U$55)+1&lt;=$Y141,INDEX(OFFSET(INDIRECT($K141),0,1),MATCH(C141,INDIRECT($K141),0)),"")</f>
        <v>0</v>
      </c>
      <c r="V141" s="461" t="str">
        <f ca="1">IF(COLUMN()-COLUMN($U$55)+1&lt;=$Y141,INDEX(OFFSET(INDIRECT($K141),0,1),MATCH(D141,INDIRECT($K141),0)),"")</f>
        <v/>
      </c>
      <c r="W141" s="461" t="str">
        <f ca="1">IF(COLUMN()-COLUMN($U$55)+1&lt;=$Y141,INDEX(OFFSET(INDIRECT($K141),0,1),MATCH(E141,INDIRECT($K141),0)),"")</f>
        <v/>
      </c>
      <c r="X141" s="465" t="str">
        <f ca="1">IF(COLUMN()-COLUMN($U$55)+1&lt;=$Y141,INDEX(OFFSET(INDIRECT($K141),0,1),MATCH(F141,INDIRECT($K141),0)),"")</f>
        <v/>
      </c>
      <c r="Y141" s="99">
        <f t="shared" si="44"/>
        <v>1</v>
      </c>
      <c r="Z141" s="99"/>
      <c r="AA141" s="99"/>
      <c r="AB141" s="99"/>
      <c r="AC141" s="159"/>
      <c r="AD141" s="101"/>
      <c r="AE141" s="379" t="str">
        <f t="shared" si="49"/>
        <v/>
      </c>
      <c r="AF141" s="99"/>
      <c r="AG141" s="248"/>
      <c r="AH141" s="99"/>
    </row>
    <row r="142" spans="2:34" ht="13.5" customHeight="1">
      <c r="B142" s="327" t="s">
        <v>1626</v>
      </c>
      <c r="C142" s="99" t="str">
        <f t="shared" ca="1" si="39"/>
        <v>Grant evaluation process does not collect appropriate data or use it optimally to make decisions</v>
      </c>
      <c r="G142" s="99" t="str">
        <f t="shared" ca="1" si="40"/>
        <v/>
      </c>
      <c r="K142" s="99" t="str">
        <f t="shared" ca="1" si="41"/>
        <v>Non-blank is better</v>
      </c>
      <c r="L142" s="99" t="b">
        <f t="shared" ca="1" si="42"/>
        <v>1</v>
      </c>
      <c r="M142" s="99"/>
      <c r="N142" s="99"/>
      <c r="O142" s="99"/>
      <c r="P142" s="99" t="b">
        <f t="shared" ca="1" si="43"/>
        <v>1</v>
      </c>
      <c r="T142" s="99" t="str">
        <f ca="1">IF(NOT(ISERROR(MATCH(K142,'Lookup Tables'!A:A,0))),"Lookup",IF(OR(NOT(ISERROR(FIND("Numeric",K142))),NOT(ISERROR(FIND("Percentage",K142))),NOT(ISERROR(FIND("Date",K142)))),"Numeric",IF(NOT(ISERROR(FIND("lank",K142))),"Non-blank",IF(NOT(ISERROR(FIND("Not evaluated",K142))),"Skipped","Other"))))</f>
        <v>Non-blank</v>
      </c>
      <c r="U142" s="461">
        <f ca="1">IF(COLUMN()-COLUMN($U$55)+1&lt;=$Y142,IF(C142="",0,1),"")</f>
        <v>1</v>
      </c>
      <c r="V142" s="461" t="str">
        <f>IF(COLUMN()-COLUMN($U$55)+1&lt;=$Y142,IF(D142="",0,1),"")</f>
        <v/>
      </c>
      <c r="W142" s="461" t="str">
        <f>IF(COLUMN()-COLUMN($U$55)+1&lt;=$Y142,IF(E142="",0,1),"")</f>
        <v/>
      </c>
      <c r="X142" s="465" t="str">
        <f>IF(COLUMN()-COLUMN($U$55)+1&lt;=$Y142,IF(F142="",0,1),"")</f>
        <v/>
      </c>
      <c r="Y142" s="99">
        <f t="shared" si="44"/>
        <v>1</v>
      </c>
      <c r="Z142" s="99"/>
      <c r="AA142" s="99"/>
      <c r="AB142" s="99"/>
      <c r="AC142" s="159" t="s">
        <v>2198</v>
      </c>
      <c r="AD142" s="101">
        <f t="shared" ca="1" si="45"/>
        <v>1</v>
      </c>
      <c r="AE142" s="379" t="b">
        <f t="shared" ca="1" si="49"/>
        <v>0</v>
      </c>
      <c r="AF142" s="159" t="s">
        <v>2318</v>
      </c>
      <c r="AG142" s="783">
        <f>COUNTIF('VA Detailed Scorecard Config'!D:D,AF142)</f>
        <v>1</v>
      </c>
      <c r="AH142" s="99"/>
    </row>
    <row r="143" spans="2:34" ht="13.5" customHeight="1">
      <c r="B143" s="344" t="s">
        <v>2023</v>
      </c>
      <c r="C143" s="99">
        <f t="shared" ca="1" si="39"/>
        <v>1</v>
      </c>
      <c r="G143" s="99" t="str">
        <f t="shared" ca="1" si="40"/>
        <v/>
      </c>
      <c r="K143" s="99" t="str">
        <f t="shared" ca="1" si="41"/>
        <v>Numeric value range 1 - last grant approved</v>
      </c>
      <c r="L143" s="99" t="b">
        <f t="shared" ca="1" si="42"/>
        <v>1</v>
      </c>
      <c r="M143" s="99"/>
      <c r="N143" s="99"/>
      <c r="O143" s="99"/>
      <c r="P143" s="99" t="b">
        <f t="shared" ca="1" si="43"/>
        <v>1</v>
      </c>
      <c r="T143" s="37" t="s">
        <v>2191</v>
      </c>
      <c r="X143" s="137"/>
      <c r="Y143" s="99">
        <f t="shared" si="44"/>
        <v>1</v>
      </c>
      <c r="Z143" s="99"/>
      <c r="AA143" s="99"/>
      <c r="AB143" s="99"/>
      <c r="AC143" s="159"/>
      <c r="AD143" s="101" t="str">
        <f t="shared" si="45"/>
        <v/>
      </c>
      <c r="AE143" s="379" t="str">
        <f t="shared" si="47"/>
        <v/>
      </c>
      <c r="AF143" s="99"/>
      <c r="AG143" s="248"/>
      <c r="AH143" s="99"/>
    </row>
    <row r="144" spans="2:34" ht="13.5" customHeight="1">
      <c r="B144" s="327" t="s">
        <v>2024</v>
      </c>
      <c r="C144" s="99" t="str">
        <f t="shared" ca="1" si="39"/>
        <v/>
      </c>
      <c r="G144" s="99" t="str">
        <f t="shared" ca="1" si="40"/>
        <v/>
      </c>
      <c r="K144" s="99" t="str">
        <f t="shared" ca="1" si="41"/>
        <v>Numeric value range 1 - last grant approved</v>
      </c>
      <c r="L144" s="99" t="b">
        <f t="shared" ca="1" si="42"/>
        <v>1</v>
      </c>
      <c r="M144" s="99"/>
      <c r="N144" s="99"/>
      <c r="O144" s="99"/>
      <c r="P144" s="99" t="b">
        <f t="shared" ca="1" si="43"/>
        <v>1</v>
      </c>
      <c r="T144" s="37" t="s">
        <v>2191</v>
      </c>
      <c r="X144" s="137"/>
      <c r="Y144" s="99">
        <f t="shared" si="44"/>
        <v>1</v>
      </c>
      <c r="Z144" s="99"/>
      <c r="AA144" s="99"/>
      <c r="AB144" s="99"/>
      <c r="AC144" s="159"/>
      <c r="AD144" s="101" t="str">
        <f t="shared" si="45"/>
        <v/>
      </c>
      <c r="AE144" s="379" t="str">
        <f t="shared" si="47"/>
        <v/>
      </c>
      <c r="AF144" s="99"/>
      <c r="AG144" s="248"/>
      <c r="AH144" s="99"/>
    </row>
    <row r="145" spans="2:34" ht="13.5" customHeight="1">
      <c r="B145" s="327" t="s">
        <v>2025</v>
      </c>
      <c r="C145" s="99" t="str">
        <f t="shared" ca="1" si="39"/>
        <v/>
      </c>
      <c r="G145" s="99" t="str">
        <f t="shared" ca="1" si="40"/>
        <v/>
      </c>
      <c r="K145" s="99" t="str">
        <f t="shared" ca="1" si="41"/>
        <v>Numeric value range 1 - last grant approved</v>
      </c>
      <c r="L145" s="99" t="b">
        <f t="shared" ca="1" si="42"/>
        <v>1</v>
      </c>
      <c r="M145" s="99"/>
      <c r="N145" s="99"/>
      <c r="O145" s="99"/>
      <c r="P145" s="99" t="b">
        <f t="shared" ca="1" si="43"/>
        <v>1</v>
      </c>
      <c r="T145" s="37" t="s">
        <v>2191</v>
      </c>
      <c r="X145" s="137"/>
      <c r="Y145" s="99">
        <f t="shared" si="44"/>
        <v>1</v>
      </c>
      <c r="Z145" s="99"/>
      <c r="AA145" s="99"/>
      <c r="AB145" s="99"/>
      <c r="AC145" s="159"/>
      <c r="AD145" s="101" t="str">
        <f t="shared" si="45"/>
        <v/>
      </c>
      <c r="AE145" s="379" t="str">
        <f t="shared" si="47"/>
        <v/>
      </c>
      <c r="AF145" s="99"/>
      <c r="AG145" s="248"/>
      <c r="AH145" s="99"/>
    </row>
    <row r="146" spans="2:34" ht="13.5" customHeight="1">
      <c r="B146" s="327" t="s">
        <v>1627</v>
      </c>
      <c r="C146" s="99" t="str">
        <f t="shared" ca="1" si="39"/>
        <v>The project will be integrated with core DAO platform</v>
      </c>
      <c r="G146" s="99" t="str">
        <f t="shared" ca="1" si="40"/>
        <v/>
      </c>
      <c r="K146" s="99" t="str">
        <f t="shared" ca="1" si="41"/>
        <v>Non-blank is better</v>
      </c>
      <c r="L146" s="99" t="b">
        <f t="shared" ca="1" si="42"/>
        <v>1</v>
      </c>
      <c r="M146" s="99"/>
      <c r="N146" s="99"/>
      <c r="O146" s="99"/>
      <c r="P146" s="99" t="b">
        <f t="shared" ca="1" si="43"/>
        <v>1</v>
      </c>
      <c r="T146" s="99" t="str">
        <f ca="1">IF(NOT(ISERROR(MATCH(K146,'Lookup Tables'!A:A,0))),"Lookup",IF(OR(NOT(ISERROR(FIND("Numeric",K146))),NOT(ISERROR(FIND("Percentage",K146))),NOT(ISERROR(FIND("Date",K146)))),"Numeric",IF(NOT(ISERROR(FIND("lank",K146))),"Non-blank",IF(NOT(ISERROR(FIND("Not evaluated",K146))),"Skipped","Other"))))</f>
        <v>Non-blank</v>
      </c>
      <c r="U146" s="461">
        <f ca="1">IF(COLUMN()-COLUMN($U$55)+1&lt;=$Y146,IF(C146="",0,1),"")</f>
        <v>1</v>
      </c>
      <c r="V146" s="461" t="str">
        <f>IF(COLUMN()-COLUMN($U$55)+1&lt;=$Y146,IF(D146="",0,1),"")</f>
        <v/>
      </c>
      <c r="W146" s="461" t="str">
        <f>IF(COLUMN()-COLUMN($U$55)+1&lt;=$Y146,IF(E146="",0,1),"")</f>
        <v/>
      </c>
      <c r="X146" s="465" t="str">
        <f>IF(COLUMN()-COLUMN($U$55)+1&lt;=$Y146,IF(F146="",0,1),"")</f>
        <v/>
      </c>
      <c r="Y146" s="99">
        <f t="shared" si="44"/>
        <v>1</v>
      </c>
      <c r="Z146" s="99"/>
      <c r="AA146" s="99"/>
      <c r="AB146" s="99"/>
      <c r="AC146" s="159" t="s">
        <v>2198</v>
      </c>
      <c r="AD146" s="101">
        <f t="shared" ca="1" si="45"/>
        <v>1</v>
      </c>
      <c r="AE146" s="379" t="b">
        <f t="shared" ref="AE146:AE148" ca="1" si="50">IF(AD146="","",NOT(L146))</f>
        <v>0</v>
      </c>
      <c r="AF146" s="159" t="s">
        <v>2319</v>
      </c>
      <c r="AG146" s="783">
        <f>COUNTIF('VA Detailed Scorecard Config'!D:D,AF146)</f>
        <v>3</v>
      </c>
      <c r="AH146" s="99"/>
    </row>
    <row r="147" spans="2:34" ht="13.5" customHeight="1">
      <c r="B147" s="327" t="s">
        <v>1618</v>
      </c>
      <c r="C147" s="99">
        <f t="shared" ca="1" si="39"/>
        <v>4</v>
      </c>
      <c r="G147" s="99" t="str">
        <f t="shared" ca="1" si="40"/>
        <v/>
      </c>
      <c r="K147" s="99" t="str">
        <f t="shared" ca="1" si="41"/>
        <v>Numerical (Larger is better, log scale)</v>
      </c>
      <c r="L147" s="99" t="b">
        <f t="shared" ca="1" si="42"/>
        <v>1</v>
      </c>
      <c r="M147" s="99"/>
      <c r="N147" s="99"/>
      <c r="O147" s="99"/>
      <c r="P147" s="99" t="b">
        <f t="shared" ca="1" si="43"/>
        <v>1</v>
      </c>
      <c r="T147" s="99" t="str">
        <f ca="1">IF(NOT(ISERROR(MATCH(K147,'Lookup Tables'!A:A,0))),"Lookup",IF(OR(NOT(ISERROR(FIND("Numeric",K147))),NOT(ISERROR(FIND("Percentage",K147))),NOT(ISERROR(FIND("Date",K147)))),"Numeric",IF(NOT(ISERROR(FIND("lank",K147))),"Non-blank",IF(NOT(ISERROR(FIND("Not evaluated",K147))),"Skipped","Other"))))</f>
        <v>Numeric</v>
      </c>
      <c r="U147" s="101">
        <f ca="1">IF(COLUMN()-COLUMN($U$55)+1&lt;=$Y146,(LOG(C147+1)-LOG(MIN($C147:$F147,$Z147:$AA147)+1))/(LOG(MAX($AA147,$C147:$F147)+1)-LOG(MIN($C147:$F147,$Z147:$AA147)+1)),"")</f>
        <v>0.89824440170392728</v>
      </c>
      <c r="V147" s="101" t="str">
        <f>IF(COLUMN()-COLUMN($U$55)+1&lt;=$Y146,(LOG(D147+1)-LOG(MIN($C147:$F147,$Z147:$AA147)+1))/(LOG(MAX($AA147,$C147:$F147)+1)-LOG(MIN($C147:$F147,$Z147:$AA147)+1)),"")</f>
        <v/>
      </c>
      <c r="W147" s="101" t="str">
        <f>IF(COLUMN()-COLUMN($U$55)+1&lt;=$Y146,(LOG(E147+1)-LOG(MIN($C147:$F147,$Z147:$AA147)+1))/(LOG(MAX($AA147,$C147:$F147)+1)-LOG(MIN($C147:$F147,$Z147:$AA147)+1)),"")</f>
        <v/>
      </c>
      <c r="X147" s="466" t="str">
        <f>IF(COLUMN()-COLUMN($U$55)+1&lt;=$Y146,(LOG(F147+1)-LOG(MIN($C147:$F147,$Z147:$AA147)+1))/(LOG(MAX($AA147,$C147:$F147)+1)-LOG(MIN($C147:$F147,$Z147:$AA147)+1)),"")</f>
        <v/>
      </c>
      <c r="Y147" s="99">
        <f>COUNTA($C$2:$F$2)</f>
        <v>1</v>
      </c>
      <c r="Z147" s="99">
        <v>0</v>
      </c>
      <c r="AA147" s="99">
        <v>5</v>
      </c>
      <c r="AB147" s="159" t="s">
        <v>2186</v>
      </c>
      <c r="AC147" s="159" t="s">
        <v>2198</v>
      </c>
      <c r="AD147" s="101">
        <f t="shared" ca="1" si="45"/>
        <v>0.89824440170392728</v>
      </c>
      <c r="AE147" s="379" t="b">
        <f t="shared" ca="1" si="50"/>
        <v>0</v>
      </c>
      <c r="AF147" s="159" t="s">
        <v>2320</v>
      </c>
      <c r="AG147" s="783">
        <f>COUNTIF('VA Detailed Scorecard Config'!D:D,AF147)</f>
        <v>1</v>
      </c>
      <c r="AH147" s="99"/>
    </row>
    <row r="148" spans="2:34" ht="13.5" customHeight="1">
      <c r="B148" s="327" t="s">
        <v>1635</v>
      </c>
      <c r="C148" s="99">
        <f t="shared" ca="1" si="39"/>
        <v>500</v>
      </c>
      <c r="G148" s="99" t="str">
        <f t="shared" ca="1" si="40"/>
        <v/>
      </c>
      <c r="K148" s="99" t="str">
        <f t="shared" ca="1" si="41"/>
        <v>Numerical (Larger is better, linear scale); also used to calculate an hourly cost</v>
      </c>
      <c r="L148" s="99" t="b">
        <f t="shared" ca="1" si="42"/>
        <v>1</v>
      </c>
      <c r="M148" s="99"/>
      <c r="N148" s="99"/>
      <c r="O148" s="99"/>
      <c r="P148" s="99" t="b">
        <f t="shared" ca="1" si="43"/>
        <v>1</v>
      </c>
      <c r="T148" s="99" t="str">
        <f ca="1">IF(NOT(ISERROR(MATCH(K148,'Lookup Tables'!A:A,0))),"Lookup",IF(OR(NOT(ISERROR(FIND("Numeric",K148))),NOT(ISERROR(FIND("Percentage",K148))),NOT(ISERROR(FIND("Date",K148)))),"Numeric",IF(NOT(ISERROR(FIND("lank",K148))),"Non-blank",IF(NOT(ISERROR(FIND("Not evaluated",K148))),"Skipped","Other"))))</f>
        <v>Numeric</v>
      </c>
      <c r="U148" s="101">
        <f ca="1">IF(COLUMN()-COLUMN($U$55)+1&lt;=$Y147,(C148-MIN($C148:$F148,$Z148:$AA148))/(MAX($AA148,$C148:$F148)-MIN($C148:$F148,$Z148:$AA148)),"")</f>
        <v>1</v>
      </c>
      <c r="V148" s="101" t="str">
        <f>IF(COLUMN()-COLUMN($U$55)+1&lt;=$Y147,(D148-MIN($C148:$F148,$Z148:$AA148))/(MAX($AA148,$C148:$F148)-MIN($C148:$F148,$Z148:$AA148)),"")</f>
        <v/>
      </c>
      <c r="W148" s="101" t="str">
        <f>IF(COLUMN()-COLUMN($U$55)+1&lt;=$Y147,(E148-MIN($C148:$F148,$Z148:$AA148))/(MAX($AA148,$C148:$F148)-MIN($C148:$F148,$Z148:$AA148)),"")</f>
        <v/>
      </c>
      <c r="X148" s="466" t="str">
        <f>IF(COLUMN()-COLUMN($U$55)+1&lt;=$Y147,(F148-MIN($C148:$F148,$Z148:$AA148))/(MAX($AA148,$C148:$F148)-MIN($C148:$F148,$Z148:$AA148)),"")</f>
        <v/>
      </c>
      <c r="Y148" s="99">
        <f>COUNTA($C$2:$F$2)</f>
        <v>1</v>
      </c>
      <c r="Z148" s="99">
        <v>0</v>
      </c>
      <c r="AA148" s="99">
        <v>500</v>
      </c>
      <c r="AB148" s="159" t="s">
        <v>2190</v>
      </c>
      <c r="AC148" s="159" t="s">
        <v>2198</v>
      </c>
      <c r="AD148" s="101">
        <f t="shared" ca="1" si="45"/>
        <v>1</v>
      </c>
      <c r="AE148" s="379" t="b">
        <f t="shared" ca="1" si="50"/>
        <v>0</v>
      </c>
      <c r="AF148" s="159" t="s">
        <v>2321</v>
      </c>
      <c r="AG148" s="783">
        <f>COUNTIF('VA Detailed Scorecard Config'!D:D,AF148)</f>
        <v>1</v>
      </c>
      <c r="AH148" s="99"/>
    </row>
    <row r="149" spans="2:34" ht="13.5" customHeight="1">
      <c r="B149" s="327" t="s">
        <v>1628</v>
      </c>
      <c r="C149" s="99" t="str">
        <f t="shared" ca="1" si="39"/>
        <v>Wakko Warner</v>
      </c>
      <c r="G149" s="99" t="str">
        <f t="shared" ca="1" si="40"/>
        <v/>
      </c>
      <c r="K149" s="99" t="str">
        <f t="shared" ca="1" si="41"/>
        <v>Select from list of Proposer Individual Profiles or prompt to create one</v>
      </c>
      <c r="L149" s="99" t="b">
        <f t="shared" ca="1" si="42"/>
        <v>1</v>
      </c>
      <c r="M149" s="99"/>
      <c r="N149" s="99"/>
      <c r="O149" s="99"/>
      <c r="P149" s="99" t="b">
        <f t="shared" ca="1" si="43"/>
        <v>1</v>
      </c>
      <c r="T149" s="37" t="s">
        <v>2191</v>
      </c>
      <c r="X149" s="137"/>
      <c r="Y149" s="99">
        <f t="shared" si="44"/>
        <v>1</v>
      </c>
      <c r="Z149" s="99"/>
      <c r="AA149" s="99"/>
      <c r="AB149" s="99"/>
      <c r="AC149" s="159"/>
      <c r="AD149" s="101" t="str">
        <f t="shared" si="45"/>
        <v/>
      </c>
      <c r="AE149" s="379" t="str">
        <f t="shared" si="47"/>
        <v/>
      </c>
      <c r="AF149" s="99"/>
      <c r="AG149" s="248"/>
      <c r="AH149" s="99"/>
    </row>
    <row r="150" spans="2:34" ht="13.5" customHeight="1">
      <c r="B150" s="327" t="s">
        <v>1559</v>
      </c>
      <c r="C150" s="99" t="str">
        <f t="shared" ca="1" si="39"/>
        <v>Yakko Warner</v>
      </c>
      <c r="G150" s="99" t="str">
        <f t="shared" ca="1" si="40"/>
        <v/>
      </c>
      <c r="K150" s="99" t="str">
        <f t="shared" ca="1" si="41"/>
        <v>Select from list of Proposer Individual Profiles or prompt to create one</v>
      </c>
      <c r="L150" s="99" t="b">
        <f t="shared" ca="1" si="42"/>
        <v>1</v>
      </c>
      <c r="M150" s="99"/>
      <c r="N150" s="99"/>
      <c r="O150" s="99"/>
      <c r="P150" s="99" t="b">
        <f t="shared" ca="1" si="43"/>
        <v>1</v>
      </c>
      <c r="T150" s="37" t="s">
        <v>2191</v>
      </c>
      <c r="X150" s="137"/>
      <c r="Y150" s="99">
        <f t="shared" si="44"/>
        <v>1</v>
      </c>
      <c r="Z150" s="99"/>
      <c r="AA150" s="99"/>
      <c r="AB150" s="99"/>
      <c r="AC150" s="159"/>
      <c r="AD150" s="101" t="str">
        <f t="shared" si="45"/>
        <v/>
      </c>
      <c r="AE150" s="379" t="str">
        <f t="shared" si="47"/>
        <v/>
      </c>
      <c r="AF150" s="99"/>
      <c r="AG150" s="248"/>
      <c r="AH150" s="99"/>
    </row>
    <row r="151" spans="2:34" ht="13.5" customHeight="1">
      <c r="B151" s="327" t="s">
        <v>1560</v>
      </c>
      <c r="C151" s="99" t="str">
        <f t="shared" ca="1" si="39"/>
        <v>Dot Warner</v>
      </c>
      <c r="G151" s="99" t="str">
        <f t="shared" ca="1" si="40"/>
        <v/>
      </c>
      <c r="K151" s="99" t="str">
        <f t="shared" ca="1" si="41"/>
        <v>Select from list of Proposer Individual Profiles or prompt to create one</v>
      </c>
      <c r="L151" s="99" t="b">
        <f t="shared" ca="1" si="42"/>
        <v>1</v>
      </c>
      <c r="M151" s="99"/>
      <c r="N151" s="99"/>
      <c r="O151" s="99"/>
      <c r="P151" s="99" t="b">
        <f t="shared" ca="1" si="43"/>
        <v>1</v>
      </c>
      <c r="T151" s="37" t="s">
        <v>2191</v>
      </c>
      <c r="X151" s="137"/>
      <c r="Y151" s="99">
        <f t="shared" si="44"/>
        <v>1</v>
      </c>
      <c r="Z151" s="99"/>
      <c r="AA151" s="99"/>
      <c r="AB151" s="99"/>
      <c r="AC151" s="159"/>
      <c r="AD151" s="101" t="str">
        <f t="shared" si="45"/>
        <v/>
      </c>
      <c r="AE151" s="379" t="str">
        <f t="shared" si="47"/>
        <v/>
      </c>
      <c r="AF151" s="99"/>
      <c r="AG151" s="248"/>
      <c r="AH151" s="99"/>
    </row>
    <row r="152" spans="2:34" ht="13.5" customHeight="1">
      <c r="B152" s="327" t="s">
        <v>1561</v>
      </c>
      <c r="C152" s="99" t="str">
        <f t="shared" ca="1" si="39"/>
        <v/>
      </c>
      <c r="G152" s="99" t="str">
        <f t="shared" ca="1" si="40"/>
        <v/>
      </c>
      <c r="K152" s="99" t="str">
        <f t="shared" ca="1" si="41"/>
        <v>Select from list of Proposer Individual Profiles or prompt to create one</v>
      </c>
      <c r="L152" s="99" t="b">
        <f t="shared" ca="1" si="42"/>
        <v>1</v>
      </c>
      <c r="M152" s="99"/>
      <c r="N152" s="99"/>
      <c r="O152" s="99"/>
      <c r="P152" s="99" t="b">
        <f t="shared" ca="1" si="43"/>
        <v>1</v>
      </c>
      <c r="T152" s="37" t="s">
        <v>2191</v>
      </c>
      <c r="X152" s="137"/>
      <c r="Y152" s="99">
        <f t="shared" si="44"/>
        <v>1</v>
      </c>
      <c r="Z152" s="99"/>
      <c r="AA152" s="99"/>
      <c r="AB152" s="99"/>
      <c r="AC152" s="159"/>
      <c r="AD152" s="101" t="str">
        <f t="shared" si="45"/>
        <v/>
      </c>
      <c r="AE152" s="379" t="str">
        <f t="shared" si="47"/>
        <v/>
      </c>
      <c r="AF152" s="99"/>
      <c r="AG152" s="248"/>
      <c r="AH152" s="99"/>
    </row>
    <row r="153" spans="2:34" ht="13.5" customHeight="1">
      <c r="B153" s="327" t="s">
        <v>1629</v>
      </c>
      <c r="C153" s="99" t="str">
        <f t="shared" ca="1" si="39"/>
        <v>We have 20+ years of experience</v>
      </c>
      <c r="G153" s="99" t="str">
        <f t="shared" ca="1" si="40"/>
        <v/>
      </c>
      <c r="K153" s="99" t="str">
        <f t="shared" ca="1" si="41"/>
        <v>Non-blank is better</v>
      </c>
      <c r="L153" s="99" t="b">
        <f t="shared" ca="1" si="42"/>
        <v>1</v>
      </c>
      <c r="M153" s="99"/>
      <c r="N153" s="99"/>
      <c r="O153" s="99"/>
      <c r="P153" s="99" t="b">
        <f t="shared" ca="1" si="43"/>
        <v>1</v>
      </c>
      <c r="T153" s="99" t="str">
        <f ca="1">IF(NOT(ISERROR(MATCH(K153,'Lookup Tables'!A:A,0))),"Lookup",IF(OR(NOT(ISERROR(FIND("Numeric",K153))),NOT(ISERROR(FIND("Percentage",K153))),NOT(ISERROR(FIND("Date",K153)))),"Numeric",IF(NOT(ISERROR(FIND("lank",K153))),"Non-blank",IF(NOT(ISERROR(FIND("Not evaluated",K153))),"Skipped","Other"))))</f>
        <v>Non-blank</v>
      </c>
      <c r="U153" s="461">
        <f ca="1">IF(COLUMN()-COLUMN($U$55)+1&lt;=$Y153,IF(C153="",0,1),"")</f>
        <v>1</v>
      </c>
      <c r="V153" s="461" t="str">
        <f>IF(COLUMN()-COLUMN($U$55)+1&lt;=$Y153,IF(D153="",0,1),"")</f>
        <v/>
      </c>
      <c r="W153" s="461" t="str">
        <f>IF(COLUMN()-COLUMN($U$55)+1&lt;=$Y153,IF(E153="",0,1),"")</f>
        <v/>
      </c>
      <c r="X153" s="465" t="str">
        <f>IF(COLUMN()-COLUMN($U$55)+1&lt;=$Y153,IF(F153="",0,1),"")</f>
        <v/>
      </c>
      <c r="Y153" s="99">
        <f t="shared" si="44"/>
        <v>1</v>
      </c>
      <c r="Z153" s="99"/>
      <c r="AA153" s="99"/>
      <c r="AB153" s="99"/>
      <c r="AC153" s="159" t="s">
        <v>2198</v>
      </c>
      <c r="AD153" s="101">
        <f t="shared" ca="1" si="45"/>
        <v>1</v>
      </c>
      <c r="AE153" s="379" t="b">
        <f t="shared" ref="AE153:AE155" ca="1" si="51">IF(AD153="","",NOT(L153))</f>
        <v>0</v>
      </c>
      <c r="AF153" s="159" t="s">
        <v>2322</v>
      </c>
      <c r="AG153" s="783">
        <f>COUNTIF('VA Detailed Scorecard Config'!D:D,AF153)</f>
        <v>1</v>
      </c>
      <c r="AH153" s="99"/>
    </row>
    <row r="154" spans="2:34" ht="13.5" customHeight="1">
      <c r="B154" s="327" t="s">
        <v>1564</v>
      </c>
      <c r="C154" s="99">
        <f t="shared" ca="1" si="39"/>
        <v>45</v>
      </c>
      <c r="G154" s="99" t="str">
        <f t="shared" ca="1" si="40"/>
        <v/>
      </c>
      <c r="K154" s="99" t="str">
        <f t="shared" ca="1" si="41"/>
        <v>Numerical (Larger is better, log scale)</v>
      </c>
      <c r="L154" s="99" t="b">
        <f t="shared" ca="1" si="42"/>
        <v>1</v>
      </c>
      <c r="M154" s="99"/>
      <c r="N154" s="99"/>
      <c r="O154" s="99"/>
      <c r="P154" s="99" t="b">
        <f t="shared" ca="1" si="43"/>
        <v>1</v>
      </c>
      <c r="T154" s="99" t="str">
        <f ca="1">IF(NOT(ISERROR(MATCH(K154,'Lookup Tables'!A:A,0))),"Lookup",IF(OR(NOT(ISERROR(FIND("Numeric",K154))),NOT(ISERROR(FIND("Percentage",K154))),NOT(ISERROR(FIND("Date",K154)))),"Numeric",IF(NOT(ISERROR(FIND("lank",K154))),"Non-blank",IF(NOT(ISERROR(FIND("Not evaluated",K154))),"Skipped","Other"))))</f>
        <v>Numeric</v>
      </c>
      <c r="U154" s="101">
        <f ca="1">IF(COLUMN()-COLUMN($U$55)+1&lt;=$Y153,(LOG(C154+1)-LOG(MIN($C154:$F154,$Z154:$AA154)+1))/(LOG(MAX($AA154,$C154:$F154)+1)-LOG(MIN($C154:$F154,$Z154:$AA154)+1)),"")</f>
        <v>0.97375666016915019</v>
      </c>
      <c r="V154" s="101" t="str">
        <f>IF(COLUMN()-COLUMN($U$55)+1&lt;=$Y153,(LOG(D154+1)-LOG(MIN($C154:$F154,$Z154:$AA154)+1))/(LOG(MAX($AA154,$C154:$F154)+1)-LOG(MIN($C154:$F154,$Z154:$AA154)+1)),"")</f>
        <v/>
      </c>
      <c r="W154" s="101" t="str">
        <f>IF(COLUMN()-COLUMN($U$55)+1&lt;=$Y153,(LOG(E154+1)-LOG(MIN($C154:$F154,$Z154:$AA154)+1))/(LOG(MAX($AA154,$C154:$F154)+1)-LOG(MIN($C154:$F154,$Z154:$AA154)+1)),"")</f>
        <v/>
      </c>
      <c r="X154" s="466" t="str">
        <f>IF(COLUMN()-COLUMN($U$55)+1&lt;=$Y153,(LOG(F154+1)-LOG(MIN($C154:$F154,$Z154:$AA154)+1))/(LOG(MAX($AA154,$C154:$F154)+1)-LOG(MIN($C154:$F154,$Z154:$AA154)+1)),"")</f>
        <v/>
      </c>
      <c r="Y154" s="99">
        <f>COUNTA($C$2:$F$2)</f>
        <v>1</v>
      </c>
      <c r="Z154" s="99">
        <v>0</v>
      </c>
      <c r="AA154" s="99">
        <v>50</v>
      </c>
      <c r="AB154" s="159" t="s">
        <v>2186</v>
      </c>
      <c r="AC154" s="159" t="s">
        <v>2198</v>
      </c>
      <c r="AD154" s="101">
        <f t="shared" ca="1" si="45"/>
        <v>0.97375666016915019</v>
      </c>
      <c r="AE154" s="379" t="b">
        <f t="shared" ca="1" si="51"/>
        <v>0</v>
      </c>
      <c r="AF154" s="159" t="s">
        <v>2323</v>
      </c>
      <c r="AG154" s="783">
        <f>COUNTIF('VA Detailed Scorecard Config'!D:D,AF154)</f>
        <v>2</v>
      </c>
      <c r="AH154" s="99"/>
    </row>
    <row r="155" spans="2:34" ht="13.5" customHeight="1">
      <c r="B155" s="327" t="s">
        <v>1565</v>
      </c>
      <c r="C155" s="99">
        <f t="shared" ca="1" si="39"/>
        <v>50</v>
      </c>
      <c r="G155" s="99" t="str">
        <f t="shared" ca="1" si="40"/>
        <v/>
      </c>
      <c r="K155" s="99" t="str">
        <f t="shared" ca="1" si="41"/>
        <v>Numerical (Larger is better, log scale)</v>
      </c>
      <c r="L155" s="99" t="b">
        <f t="shared" ca="1" si="42"/>
        <v>1</v>
      </c>
      <c r="M155" s="99"/>
      <c r="N155" s="99"/>
      <c r="O155" s="99"/>
      <c r="P155" s="99" t="b">
        <f t="shared" ca="1" si="43"/>
        <v>1</v>
      </c>
      <c r="T155" s="99" t="str">
        <f ca="1">IF(NOT(ISERROR(MATCH(K155,'Lookup Tables'!A:A,0))),"Lookup",IF(OR(NOT(ISERROR(FIND("Numeric",K155))),NOT(ISERROR(FIND("Percentage",K155))),NOT(ISERROR(FIND("Date",K155)))),"Numeric",IF(NOT(ISERROR(FIND("lank",K155))),"Non-blank",IF(NOT(ISERROR(FIND("Not evaluated",K155))),"Skipped","Other"))))</f>
        <v>Numeric</v>
      </c>
      <c r="U155" s="101">
        <f ca="1">IF(COLUMN()-COLUMN($U$55)+1&lt;=$Y154,(LOG(C155+1)-LOG(MIN($C155:$F155,$Z155:$AA155)+1))/(LOG(MAX($AA155,$C155:$F155)+1)-LOG(MIN($C155:$F155,$Z155:$AA155)+1)),"")</f>
        <v>1</v>
      </c>
      <c r="V155" s="101" t="str">
        <f>IF(COLUMN()-COLUMN($U$55)+1&lt;=$Y154,(LOG(D155+1)-LOG(MIN($C155:$F155,$Z155:$AA155)+1))/(LOG(MAX($AA155,$C155:$F155)+1)-LOG(MIN($C155:$F155,$Z155:$AA155)+1)),"")</f>
        <v/>
      </c>
      <c r="W155" s="101" t="str">
        <f>IF(COLUMN()-COLUMN($U$55)+1&lt;=$Y154,(LOG(E155+1)-LOG(MIN($C155:$F155,$Z155:$AA155)+1))/(LOG(MAX($AA155,$C155:$F155)+1)-LOG(MIN($C155:$F155,$Z155:$AA155)+1)),"")</f>
        <v/>
      </c>
      <c r="X155" s="466" t="str">
        <f>IF(COLUMN()-COLUMN($U$55)+1&lt;=$Y154,(LOG(F155+1)-LOG(MIN($C155:$F155,$Z155:$AA155)+1))/(LOG(MAX($AA155,$C155:$F155)+1)-LOG(MIN($C155:$F155,$Z155:$AA155)+1)),"")</f>
        <v/>
      </c>
      <c r="Y155" s="99">
        <f>COUNTA($C$2:$F$2)</f>
        <v>1</v>
      </c>
      <c r="Z155" s="99">
        <v>0</v>
      </c>
      <c r="AA155" s="99">
        <v>50</v>
      </c>
      <c r="AB155" s="159" t="s">
        <v>2186</v>
      </c>
      <c r="AC155" s="159" t="s">
        <v>2198</v>
      </c>
      <c r="AD155" s="101">
        <f t="shared" ca="1" si="45"/>
        <v>1</v>
      </c>
      <c r="AE155" s="379" t="b">
        <f t="shared" ca="1" si="51"/>
        <v>0</v>
      </c>
      <c r="AF155" s="159" t="s">
        <v>2324</v>
      </c>
      <c r="AG155" s="783">
        <f>COUNTIF('VA Detailed Scorecard Config'!D:D,AF155)</f>
        <v>2</v>
      </c>
      <c r="AH155" s="99"/>
    </row>
    <row r="156" spans="2:34" ht="13.5" customHeight="1">
      <c r="B156" s="327" t="s">
        <v>1591</v>
      </c>
      <c r="C156" s="99" t="str">
        <f t="shared" ca="1" si="39"/>
        <v>Xprize Scorecard</v>
      </c>
      <c r="G156" s="99" t="str">
        <f t="shared" ca="1" si="40"/>
        <v/>
      </c>
      <c r="K156" s="99" t="str">
        <f t="shared" ca="1" si="41"/>
        <v>Select from list of Reference Projects or prompt to create one</v>
      </c>
      <c r="L156" s="99" t="b">
        <f t="shared" ca="1" si="42"/>
        <v>1</v>
      </c>
      <c r="M156" s="99"/>
      <c r="N156" s="99"/>
      <c r="O156" s="99"/>
      <c r="P156" s="99" t="b">
        <f t="shared" ca="1" si="43"/>
        <v>1</v>
      </c>
      <c r="T156" s="37" t="s">
        <v>2191</v>
      </c>
      <c r="X156" s="137"/>
      <c r="Y156" s="99">
        <f t="shared" si="44"/>
        <v>1</v>
      </c>
      <c r="Z156" s="99"/>
      <c r="AA156" s="99"/>
      <c r="AB156" s="99"/>
      <c r="AC156" s="159"/>
      <c r="AD156" s="101" t="str">
        <f t="shared" si="45"/>
        <v/>
      </c>
      <c r="AE156" s="379" t="str">
        <f t="shared" si="47"/>
        <v/>
      </c>
      <c r="AF156" s="99"/>
      <c r="AG156" s="248"/>
      <c r="AH156" s="99"/>
    </row>
    <row r="157" spans="2:34" ht="13.5" customHeight="1">
      <c r="B157" s="344" t="s">
        <v>1659</v>
      </c>
      <c r="C157" s="99">
        <f t="shared" ca="1" si="39"/>
        <v>50000</v>
      </c>
      <c r="G157" s="99" t="str">
        <f t="shared" ca="1" si="40"/>
        <v/>
      </c>
      <c r="K157" s="99" t="str">
        <f t="shared" ca="1" si="41"/>
        <v>Numerical value range in Euro - not evaluated but used to calculate effective hourly rate</v>
      </c>
      <c r="L157" s="99" t="b">
        <f t="shared" ca="1" si="42"/>
        <v>1</v>
      </c>
      <c r="M157" s="99"/>
      <c r="N157" s="99"/>
      <c r="O157" s="99"/>
      <c r="P157" s="99" t="b">
        <f t="shared" ca="1" si="43"/>
        <v>1</v>
      </c>
      <c r="T157" s="37" t="s">
        <v>2191</v>
      </c>
      <c r="X157" s="137"/>
      <c r="Y157" s="99">
        <f t="shared" si="44"/>
        <v>1</v>
      </c>
      <c r="Z157" s="99"/>
      <c r="AA157" s="99"/>
      <c r="AB157" s="99"/>
      <c r="AC157" s="159"/>
      <c r="AD157" s="101" t="str">
        <f t="shared" si="45"/>
        <v/>
      </c>
      <c r="AE157" s="379" t="str">
        <f t="shared" si="47"/>
        <v/>
      </c>
      <c r="AF157" s="99"/>
      <c r="AG157" s="248"/>
      <c r="AH157" s="99"/>
    </row>
    <row r="158" spans="2:34" ht="13.5" customHeight="1">
      <c r="B158" s="327" t="s">
        <v>1660</v>
      </c>
      <c r="C158" s="99" t="str">
        <f t="shared" ca="1" si="39"/>
        <v>QA contractors</v>
      </c>
      <c r="G158" s="99" t="str">
        <f t="shared" ca="1" si="40"/>
        <v/>
      </c>
      <c r="K158" s="99" t="str">
        <f t="shared" ca="1" si="41"/>
        <v>Not evaluated</v>
      </c>
      <c r="L158" s="99" t="b">
        <f t="shared" ca="1" si="42"/>
        <v>1</v>
      </c>
      <c r="M158" s="99"/>
      <c r="N158" s="99"/>
      <c r="O158" s="99"/>
      <c r="P158" s="99" t="b">
        <f t="shared" ca="1" si="43"/>
        <v>1</v>
      </c>
      <c r="T158" s="37" t="str">
        <f ca="1">IF(NOT(ISERROR(MATCH(K158,'Lookup Tables'!A:A,0))),"Lookup",IF(OR(NOT(ISERROR(FIND("Numeric",K158))),NOT(ISERROR(FIND("Percentage",K158))),NOT(ISERROR(FIND("Date",K158)))),"Numeric",IF(NOT(ISERROR(FIND("lank",K158))),"Non-blank",IF(NOT(ISERROR(FIND("Not evaluated",K158))),"Skipped","Other"))))</f>
        <v>Skipped</v>
      </c>
      <c r="X158" s="137"/>
      <c r="Y158" s="99">
        <f t="shared" si="44"/>
        <v>1</v>
      </c>
      <c r="Z158" s="99"/>
      <c r="AA158" s="99"/>
      <c r="AB158" s="99"/>
      <c r="AC158" s="159"/>
      <c r="AD158" s="101" t="str">
        <f t="shared" si="45"/>
        <v/>
      </c>
      <c r="AE158" s="379" t="str">
        <f t="shared" si="47"/>
        <v/>
      </c>
      <c r="AF158" s="99"/>
      <c r="AG158" s="248"/>
      <c r="AH158" s="99"/>
    </row>
    <row r="159" spans="2:34" ht="13.5" customHeight="1">
      <c r="B159" s="344" t="s">
        <v>1678</v>
      </c>
      <c r="C159" s="99" t="str">
        <f t="shared" ca="1" si="39"/>
        <v>Applications will be more streamlined and decisions faster</v>
      </c>
      <c r="G159" s="99" t="str">
        <f t="shared" ca="1" si="40"/>
        <v/>
      </c>
      <c r="K159" s="99" t="str">
        <f t="shared" ca="1" si="41"/>
        <v>Non-blank is better</v>
      </c>
      <c r="L159" s="99" t="b">
        <f t="shared" ca="1" si="42"/>
        <v>1</v>
      </c>
      <c r="M159" s="99"/>
      <c r="N159" s="99"/>
      <c r="O159" s="99"/>
      <c r="P159" s="99" t="b">
        <f t="shared" ca="1" si="43"/>
        <v>1</v>
      </c>
      <c r="T159" s="99" t="str">
        <f ca="1">IF(NOT(ISERROR(MATCH(K159,'Lookup Tables'!A:A,0))),"Lookup",IF(OR(NOT(ISERROR(FIND("Numeric",K159))),NOT(ISERROR(FIND("Percentage",K159))),NOT(ISERROR(FIND("Date",K159)))),"Numeric",IF(NOT(ISERROR(FIND("lank",K159))),"Non-blank",IF(NOT(ISERROR(FIND("Not evaluated",K159))),"Skipped","Other"))))</f>
        <v>Non-blank</v>
      </c>
      <c r="U159" s="461">
        <f ca="1">IF(COLUMN()-COLUMN($U$55)+1&lt;=$Y159,IF(C159="",0,1),"")</f>
        <v>1</v>
      </c>
      <c r="V159" s="461" t="str">
        <f>IF(COLUMN()-COLUMN($U$55)+1&lt;=$Y159,IF(D159="",0,1),"")</f>
        <v/>
      </c>
      <c r="W159" s="461" t="str">
        <f>IF(COLUMN()-COLUMN($U$55)+1&lt;=$Y159,IF(E159="",0,1),"")</f>
        <v/>
      </c>
      <c r="X159" s="465" t="str">
        <f>IF(COLUMN()-COLUMN($U$55)+1&lt;=$Y159,IF(F159="",0,1),"")</f>
        <v/>
      </c>
      <c r="Y159" s="99">
        <f t="shared" si="44"/>
        <v>1</v>
      </c>
      <c r="Z159" s="99"/>
      <c r="AA159" s="99"/>
      <c r="AB159" s="99"/>
      <c r="AC159" s="159" t="s">
        <v>2198</v>
      </c>
      <c r="AD159" s="101">
        <f t="shared" ca="1" si="45"/>
        <v>1</v>
      </c>
      <c r="AE159" s="379" t="b">
        <f t="shared" ref="AE159:AE176" ca="1" si="52">IF(AD159="","",NOT(L159))</f>
        <v>0</v>
      </c>
      <c r="AF159" s="159" t="s">
        <v>2325</v>
      </c>
      <c r="AG159" s="783">
        <f>COUNTIF('VA Detailed Scorecard Config'!D:D,AF159)</f>
        <v>2</v>
      </c>
      <c r="AH159" s="99"/>
    </row>
    <row r="160" spans="2:34" ht="13.5" customHeight="1">
      <c r="B160" s="344" t="s">
        <v>1681</v>
      </c>
      <c r="C160" s="99">
        <f t="shared" ref="C160:C198" ca="1" si="53">IF(INDIRECT(C$14&amp;"!C"&amp;ROW()-ROW($C$128)+4)="","",INDIRECT(C$14&amp;"!C"&amp;ROW()-ROW($C$128)+4))</f>
        <v>7</v>
      </c>
      <c r="G160" s="99" t="str">
        <f t="shared" ref="G160:G198" ca="1" si="54">IF(INDIRECT($C$14&amp;"!D"&amp;ROW()-ROW($C$128)+4)="","",INDIRECT($C$14&amp;"!D"&amp;ROW()-ROW($C$128)+4))</f>
        <v/>
      </c>
      <c r="K160" s="99" t="str">
        <f t="shared" ref="K160:K198" ca="1" si="55">IF(INDIRECT($C$14&amp;"!E"&amp;ROW()-ROW($C$128)+4)="","",INDIRECT($C$14&amp;"!E"&amp;ROW()-ROW($C$128)+4))</f>
        <v>Numerical (Larger is better, log scale)</v>
      </c>
      <c r="L160" s="99" t="b">
        <f t="shared" ref="L160:L198" ca="1" si="56">IF(INDIRECT($C$14&amp;"!F"&amp;ROW()-ROW($C$128)+4)="","",INDIRECT($C$14&amp;"!F"&amp;ROW()-ROW($C$128)+4))</f>
        <v>1</v>
      </c>
      <c r="M160" s="99"/>
      <c r="N160" s="99"/>
      <c r="O160" s="99"/>
      <c r="P160" s="99" t="b">
        <f t="shared" ref="P160:P198" ca="1" si="57">INDIRECT(C$14&amp;"!B"&amp;ROW()-ROW($C$128)+4)=B160</f>
        <v>1</v>
      </c>
      <c r="T160" s="99" t="str">
        <f ca="1">IF(NOT(ISERROR(MATCH(K160,'Lookup Tables'!A:A,0))),"Lookup",IF(OR(NOT(ISERROR(FIND("Numeric",K160))),NOT(ISERROR(FIND("Percentage",K160))),NOT(ISERROR(FIND("Date",K160)))),"Numeric",IF(NOT(ISERROR(FIND("lank",K160))),"Non-blank",IF(NOT(ISERROR(FIND("Not evaluated",K160))),"Skipped","Other"))))</f>
        <v>Numeric</v>
      </c>
      <c r="U160" s="101">
        <f ca="1">IF(COLUMN()-COLUMN($U$55)+1&lt;=$Y159,(LOG(C160+1)-LOG(MIN($C160:$F160,$Z160:$AA160)+1))/(LOG(MAX($AA160,$C160:$F160)+1)-LOG(MIN($C160:$F160,$Z160:$AA160)+1)),"")</f>
        <v>0.86719447895366342</v>
      </c>
      <c r="V160" s="101" t="str">
        <f>IF(COLUMN()-COLUMN($U$55)+1&lt;=$Y159,(LOG(D160+1)-LOG(MIN($C160:$F160,$Z160:$AA160)+1))/(LOG(MAX($AA160,$C160:$F160)+1)-LOG(MIN($C160:$F160,$Z160:$AA160)+1)),"")</f>
        <v/>
      </c>
      <c r="W160" s="101" t="str">
        <f>IF(COLUMN()-COLUMN($U$55)+1&lt;=$Y159,(LOG(E160+1)-LOG(MIN($C160:$F160,$Z160:$AA160)+1))/(LOG(MAX($AA160,$C160:$F160)+1)-LOG(MIN($C160:$F160,$Z160:$AA160)+1)),"")</f>
        <v/>
      </c>
      <c r="X160" s="466" t="str">
        <f>IF(COLUMN()-COLUMN($U$55)+1&lt;=$Y159,(LOG(F160+1)-LOG(MIN($C160:$F160,$Z160:$AA160)+1))/(LOG(MAX($AA160,$C160:$F160)+1)-LOG(MIN($C160:$F160,$Z160:$AA160)+1)),"")</f>
        <v/>
      </c>
      <c r="Y160" s="99">
        <f>COUNTA($C$2:$F$2)</f>
        <v>1</v>
      </c>
      <c r="Z160" s="99">
        <v>0</v>
      </c>
      <c r="AA160" s="99">
        <v>10</v>
      </c>
      <c r="AB160" s="159" t="s">
        <v>2186</v>
      </c>
      <c r="AC160" s="159" t="s">
        <v>2198</v>
      </c>
      <c r="AD160" s="101">
        <f t="shared" ca="1" si="45"/>
        <v>0.86719447895366342</v>
      </c>
      <c r="AE160" s="379" t="b">
        <f t="shared" ca="1" si="52"/>
        <v>0</v>
      </c>
      <c r="AF160" s="159" t="s">
        <v>2326</v>
      </c>
      <c r="AG160" s="783">
        <f>COUNTIF('VA Detailed Scorecard Config'!D:D,AF160)</f>
        <v>2</v>
      </c>
      <c r="AH160" s="99"/>
    </row>
    <row r="161" spans="2:34" ht="13.5" customHeight="1">
      <c r="B161" s="344" t="s">
        <v>1680</v>
      </c>
      <c r="C161" s="99" t="str">
        <f t="shared" ca="1" si="53"/>
        <v>Time to apply - same or lower; time to evaluate - 50% faster; accuracy of decisions - 20% better</v>
      </c>
      <c r="G161" s="99" t="str">
        <f t="shared" ca="1" si="54"/>
        <v/>
      </c>
      <c r="K161" s="99" t="str">
        <f t="shared" ca="1" si="55"/>
        <v>Non-blank is better</v>
      </c>
      <c r="L161" s="99" t="b">
        <f t="shared" ca="1" si="56"/>
        <v>1</v>
      </c>
      <c r="M161" s="99"/>
      <c r="N161" s="99"/>
      <c r="O161" s="99"/>
      <c r="P161" s="99" t="b">
        <f t="shared" ca="1" si="57"/>
        <v>1</v>
      </c>
      <c r="T161" s="99" t="str">
        <f ca="1">IF(NOT(ISERROR(MATCH(K161,'Lookup Tables'!A:A,0))),"Lookup",IF(OR(NOT(ISERROR(FIND("Numeric",K161))),NOT(ISERROR(FIND("Percentage",K161))),NOT(ISERROR(FIND("Date",K161)))),"Numeric",IF(NOT(ISERROR(FIND("lank",K161))),"Non-blank",IF(NOT(ISERROR(FIND("Not evaluated",K161))),"Skipped","Other"))))</f>
        <v>Non-blank</v>
      </c>
      <c r="U161" s="461">
        <f ca="1">IF(COLUMN()-COLUMN($U$55)+1&lt;=$Y161,IF(C161="",0,1),"")</f>
        <v>1</v>
      </c>
      <c r="V161" s="461" t="str">
        <f>IF(COLUMN()-COLUMN($U$55)+1&lt;=$Y161,IF(D161="",0,1),"")</f>
        <v/>
      </c>
      <c r="W161" s="461" t="str">
        <f>IF(COLUMN()-COLUMN($U$55)+1&lt;=$Y161,IF(E161="",0,1),"")</f>
        <v/>
      </c>
      <c r="X161" s="465" t="str">
        <f>IF(COLUMN()-COLUMN($U$55)+1&lt;=$Y161,IF(F161="",0,1),"")</f>
        <v/>
      </c>
      <c r="Y161" s="99">
        <f t="shared" si="44"/>
        <v>1</v>
      </c>
      <c r="Z161" s="99"/>
      <c r="AA161" s="99"/>
      <c r="AB161" s="99"/>
      <c r="AC161" s="159" t="s">
        <v>2198</v>
      </c>
      <c r="AD161" s="101">
        <f t="shared" ca="1" si="45"/>
        <v>1</v>
      </c>
      <c r="AE161" s="379" t="b">
        <f t="shared" ca="1" si="52"/>
        <v>0</v>
      </c>
      <c r="AF161" s="159" t="s">
        <v>2327</v>
      </c>
      <c r="AG161" s="783">
        <f>COUNTIF('VA Detailed Scorecard Config'!D:D,AF161)</f>
        <v>2</v>
      </c>
      <c r="AH161" s="99"/>
    </row>
    <row r="162" spans="2:34" ht="13.5" customHeight="1">
      <c r="B162" s="327" t="s">
        <v>1631</v>
      </c>
      <c r="C162" s="99" t="str">
        <f t="shared" ca="1" si="53"/>
        <v>Yes - other</v>
      </c>
      <c r="G162" s="99" t="str">
        <f t="shared" ca="1" si="54"/>
        <v/>
      </c>
      <c r="K162" s="99" t="str">
        <f t="shared" ca="1" si="55"/>
        <v>Social_Impact</v>
      </c>
      <c r="L162" s="99" t="b">
        <f t="shared" ca="1" si="56"/>
        <v>1</v>
      </c>
      <c r="M162" s="99"/>
      <c r="N162" s="99"/>
      <c r="O162" s="99"/>
      <c r="P162" s="99" t="b">
        <f t="shared" ca="1" si="57"/>
        <v>1</v>
      </c>
      <c r="T162" s="37" t="str">
        <f ca="1">IF(NOT(ISERROR(MATCH(K162,'Lookup Tables'!A:A,0))),"Lookup",IF(OR(NOT(ISERROR(FIND("Numeric",K162))),NOT(ISERROR(FIND("Percentage",K162))),NOT(ISERROR(FIND("Date",K162)))),"Numeric",IF(NOT(ISERROR(FIND("lank",K162))),"Non-blank",IF(NOT(ISERROR(FIND("Not evaluated",K162))),"Skipped","Other"))))</f>
        <v>Lookup</v>
      </c>
      <c r="U162" s="461">
        <f ca="1">IF(COLUMN()-COLUMN($U$55)+1&lt;=$Y162,INDEX(OFFSET(INDIRECT($K162),0,1),MATCH(C162,INDIRECT($K162),0)),"")</f>
        <v>0.5</v>
      </c>
      <c r="V162" s="461" t="str">
        <f ca="1">IF(COLUMN()-COLUMN($U$55)+1&lt;=$Y162,INDEX(OFFSET(INDIRECT($K162),0,1),MATCH(D162,INDIRECT($K162),0)),"")</f>
        <v/>
      </c>
      <c r="W162" s="461" t="str">
        <f ca="1">IF(COLUMN()-COLUMN($U$55)+1&lt;=$Y162,INDEX(OFFSET(INDIRECT($K162),0,1),MATCH(E162,INDIRECT($K162),0)),"")</f>
        <v/>
      </c>
      <c r="X162" s="465" t="str">
        <f ca="1">IF(COLUMN()-COLUMN($U$55)+1&lt;=$Y162,INDEX(OFFSET(INDIRECT($K162),0,1),MATCH(F162,INDIRECT($K162),0)),"")</f>
        <v/>
      </c>
      <c r="Y162" s="99">
        <f t="shared" si="44"/>
        <v>1</v>
      </c>
      <c r="Z162" s="99"/>
      <c r="AA162" s="99"/>
      <c r="AB162" s="99"/>
      <c r="AC162" s="159" t="s">
        <v>2198</v>
      </c>
      <c r="AD162" s="101">
        <f t="shared" ca="1" si="45"/>
        <v>0.5</v>
      </c>
      <c r="AE162" s="379" t="b">
        <f t="shared" ca="1" si="52"/>
        <v>0</v>
      </c>
      <c r="AF162" s="159" t="s">
        <v>2328</v>
      </c>
      <c r="AG162" s="783">
        <f>COUNTIF('VA Detailed Scorecard Config'!D:D,AF162)</f>
        <v>2</v>
      </c>
      <c r="AH162" s="99"/>
    </row>
    <row r="163" spans="2:34" ht="13.5" customHeight="1">
      <c r="B163" s="327" t="s">
        <v>1648</v>
      </c>
      <c r="C163" s="99" t="str">
        <f t="shared" ca="1" si="53"/>
        <v xml:space="preserve">Amounts allocated to </v>
      </c>
      <c r="G163" s="99" t="str">
        <f t="shared" ca="1" si="54"/>
        <v/>
      </c>
      <c r="K163" s="99" t="str">
        <f t="shared" ca="1" si="55"/>
        <v>Non-blank is better</v>
      </c>
      <c r="L163" s="99" t="b">
        <f t="shared" ca="1" si="56"/>
        <v>1</v>
      </c>
      <c r="M163" s="99"/>
      <c r="N163" s="99"/>
      <c r="O163" s="99"/>
      <c r="P163" s="99" t="b">
        <f t="shared" ca="1" si="57"/>
        <v>1</v>
      </c>
      <c r="T163" s="99" t="str">
        <f ca="1">IF(NOT(ISERROR(MATCH(K163,'Lookup Tables'!A:A,0))),"Lookup",IF(OR(NOT(ISERROR(FIND("Numeric",K163))),NOT(ISERROR(FIND("Percentage",K163))),NOT(ISERROR(FIND("Date",K163)))),"Numeric",IF(NOT(ISERROR(FIND("lank",K163))),"Non-blank",IF(NOT(ISERROR(FIND("Not evaluated",K163))),"Skipped","Other"))))</f>
        <v>Non-blank</v>
      </c>
      <c r="U163" s="461">
        <f ca="1">IF(COLUMN()-COLUMN($U$55)+1&lt;=$Y163,IF(C163="",0,1),"")</f>
        <v>1</v>
      </c>
      <c r="V163" s="461" t="str">
        <f>IF(COLUMN()-COLUMN($U$55)+1&lt;=$Y163,IF(D163="",0,1),"")</f>
        <v/>
      </c>
      <c r="W163" s="461" t="str">
        <f>IF(COLUMN()-COLUMN($U$55)+1&lt;=$Y163,IF(E163="",0,1),"")</f>
        <v/>
      </c>
      <c r="X163" s="465" t="str">
        <f>IF(COLUMN()-COLUMN($U$55)+1&lt;=$Y163,IF(F163="",0,1),"")</f>
        <v/>
      </c>
      <c r="Y163" s="99">
        <f t="shared" si="44"/>
        <v>1</v>
      </c>
      <c r="Z163" s="99"/>
      <c r="AA163" s="99"/>
      <c r="AB163" s="99"/>
      <c r="AC163" s="159" t="s">
        <v>2198</v>
      </c>
      <c r="AD163" s="101">
        <f t="shared" ca="1" si="45"/>
        <v>1</v>
      </c>
      <c r="AE163" s="379" t="b">
        <f t="shared" ca="1" si="52"/>
        <v>0</v>
      </c>
      <c r="AF163" s="159" t="s">
        <v>2329</v>
      </c>
      <c r="AG163" s="783">
        <f>COUNTIF('VA Detailed Scorecard Config'!D:D,AF163)</f>
        <v>1</v>
      </c>
      <c r="AH163" s="99"/>
    </row>
    <row r="164" spans="2:34" ht="13.5" customHeight="1">
      <c r="B164" s="327" t="s">
        <v>1639</v>
      </c>
      <c r="C164" s="99" t="str">
        <f t="shared" ca="1" si="53"/>
        <v>Yes - previously licensed for €1M+ in revenue</v>
      </c>
      <c r="G164" s="99" t="str">
        <f t="shared" ca="1" si="54"/>
        <v/>
      </c>
      <c r="K164" s="99" t="str">
        <f t="shared" ca="1" si="55"/>
        <v>Proprietary_to_OpenSource</v>
      </c>
      <c r="L164" s="99" t="b">
        <f t="shared" ca="1" si="56"/>
        <v>1</v>
      </c>
      <c r="M164" s="99"/>
      <c r="N164" s="99"/>
      <c r="O164" s="99"/>
      <c r="P164" s="99" t="b">
        <f t="shared" ca="1" si="57"/>
        <v>1</v>
      </c>
      <c r="T164" s="37" t="str">
        <f ca="1">IF(NOT(ISERROR(MATCH(K164,'Lookup Tables'!A:A,0))),"Lookup",IF(OR(NOT(ISERROR(FIND("Numeric",K164))),NOT(ISERROR(FIND("Percentage",K164))),NOT(ISERROR(FIND("Date",K164)))),"Numeric",IF(NOT(ISERROR(FIND("lank",K164))),"Non-blank",IF(NOT(ISERROR(FIND("Not evaluated",K164))),"Skipped","Other"))))</f>
        <v>Lookup</v>
      </c>
      <c r="U164" s="461">
        <f ca="1">IF(COLUMN()-COLUMN($U$55)+1&lt;=$Y164,INDEX(OFFSET(INDIRECT($K164),0,1),MATCH(C164,INDIRECT($K164),0)),"")</f>
        <v>1</v>
      </c>
      <c r="V164" s="461" t="str">
        <f ca="1">IF(COLUMN()-COLUMN($U$55)+1&lt;=$Y164,INDEX(OFFSET(INDIRECT($K164),0,1),MATCH(D164,INDIRECT($K164),0)),"")</f>
        <v/>
      </c>
      <c r="W164" s="461" t="str">
        <f ca="1">IF(COLUMN()-COLUMN($U$55)+1&lt;=$Y164,INDEX(OFFSET(INDIRECT($K164),0,1),MATCH(E164,INDIRECT($K164),0)),"")</f>
        <v/>
      </c>
      <c r="X164" s="465" t="str">
        <f ca="1">IF(COLUMN()-COLUMN($U$55)+1&lt;=$Y164,INDEX(OFFSET(INDIRECT($K164),0,1),MATCH(F164,INDIRECT($K164),0)),"")</f>
        <v/>
      </c>
      <c r="Y164" s="99">
        <f t="shared" si="44"/>
        <v>1</v>
      </c>
      <c r="Z164" s="99"/>
      <c r="AA164" s="99"/>
      <c r="AB164" s="99"/>
      <c r="AC164" s="159" t="s">
        <v>2198</v>
      </c>
      <c r="AD164" s="101">
        <f t="shared" ca="1" si="45"/>
        <v>1</v>
      </c>
      <c r="AE164" s="379" t="b">
        <f t="shared" ca="1" si="52"/>
        <v>0</v>
      </c>
      <c r="AF164" s="159" t="s">
        <v>2330</v>
      </c>
      <c r="AG164" s="783">
        <f>COUNTIF('VA Detailed Scorecard Config'!D:D,AF164)</f>
        <v>1</v>
      </c>
      <c r="AH164" s="99"/>
    </row>
    <row r="165" spans="2:34" ht="13.5" customHeight="1">
      <c r="B165" s="327" t="s">
        <v>1913</v>
      </c>
      <c r="C165" s="99" t="str">
        <f t="shared" ca="1" si="53"/>
        <v>No</v>
      </c>
      <c r="G165" s="99" t="str">
        <f t="shared" ca="1" si="54"/>
        <v/>
      </c>
      <c r="K165" s="99" t="str">
        <f t="shared" ca="1" si="55"/>
        <v>YES_No_NA</v>
      </c>
      <c r="L165" s="99" t="b">
        <f t="shared" ca="1" si="56"/>
        <v>1</v>
      </c>
      <c r="M165" s="99"/>
      <c r="N165" s="99"/>
      <c r="O165" s="99"/>
      <c r="P165" s="99" t="b">
        <f t="shared" ca="1" si="57"/>
        <v>1</v>
      </c>
      <c r="T165" s="37" t="str">
        <f ca="1">IF(NOT(ISERROR(MATCH(K165,'Lookup Tables'!A:A,0))),"Lookup",IF(OR(NOT(ISERROR(FIND("Numeric",K165))),NOT(ISERROR(FIND("Percentage",K165))),NOT(ISERROR(FIND("Date",K165)))),"Numeric",IF(NOT(ISERROR(FIND("lank",K165))),"Non-blank",IF(NOT(ISERROR(FIND("Not evaluated",K165))),"Skipped","Other"))))</f>
        <v>Lookup</v>
      </c>
      <c r="U165" s="461">
        <f ca="1">IF(COLUMN()-COLUMN($U$55)+1&lt;=$Y165,INDEX(OFFSET(INDIRECT($K165),0,1),MATCH(C165,INDIRECT($K165),0)),"")</f>
        <v>0</v>
      </c>
      <c r="V165" s="461" t="str">
        <f ca="1">IF(COLUMN()-COLUMN($U$55)+1&lt;=$Y165,INDEX(OFFSET(INDIRECT($K165),0,1),MATCH(D165,INDIRECT($K165),0)),"")</f>
        <v/>
      </c>
      <c r="W165" s="461" t="str">
        <f ca="1">IF(COLUMN()-COLUMN($U$55)+1&lt;=$Y165,INDEX(OFFSET(INDIRECT($K165),0,1),MATCH(E165,INDIRECT($K165),0)),"")</f>
        <v/>
      </c>
      <c r="X165" s="465" t="str">
        <f ca="1">IF(COLUMN()-COLUMN($U$55)+1&lt;=$Y165,INDEX(OFFSET(INDIRECT($K165),0,1),MATCH(F165,INDIRECT($K165),0)),"")</f>
        <v/>
      </c>
      <c r="Y165" s="99">
        <f t="shared" si="44"/>
        <v>1</v>
      </c>
      <c r="Z165" s="99"/>
      <c r="AA165" s="99"/>
      <c r="AB165" s="99"/>
      <c r="AC165" s="159" t="s">
        <v>2198</v>
      </c>
      <c r="AD165" s="101">
        <f t="shared" ca="1" si="45"/>
        <v>0</v>
      </c>
      <c r="AE165" s="379" t="b">
        <f t="shared" ca="1" si="52"/>
        <v>0</v>
      </c>
      <c r="AF165" s="159" t="s">
        <v>2331</v>
      </c>
      <c r="AG165" s="783">
        <f>COUNTIF('VA Detailed Scorecard Config'!D:D,AF165)</f>
        <v>2</v>
      </c>
      <c r="AH165" s="99"/>
    </row>
    <row r="166" spans="2:34" ht="13.5" customHeight="1">
      <c r="B166" s="327" t="s">
        <v>1914</v>
      </c>
      <c r="C166" s="99" t="str">
        <f t="shared" ca="1" si="53"/>
        <v>N/A</v>
      </c>
      <c r="G166" s="99" t="str">
        <f t="shared" ca="1" si="54"/>
        <v/>
      </c>
      <c r="K166" s="99" t="str">
        <f t="shared" ca="1" si="55"/>
        <v>YES_No_NA</v>
      </c>
      <c r="L166" s="99" t="b">
        <f t="shared" ca="1" si="56"/>
        <v>1</v>
      </c>
      <c r="M166" s="99"/>
      <c r="N166" s="99"/>
      <c r="O166" s="99"/>
      <c r="P166" s="99" t="b">
        <f t="shared" ca="1" si="57"/>
        <v>1</v>
      </c>
      <c r="T166" s="37" t="str">
        <f ca="1">IF(NOT(ISERROR(MATCH(K166,'Lookup Tables'!A:A,0))),"Lookup",IF(OR(NOT(ISERROR(FIND("Numeric",K166))),NOT(ISERROR(FIND("Percentage",K166))),NOT(ISERROR(FIND("Date",K166)))),"Numeric",IF(NOT(ISERROR(FIND("lank",K166))),"Non-blank",IF(NOT(ISERROR(FIND("Not evaluated",K166))),"Skipped","Other"))))</f>
        <v>Lookup</v>
      </c>
      <c r="U166" s="461">
        <f ca="1">IF(COLUMN()-COLUMN($U$55)+1&lt;=$Y166,INDEX(OFFSET(INDIRECT($K166),0,1),MATCH(C166,INDIRECT($K166),0)),"")</f>
        <v>1</v>
      </c>
      <c r="V166" s="461" t="str">
        <f ca="1">IF(COLUMN()-COLUMN($U$55)+1&lt;=$Y166,INDEX(OFFSET(INDIRECT($K166),0,1),MATCH(D166,INDIRECT($K166),0)),"")</f>
        <v/>
      </c>
      <c r="W166" s="461" t="str">
        <f ca="1">IF(COLUMN()-COLUMN($U$55)+1&lt;=$Y166,INDEX(OFFSET(INDIRECT($K166),0,1),MATCH(E166,INDIRECT($K166),0)),"")</f>
        <v/>
      </c>
      <c r="X166" s="465" t="str">
        <f ca="1">IF(COLUMN()-COLUMN($U$55)+1&lt;=$Y166,INDEX(OFFSET(INDIRECT($K166),0,1),MATCH(F166,INDIRECT($K166),0)),"")</f>
        <v/>
      </c>
      <c r="Y166" s="99">
        <f t="shared" si="44"/>
        <v>1</v>
      </c>
      <c r="Z166" s="99"/>
      <c r="AA166" s="99"/>
      <c r="AB166" s="99"/>
      <c r="AC166" s="159" t="s">
        <v>2198</v>
      </c>
      <c r="AD166" s="101">
        <f t="shared" ca="1" si="45"/>
        <v>1</v>
      </c>
      <c r="AE166" s="379" t="b">
        <f t="shared" ca="1" si="52"/>
        <v>0</v>
      </c>
      <c r="AF166" s="159" t="s">
        <v>2332</v>
      </c>
      <c r="AG166" s="783">
        <f>COUNTIF('VA Detailed Scorecard Config'!D:D,AF166)</f>
        <v>1</v>
      </c>
      <c r="AH166" s="99"/>
    </row>
    <row r="167" spans="2:34" ht="13.5" customHeight="1">
      <c r="B167" s="344" t="s">
        <v>1915</v>
      </c>
      <c r="C167" s="99">
        <f t="shared" ca="1" si="53"/>
        <v>0</v>
      </c>
      <c r="G167" s="99" t="str">
        <f t="shared" ca="1" si="54"/>
        <v/>
      </c>
      <c r="K167" s="99" t="str">
        <f t="shared" ca="1" si="55"/>
        <v>Numerical (Larger is better, log scale)</v>
      </c>
      <c r="L167" s="99" t="b">
        <f t="shared" ca="1" si="56"/>
        <v>1</v>
      </c>
      <c r="M167" s="99"/>
      <c r="N167" s="99"/>
      <c r="O167" s="99"/>
      <c r="P167" s="99" t="b">
        <f t="shared" ca="1" si="57"/>
        <v>1</v>
      </c>
      <c r="T167" s="99" t="str">
        <f ca="1">IF(NOT(ISERROR(MATCH(K167,'Lookup Tables'!A:A,0))),"Lookup",IF(OR(NOT(ISERROR(FIND("Numeric",K167))),NOT(ISERROR(FIND("Percentage",K167))),NOT(ISERROR(FIND("Date",K167)))),"Numeric",IF(NOT(ISERROR(FIND("lank",K167))),"Non-blank",IF(NOT(ISERROR(FIND("Not evaluated",K167))),"Skipped","Other"))))</f>
        <v>Numeric</v>
      </c>
      <c r="U167" s="101">
        <f ca="1">IF(COLUMN()-COLUMN($U$55)+1&lt;=$Y166,(LOG(C167+1)-LOG(MIN($C167:$F167,$Z167:$AA167)+1))/(LOG(MAX($AA167,$C167:$F167)+1)-LOG(MIN($C167:$F167,$Z167:$AA167)+1)),"")</f>
        <v>0</v>
      </c>
      <c r="V167" s="101" t="str">
        <f>IF(COLUMN()-COLUMN($U$55)+1&lt;=$Y166,(LOG(D167+1)-LOG(MIN($C167:$F167,$Z167:$AA167)+1))/(LOG(MAX($AA167,$C167:$F167)+1)-LOG(MIN($C167:$F167,$Z167:$AA167)+1)),"")</f>
        <v/>
      </c>
      <c r="W167" s="101" t="str">
        <f>IF(COLUMN()-COLUMN($U$55)+1&lt;=$Y166,(LOG(E167+1)-LOG(MIN($C167:$F167,$Z167:$AA167)+1))/(LOG(MAX($AA167,$C167:$F167)+1)-LOG(MIN($C167:$F167,$Z167:$AA167)+1)),"")</f>
        <v/>
      </c>
      <c r="X167" s="466" t="str">
        <f>IF(COLUMN()-COLUMN($U$55)+1&lt;=$Y166,(LOG(F167+1)-LOG(MIN($C167:$F167,$Z167:$AA167)+1))/(LOG(MAX($AA167,$C167:$F167)+1)-LOG(MIN($C167:$F167,$Z167:$AA167)+1)),"")</f>
        <v/>
      </c>
      <c r="Y167" s="99">
        <f>COUNTA($C$2:$F$2)</f>
        <v>1</v>
      </c>
      <c r="Z167" s="99">
        <v>0</v>
      </c>
      <c r="AA167" s="99">
        <v>1000000</v>
      </c>
      <c r="AB167" s="159" t="s">
        <v>2186</v>
      </c>
      <c r="AC167" s="159" t="s">
        <v>2198</v>
      </c>
      <c r="AD167" s="101">
        <f t="shared" ca="1" si="45"/>
        <v>0</v>
      </c>
      <c r="AE167" s="379" t="b">
        <f t="shared" ca="1" si="52"/>
        <v>0</v>
      </c>
      <c r="AF167" s="159" t="s">
        <v>2333</v>
      </c>
      <c r="AG167" s="783">
        <f>COUNTIF('VA Detailed Scorecard Config'!D:D,AF167)</f>
        <v>2</v>
      </c>
      <c r="AH167" s="99"/>
    </row>
    <row r="168" spans="2:34" ht="13.5" customHeight="1">
      <c r="B168" s="327" t="s">
        <v>1683</v>
      </c>
      <c r="C168" s="99">
        <f t="shared" ca="1" si="53"/>
        <v>0</v>
      </c>
      <c r="G168" s="99" t="str">
        <f t="shared" ca="1" si="54"/>
        <v/>
      </c>
      <c r="K168" s="99" t="str">
        <f t="shared" ca="1" si="55"/>
        <v>Numerical (Larger is better, log scale)</v>
      </c>
      <c r="L168" s="99" t="b">
        <f t="shared" ca="1" si="56"/>
        <v>1</v>
      </c>
      <c r="M168" s="99"/>
      <c r="N168" s="99"/>
      <c r="O168" s="99"/>
      <c r="P168" s="99" t="b">
        <f t="shared" ca="1" si="57"/>
        <v>1</v>
      </c>
      <c r="T168" s="99" t="str">
        <f ca="1">IF(NOT(ISERROR(MATCH(K168,'Lookup Tables'!A:A,0))),"Lookup",IF(OR(NOT(ISERROR(FIND("Numeric",K168))),NOT(ISERROR(FIND("Percentage",K168))),NOT(ISERROR(FIND("Date",K168)))),"Numeric",IF(NOT(ISERROR(FIND("lank",K168))),"Non-blank",IF(NOT(ISERROR(FIND("Not evaluated",K168))),"Skipped","Other"))))</f>
        <v>Numeric</v>
      </c>
      <c r="U168" s="101">
        <f ca="1">IF(COLUMN()-COLUMN($U$55)+1&lt;=$Y167,(LOG(C168+1)-LOG(MIN($C168:$F168,$Z168:$AA168)+1))/(LOG(MAX($AA168,$C168:$F168)+1)-LOG(MIN($C168:$F168,$Z168:$AA168)+1)),"")</f>
        <v>0</v>
      </c>
      <c r="V168" s="101" t="str">
        <f>IF(COLUMN()-COLUMN($U$55)+1&lt;=$Y167,(LOG(D168+1)-LOG(MIN($C168:$F168,$Z168:$AA168)+1))/(LOG(MAX($AA168,$C168:$F168)+1)-LOG(MIN($C168:$F168,$Z168:$AA168)+1)),"")</f>
        <v/>
      </c>
      <c r="W168" s="101" t="str">
        <f>IF(COLUMN()-COLUMN($U$55)+1&lt;=$Y167,(LOG(E168+1)-LOG(MIN($C168:$F168,$Z168:$AA168)+1))/(LOG(MAX($AA168,$C168:$F168)+1)-LOG(MIN($C168:$F168,$Z168:$AA168)+1)),"")</f>
        <v/>
      </c>
      <c r="X168" s="466" t="str">
        <f>IF(COLUMN()-COLUMN($U$55)+1&lt;=$Y167,(LOG(F168+1)-LOG(MIN($C168:$F168,$Z168:$AA168)+1))/(LOG(MAX($AA168,$C168:$F168)+1)-LOG(MIN($C168:$F168,$Z168:$AA168)+1)),"")</f>
        <v/>
      </c>
      <c r="Y168" s="99">
        <f>COUNTA($C$2:$F$2)</f>
        <v>1</v>
      </c>
      <c r="Z168" s="99">
        <v>0</v>
      </c>
      <c r="AA168" s="99">
        <v>100000</v>
      </c>
      <c r="AB168" s="159" t="s">
        <v>2186</v>
      </c>
      <c r="AC168" s="159" t="s">
        <v>2198</v>
      </c>
      <c r="AD168" s="101">
        <f t="shared" ca="1" si="45"/>
        <v>0</v>
      </c>
      <c r="AE168" s="379" t="b">
        <f t="shared" ca="1" si="52"/>
        <v>0</v>
      </c>
      <c r="AF168" s="159" t="s">
        <v>2334</v>
      </c>
      <c r="AG168" s="783">
        <f>COUNTIF('VA Detailed Scorecard Config'!D:D,AF168)</f>
        <v>2</v>
      </c>
      <c r="AH168" s="99"/>
    </row>
    <row r="169" spans="2:34" ht="13.5" customHeight="1">
      <c r="B169" s="344" t="s">
        <v>1916</v>
      </c>
      <c r="C169" s="99">
        <f t="shared" ca="1" si="53"/>
        <v>3</v>
      </c>
      <c r="G169" s="99" t="str">
        <f t="shared" ca="1" si="54"/>
        <v/>
      </c>
      <c r="K169" s="99" t="str">
        <f t="shared" ca="1" si="55"/>
        <v>Numerical (Larger is better, log scale)</v>
      </c>
      <c r="L169" s="99" t="b">
        <f t="shared" ca="1" si="56"/>
        <v>1</v>
      </c>
      <c r="M169" s="99"/>
      <c r="N169" s="99"/>
      <c r="O169" s="99"/>
      <c r="P169" s="99" t="b">
        <f t="shared" ca="1" si="57"/>
        <v>1</v>
      </c>
      <c r="T169" s="99" t="str">
        <f ca="1">IF(NOT(ISERROR(MATCH(K169,'Lookup Tables'!A:A,0))),"Lookup",IF(OR(NOT(ISERROR(FIND("Numeric",K169))),NOT(ISERROR(FIND("Percentage",K169))),NOT(ISERROR(FIND("Date",K169)))),"Numeric",IF(NOT(ISERROR(FIND("lank",K169))),"Non-blank",IF(NOT(ISERROR(FIND("Not evaluated",K169))),"Skipped","Other"))))</f>
        <v>Numeric</v>
      </c>
      <c r="U169" s="101">
        <f ca="1">IF(COLUMN()-COLUMN($U$55)+1&lt;=$Y168,(LOG(C169+1)-LOG(MIN($C169:$F169,$Z169:$AA169)+1))/(LOG(MAX($AA169,$C169:$F169)+1)-LOG(MIN($C169:$F169,$Z169:$AA169)+1)),"")</f>
        <v>0.45534049739390597</v>
      </c>
      <c r="V169" s="101" t="str">
        <f>IF(COLUMN()-COLUMN($U$55)+1&lt;=$Y168,(LOG(D169+1)-LOG(MIN($C169:$F169,$Z169:$AA169)+1))/(LOG(MAX($AA169,$C169:$F169)+1)-LOG(MIN($C169:$F169,$Z169:$AA169)+1)),"")</f>
        <v/>
      </c>
      <c r="W169" s="101" t="str">
        <f>IF(COLUMN()-COLUMN($U$55)+1&lt;=$Y168,(LOG(E169+1)-LOG(MIN($C169:$F169,$Z169:$AA169)+1))/(LOG(MAX($AA169,$C169:$F169)+1)-LOG(MIN($C169:$F169,$Z169:$AA169)+1)),"")</f>
        <v/>
      </c>
      <c r="X169" s="466" t="str">
        <f>IF(COLUMN()-COLUMN($U$55)+1&lt;=$Y168,(LOG(F169+1)-LOG(MIN($C169:$F169,$Z169:$AA169)+1))/(LOG(MAX($AA169,$C169:$F169)+1)-LOG(MIN($C169:$F169,$Z169:$AA169)+1)),"")</f>
        <v/>
      </c>
      <c r="Y169" s="99">
        <f>COUNTA($C$2:$F$2)</f>
        <v>1</v>
      </c>
      <c r="Z169" s="99">
        <v>0</v>
      </c>
      <c r="AA169" s="99">
        <v>20</v>
      </c>
      <c r="AB169" s="159" t="s">
        <v>2186</v>
      </c>
      <c r="AC169" s="159" t="s">
        <v>2198</v>
      </c>
      <c r="AD169" s="101">
        <f t="shared" ca="1" si="45"/>
        <v>0.45534049739390597</v>
      </c>
      <c r="AE169" s="379" t="b">
        <f t="shared" ca="1" si="52"/>
        <v>0</v>
      </c>
      <c r="AF169" s="159" t="s">
        <v>2335</v>
      </c>
      <c r="AG169" s="783">
        <f>COUNTIF('VA Detailed Scorecard Config'!D:D,AF169)</f>
        <v>2</v>
      </c>
      <c r="AH169" s="99"/>
    </row>
    <row r="170" spans="2:34" ht="13.5" customHeight="1">
      <c r="B170" s="327" t="s">
        <v>1654</v>
      </c>
      <c r="C170" s="99" t="str">
        <f t="shared" ca="1" si="53"/>
        <v>Github</v>
      </c>
      <c r="G170" s="99" t="str">
        <f t="shared" ca="1" si="54"/>
        <v/>
      </c>
      <c r="K170" s="99" t="str">
        <f t="shared" ca="1" si="55"/>
        <v>Release_Location</v>
      </c>
      <c r="L170" s="99" t="b">
        <f t="shared" ca="1" si="56"/>
        <v>0</v>
      </c>
      <c r="M170" s="99"/>
      <c r="N170" s="99"/>
      <c r="O170" s="99"/>
      <c r="P170" s="99" t="b">
        <f t="shared" ca="1" si="57"/>
        <v>1</v>
      </c>
      <c r="T170" s="37" t="str">
        <f ca="1">IF(NOT(ISERROR(MATCH(K170,'Lookup Tables'!A:A,0))),"Lookup",IF(OR(NOT(ISERROR(FIND("Numeric",K170))),NOT(ISERROR(FIND("Percentage",K170))),NOT(ISERROR(FIND("Date",K170)))),"Numeric",IF(NOT(ISERROR(FIND("lank",K170))),"Non-blank",IF(NOT(ISERROR(FIND("Not evaluated",K170))),"Skipped","Other"))))</f>
        <v>Lookup</v>
      </c>
      <c r="U170" s="461">
        <f ca="1">IF(COLUMN()-COLUMN($U$55)+1&lt;=$Y170,INDEX(OFFSET(INDIRECT($K170),0,1),MATCH(C170,INDIRECT($K170),0)),"")</f>
        <v>1</v>
      </c>
      <c r="V170" s="461" t="str">
        <f ca="1">IF(COLUMN()-COLUMN($U$55)+1&lt;=$Y170,INDEX(OFFSET(INDIRECT($K170),0,1),MATCH(D170,INDIRECT($K170),0)),"")</f>
        <v/>
      </c>
      <c r="W170" s="461" t="str">
        <f ca="1">IF(COLUMN()-COLUMN($U$55)+1&lt;=$Y170,INDEX(OFFSET(INDIRECT($K170),0,1),MATCH(E170,INDIRECT($K170),0)),"")</f>
        <v/>
      </c>
      <c r="X170" s="465" t="str">
        <f ca="1">IF(COLUMN()-COLUMN($U$55)+1&lt;=$Y170,INDEX(OFFSET(INDIRECT($K170),0,1),MATCH(F170,INDIRECT($K170),0)),"")</f>
        <v/>
      </c>
      <c r="Y170" s="99">
        <f t="shared" si="44"/>
        <v>1</v>
      </c>
      <c r="Z170" s="99"/>
      <c r="AA170" s="99"/>
      <c r="AB170" s="99"/>
      <c r="AC170" s="159" t="s">
        <v>2198</v>
      </c>
      <c r="AD170" s="101">
        <f t="shared" ca="1" si="45"/>
        <v>1</v>
      </c>
      <c r="AE170" s="379" t="b">
        <f t="shared" ca="1" si="52"/>
        <v>1</v>
      </c>
      <c r="AF170" s="159" t="s">
        <v>2336</v>
      </c>
      <c r="AG170" s="783">
        <f>COUNTIF('VA Detailed Scorecard Config'!D:D,AF170)</f>
        <v>1</v>
      </c>
      <c r="AH170" s="99"/>
    </row>
    <row r="171" spans="2:34" ht="13.5" customHeight="1">
      <c r="B171" s="327" t="s">
        <v>1661</v>
      </c>
      <c r="C171" s="99" t="str">
        <f t="shared" ca="1" si="53"/>
        <v>Apache License 2.0</v>
      </c>
      <c r="G171" s="99" t="str">
        <f t="shared" ca="1" si="54"/>
        <v/>
      </c>
      <c r="K171" s="99" t="str">
        <f t="shared" ca="1" si="55"/>
        <v>License</v>
      </c>
      <c r="L171" s="99" t="b">
        <f t="shared" ca="1" si="56"/>
        <v>1</v>
      </c>
      <c r="M171" s="99"/>
      <c r="N171" s="99"/>
      <c r="O171" s="99"/>
      <c r="P171" s="99" t="b">
        <f t="shared" ca="1" si="57"/>
        <v>1</v>
      </c>
      <c r="T171" s="37" t="str">
        <f ca="1">IF(NOT(ISERROR(MATCH(K171,'Lookup Tables'!A:A,0))),"Lookup",IF(OR(NOT(ISERROR(FIND("Numeric",K171))),NOT(ISERROR(FIND("Percentage",K171))),NOT(ISERROR(FIND("Date",K171)))),"Numeric",IF(NOT(ISERROR(FIND("lank",K171))),"Non-blank",IF(NOT(ISERROR(FIND("Not evaluated",K171))),"Skipped","Other"))))</f>
        <v>Lookup</v>
      </c>
      <c r="U171" s="461">
        <f ca="1">IF(COLUMN()-COLUMN($U$55)+1&lt;=$Y171,INDEX(OFFSET(INDIRECT($K171),0,1),MATCH(C171,INDIRECT($K171),0)),"")</f>
        <v>1</v>
      </c>
      <c r="V171" s="461" t="str">
        <f ca="1">IF(COLUMN()-COLUMN($U$55)+1&lt;=$Y171,INDEX(OFFSET(INDIRECT($K171),0,1),MATCH(D171,INDIRECT($K171),0)),"")</f>
        <v/>
      </c>
      <c r="W171" s="461" t="str">
        <f ca="1">IF(COLUMN()-COLUMN($U$55)+1&lt;=$Y171,INDEX(OFFSET(INDIRECT($K171),0,1),MATCH(E171,INDIRECT($K171),0)),"")</f>
        <v/>
      </c>
      <c r="X171" s="465" t="str">
        <f ca="1">IF(COLUMN()-COLUMN($U$55)+1&lt;=$Y171,INDEX(OFFSET(INDIRECT($K171),0,1),MATCH(F171,INDIRECT($K171),0)),"")</f>
        <v/>
      </c>
      <c r="Y171" s="99">
        <f t="shared" si="44"/>
        <v>1</v>
      </c>
      <c r="Z171" s="99"/>
      <c r="AA171" s="99"/>
      <c r="AB171" s="99"/>
      <c r="AC171" s="159" t="s">
        <v>2198</v>
      </c>
      <c r="AD171" s="101">
        <f t="shared" ca="1" si="45"/>
        <v>1</v>
      </c>
      <c r="AE171" s="379" t="b">
        <f t="shared" ca="1" si="52"/>
        <v>0</v>
      </c>
      <c r="AF171" s="159" t="s">
        <v>2337</v>
      </c>
      <c r="AG171" s="783">
        <f>COUNTIF('VA Detailed Scorecard Config'!D:D,AF171)</f>
        <v>1</v>
      </c>
      <c r="AH171" s="99"/>
    </row>
    <row r="172" spans="2:34" ht="13.5" customHeight="1">
      <c r="B172" s="327" t="s">
        <v>1676</v>
      </c>
      <c r="C172" s="99" t="str">
        <f t="shared" ca="1" si="53"/>
        <v>Yes</v>
      </c>
      <c r="G172" s="99" t="str">
        <f t="shared" ca="1" si="54"/>
        <v/>
      </c>
      <c r="K172" s="99" t="str">
        <f t="shared" ca="1" si="55"/>
        <v>YES_No_NA</v>
      </c>
      <c r="L172" s="99" t="b">
        <f t="shared" ca="1" si="56"/>
        <v>1</v>
      </c>
      <c r="M172" s="99"/>
      <c r="N172" s="99"/>
      <c r="O172" s="99"/>
      <c r="P172" s="99" t="b">
        <f t="shared" ca="1" si="57"/>
        <v>1</v>
      </c>
      <c r="T172" s="37" t="str">
        <f ca="1">IF(NOT(ISERROR(MATCH(K172,'Lookup Tables'!A:A,0))),"Lookup",IF(OR(NOT(ISERROR(FIND("Numeric",K172))),NOT(ISERROR(FIND("Percentage",K172))),NOT(ISERROR(FIND("Date",K172)))),"Numeric",IF(NOT(ISERROR(FIND("lank",K172))),"Non-blank",IF(NOT(ISERROR(FIND("Not evaluated",K172))),"Skipped","Other"))))</f>
        <v>Lookup</v>
      </c>
      <c r="U172" s="461">
        <f ca="1">IF(COLUMN()-COLUMN($U$55)+1&lt;=$Y172,INDEX(OFFSET(INDIRECT($K172),0,1),MATCH(C172,INDIRECT($K172),0)),"")</f>
        <v>1</v>
      </c>
      <c r="V172" s="461" t="str">
        <f ca="1">IF(COLUMN()-COLUMN($U$55)+1&lt;=$Y172,INDEX(OFFSET(INDIRECT($K172),0,1),MATCH(D172,INDIRECT($K172),0)),"")</f>
        <v/>
      </c>
      <c r="W172" s="461" t="str">
        <f ca="1">IF(COLUMN()-COLUMN($U$55)+1&lt;=$Y172,INDEX(OFFSET(INDIRECT($K172),0,1),MATCH(E172,INDIRECT($K172),0)),"")</f>
        <v/>
      </c>
      <c r="X172" s="465" t="str">
        <f ca="1">IF(COLUMN()-COLUMN($U$55)+1&lt;=$Y172,INDEX(OFFSET(INDIRECT($K172),0,1),MATCH(F172,INDIRECT($K172),0)),"")</f>
        <v/>
      </c>
      <c r="Y172" s="99">
        <f t="shared" si="44"/>
        <v>1</v>
      </c>
      <c r="Z172" s="99"/>
      <c r="AA172" s="99"/>
      <c r="AB172" s="99"/>
      <c r="AC172" s="159" t="s">
        <v>2198</v>
      </c>
      <c r="AD172" s="101">
        <f t="shared" ca="1" si="45"/>
        <v>1</v>
      </c>
      <c r="AE172" s="379" t="b">
        <f t="shared" ca="1" si="52"/>
        <v>0</v>
      </c>
      <c r="AF172" s="159" t="s">
        <v>2338</v>
      </c>
      <c r="AG172" s="783">
        <f>COUNTIF('VA Detailed Scorecard Config'!D:D,AF172)</f>
        <v>1</v>
      </c>
      <c r="AH172" s="99"/>
    </row>
    <row r="173" spans="2:34" ht="13.5" customHeight="1">
      <c r="B173" s="327" t="s">
        <v>1673</v>
      </c>
      <c r="C173" s="99" t="str">
        <f t="shared" ca="1" si="53"/>
        <v>Yes</v>
      </c>
      <c r="G173" s="99" t="str">
        <f t="shared" ca="1" si="54"/>
        <v/>
      </c>
      <c r="K173" s="99" t="str">
        <f t="shared" ca="1" si="55"/>
        <v>YES_No_NA</v>
      </c>
      <c r="L173" s="99" t="b">
        <f t="shared" ca="1" si="56"/>
        <v>0</v>
      </c>
      <c r="M173" s="99"/>
      <c r="N173" s="99"/>
      <c r="O173" s="99"/>
      <c r="P173" s="99" t="b">
        <f t="shared" ca="1" si="57"/>
        <v>1</v>
      </c>
      <c r="T173" s="37" t="str">
        <f ca="1">IF(NOT(ISERROR(MATCH(K173,'Lookup Tables'!A:A,0))),"Lookup",IF(OR(NOT(ISERROR(FIND("Numeric",K173))),NOT(ISERROR(FIND("Percentage",K173))),NOT(ISERROR(FIND("Date",K173)))),"Numeric",IF(NOT(ISERROR(FIND("lank",K173))),"Non-blank",IF(NOT(ISERROR(FIND("Not evaluated",K173))),"Skipped","Other"))))</f>
        <v>Lookup</v>
      </c>
      <c r="U173" s="461">
        <f ca="1">IF(COLUMN()-COLUMN($U$55)+1&lt;=$Y173,INDEX(OFFSET(INDIRECT($K173),0,1),MATCH(C173,INDIRECT($K173),0)),"")</f>
        <v>1</v>
      </c>
      <c r="V173" s="461" t="str">
        <f ca="1">IF(COLUMN()-COLUMN($U$55)+1&lt;=$Y173,INDEX(OFFSET(INDIRECT($K173),0,1),MATCH(D173,INDIRECT($K173),0)),"")</f>
        <v/>
      </c>
      <c r="W173" s="461" t="str">
        <f ca="1">IF(COLUMN()-COLUMN($U$55)+1&lt;=$Y173,INDEX(OFFSET(INDIRECT($K173),0,1),MATCH(E173,INDIRECT($K173),0)),"")</f>
        <v/>
      </c>
      <c r="X173" s="465" t="str">
        <f ca="1">IF(COLUMN()-COLUMN($U$55)+1&lt;=$Y173,INDEX(OFFSET(INDIRECT($K173),0,1),MATCH(F173,INDIRECT($K173),0)),"")</f>
        <v/>
      </c>
      <c r="Y173" s="99">
        <f t="shared" si="44"/>
        <v>1</v>
      </c>
      <c r="Z173" s="99"/>
      <c r="AA173" s="99"/>
      <c r="AB173" s="99"/>
      <c r="AC173" s="159" t="s">
        <v>2198</v>
      </c>
      <c r="AD173" s="101">
        <f t="shared" ca="1" si="45"/>
        <v>1</v>
      </c>
      <c r="AE173" s="379" t="b">
        <f t="shared" ca="1" si="52"/>
        <v>1</v>
      </c>
      <c r="AF173" s="159" t="s">
        <v>2339</v>
      </c>
      <c r="AG173" s="783">
        <f>COUNTIF('VA Detailed Scorecard Config'!D:D,AF173)</f>
        <v>1</v>
      </c>
      <c r="AH173" s="99"/>
    </row>
    <row r="174" spans="2:34" ht="13.5" customHeight="1">
      <c r="B174" s="327" t="s">
        <v>1674</v>
      </c>
      <c r="C174" s="99" t="str">
        <f t="shared" ca="1" si="53"/>
        <v>No</v>
      </c>
      <c r="G174" s="99" t="str">
        <f t="shared" ca="1" si="54"/>
        <v/>
      </c>
      <c r="K174" s="99" t="str">
        <f t="shared" ca="1" si="55"/>
        <v>YES_No_NA</v>
      </c>
      <c r="L174" s="99" t="b">
        <f t="shared" ca="1" si="56"/>
        <v>0</v>
      </c>
      <c r="M174" s="99"/>
      <c r="N174" s="99"/>
      <c r="O174" s="99"/>
      <c r="P174" s="99" t="b">
        <f t="shared" ca="1" si="57"/>
        <v>1</v>
      </c>
      <c r="T174" s="37" t="str">
        <f ca="1">IF(NOT(ISERROR(MATCH(K174,'Lookup Tables'!A:A,0))),"Lookup",IF(OR(NOT(ISERROR(FIND("Numeric",K174))),NOT(ISERROR(FIND("Percentage",K174))),NOT(ISERROR(FIND("Date",K174)))),"Numeric",IF(NOT(ISERROR(FIND("lank",K174))),"Non-blank",IF(NOT(ISERROR(FIND("Not evaluated",K174))),"Skipped","Other"))))</f>
        <v>Lookup</v>
      </c>
      <c r="U174" s="461">
        <f ca="1">IF(COLUMN()-COLUMN($U$55)+1&lt;=$Y174,INDEX(OFFSET(INDIRECT($K174),0,1),MATCH(C174,INDIRECT($K174),0)),"")</f>
        <v>0</v>
      </c>
      <c r="V174" s="461" t="str">
        <f ca="1">IF(COLUMN()-COLUMN($U$55)+1&lt;=$Y174,INDEX(OFFSET(INDIRECT($K174),0,1),MATCH(D174,INDIRECT($K174),0)),"")</f>
        <v/>
      </c>
      <c r="W174" s="461" t="str">
        <f ca="1">IF(COLUMN()-COLUMN($U$55)+1&lt;=$Y174,INDEX(OFFSET(INDIRECT($K174),0,1),MATCH(E174,INDIRECT($K174),0)),"")</f>
        <v/>
      </c>
      <c r="X174" s="465" t="str">
        <f ca="1">IF(COLUMN()-COLUMN($U$55)+1&lt;=$Y174,INDEX(OFFSET(INDIRECT($K174),0,1),MATCH(F174,INDIRECT($K174),0)),"")</f>
        <v/>
      </c>
      <c r="Y174" s="99">
        <f t="shared" si="44"/>
        <v>1</v>
      </c>
      <c r="Z174" s="99"/>
      <c r="AA174" s="99"/>
      <c r="AB174" s="99"/>
      <c r="AC174" s="159" t="s">
        <v>2198</v>
      </c>
      <c r="AD174" s="101">
        <f t="shared" ca="1" si="45"/>
        <v>0</v>
      </c>
      <c r="AE174" s="379" t="b">
        <f t="shared" ca="1" si="52"/>
        <v>1</v>
      </c>
      <c r="AF174" s="159" t="s">
        <v>2340</v>
      </c>
      <c r="AG174" s="783">
        <f>COUNTIF('VA Detailed Scorecard Config'!D:D,AF174)</f>
        <v>1</v>
      </c>
      <c r="AH174" s="99"/>
    </row>
    <row r="175" spans="2:34" ht="13.5" customHeight="1">
      <c r="B175" s="327" t="s">
        <v>1675</v>
      </c>
      <c r="C175" s="99">
        <f t="shared" ca="1" si="53"/>
        <v>10</v>
      </c>
      <c r="G175" s="99" t="str">
        <f t="shared" ca="1" si="54"/>
        <v/>
      </c>
      <c r="K175" s="99" t="str">
        <f t="shared" ca="1" si="55"/>
        <v>Numerical (Larger is better, log scale)</v>
      </c>
      <c r="L175" s="99" t="b">
        <f t="shared" ca="1" si="56"/>
        <v>1</v>
      </c>
      <c r="M175" s="99"/>
      <c r="N175" s="99"/>
      <c r="O175" s="99"/>
      <c r="P175" s="99" t="b">
        <f t="shared" ca="1" si="57"/>
        <v>1</v>
      </c>
      <c r="T175" s="99" t="str">
        <f ca="1">IF(NOT(ISERROR(MATCH(K175,'Lookup Tables'!A:A,0))),"Lookup",IF(OR(NOT(ISERROR(FIND("Numeric",K175))),NOT(ISERROR(FIND("Percentage",K175))),NOT(ISERROR(FIND("Date",K175)))),"Numeric",IF(NOT(ISERROR(FIND("lank",K175))),"Non-blank",IF(NOT(ISERROR(FIND("Not evaluated",K175))),"Skipped","Other"))))</f>
        <v>Numeric</v>
      </c>
      <c r="U175" s="101">
        <f ca="1">IF(COLUMN()-COLUMN($U$55)+1&lt;=$Y174,(LOG(C175+1)-LOG(MIN($C175:$F175,$Z175:$AA175)+1))/(LOG(MAX($AA175,$C175:$F175)+1)-LOG(MIN($C175:$F175,$Z175:$AA175)+1)),"")</f>
        <v>0.7876096569652562</v>
      </c>
      <c r="V175" s="101" t="str">
        <f>IF(COLUMN()-COLUMN($U$55)+1&lt;=$Y174,(LOG(D175+1)-LOG(MIN($C175:$F175,$Z175:$AA175)+1))/(LOG(MAX($AA175,$C175:$F175)+1)-LOG(MIN($C175:$F175,$Z175:$AA175)+1)),"")</f>
        <v/>
      </c>
      <c r="W175" s="101" t="str">
        <f>IF(COLUMN()-COLUMN($U$55)+1&lt;=$Y174,(LOG(E175+1)-LOG(MIN($C175:$F175,$Z175:$AA175)+1))/(LOG(MAX($AA175,$C175:$F175)+1)-LOG(MIN($C175:$F175,$Z175:$AA175)+1)),"")</f>
        <v/>
      </c>
      <c r="X175" s="466" t="str">
        <f>IF(COLUMN()-COLUMN($U$55)+1&lt;=$Y174,(LOG(F175+1)-LOG(MIN($C175:$F175,$Z175:$AA175)+1))/(LOG(MAX($AA175,$C175:$F175)+1)-LOG(MIN($C175:$F175,$Z175:$AA175)+1)),"")</f>
        <v/>
      </c>
      <c r="Y175" s="99">
        <f>COUNTA($C$2:$F$2)</f>
        <v>1</v>
      </c>
      <c r="Z175" s="99">
        <v>0</v>
      </c>
      <c r="AA175" s="99">
        <v>20</v>
      </c>
      <c r="AB175" s="159" t="s">
        <v>2186</v>
      </c>
      <c r="AC175" s="159" t="s">
        <v>2198</v>
      </c>
      <c r="AD175" s="101">
        <f t="shared" ca="1" si="45"/>
        <v>0.7876096569652562</v>
      </c>
      <c r="AE175" s="379" t="b">
        <f t="shared" ca="1" si="52"/>
        <v>0</v>
      </c>
      <c r="AF175" s="159" t="s">
        <v>2341</v>
      </c>
      <c r="AG175" s="783">
        <f>COUNTIF('VA Detailed Scorecard Config'!D:D,AF175)</f>
        <v>1</v>
      </c>
      <c r="AH175" s="99"/>
    </row>
    <row r="176" spans="2:34" ht="13.5" customHeight="1">
      <c r="B176" s="327" t="s">
        <v>1731</v>
      </c>
      <c r="C176" s="99">
        <f t="shared" ca="1" si="53"/>
        <v>3</v>
      </c>
      <c r="G176" s="99" t="str">
        <f t="shared" ca="1" si="54"/>
        <v/>
      </c>
      <c r="K176" s="99" t="str">
        <f t="shared" ca="1" si="55"/>
        <v>Numerical (Larger is better, log scale)</v>
      </c>
      <c r="L176" s="99" t="b">
        <f t="shared" ca="1" si="56"/>
        <v>1</v>
      </c>
      <c r="M176" s="99"/>
      <c r="N176" s="99"/>
      <c r="O176" s="99"/>
      <c r="P176" s="99" t="b">
        <f t="shared" ca="1" si="57"/>
        <v>1</v>
      </c>
      <c r="T176" s="99" t="str">
        <f ca="1">IF(NOT(ISERROR(MATCH(K176,'Lookup Tables'!A:A,0))),"Lookup",IF(OR(NOT(ISERROR(FIND("Numeric",K176))),NOT(ISERROR(FIND("Percentage",K176))),NOT(ISERROR(FIND("Date",K176)))),"Numeric",IF(NOT(ISERROR(FIND("lank",K176))),"Non-blank",IF(NOT(ISERROR(FIND("Not evaluated",K176))),"Skipped","Other"))))</f>
        <v>Numeric</v>
      </c>
      <c r="U176" s="101">
        <f ca="1">IF(COLUMN()-COLUMN($U$55)+1&lt;=$Y175,(LOG(C176+1)-LOG(MIN($C176:$F176,$Z176:$AA176)+1))/(LOG(MAX($AA176,$C176:$F176)+1)-LOG(MIN($C176:$F176,$Z176:$AA176)+1)),"")</f>
        <v>0.77370561446908315</v>
      </c>
      <c r="V176" s="101" t="str">
        <f>IF(COLUMN()-COLUMN($U$55)+1&lt;=$Y175,(LOG(D176+1)-LOG(MIN($C176:$F176,$Z176:$AA176)+1))/(LOG(MAX($AA176,$C176:$F176)+1)-LOG(MIN($C176:$F176,$Z176:$AA176)+1)),"")</f>
        <v/>
      </c>
      <c r="W176" s="101" t="str">
        <f>IF(COLUMN()-COLUMN($U$55)+1&lt;=$Y175,(LOG(E176+1)-LOG(MIN($C176:$F176,$Z176:$AA176)+1))/(LOG(MAX($AA176,$C176:$F176)+1)-LOG(MIN($C176:$F176,$Z176:$AA176)+1)),"")</f>
        <v/>
      </c>
      <c r="X176" s="466" t="str">
        <f>IF(COLUMN()-COLUMN($U$55)+1&lt;=$Y175,(LOG(F176+1)-LOG(MIN($C176:$F176,$Z176:$AA176)+1))/(LOG(MAX($AA176,$C176:$F176)+1)-LOG(MIN($C176:$F176,$Z176:$AA176)+1)),"")</f>
        <v/>
      </c>
      <c r="Y176" s="99">
        <f>COUNTA($C$2:$F$2)</f>
        <v>1</v>
      </c>
      <c r="Z176" s="99">
        <v>0</v>
      </c>
      <c r="AA176" s="99">
        <v>5</v>
      </c>
      <c r="AB176" s="159" t="s">
        <v>2186</v>
      </c>
      <c r="AC176" s="159" t="s">
        <v>2198</v>
      </c>
      <c r="AD176" s="101">
        <f t="shared" ca="1" si="45"/>
        <v>0.77370561446908315</v>
      </c>
      <c r="AE176" s="379" t="b">
        <f t="shared" ca="1" si="52"/>
        <v>0</v>
      </c>
      <c r="AF176" s="159" t="s">
        <v>2342</v>
      </c>
      <c r="AG176" s="783">
        <f>COUNTIF('VA Detailed Scorecard Config'!D:D,AF176)</f>
        <v>1</v>
      </c>
      <c r="AH176" s="99"/>
    </row>
    <row r="177" spans="2:34" ht="13.5" customHeight="1">
      <c r="B177" s="327" t="s">
        <v>1707</v>
      </c>
      <c r="C177" s="99" t="str">
        <f t="shared" ca="1" si="53"/>
        <v>BugsBunny</v>
      </c>
      <c r="G177" s="99" t="str">
        <f t="shared" ca="1" si="54"/>
        <v/>
      </c>
      <c r="K177" s="99" t="str">
        <f t="shared" ca="1" si="55"/>
        <v>Select from list of VAs, link to their rep score</v>
      </c>
      <c r="L177" s="99" t="b">
        <f t="shared" ca="1" si="56"/>
        <v>1</v>
      </c>
      <c r="M177" s="99"/>
      <c r="N177" s="99"/>
      <c r="O177" s="99"/>
      <c r="P177" s="99" t="b">
        <f t="shared" ca="1" si="57"/>
        <v>1</v>
      </c>
      <c r="T177" s="37" t="s">
        <v>2191</v>
      </c>
      <c r="X177" s="137"/>
      <c r="Y177" s="99">
        <f t="shared" si="44"/>
        <v>1</v>
      </c>
      <c r="Z177" s="99"/>
      <c r="AA177" s="99"/>
      <c r="AB177" s="99"/>
      <c r="AC177" s="159"/>
      <c r="AD177" s="101" t="str">
        <f t="shared" si="45"/>
        <v/>
      </c>
      <c r="AE177" s="379" t="str">
        <f t="shared" si="47"/>
        <v/>
      </c>
      <c r="AF177" s="99"/>
      <c r="AG177" s="248"/>
      <c r="AH177" s="99"/>
    </row>
    <row r="178" spans="2:34" ht="13.5" customHeight="1">
      <c r="B178" s="327" t="s">
        <v>1708</v>
      </c>
      <c r="C178" s="99" t="str">
        <f t="shared" ca="1" si="53"/>
        <v>DaffyDuck</v>
      </c>
      <c r="G178" s="99" t="str">
        <f t="shared" ca="1" si="54"/>
        <v/>
      </c>
      <c r="K178" s="99" t="str">
        <f t="shared" ca="1" si="55"/>
        <v>Select from list of VAs, link to their rep score</v>
      </c>
      <c r="L178" s="99" t="b">
        <f t="shared" ca="1" si="56"/>
        <v>1</v>
      </c>
      <c r="M178" s="99"/>
      <c r="N178" s="99"/>
      <c r="O178" s="99"/>
      <c r="P178" s="99" t="b">
        <f t="shared" ca="1" si="57"/>
        <v>1</v>
      </c>
      <c r="T178" s="37" t="s">
        <v>2191</v>
      </c>
      <c r="X178" s="137"/>
      <c r="Y178" s="99">
        <f t="shared" si="44"/>
        <v>1</v>
      </c>
      <c r="Z178" s="99"/>
      <c r="AA178" s="99"/>
      <c r="AB178" s="99"/>
      <c r="AC178" s="159"/>
      <c r="AD178" s="101" t="str">
        <f t="shared" si="45"/>
        <v/>
      </c>
      <c r="AE178" s="379" t="str">
        <f t="shared" si="47"/>
        <v/>
      </c>
      <c r="AF178" s="99"/>
      <c r="AG178" s="248"/>
      <c r="AH178" s="99"/>
    </row>
    <row r="179" spans="2:34" ht="13.5" customHeight="1">
      <c r="B179" s="327" t="s">
        <v>1709</v>
      </c>
      <c r="C179" s="99" t="str">
        <f t="shared" ca="1" si="53"/>
        <v>YosemiteSam</v>
      </c>
      <c r="G179" s="99" t="str">
        <f t="shared" ca="1" si="54"/>
        <v/>
      </c>
      <c r="K179" s="99" t="str">
        <f t="shared" ca="1" si="55"/>
        <v>Select from list of VAs, link to their rep score</v>
      </c>
      <c r="L179" s="99" t="b">
        <f t="shared" ca="1" si="56"/>
        <v>1</v>
      </c>
      <c r="M179" s="99"/>
      <c r="N179" s="99"/>
      <c r="O179" s="99"/>
      <c r="P179" s="99" t="b">
        <f t="shared" ca="1" si="57"/>
        <v>1</v>
      </c>
      <c r="T179" s="37" t="s">
        <v>2191</v>
      </c>
      <c r="X179" s="137"/>
      <c r="Y179" s="99">
        <f t="shared" si="44"/>
        <v>1</v>
      </c>
      <c r="Z179" s="99"/>
      <c r="AA179" s="99"/>
      <c r="AB179" s="99"/>
      <c r="AC179" s="159"/>
      <c r="AD179" s="101" t="str">
        <f t="shared" si="45"/>
        <v/>
      </c>
      <c r="AE179" s="379" t="str">
        <f t="shared" si="47"/>
        <v/>
      </c>
      <c r="AF179" s="99"/>
      <c r="AG179" s="248"/>
      <c r="AH179" s="99"/>
    </row>
    <row r="180" spans="2:34" ht="13.5" customHeight="1">
      <c r="B180" s="327" t="s">
        <v>2001</v>
      </c>
      <c r="C180" s="99" t="str">
        <f t="shared" ca="1" si="53"/>
        <v>Hourly reward - 2 hours</v>
      </c>
      <c r="G180" s="99" t="str">
        <f t="shared" ca="1" si="54"/>
        <v/>
      </c>
      <c r="K180" s="99" t="str">
        <f t="shared" ca="1" si="55"/>
        <v>Mentoring_Reward</v>
      </c>
      <c r="L180" s="99" t="b">
        <f t="shared" ca="1" si="56"/>
        <v>1</v>
      </c>
      <c r="M180" s="99"/>
      <c r="N180" s="99"/>
      <c r="O180" s="99"/>
      <c r="P180" s="99" t="b">
        <f t="shared" ca="1" si="57"/>
        <v>1</v>
      </c>
      <c r="T180" s="37" t="str">
        <f ca="1">IF(NOT(ISERROR(MATCH(K180,'Lookup Tables'!A:A,0))),"Lookup",IF(OR(NOT(ISERROR(FIND("Numeric",K180))),NOT(ISERROR(FIND("Percentage",K180))),NOT(ISERROR(FIND("Date",K180)))),"Numeric",IF(NOT(ISERROR(FIND("lank",K180))),"Non-blank",IF(NOT(ISERROR(FIND("Not evaluated",K180))),"Skipped","Other"))))</f>
        <v>Lookup</v>
      </c>
      <c r="U180" s="461">
        <f ca="1">IF(COLUMN()-COLUMN($U$55)+1&lt;=$Y180,INDEX(OFFSET(INDIRECT($K180),0,1),MATCH(C180,INDIRECT($K180),0)),"")</f>
        <v>1</v>
      </c>
      <c r="V180" s="461" t="str">
        <f ca="1">IF(COLUMN()-COLUMN($U$55)+1&lt;=$Y180,INDEX(OFFSET(INDIRECT($K180),0,1),MATCH(D180,INDIRECT($K180),0)),"")</f>
        <v/>
      </c>
      <c r="W180" s="461" t="str">
        <f ca="1">IF(COLUMN()-COLUMN($U$55)+1&lt;=$Y180,INDEX(OFFSET(INDIRECT($K180),0,1),MATCH(E180,INDIRECT($K180),0)),"")</f>
        <v/>
      </c>
      <c r="X180" s="465" t="str">
        <f ca="1">IF(COLUMN()-COLUMN($U$55)+1&lt;=$Y180,INDEX(OFFSET(INDIRECT($K180),0,1),MATCH(F180,INDIRECT($K180),0)),"")</f>
        <v/>
      </c>
      <c r="Y180" s="99">
        <f t="shared" si="44"/>
        <v>1</v>
      </c>
      <c r="Z180" s="99"/>
      <c r="AA180" s="99"/>
      <c r="AB180" s="99"/>
      <c r="AC180" s="159" t="s">
        <v>2260</v>
      </c>
      <c r="AD180" s="101">
        <f ca="1">MAX(U180:U182)</f>
        <v>1</v>
      </c>
      <c r="AE180" s="379" t="b">
        <f t="shared" ref="AE180" ca="1" si="58">IF(AD180="","",NOT(L180))</f>
        <v>0</v>
      </c>
      <c r="AF180" s="159" t="s">
        <v>2343</v>
      </c>
      <c r="AG180" s="783">
        <f>COUNTIF('VA Detailed Scorecard Config'!D:D,AF180)</f>
        <v>1</v>
      </c>
      <c r="AH180" s="99"/>
    </row>
    <row r="181" spans="2:34" ht="13.5" customHeight="1">
      <c r="B181" s="327" t="s">
        <v>1708</v>
      </c>
      <c r="C181" s="99" t="str">
        <f t="shared" ca="1" si="53"/>
        <v/>
      </c>
      <c r="G181" s="99" t="str">
        <f t="shared" ca="1" si="54"/>
        <v/>
      </c>
      <c r="K181" s="99" t="str">
        <f t="shared" ca="1" si="55"/>
        <v>Mentoring_Reward</v>
      </c>
      <c r="L181" s="99" t="b">
        <f t="shared" ca="1" si="56"/>
        <v>1</v>
      </c>
      <c r="M181" s="99"/>
      <c r="N181" s="99"/>
      <c r="O181" s="99"/>
      <c r="P181" s="99" t="b">
        <f t="shared" ca="1" si="57"/>
        <v>1</v>
      </c>
      <c r="T181" s="37" t="str">
        <f ca="1">IF(NOT(ISERROR(MATCH(K181,'Lookup Tables'!A:A,0))),"Lookup",IF(OR(NOT(ISERROR(FIND("Numeric",K181))),NOT(ISERROR(FIND("Percentage",K181))),NOT(ISERROR(FIND("Date",K181)))),"Numeric",IF(NOT(ISERROR(FIND("lank",K181))),"Non-blank",IF(NOT(ISERROR(FIND("Not evaluated",K181))),"Skipped","Other"))))</f>
        <v>Lookup</v>
      </c>
      <c r="U181" s="461">
        <f ca="1">IF(COLUMN()-COLUMN($U$55)+1&lt;=$Y181,INDEX(OFFSET(INDIRECT($K181),0,1),MATCH(C181,INDIRECT($K181),0)),"")</f>
        <v>0</v>
      </c>
      <c r="V181" s="461" t="str">
        <f ca="1">IF(COLUMN()-COLUMN($U$55)+1&lt;=$Y181,INDEX(OFFSET(INDIRECT($K181),0,1),MATCH(D181,INDIRECT($K181),0)),"")</f>
        <v/>
      </c>
      <c r="W181" s="461" t="str">
        <f ca="1">IF(COLUMN()-COLUMN($U$55)+1&lt;=$Y181,INDEX(OFFSET(INDIRECT($K181),0,1),MATCH(E181,INDIRECT($K181),0)),"")</f>
        <v/>
      </c>
      <c r="X181" s="465" t="str">
        <f ca="1">IF(COLUMN()-COLUMN($U$55)+1&lt;=$Y181,INDEX(OFFSET(INDIRECT($K181),0,1),MATCH(F181,INDIRECT($K181),0)),"")</f>
        <v/>
      </c>
      <c r="Y181" s="99">
        <f t="shared" si="44"/>
        <v>1</v>
      </c>
      <c r="Z181" s="99"/>
      <c r="AA181" s="99"/>
      <c r="AB181" s="99"/>
      <c r="AC181" s="159"/>
      <c r="AD181" s="101"/>
      <c r="AE181" s="379"/>
      <c r="AF181" s="99"/>
      <c r="AG181" s="248"/>
      <c r="AH181" s="99"/>
    </row>
    <row r="182" spans="2:34" ht="13.5" customHeight="1">
      <c r="B182" s="327" t="s">
        <v>1709</v>
      </c>
      <c r="C182" s="99" t="str">
        <f t="shared" ca="1" si="53"/>
        <v>Hourly reward - 2 hours</v>
      </c>
      <c r="G182" s="99" t="str">
        <f t="shared" ca="1" si="54"/>
        <v/>
      </c>
      <c r="K182" s="99" t="str">
        <f t="shared" ca="1" si="55"/>
        <v>Mentoring_Reward</v>
      </c>
      <c r="L182" s="99" t="b">
        <f t="shared" ca="1" si="56"/>
        <v>1</v>
      </c>
      <c r="M182" s="99"/>
      <c r="N182" s="99"/>
      <c r="O182" s="99"/>
      <c r="P182" s="99" t="b">
        <f t="shared" ca="1" si="57"/>
        <v>1</v>
      </c>
      <c r="T182" s="37" t="str">
        <f ca="1">IF(NOT(ISERROR(MATCH(K182,'Lookup Tables'!A:A,0))),"Lookup",IF(OR(NOT(ISERROR(FIND("Numeric",K182))),NOT(ISERROR(FIND("Percentage",K182))),NOT(ISERROR(FIND("Date",K182)))),"Numeric",IF(NOT(ISERROR(FIND("lank",K182))),"Non-blank",IF(NOT(ISERROR(FIND("Not evaluated",K182))),"Skipped","Other"))))</f>
        <v>Lookup</v>
      </c>
      <c r="U182" s="461">
        <f ca="1">IF(COLUMN()-COLUMN($U$55)+1&lt;=$Y182,INDEX(OFFSET(INDIRECT($K182),0,1),MATCH(C182,INDIRECT($K182),0)),"")</f>
        <v>1</v>
      </c>
      <c r="V182" s="461" t="str">
        <f ca="1">IF(COLUMN()-COLUMN($U$55)+1&lt;=$Y182,INDEX(OFFSET(INDIRECT($K182),0,1),MATCH(D182,INDIRECT($K182),0)),"")</f>
        <v/>
      </c>
      <c r="W182" s="461" t="str">
        <f ca="1">IF(COLUMN()-COLUMN($U$55)+1&lt;=$Y182,INDEX(OFFSET(INDIRECT($K182),0,1),MATCH(E182,INDIRECT($K182),0)),"")</f>
        <v/>
      </c>
      <c r="X182" s="465" t="str">
        <f ca="1">IF(COLUMN()-COLUMN($U$55)+1&lt;=$Y182,INDEX(OFFSET(INDIRECT($K182),0,1),MATCH(F182,INDIRECT($K182),0)),"")</f>
        <v/>
      </c>
      <c r="Y182" s="99">
        <f t="shared" si="44"/>
        <v>1</v>
      </c>
      <c r="Z182" s="99"/>
      <c r="AA182" s="99"/>
      <c r="AB182" s="99"/>
      <c r="AC182" s="159"/>
      <c r="AD182" s="101"/>
      <c r="AE182" s="379"/>
      <c r="AF182" s="99"/>
      <c r="AG182" s="248"/>
      <c r="AH182" s="99"/>
    </row>
    <row r="183" spans="2:34" ht="13.5" customHeight="1">
      <c r="B183" s="344" t="s">
        <v>1736</v>
      </c>
      <c r="C183" s="99">
        <f t="shared" ca="1" si="53"/>
        <v>8</v>
      </c>
      <c r="G183" s="99" t="str">
        <f t="shared" ca="1" si="54"/>
        <v/>
      </c>
      <c r="K183" s="99" t="str">
        <f t="shared" ca="1" si="55"/>
        <v>Numerical value range 1 - last grant approved</v>
      </c>
      <c r="L183" s="99" t="b">
        <f t="shared" ca="1" si="56"/>
        <v>1</v>
      </c>
      <c r="M183" s="99"/>
      <c r="N183" s="99"/>
      <c r="O183" s="99"/>
      <c r="P183" s="99" t="b">
        <f t="shared" ca="1" si="57"/>
        <v>1</v>
      </c>
      <c r="T183" s="37" t="s">
        <v>2191</v>
      </c>
      <c r="X183" s="137"/>
      <c r="Y183" s="99">
        <f t="shared" si="44"/>
        <v>1</v>
      </c>
      <c r="Z183" s="99"/>
      <c r="AA183" s="99"/>
      <c r="AB183" s="99"/>
      <c r="AC183" s="159"/>
      <c r="AD183" s="101" t="str">
        <f t="shared" si="45"/>
        <v/>
      </c>
      <c r="AE183" s="379" t="str">
        <f t="shared" si="47"/>
        <v/>
      </c>
      <c r="AF183" s="99"/>
      <c r="AG183" s="248"/>
      <c r="AH183" s="99"/>
    </row>
    <row r="184" spans="2:34" ht="13.5" customHeight="1">
      <c r="B184" s="327" t="s">
        <v>1734</v>
      </c>
      <c r="C184" s="99" t="str">
        <f t="shared" ca="1" si="53"/>
        <v/>
      </c>
      <c r="G184" s="99" t="str">
        <f t="shared" ca="1" si="54"/>
        <v/>
      </c>
      <c r="K184" s="99" t="str">
        <f t="shared" ca="1" si="55"/>
        <v>Numerical value range 1 - last grant approved</v>
      </c>
      <c r="L184" s="99" t="b">
        <f t="shared" ca="1" si="56"/>
        <v>1</v>
      </c>
      <c r="M184" s="99"/>
      <c r="N184" s="99"/>
      <c r="O184" s="99"/>
      <c r="P184" s="99" t="b">
        <f t="shared" ca="1" si="57"/>
        <v>1</v>
      </c>
      <c r="T184" s="37" t="s">
        <v>2191</v>
      </c>
      <c r="X184" s="137"/>
      <c r="Y184" s="99">
        <f t="shared" si="44"/>
        <v>1</v>
      </c>
      <c r="Z184" s="99"/>
      <c r="AA184" s="99"/>
      <c r="AB184" s="99"/>
      <c r="AC184" s="159"/>
      <c r="AD184" s="101" t="str">
        <f t="shared" si="45"/>
        <v/>
      </c>
      <c r="AE184" s="379" t="str">
        <f t="shared" si="47"/>
        <v/>
      </c>
      <c r="AF184" s="99"/>
      <c r="AG184" s="248"/>
      <c r="AH184" s="99"/>
    </row>
    <row r="185" spans="2:34" ht="13.5" customHeight="1">
      <c r="B185" s="327" t="s">
        <v>1735</v>
      </c>
      <c r="C185" s="99" t="str">
        <f t="shared" ca="1" si="53"/>
        <v/>
      </c>
      <c r="G185" s="99" t="str">
        <f t="shared" ca="1" si="54"/>
        <v/>
      </c>
      <c r="K185" s="99" t="str">
        <f t="shared" ca="1" si="55"/>
        <v>Numerical value range 1 - last grant approved</v>
      </c>
      <c r="L185" s="99" t="b">
        <f t="shared" ca="1" si="56"/>
        <v>1</v>
      </c>
      <c r="M185" s="99"/>
      <c r="N185" s="99"/>
      <c r="O185" s="99"/>
      <c r="P185" s="99" t="b">
        <f t="shared" ca="1" si="57"/>
        <v>1</v>
      </c>
      <c r="T185" s="37" t="s">
        <v>2191</v>
      </c>
      <c r="X185" s="137"/>
      <c r="Y185" s="99">
        <f t="shared" si="44"/>
        <v>1</v>
      </c>
      <c r="Z185" s="99"/>
      <c r="AA185" s="99"/>
      <c r="AB185" s="99"/>
      <c r="AC185" s="159"/>
      <c r="AD185" s="101" t="str">
        <f t="shared" si="45"/>
        <v/>
      </c>
      <c r="AE185" s="379" t="str">
        <f t="shared" si="47"/>
        <v/>
      </c>
      <c r="AF185" s="99"/>
      <c r="AG185" s="248"/>
      <c r="AH185" s="99"/>
    </row>
    <row r="186" spans="2:34" ht="13.5" customHeight="1">
      <c r="B186" s="344" t="s">
        <v>2002</v>
      </c>
      <c r="C186" s="99">
        <f t="shared" ca="1" si="53"/>
        <v>0.25</v>
      </c>
      <c r="G186" s="99" t="str">
        <f t="shared" ca="1" si="54"/>
        <v/>
      </c>
      <c r="K186" s="99" t="str">
        <f t="shared" ca="1" si="55"/>
        <v>Percentage, larger is better</v>
      </c>
      <c r="L186" s="99" t="b">
        <f t="shared" ca="1" si="56"/>
        <v>1</v>
      </c>
      <c r="M186" s="99"/>
      <c r="N186" s="99"/>
      <c r="O186" s="99"/>
      <c r="P186" s="99" t="b">
        <f t="shared" ca="1" si="57"/>
        <v>1</v>
      </c>
      <c r="T186" s="37" t="s">
        <v>2191</v>
      </c>
      <c r="X186" s="137"/>
      <c r="Y186" s="99">
        <f t="shared" si="44"/>
        <v>1</v>
      </c>
      <c r="Z186" s="99"/>
      <c r="AA186" s="99"/>
      <c r="AB186" s="99"/>
      <c r="AC186" s="159"/>
      <c r="AD186" s="101" t="str">
        <f t="shared" si="45"/>
        <v/>
      </c>
      <c r="AE186" s="379" t="str">
        <f t="shared" si="47"/>
        <v/>
      </c>
      <c r="AF186" s="99"/>
      <c r="AG186" s="248"/>
      <c r="AH186" s="99"/>
    </row>
    <row r="187" spans="2:34" ht="13.5" customHeight="1">
      <c r="B187" s="327" t="s">
        <v>1734</v>
      </c>
      <c r="C187" s="99" t="str">
        <f t="shared" ca="1" si="53"/>
        <v/>
      </c>
      <c r="G187" s="99" t="str">
        <f t="shared" ca="1" si="54"/>
        <v/>
      </c>
      <c r="K187" s="99" t="str">
        <f t="shared" ca="1" si="55"/>
        <v>Percentage, larger is better</v>
      </c>
      <c r="L187" s="99" t="b">
        <f t="shared" ca="1" si="56"/>
        <v>1</v>
      </c>
      <c r="M187" s="99"/>
      <c r="N187" s="99"/>
      <c r="O187" s="99"/>
      <c r="P187" s="99" t="b">
        <f t="shared" ca="1" si="57"/>
        <v>1</v>
      </c>
      <c r="T187" s="37" t="s">
        <v>2191</v>
      </c>
      <c r="X187" s="137"/>
      <c r="Y187" s="99">
        <f t="shared" si="44"/>
        <v>1</v>
      </c>
      <c r="Z187" s="99"/>
      <c r="AA187" s="99"/>
      <c r="AB187" s="99"/>
      <c r="AC187" s="159"/>
      <c r="AD187" s="101" t="str">
        <f t="shared" si="45"/>
        <v/>
      </c>
      <c r="AE187" s="379" t="str">
        <f t="shared" si="47"/>
        <v/>
      </c>
      <c r="AF187" s="99"/>
      <c r="AG187" s="248"/>
      <c r="AH187" s="99"/>
    </row>
    <row r="188" spans="2:34" ht="13.5" customHeight="1">
      <c r="B188" s="327" t="s">
        <v>1735</v>
      </c>
      <c r="C188" s="99" t="str">
        <f t="shared" ca="1" si="53"/>
        <v/>
      </c>
      <c r="G188" s="99" t="str">
        <f t="shared" ca="1" si="54"/>
        <v/>
      </c>
      <c r="K188" s="99" t="str">
        <f t="shared" ca="1" si="55"/>
        <v>Percentage, larger is better</v>
      </c>
      <c r="L188" s="99" t="b">
        <f t="shared" ca="1" si="56"/>
        <v>1</v>
      </c>
      <c r="M188" s="99"/>
      <c r="N188" s="99"/>
      <c r="O188" s="99"/>
      <c r="P188" s="99" t="b">
        <f t="shared" ca="1" si="57"/>
        <v>1</v>
      </c>
      <c r="T188" s="37" t="s">
        <v>2191</v>
      </c>
      <c r="X188" s="137"/>
      <c r="Y188" s="99">
        <f t="shared" si="44"/>
        <v>1</v>
      </c>
      <c r="Z188" s="99"/>
      <c r="AA188" s="99"/>
      <c r="AB188" s="99"/>
      <c r="AC188" s="159"/>
      <c r="AD188" s="101" t="str">
        <f t="shared" si="45"/>
        <v/>
      </c>
      <c r="AE188" s="379" t="str">
        <f t="shared" si="47"/>
        <v/>
      </c>
      <c r="AF188" s="99"/>
      <c r="AG188" s="248"/>
      <c r="AH188" s="99"/>
    </row>
    <row r="189" spans="2:34" ht="13.5" customHeight="1">
      <c r="B189" s="327" t="s">
        <v>1729</v>
      </c>
      <c r="C189" s="99" t="str">
        <f t="shared" ca="1" si="53"/>
        <v>Yes</v>
      </c>
      <c r="G189" s="99" t="str">
        <f t="shared" ca="1" si="54"/>
        <v/>
      </c>
      <c r="K189" s="99" t="str">
        <f t="shared" ca="1" si="55"/>
        <v>YES_No</v>
      </c>
      <c r="L189" s="99" t="b">
        <f t="shared" ca="1" si="56"/>
        <v>1</v>
      </c>
      <c r="M189" s="99"/>
      <c r="N189" s="99"/>
      <c r="O189" s="99"/>
      <c r="P189" s="99" t="b">
        <f t="shared" ca="1" si="57"/>
        <v>1</v>
      </c>
      <c r="T189" s="37" t="str">
        <f ca="1">IF(NOT(ISERROR(MATCH(K189,'Lookup Tables'!A:A,0))),"Lookup",IF(OR(NOT(ISERROR(FIND("Numeric",K189))),NOT(ISERROR(FIND("Percentage",K189))),NOT(ISERROR(FIND("Date",K189)))),"Numeric",IF(NOT(ISERROR(FIND("lank",K189))),"Non-blank",IF(NOT(ISERROR(FIND("Not evaluated",K189))),"Skipped","Other"))))</f>
        <v>Lookup</v>
      </c>
      <c r="U189" s="461">
        <f ca="1">IF(COLUMN()-COLUMN($U$55)+1&lt;=$Y189,INDEX(OFFSET(INDIRECT($K189),0,1),MATCH(C189,INDIRECT($K189),0)),"")</f>
        <v>1</v>
      </c>
      <c r="V189" s="461" t="str">
        <f ca="1">IF(COLUMN()-COLUMN($U$55)+1&lt;=$Y189,INDEX(OFFSET(INDIRECT($K189),0,1),MATCH(D189,INDIRECT($K189),0)),"")</f>
        <v/>
      </c>
      <c r="W189" s="461" t="str">
        <f ca="1">IF(COLUMN()-COLUMN($U$55)+1&lt;=$Y189,INDEX(OFFSET(INDIRECT($K189),0,1),MATCH(E189,INDIRECT($K189),0)),"")</f>
        <v/>
      </c>
      <c r="X189" s="465" t="str">
        <f ca="1">IF(COLUMN()-COLUMN($U$55)+1&lt;=$Y189,INDEX(OFFSET(INDIRECT($K189),0,1),MATCH(F189,INDIRECT($K189),0)),"")</f>
        <v/>
      </c>
      <c r="Y189" s="99">
        <f t="shared" si="44"/>
        <v>1</v>
      </c>
      <c r="Z189" s="99"/>
      <c r="AA189" s="99"/>
      <c r="AB189" s="99"/>
      <c r="AC189" s="159" t="s">
        <v>2198</v>
      </c>
      <c r="AD189" s="101">
        <f t="shared" ca="1" si="45"/>
        <v>1</v>
      </c>
      <c r="AE189" s="379" t="b">
        <f t="shared" ref="AE189:AE196" ca="1" si="59">IF(AD189="","",NOT(L189))</f>
        <v>0</v>
      </c>
      <c r="AF189" s="159" t="s">
        <v>2344</v>
      </c>
      <c r="AG189" s="783">
        <f>COUNTIF('VA Detailed Scorecard Config'!D:D,AF189)</f>
        <v>1</v>
      </c>
      <c r="AH189" s="99"/>
    </row>
    <row r="190" spans="2:34" ht="13.5" customHeight="1">
      <c r="B190" s="327" t="s">
        <v>1730</v>
      </c>
      <c r="C190" s="99" t="str">
        <f t="shared" ca="1" si="53"/>
        <v>Ralf</v>
      </c>
      <c r="G190" s="99" t="str">
        <f t="shared" ca="1" si="54"/>
        <v/>
      </c>
      <c r="K190" s="99" t="str">
        <f t="shared" ca="1" si="55"/>
        <v>Non-blank is better</v>
      </c>
      <c r="L190" s="99" t="b">
        <f t="shared" ca="1" si="56"/>
        <v>1</v>
      </c>
      <c r="M190" s="99"/>
      <c r="N190" s="99"/>
      <c r="O190" s="99"/>
      <c r="P190" s="99" t="b">
        <f t="shared" ca="1" si="57"/>
        <v>1</v>
      </c>
      <c r="T190" s="99" t="str">
        <f ca="1">IF(NOT(ISERROR(MATCH(K190,'Lookup Tables'!A:A,0))),"Lookup",IF(OR(NOT(ISERROR(FIND("Numeric",K190))),NOT(ISERROR(FIND("Percentage",K190))),NOT(ISERROR(FIND("Date",K190)))),"Numeric",IF(NOT(ISERROR(FIND("lank",K190))),"Non-blank",IF(NOT(ISERROR(FIND("Not evaluated",K190))),"Skipped","Other"))))</f>
        <v>Non-blank</v>
      </c>
      <c r="U190" s="461">
        <f ca="1">IF(COLUMN()-COLUMN($U$55)+1&lt;=$Y190,IF(C190="",0,1),"")</f>
        <v>1</v>
      </c>
      <c r="V190" s="461" t="str">
        <f>IF(COLUMN()-COLUMN($U$55)+1&lt;=$Y190,IF(D190="",0,1),"")</f>
        <v/>
      </c>
      <c r="W190" s="461" t="str">
        <f>IF(COLUMN()-COLUMN($U$55)+1&lt;=$Y190,IF(E190="",0,1),"")</f>
        <v/>
      </c>
      <c r="X190" s="465" t="str">
        <f>IF(COLUMN()-COLUMN($U$55)+1&lt;=$Y190,IF(F190="",0,1),"")</f>
        <v/>
      </c>
      <c r="Y190" s="99">
        <f t="shared" si="44"/>
        <v>1</v>
      </c>
      <c r="Z190" s="99"/>
      <c r="AA190" s="99"/>
      <c r="AB190" s="99"/>
      <c r="AC190" s="159" t="s">
        <v>2198</v>
      </c>
      <c r="AD190" s="101">
        <f t="shared" ca="1" si="45"/>
        <v>1</v>
      </c>
      <c r="AE190" s="379" t="b">
        <f t="shared" ca="1" si="59"/>
        <v>0</v>
      </c>
      <c r="AF190" s="159" t="s">
        <v>2345</v>
      </c>
      <c r="AG190" s="783">
        <f>COUNTIF('VA Detailed Scorecard Config'!D:D,AF190)</f>
        <v>1</v>
      </c>
      <c r="AH190" s="99"/>
    </row>
    <row r="191" spans="2:34" ht="13.5" customHeight="1">
      <c r="B191" s="327" t="s">
        <v>1737</v>
      </c>
      <c r="C191" s="99" t="str">
        <f t="shared" ca="1" si="53"/>
        <v>None of the above</v>
      </c>
      <c r="G191" s="99" t="str">
        <f t="shared" ca="1" si="54"/>
        <v/>
      </c>
      <c r="K191" s="99" t="str">
        <f t="shared" ca="1" si="55"/>
        <v>ETA_Relationship</v>
      </c>
      <c r="L191" s="99" t="b">
        <f t="shared" ca="1" si="56"/>
        <v>1</v>
      </c>
      <c r="M191" s="99"/>
      <c r="N191" s="99"/>
      <c r="O191" s="99"/>
      <c r="P191" s="99" t="b">
        <f t="shared" ca="1" si="57"/>
        <v>1</v>
      </c>
      <c r="T191" s="37" t="str">
        <f ca="1">IF(NOT(ISERROR(MATCH(K191,'Lookup Tables'!A:A,0))),"Lookup",IF(OR(NOT(ISERROR(FIND("Numeric",K191))),NOT(ISERROR(FIND("Percentage",K191))),NOT(ISERROR(FIND("Date",K191)))),"Numeric",IF(NOT(ISERROR(FIND("lank",K191))),"Non-blank",IF(NOT(ISERROR(FIND("Not evaluated",K191))),"Skipped","Other"))))</f>
        <v>Lookup</v>
      </c>
      <c r="U191" s="461">
        <f ca="1">IF(COLUMN()-COLUMN($U$55)+1&lt;=$Y191,INDEX(OFFSET(INDIRECT($K191),0,1),MATCH(C191,INDIRECT($K191),0)),"")</f>
        <v>1</v>
      </c>
      <c r="V191" s="461" t="str">
        <f ca="1">IF(COLUMN()-COLUMN($U$55)+1&lt;=$Y191,INDEX(OFFSET(INDIRECT($K191),0,1),MATCH(D191,INDIRECT($K191),0)),"")</f>
        <v/>
      </c>
      <c r="W191" s="461" t="str">
        <f ca="1">IF(COLUMN()-COLUMN($U$55)+1&lt;=$Y191,INDEX(OFFSET(INDIRECT($K191),0,1),MATCH(E191,INDIRECT($K191),0)),"")</f>
        <v/>
      </c>
      <c r="X191" s="465" t="str">
        <f ca="1">IF(COLUMN()-COLUMN($U$55)+1&lt;=$Y191,INDEX(OFFSET(INDIRECT($K191),0,1),MATCH(F191,INDIRECT($K191),0)),"")</f>
        <v/>
      </c>
      <c r="Y191" s="99">
        <f t="shared" si="44"/>
        <v>1</v>
      </c>
      <c r="Z191" s="99"/>
      <c r="AA191" s="99"/>
      <c r="AB191" s="99"/>
      <c r="AC191" s="159" t="s">
        <v>2198</v>
      </c>
      <c r="AD191" s="101">
        <f t="shared" ca="1" si="45"/>
        <v>1</v>
      </c>
      <c r="AE191" s="379" t="b">
        <f t="shared" ca="1" si="59"/>
        <v>0</v>
      </c>
      <c r="AF191" s="159" t="s">
        <v>2346</v>
      </c>
      <c r="AG191" s="783">
        <f>COUNTIF('VA Detailed Scorecard Config'!D:D,AF191)</f>
        <v>0</v>
      </c>
      <c r="AH191" s="99"/>
    </row>
    <row r="192" spans="2:34" ht="13.5" customHeight="1">
      <c r="B192" s="327" t="s">
        <v>2527</v>
      </c>
      <c r="C192" s="99" t="str">
        <f t="shared" ca="1" si="53"/>
        <v>No</v>
      </c>
      <c r="G192" s="99" t="str">
        <f t="shared" ca="1" si="54"/>
        <v/>
      </c>
      <c r="K192" s="99" t="str">
        <f t="shared" ca="1" si="55"/>
        <v>YES_No</v>
      </c>
      <c r="L192" s="99" t="b">
        <f t="shared" ca="1" si="56"/>
        <v>1</v>
      </c>
      <c r="M192" s="99"/>
      <c r="N192" s="99"/>
      <c r="O192" s="99"/>
      <c r="P192" s="99" t="b">
        <f t="shared" ca="1" si="57"/>
        <v>1</v>
      </c>
      <c r="T192" s="37" t="str">
        <f ca="1">IF(NOT(ISERROR(MATCH(K192,'Lookup Tables'!A:A,0))),"Lookup",IF(OR(NOT(ISERROR(FIND("Numeric",K192))),NOT(ISERROR(FIND("Percentage",K192))),NOT(ISERROR(FIND("Date",K192)))),"Numeric",IF(NOT(ISERROR(FIND("lank",K192))),"Non-blank",IF(NOT(ISERROR(FIND("Not evaluated",K192))),"Skipped","Other"))))</f>
        <v>Lookup</v>
      </c>
      <c r="U192" s="461">
        <f ca="1">IF(COLUMN()-COLUMN($U$55)+1&lt;=$Y192,INDEX(OFFSET(INDIRECT($K192),0,1),MATCH(C192,INDIRECT($K192),0)),"")</f>
        <v>0</v>
      </c>
      <c r="V192" s="461" t="str">
        <f ca="1">IF(COLUMN()-COLUMN($U$55)+1&lt;=$Y192,INDEX(OFFSET(INDIRECT($K192),0,1),MATCH(D192,INDIRECT($K192),0)),"")</f>
        <v/>
      </c>
      <c r="W192" s="461" t="str">
        <f ca="1">IF(COLUMN()-COLUMN($U$55)+1&lt;=$Y192,INDEX(OFFSET(INDIRECT($K192),0,1),MATCH(E192,INDIRECT($K192),0)),"")</f>
        <v/>
      </c>
      <c r="X192" s="465" t="str">
        <f ca="1">IF(COLUMN()-COLUMN($U$55)+1&lt;=$Y192,INDEX(OFFSET(INDIRECT($K192),0,1),MATCH(F192,INDIRECT($K192),0)),"")</f>
        <v/>
      </c>
      <c r="Y192" s="99">
        <f>COUNTA($C$14:$F$14)</f>
        <v>1</v>
      </c>
      <c r="Z192" s="99"/>
      <c r="AA192" s="99"/>
      <c r="AB192" s="99"/>
      <c r="AC192" s="159" t="s">
        <v>2198</v>
      </c>
      <c r="AD192" s="101">
        <f t="shared" ca="1" si="45"/>
        <v>0</v>
      </c>
      <c r="AE192" s="379" t="b">
        <f t="shared" ca="1" si="59"/>
        <v>0</v>
      </c>
      <c r="AF192" s="159" t="s">
        <v>2347</v>
      </c>
      <c r="AG192" s="783">
        <f>COUNTIF('VA Detailed Scorecard Config'!D:D,AF192)</f>
        <v>1</v>
      </c>
      <c r="AH192" s="99"/>
    </row>
    <row r="193" spans="2:34" ht="13.5" customHeight="1">
      <c r="B193" s="327" t="s">
        <v>1732</v>
      </c>
      <c r="C193" s="99" t="str">
        <f t="shared" ca="1" si="53"/>
        <v/>
      </c>
      <c r="G193" s="99" t="str">
        <f t="shared" ca="1" si="54"/>
        <v/>
      </c>
      <c r="K193" s="99" t="str">
        <f t="shared" ca="1" si="55"/>
        <v>Non-blank is better</v>
      </c>
      <c r="L193" s="99" t="b">
        <f t="shared" ca="1" si="56"/>
        <v>1</v>
      </c>
      <c r="M193" s="99"/>
      <c r="N193" s="99"/>
      <c r="O193" s="99"/>
      <c r="P193" s="99" t="b">
        <f t="shared" ca="1" si="57"/>
        <v>1</v>
      </c>
      <c r="T193" s="99" t="str">
        <f ca="1">IF(NOT(ISERROR(MATCH(K193,'Lookup Tables'!A:A,0))),"Lookup",IF(OR(NOT(ISERROR(FIND("Numeric",K193))),NOT(ISERROR(FIND("Percentage",K193))),NOT(ISERROR(FIND("Date",K193)))),"Numeric",IF(NOT(ISERROR(FIND("lank",K193))),"Non-blank",IF(NOT(ISERROR(FIND("Not evaluated",K193))),"Skipped","Other"))))</f>
        <v>Non-blank</v>
      </c>
      <c r="U193" s="461">
        <f ca="1">IF(COLUMN()-COLUMN($U$55)+1&lt;=$Y193,IF(C193="",0,1),"")</f>
        <v>0</v>
      </c>
      <c r="V193" s="461" t="str">
        <f>IF(COLUMN()-COLUMN($U$55)+1&lt;=$Y193,IF(D193="",0,1),"")</f>
        <v/>
      </c>
      <c r="W193" s="461" t="str">
        <f>IF(COLUMN()-COLUMN($U$55)+1&lt;=$Y193,IF(E193="",0,1),"")</f>
        <v/>
      </c>
      <c r="X193" s="465" t="str">
        <f>IF(COLUMN()-COLUMN($U$55)+1&lt;=$Y193,IF(F193="",0,1),"")</f>
        <v/>
      </c>
      <c r="Y193" s="99">
        <f>COUNTA($C$14:$F$14)</f>
        <v>1</v>
      </c>
      <c r="Z193" s="99"/>
      <c r="AA193" s="99"/>
      <c r="AB193" s="99"/>
      <c r="AC193" s="159" t="s">
        <v>2198</v>
      </c>
      <c r="AD193" s="101">
        <f t="shared" ref="AD193:AD198" ca="1" si="60">IF(U193="","",U193)</f>
        <v>0</v>
      </c>
      <c r="AE193" s="379" t="b">
        <f t="shared" ca="1" si="59"/>
        <v>0</v>
      </c>
      <c r="AF193" s="159" t="s">
        <v>2348</v>
      </c>
      <c r="AG193" s="783">
        <f>COUNTIF('VA Detailed Scorecard Config'!D:D,AF193)</f>
        <v>1</v>
      </c>
      <c r="AH193" s="99"/>
    </row>
    <row r="194" spans="2:34" ht="13.5" customHeight="1">
      <c r="B194" s="327" t="s">
        <v>2528</v>
      </c>
      <c r="C194" s="99" t="str">
        <f t="shared" ca="1" si="53"/>
        <v>No</v>
      </c>
      <c r="G194" s="99" t="str">
        <f t="shared" ca="1" si="54"/>
        <v/>
      </c>
      <c r="K194" s="99" t="str">
        <f t="shared" ca="1" si="55"/>
        <v>YES_No</v>
      </c>
      <c r="L194" s="99" t="b">
        <f t="shared" ca="1" si="56"/>
        <v>1</v>
      </c>
      <c r="M194" s="99"/>
      <c r="N194" s="99"/>
      <c r="O194" s="99"/>
      <c r="P194" s="99" t="b">
        <f t="shared" ref="P194:P195" ca="1" si="61">INDIRECT(C$14&amp;"!B"&amp;ROW()-ROW($C$128)+4)=B194</f>
        <v>1</v>
      </c>
      <c r="T194" s="37" t="str">
        <f ca="1">IF(NOT(ISERROR(MATCH(K194,'Lookup Tables'!A:A,0))),"Lookup",IF(OR(NOT(ISERROR(FIND("Numeric",K194))),NOT(ISERROR(FIND("Percentage",K194))),NOT(ISERROR(FIND("Date",K194)))),"Numeric",IF(NOT(ISERROR(FIND("lank",K194))),"Non-blank",IF(NOT(ISERROR(FIND("Not evaluated",K194))),"Skipped","Other"))))</f>
        <v>Lookup</v>
      </c>
      <c r="U194" s="461">
        <f ca="1">IF(COLUMN()-COLUMN($U$55)+1&lt;=$Y194,INDEX(OFFSET(INDIRECT($K194),0,1),MATCH(C194,INDIRECT($K194),0)),"")</f>
        <v>0</v>
      </c>
      <c r="V194" s="461" t="str">
        <f ca="1">IF(COLUMN()-COLUMN($U$55)+1&lt;=$Y194,INDEX(OFFSET(INDIRECT($K194),0,1),MATCH(D194,INDIRECT($K194),0)),"")</f>
        <v/>
      </c>
      <c r="W194" s="461" t="str">
        <f ca="1">IF(COLUMN()-COLUMN($U$55)+1&lt;=$Y194,INDEX(OFFSET(INDIRECT($K194),0,1),MATCH(E194,INDIRECT($K194),0)),"")</f>
        <v/>
      </c>
      <c r="X194" s="465" t="str">
        <f ca="1">IF(COLUMN()-COLUMN($U$55)+1&lt;=$Y194,INDEX(OFFSET(INDIRECT($K194),0,1),MATCH(F194,INDIRECT($K194),0)),"")</f>
        <v/>
      </c>
      <c r="Y194" s="99">
        <f t="shared" ref="Y194:Y195" si="62">COUNTA($C$14:$F$14)</f>
        <v>1</v>
      </c>
      <c r="Z194" s="99"/>
      <c r="AA194" s="99"/>
      <c r="AB194" s="99"/>
      <c r="AC194" s="159" t="s">
        <v>2198</v>
      </c>
      <c r="AD194" s="101">
        <f t="shared" ca="1" si="60"/>
        <v>0</v>
      </c>
      <c r="AE194" s="379" t="b">
        <f t="shared" ref="AE194:AE195" ca="1" si="63">IF(AD194="","",NOT(L194))</f>
        <v>0</v>
      </c>
      <c r="AF194" s="159" t="s">
        <v>2529</v>
      </c>
      <c r="AG194" s="783">
        <f>COUNTIF('VA Detailed Scorecard Config'!D:D,AF194)</f>
        <v>1</v>
      </c>
      <c r="AH194" s="99"/>
    </row>
    <row r="195" spans="2:34" ht="13.5" customHeight="1">
      <c r="B195" s="327" t="s">
        <v>1732</v>
      </c>
      <c r="C195" s="99" t="str">
        <f t="shared" ca="1" si="53"/>
        <v/>
      </c>
      <c r="G195" s="99" t="str">
        <f t="shared" ca="1" si="54"/>
        <v/>
      </c>
      <c r="K195" s="99" t="str">
        <f t="shared" ca="1" si="55"/>
        <v>Non-blank is better</v>
      </c>
      <c r="L195" s="99" t="b">
        <f t="shared" ca="1" si="56"/>
        <v>1</v>
      </c>
      <c r="M195" s="99"/>
      <c r="N195" s="99"/>
      <c r="O195" s="99"/>
      <c r="P195" s="99" t="b">
        <f t="shared" ca="1" si="61"/>
        <v>1</v>
      </c>
      <c r="T195" s="99" t="str">
        <f ca="1">IF(NOT(ISERROR(MATCH(K195,'Lookup Tables'!A:A,0))),"Lookup",IF(OR(NOT(ISERROR(FIND("Numeric",K195))),NOT(ISERROR(FIND("Percentage",K195))),NOT(ISERROR(FIND("Date",K195)))),"Numeric",IF(NOT(ISERROR(FIND("lank",K195))),"Non-blank",IF(NOT(ISERROR(FIND("Not evaluated",K195))),"Skipped","Other"))))</f>
        <v>Non-blank</v>
      </c>
      <c r="U195" s="461">
        <f ca="1">IF(COLUMN()-COLUMN($U$55)+1&lt;=$Y195,IF(C195="",0,1),"")</f>
        <v>0</v>
      </c>
      <c r="V195" s="461" t="str">
        <f>IF(COLUMN()-COLUMN($U$55)+1&lt;=$Y195,IF(D195="",0,1),"")</f>
        <v/>
      </c>
      <c r="W195" s="461" t="str">
        <f>IF(COLUMN()-COLUMN($U$55)+1&lt;=$Y195,IF(E195="",0,1),"")</f>
        <v/>
      </c>
      <c r="X195" s="465" t="str">
        <f>IF(COLUMN()-COLUMN($U$55)+1&lt;=$Y195,IF(F195="",0,1),"")</f>
        <v/>
      </c>
      <c r="Y195" s="99">
        <f t="shared" si="62"/>
        <v>1</v>
      </c>
      <c r="Z195" s="99"/>
      <c r="AA195" s="99"/>
      <c r="AB195" s="99"/>
      <c r="AC195" s="159" t="s">
        <v>2198</v>
      </c>
      <c r="AD195" s="101">
        <f t="shared" ca="1" si="60"/>
        <v>0</v>
      </c>
      <c r="AE195" s="379" t="b">
        <f t="shared" ca="1" si="63"/>
        <v>0</v>
      </c>
      <c r="AF195" s="159" t="s">
        <v>2530</v>
      </c>
      <c r="AG195" s="783">
        <f>COUNTIF('VA Detailed Scorecard Config'!D:D,AF195)</f>
        <v>1</v>
      </c>
      <c r="AH195" s="99"/>
    </row>
    <row r="196" spans="2:34" ht="13.5" customHeight="1">
      <c r="B196" s="344" t="s">
        <v>1733</v>
      </c>
      <c r="C196" s="99" t="str">
        <f t="shared" ca="1" si="53"/>
        <v>Putting this into an online app</v>
      </c>
      <c r="G196" s="99" t="str">
        <f t="shared" ca="1" si="54"/>
        <v/>
      </c>
      <c r="K196" s="99" t="str">
        <f t="shared" ca="1" si="55"/>
        <v>Non-blank is better</v>
      </c>
      <c r="L196" s="99" t="b">
        <f t="shared" ca="1" si="56"/>
        <v>1</v>
      </c>
      <c r="M196" s="99"/>
      <c r="N196" s="99"/>
      <c r="O196" s="99"/>
      <c r="P196" s="99" t="b">
        <f t="shared" ca="1" si="57"/>
        <v>1</v>
      </c>
      <c r="T196" s="99" t="str">
        <f ca="1">IF(NOT(ISERROR(MATCH(K196,'Lookup Tables'!A:A,0))),"Lookup",IF(OR(NOT(ISERROR(FIND("Numeric",K196))),NOT(ISERROR(FIND("Percentage",K196))),NOT(ISERROR(FIND("Date",K196)))),"Numeric",IF(NOT(ISERROR(FIND("lank",K196))),"Non-blank",IF(NOT(ISERROR(FIND("Not evaluated",K196))),"Skipped","Other"))))</f>
        <v>Non-blank</v>
      </c>
      <c r="U196" s="461">
        <f ca="1">IF(COLUMN()-COLUMN($U$55)+1&lt;=$Y196,IF(C196="",0,1),"")</f>
        <v>1</v>
      </c>
      <c r="V196" s="461" t="str">
        <f>IF(COLUMN()-COLUMN($U$55)+1&lt;=$Y196,IF(D196="",0,1),"")</f>
        <v/>
      </c>
      <c r="W196" s="461" t="str">
        <f>IF(COLUMN()-COLUMN($U$55)+1&lt;=$Y196,IF(E196="",0,1),"")</f>
        <v/>
      </c>
      <c r="X196" s="465" t="str">
        <f>IF(COLUMN()-COLUMN($U$55)+1&lt;=$Y196,IF(F196="",0,1),"")</f>
        <v/>
      </c>
      <c r="Y196" s="99">
        <f>COUNTA($C$14:$F$14)</f>
        <v>1</v>
      </c>
      <c r="Z196" s="99"/>
      <c r="AA196" s="99"/>
      <c r="AB196" s="99"/>
      <c r="AC196" s="159" t="s">
        <v>2198</v>
      </c>
      <c r="AD196" s="101">
        <f t="shared" ca="1" si="60"/>
        <v>1</v>
      </c>
      <c r="AE196" s="379" t="b">
        <f t="shared" ca="1" si="59"/>
        <v>0</v>
      </c>
      <c r="AF196" s="159" t="s">
        <v>2349</v>
      </c>
      <c r="AG196" s="783">
        <f>COUNTIF('VA Detailed Scorecard Config'!D:D,AF196)</f>
        <v>2</v>
      </c>
      <c r="AH196" s="99"/>
    </row>
    <row r="197" spans="2:34" ht="13.5" customHeight="1">
      <c r="B197" s="344" t="s">
        <v>1593</v>
      </c>
      <c r="C197" s="99" t="str">
        <f t="shared" ca="1" si="53"/>
        <v>Previously done</v>
      </c>
      <c r="G197" s="99" t="str">
        <f t="shared" ca="1" si="54"/>
        <v/>
      </c>
      <c r="K197" s="99" t="str">
        <f t="shared" ca="1" si="55"/>
        <v>Not evaluated</v>
      </c>
      <c r="L197" s="99" t="b">
        <f t="shared" ca="1" si="56"/>
        <v>1</v>
      </c>
      <c r="M197" s="99"/>
      <c r="N197" s="99"/>
      <c r="O197" s="99"/>
      <c r="P197" s="99" t="b">
        <f t="shared" ca="1" si="57"/>
        <v>1</v>
      </c>
      <c r="T197" s="37" t="str">
        <f ca="1">IF(NOT(ISERROR(MATCH(K197,'Lookup Tables'!A:A,0))),"Lookup",IF(OR(NOT(ISERROR(FIND("Numeric",K197))),NOT(ISERROR(FIND("Percentage",K197))),NOT(ISERROR(FIND("Date",K197)))),"Numeric",IF(NOT(ISERROR(FIND("lank",K197))),"Non-blank",IF(NOT(ISERROR(FIND("Not evaluated",K197))),"Skipped","Other"))))</f>
        <v>Skipped</v>
      </c>
      <c r="X197" s="137"/>
      <c r="Y197" s="99">
        <f>COUNTA($C$14:$F$14)</f>
        <v>1</v>
      </c>
      <c r="Z197" s="99"/>
      <c r="AA197" s="99"/>
      <c r="AB197" s="99"/>
      <c r="AC197" s="159"/>
      <c r="AD197" s="101" t="str">
        <f t="shared" si="60"/>
        <v/>
      </c>
      <c r="AE197" s="379" t="str">
        <f t="shared" ref="AE197" si="64">IF(AD197="","",NOT(P197))</f>
        <v/>
      </c>
      <c r="AF197" s="99"/>
      <c r="AG197" s="248"/>
      <c r="AH197" s="99"/>
    </row>
    <row r="198" spans="2:34" ht="13.5" customHeight="1">
      <c r="B198" s="327" t="s">
        <v>1934</v>
      </c>
      <c r="C198" s="99" t="str">
        <f t="shared" ca="1" si="53"/>
        <v>Yes</v>
      </c>
      <c r="G198" s="99" t="str">
        <f t="shared" ca="1" si="54"/>
        <v/>
      </c>
      <c r="K198" s="99" t="str">
        <f t="shared" ca="1" si="55"/>
        <v>YES_No</v>
      </c>
      <c r="L198" s="99" t="b">
        <f t="shared" ca="1" si="56"/>
        <v>1</v>
      </c>
      <c r="M198" s="99"/>
      <c r="N198" s="99"/>
      <c r="O198" s="99"/>
      <c r="P198" s="99" t="b">
        <f t="shared" ca="1" si="57"/>
        <v>1</v>
      </c>
      <c r="T198" s="37" t="str">
        <f ca="1">IF(NOT(ISERROR(MATCH(K198,'Lookup Tables'!A:A,0))),"Lookup",IF(OR(NOT(ISERROR(FIND("Numeric",K198))),NOT(ISERROR(FIND("Percentage",K198))),NOT(ISERROR(FIND("Date",K198)))),"Numeric",IF(NOT(ISERROR(FIND("lank",K198))),"Non-blank",IF(NOT(ISERROR(FIND("Not evaluated",K198))),"Skipped","Other"))))</f>
        <v>Lookup</v>
      </c>
      <c r="U198" s="461">
        <f ca="1">IF(COLUMN()-COLUMN($U$55)+1&lt;=$Y198,INDEX(OFFSET(INDIRECT($K198),0,1),MATCH(C198,INDIRECT($K198),0)),"")</f>
        <v>1</v>
      </c>
      <c r="V198" s="461" t="str">
        <f ca="1">IF(COLUMN()-COLUMN($U$55)+1&lt;=$Y198,INDEX(OFFSET(INDIRECT($K198),0,1),MATCH(D198,INDIRECT($K198),0)),"")</f>
        <v/>
      </c>
      <c r="W198" s="461" t="str">
        <f ca="1">IF(COLUMN()-COLUMN($U$55)+1&lt;=$Y198,INDEX(OFFSET(INDIRECT($K198),0,1),MATCH(E198,INDIRECT($K198),0)),"")</f>
        <v/>
      </c>
      <c r="X198" s="465" t="str">
        <f ca="1">IF(COLUMN()-COLUMN($U$55)+1&lt;=$Y198,INDEX(OFFSET(INDIRECT($K198),0,1),MATCH(F198,INDIRECT($K198),0)),"")</f>
        <v/>
      </c>
      <c r="Y198" s="99">
        <f>COUNTA($C$14:$F$14)</f>
        <v>1</v>
      </c>
      <c r="Z198" s="99"/>
      <c r="AA198" s="99"/>
      <c r="AB198" s="99"/>
      <c r="AC198" s="159" t="s">
        <v>2198</v>
      </c>
      <c r="AD198" s="101">
        <f t="shared" ca="1" si="60"/>
        <v>1</v>
      </c>
      <c r="AE198" s="379" t="b">
        <f ca="1">IF(AD198="","",NOT(L198))</f>
        <v>0</v>
      </c>
      <c r="AF198" s="159" t="s">
        <v>2350</v>
      </c>
      <c r="AG198" s="783">
        <f>COUNTIF('VA Detailed Scorecard Config'!D:D,AF198)</f>
        <v>0</v>
      </c>
      <c r="AH198" s="99"/>
    </row>
    <row r="199" spans="2:34" ht="13.5" customHeight="1">
      <c r="AF199" s="137"/>
      <c r="AG199" s="775"/>
    </row>
    <row r="200" spans="2:34" ht="13.5" hidden="1" customHeight="1">
      <c r="AF200" s="137"/>
      <c r="AG200" s="775"/>
    </row>
    <row r="201" spans="2:34" ht="13.5" customHeight="1">
      <c r="B201" s="704" t="s">
        <v>2351</v>
      </c>
      <c r="C201" s="705"/>
      <c r="D201" s="705"/>
      <c r="E201" s="705"/>
      <c r="F201" s="705"/>
      <c r="G201" s="705"/>
      <c r="H201" s="705"/>
      <c r="I201" s="705"/>
      <c r="J201" s="705"/>
      <c r="K201" s="705"/>
      <c r="L201" s="705"/>
      <c r="M201" s="705"/>
      <c r="N201" s="705"/>
      <c r="O201" s="706"/>
      <c r="P201" s="579" t="s">
        <v>1981</v>
      </c>
      <c r="Q201" s="579"/>
      <c r="R201" s="579"/>
      <c r="S201" s="579"/>
      <c r="T201" s="578" t="s">
        <v>2169</v>
      </c>
      <c r="U201" s="578" t="s">
        <v>2174</v>
      </c>
      <c r="V201" s="578"/>
      <c r="W201" s="578"/>
      <c r="X201" s="578"/>
      <c r="Y201" s="580" t="s">
        <v>2181</v>
      </c>
      <c r="Z201" s="582" t="s">
        <v>2182</v>
      </c>
      <c r="AA201" s="582"/>
      <c r="AB201" s="582"/>
      <c r="AC201" s="581" t="s">
        <v>2197</v>
      </c>
      <c r="AD201" s="581" t="s">
        <v>2225</v>
      </c>
      <c r="AE201" s="581" t="s">
        <v>2226</v>
      </c>
      <c r="AF201" s="767" t="s">
        <v>2246</v>
      </c>
      <c r="AG201" s="764" t="s">
        <v>2278</v>
      </c>
      <c r="AH201" s="767" t="s">
        <v>2277</v>
      </c>
    </row>
    <row r="202" spans="2:34" ht="13.5" customHeight="1">
      <c r="B202" s="417" t="s">
        <v>4</v>
      </c>
      <c r="C202" s="405" t="s">
        <v>801</v>
      </c>
      <c r="F202" s="137"/>
      <c r="G202" s="404" t="s">
        <v>1968</v>
      </c>
      <c r="K202" s="404" t="s">
        <v>1988</v>
      </c>
      <c r="L202" s="404" t="s">
        <v>2219</v>
      </c>
      <c r="M202" s="698" t="s">
        <v>2220</v>
      </c>
      <c r="N202" s="698" t="s">
        <v>2221</v>
      </c>
      <c r="O202" s="698" t="s">
        <v>2222</v>
      </c>
      <c r="P202" s="407" t="s">
        <v>1993</v>
      </c>
      <c r="Q202" s="137"/>
      <c r="R202" s="137"/>
      <c r="S202" s="137"/>
      <c r="T202" s="579"/>
      <c r="U202" s="190" t="s">
        <v>1993</v>
      </c>
      <c r="V202" s="190" t="s">
        <v>1994</v>
      </c>
      <c r="W202" s="190" t="s">
        <v>1995</v>
      </c>
      <c r="X202" s="190" t="s">
        <v>1996</v>
      </c>
      <c r="Y202" s="581"/>
      <c r="Z202" s="381" t="s">
        <v>2183</v>
      </c>
      <c r="AA202" s="381" t="s">
        <v>2184</v>
      </c>
      <c r="AB202" s="381" t="s">
        <v>2185</v>
      </c>
      <c r="AC202" s="769"/>
      <c r="AD202" s="769"/>
      <c r="AE202" s="769"/>
      <c r="AF202" s="768"/>
      <c r="AG202" s="766"/>
      <c r="AH202" s="768"/>
    </row>
    <row r="203" spans="2:34" ht="13.5" customHeight="1">
      <c r="B203" s="328" t="s">
        <v>1751</v>
      </c>
      <c r="C203" s="99">
        <f t="shared" ref="C203:C230" ca="1" si="65">IF(INDIRECT(C$14&amp;"!C"&amp;ROW()-ROW($C$128)+4)="","",INDIRECT(C$14&amp;"!C"&amp;ROW()-ROW($C$128)+4))</f>
        <v>10</v>
      </c>
      <c r="G203" s="99" t="str">
        <f t="shared" ref="G203:G230" ca="1" si="66">IF(INDIRECT($C$14&amp;"!D"&amp;ROW()-ROW($C$128)+4)="","",INDIRECT($C$14&amp;"!D"&amp;ROW()-ROW($C$128)+4))</f>
        <v/>
      </c>
      <c r="K203" s="99" t="str">
        <f t="shared" ref="K203:K230" ca="1" si="67">IF(INDIRECT($C$14&amp;"!E"&amp;ROW()-ROW($C$128)+4)="","",INDIRECT($C$14&amp;"!E"&amp;ROW()-ROW($C$128)+4))</f>
        <v>Numerical (Larger is better, linear scale)</v>
      </c>
      <c r="L203" s="99" t="b">
        <f t="shared" ref="L203:L230" ca="1" si="68">IF(INDIRECT($C$14&amp;"!F"&amp;ROW()-ROW($C$128)+4)="","",INDIRECT($C$14&amp;"!F"&amp;ROW()-ROW($C$128)+4))</f>
        <v>1</v>
      </c>
      <c r="M203" s="99"/>
      <c r="N203" s="99"/>
      <c r="O203" s="99"/>
      <c r="P203" s="99" t="b">
        <f t="shared" ref="P203:P230" ca="1" si="69">INDIRECT(C$14&amp;"!B"&amp;ROW()-ROW($C$128)+4)=B203</f>
        <v>1</v>
      </c>
      <c r="T203" s="37" t="str">
        <f ca="1">IF(NOT(ISERROR(MATCH(K203,'Lookup Tables'!A:A,0))),"Lookup",IF(OR(NOT(ISERROR(FIND("Numeric",K203))),NOT(ISERROR(FIND("Percentage",K203))),NOT(ISERROR(FIND("Date",K203)))),"Numeric",IF(NOT(ISERROR(FIND("lank",K203))),"Non-blank",IF(NOT(ISERROR(FIND("Not evaluated",K203))),"Skipped","Other"))))</f>
        <v>Numeric</v>
      </c>
      <c r="U203" s="461">
        <f ca="1">(C203-MIN(C203,Z203:AA203))/(MAX(C203,Z203:AA203)-MIN(C203,Z203:AA203))</f>
        <v>0.1</v>
      </c>
      <c r="V203" s="461" t="str">
        <f t="shared" ref="V203:V230" ca="1" si="70">IF(COLUMN()-COLUMN($U$55)+1&lt;=$Y203,INDEX(OFFSET(INDIRECT($K203),0,1),MATCH(D203,INDIRECT($K203),0)),"")</f>
        <v/>
      </c>
      <c r="W203" s="461" t="str">
        <f t="shared" ref="W203:W230" ca="1" si="71">IF(COLUMN()-COLUMN($U$55)+1&lt;=$Y203,INDEX(OFFSET(INDIRECT($K203),0,1),MATCH(E203,INDIRECT($K203),0)),"")</f>
        <v/>
      </c>
      <c r="X203" s="465" t="str">
        <f t="shared" ref="X203:X230" ca="1" si="72">IF(COLUMN()-COLUMN($U$55)+1&lt;=$Y203,INDEX(OFFSET(INDIRECT($K203),0,1),MATCH(F203,INDIRECT($K203),0)),"")</f>
        <v/>
      </c>
      <c r="Y203" s="99">
        <f t="shared" ref="Y203:Y230" si="73">COUNTA($C$14:$F$14)</f>
        <v>1</v>
      </c>
      <c r="Z203" s="99">
        <v>0</v>
      </c>
      <c r="AA203" s="99">
        <v>100</v>
      </c>
      <c r="AB203" s="99" t="s">
        <v>1619</v>
      </c>
      <c r="AC203" s="159" t="s">
        <v>2198</v>
      </c>
      <c r="AD203" s="101">
        <f t="shared" ref="AD203:AD230" ca="1" si="74">IF(U203="","",U203)</f>
        <v>0.1</v>
      </c>
      <c r="AE203" s="99" t="b">
        <f t="shared" ref="AE203:AE230" ca="1" si="75">IF(AD203="","",NOT(L203))</f>
        <v>0</v>
      </c>
      <c r="AF203" s="159" t="s">
        <v>2353</v>
      </c>
      <c r="AG203" s="783">
        <f>COUNTIF('VA Detailed Scorecard Config'!D:D,AF203)</f>
        <v>3</v>
      </c>
      <c r="AH203" s="99"/>
    </row>
    <row r="204" spans="2:34" ht="13.5" customHeight="1">
      <c r="B204" s="328" t="s">
        <v>1752</v>
      </c>
      <c r="C204" s="99">
        <f t="shared" ca="1" si="65"/>
        <v>365</v>
      </c>
      <c r="G204" s="99" t="str">
        <f t="shared" ca="1" si="66"/>
        <v/>
      </c>
      <c r="K204" s="99" t="str">
        <f t="shared" ca="1" si="67"/>
        <v>Numerical (Larger is better, linear scale)</v>
      </c>
      <c r="L204" s="99" t="b">
        <f t="shared" ca="1" si="68"/>
        <v>1</v>
      </c>
      <c r="M204" s="99"/>
      <c r="N204" s="99"/>
      <c r="O204" s="99"/>
      <c r="P204" s="99" t="b">
        <f t="shared" ca="1" si="69"/>
        <v>1</v>
      </c>
      <c r="T204" s="37" t="str">
        <f ca="1">IF(NOT(ISERROR(MATCH(K204,'Lookup Tables'!A:A,0))),"Lookup",IF(OR(NOT(ISERROR(FIND("Numeric",K204))),NOT(ISERROR(FIND("Percentage",K204))),NOT(ISERROR(FIND("Date",K204)))),"Numeric",IF(NOT(ISERROR(FIND("lank",K204))),"Non-blank",IF(NOT(ISERROR(FIND("Not evaluated",K204))),"Skipped","Other"))))</f>
        <v>Numeric</v>
      </c>
      <c r="U204" s="461">
        <f t="shared" ref="U204:U206" ca="1" si="76">(C204-MIN(C204,Z204:AA204))/(MAX(C204,Z204:AA204)-MIN(C204,Z204:AA204))</f>
        <v>0.5</v>
      </c>
      <c r="V204" s="461" t="str">
        <f t="shared" ca="1" si="70"/>
        <v/>
      </c>
      <c r="W204" s="461" t="str">
        <f t="shared" ca="1" si="71"/>
        <v/>
      </c>
      <c r="X204" s="465" t="str">
        <f t="shared" ca="1" si="72"/>
        <v/>
      </c>
      <c r="Y204" s="99">
        <f t="shared" si="73"/>
        <v>1</v>
      </c>
      <c r="Z204" s="99">
        <v>0</v>
      </c>
      <c r="AA204" s="99">
        <f>365*2</f>
        <v>730</v>
      </c>
      <c r="AB204" s="99" t="s">
        <v>1619</v>
      </c>
      <c r="AC204" s="159" t="s">
        <v>2198</v>
      </c>
      <c r="AD204" s="101">
        <f t="shared" ca="1" si="74"/>
        <v>0.5</v>
      </c>
      <c r="AE204" s="99" t="b">
        <f t="shared" ca="1" si="75"/>
        <v>0</v>
      </c>
      <c r="AF204" s="159" t="s">
        <v>2354</v>
      </c>
      <c r="AG204" s="783">
        <f>COUNTIF('VA Detailed Scorecard Config'!D:D,AF204)</f>
        <v>2</v>
      </c>
      <c r="AH204" s="99"/>
    </row>
    <row r="205" spans="2:34" ht="13.5" customHeight="1">
      <c r="B205" s="328" t="s">
        <v>1756</v>
      </c>
      <c r="C205" s="99">
        <f t="shared" ca="1" si="65"/>
        <v>5</v>
      </c>
      <c r="G205" s="99" t="str">
        <f t="shared" ca="1" si="66"/>
        <v/>
      </c>
      <c r="K205" s="99" t="str">
        <f t="shared" ca="1" si="67"/>
        <v>Numerical (Larger is better, linear scale)</v>
      </c>
      <c r="L205" s="99" t="b">
        <f t="shared" ca="1" si="68"/>
        <v>1</v>
      </c>
      <c r="M205" s="99"/>
      <c r="N205" s="99"/>
      <c r="O205" s="99"/>
      <c r="P205" s="99" t="b">
        <f t="shared" ca="1" si="69"/>
        <v>1</v>
      </c>
      <c r="T205" s="37" t="str">
        <f ca="1">IF(NOT(ISERROR(MATCH(K205,'Lookup Tables'!A:A,0))),"Lookup",IF(OR(NOT(ISERROR(FIND("Numeric",K205))),NOT(ISERROR(FIND("Percentage",K205))),NOT(ISERROR(FIND("Date",K205)))),"Numeric",IF(NOT(ISERROR(FIND("lank",K205))),"Non-blank",IF(NOT(ISERROR(FIND("Not evaluated",K205))),"Skipped","Other"))))</f>
        <v>Numeric</v>
      </c>
      <c r="U205" s="461">
        <f t="shared" ca="1" si="76"/>
        <v>0.25</v>
      </c>
      <c r="V205" s="461" t="str">
        <f t="shared" ca="1" si="70"/>
        <v/>
      </c>
      <c r="W205" s="461" t="str">
        <f t="shared" ca="1" si="71"/>
        <v/>
      </c>
      <c r="X205" s="465" t="str">
        <f t="shared" ca="1" si="72"/>
        <v/>
      </c>
      <c r="Y205" s="99">
        <f t="shared" si="73"/>
        <v>1</v>
      </c>
      <c r="Z205" s="99">
        <v>0</v>
      </c>
      <c r="AA205" s="99">
        <v>20</v>
      </c>
      <c r="AB205" s="99" t="s">
        <v>1619</v>
      </c>
      <c r="AC205" s="159" t="s">
        <v>2198</v>
      </c>
      <c r="AD205" s="101">
        <f t="shared" ca="1" si="74"/>
        <v>0.25</v>
      </c>
      <c r="AE205" s="99" t="b">
        <f t="shared" ca="1" si="75"/>
        <v>0</v>
      </c>
      <c r="AF205" s="159" t="s">
        <v>2355</v>
      </c>
      <c r="AG205" s="783">
        <f>COUNTIF('VA Detailed Scorecard Config'!D:D,AF205)</f>
        <v>4</v>
      </c>
      <c r="AH205" s="99"/>
    </row>
    <row r="206" spans="2:34" ht="13.5" customHeight="1">
      <c r="B206" s="328" t="s">
        <v>1827</v>
      </c>
      <c r="C206" s="99">
        <f t="shared" ca="1" si="65"/>
        <v>10</v>
      </c>
      <c r="G206" s="99" t="str">
        <f t="shared" ca="1" si="66"/>
        <v/>
      </c>
      <c r="K206" s="99" t="str">
        <f t="shared" ca="1" si="67"/>
        <v>Numerical (Larger is better, linear scale)</v>
      </c>
      <c r="L206" s="99" t="b">
        <f t="shared" ca="1" si="68"/>
        <v>1</v>
      </c>
      <c r="M206" s="99"/>
      <c r="N206" s="99"/>
      <c r="O206" s="99"/>
      <c r="P206" s="99" t="b">
        <f t="shared" ca="1" si="69"/>
        <v>1</v>
      </c>
      <c r="T206" s="37" t="str">
        <f ca="1">IF(NOT(ISERROR(MATCH(K206,'Lookup Tables'!A:A,0))),"Lookup",IF(OR(NOT(ISERROR(FIND("Numeric",K206))),NOT(ISERROR(FIND("Percentage",K206))),NOT(ISERROR(FIND("Date",K206)))),"Numeric",IF(NOT(ISERROR(FIND("lank",K206))),"Non-blank",IF(NOT(ISERROR(FIND("Not evaluated",K206))),"Skipped","Other"))))</f>
        <v>Numeric</v>
      </c>
      <c r="U206" s="461">
        <f t="shared" ca="1" si="76"/>
        <v>0.1</v>
      </c>
      <c r="V206" s="461" t="str">
        <f t="shared" ca="1" si="70"/>
        <v/>
      </c>
      <c r="W206" s="461" t="str">
        <f t="shared" ca="1" si="71"/>
        <v/>
      </c>
      <c r="X206" s="465" t="str">
        <f t="shared" ca="1" si="72"/>
        <v/>
      </c>
      <c r="Y206" s="99">
        <f t="shared" si="73"/>
        <v>1</v>
      </c>
      <c r="Z206" s="99">
        <v>0</v>
      </c>
      <c r="AA206" s="99">
        <v>100</v>
      </c>
      <c r="AB206" s="99" t="s">
        <v>1619</v>
      </c>
      <c r="AC206" s="159" t="s">
        <v>2198</v>
      </c>
      <c r="AD206" s="101">
        <f t="shared" ca="1" si="74"/>
        <v>0.1</v>
      </c>
      <c r="AE206" s="99" t="b">
        <f t="shared" ca="1" si="75"/>
        <v>0</v>
      </c>
      <c r="AF206" s="159" t="s">
        <v>2356</v>
      </c>
      <c r="AG206" s="783">
        <f>COUNTIF('VA Detailed Scorecard Config'!D:D,AF206)</f>
        <v>4</v>
      </c>
      <c r="AH206" s="99"/>
    </row>
    <row r="207" spans="2:34" ht="13.5" customHeight="1">
      <c r="B207" s="328" t="s">
        <v>1759</v>
      </c>
      <c r="C207" s="99" t="str">
        <f t="shared" ca="1" si="65"/>
        <v>Can extend but may or may not have inflation adjustment</v>
      </c>
      <c r="G207" s="99" t="str">
        <f t="shared" ca="1" si="66"/>
        <v/>
      </c>
      <c r="K207" s="99" t="str">
        <f t="shared" ca="1" si="67"/>
        <v>Extension</v>
      </c>
      <c r="L207" s="99" t="b">
        <f t="shared" ca="1" si="68"/>
        <v>1</v>
      </c>
      <c r="M207" s="99"/>
      <c r="N207" s="99"/>
      <c r="O207" s="99"/>
      <c r="P207" s="99" t="b">
        <f t="shared" ca="1" si="69"/>
        <v>1</v>
      </c>
      <c r="T207" s="37" t="str">
        <f ca="1">IF(NOT(ISERROR(MATCH(K207,'Lookup Tables'!A:A,0))),"Lookup",IF(OR(NOT(ISERROR(FIND("Numeric",K207))),NOT(ISERROR(FIND("Percentage",K207))),NOT(ISERROR(FIND("Date",K207)))),"Numeric",IF(NOT(ISERROR(FIND("lank",K207))),"Non-blank",IF(NOT(ISERROR(FIND("Not evaluated",K207))),"Skipped","Other"))))</f>
        <v>Lookup</v>
      </c>
      <c r="U207" s="461">
        <f t="shared" ref="U203:U230" ca="1" si="77">IF(COLUMN()-COLUMN($U$55)+1&lt;=$Y207,INDEX(OFFSET(INDIRECT($K207),0,1),MATCH(C207,INDIRECT($K207),0)),"")</f>
        <v>0.75</v>
      </c>
      <c r="V207" s="461" t="str">
        <f t="shared" ca="1" si="70"/>
        <v/>
      </c>
      <c r="W207" s="461" t="str">
        <f t="shared" ca="1" si="71"/>
        <v/>
      </c>
      <c r="X207" s="465" t="str">
        <f t="shared" ca="1" si="72"/>
        <v/>
      </c>
      <c r="Y207" s="99">
        <f t="shared" si="73"/>
        <v>1</v>
      </c>
      <c r="Z207" s="99"/>
      <c r="AA207" s="99"/>
      <c r="AB207" s="99"/>
      <c r="AC207" s="159" t="s">
        <v>2198</v>
      </c>
      <c r="AD207" s="101">
        <f t="shared" ca="1" si="74"/>
        <v>0.75</v>
      </c>
      <c r="AE207" s="99" t="b">
        <f t="shared" ca="1" si="75"/>
        <v>0</v>
      </c>
      <c r="AF207" s="159" t="s">
        <v>2357</v>
      </c>
      <c r="AG207" s="783">
        <f>COUNTIF('VA Detailed Scorecard Config'!D:D,AF207)</f>
        <v>3</v>
      </c>
      <c r="AH207" s="99"/>
    </row>
    <row r="208" spans="2:34" ht="13.5" customHeight="1">
      <c r="B208" s="328" t="s">
        <v>1758</v>
      </c>
      <c r="C208" s="99" t="str">
        <f t="shared" ca="1" si="65"/>
        <v>Cannot scale</v>
      </c>
      <c r="G208" s="99" t="str">
        <f t="shared" ca="1" si="66"/>
        <v/>
      </c>
      <c r="K208" s="99" t="str">
        <f t="shared" ca="1" si="67"/>
        <v>Expansion</v>
      </c>
      <c r="L208" s="99" t="b">
        <f t="shared" ca="1" si="68"/>
        <v>1</v>
      </c>
      <c r="M208" s="99"/>
      <c r="N208" s="99"/>
      <c r="O208" s="99"/>
      <c r="P208" s="99" t="b">
        <f t="shared" ca="1" si="69"/>
        <v>1</v>
      </c>
      <c r="T208" s="37" t="str">
        <f ca="1">IF(NOT(ISERROR(MATCH(K208,'Lookup Tables'!A:A,0))),"Lookup",IF(OR(NOT(ISERROR(FIND("Numeric",K208))),NOT(ISERROR(FIND("Percentage",K208))),NOT(ISERROR(FIND("Date",K208)))),"Numeric",IF(NOT(ISERROR(FIND("lank",K208))),"Non-blank",IF(NOT(ISERROR(FIND("Not evaluated",K208))),"Skipped","Other"))))</f>
        <v>Lookup</v>
      </c>
      <c r="U208" s="461">
        <f t="shared" ca="1" si="77"/>
        <v>0</v>
      </c>
      <c r="V208" s="461" t="str">
        <f t="shared" ca="1" si="70"/>
        <v/>
      </c>
      <c r="W208" s="461" t="str">
        <f t="shared" ca="1" si="71"/>
        <v/>
      </c>
      <c r="X208" s="465" t="str">
        <f t="shared" ca="1" si="72"/>
        <v/>
      </c>
      <c r="Y208" s="99">
        <f t="shared" si="73"/>
        <v>1</v>
      </c>
      <c r="Z208" s="99"/>
      <c r="AA208" s="99"/>
      <c r="AB208" s="99"/>
      <c r="AC208" s="159" t="s">
        <v>2198</v>
      </c>
      <c r="AD208" s="101">
        <f t="shared" ca="1" si="74"/>
        <v>0</v>
      </c>
      <c r="AE208" s="99" t="b">
        <f t="shared" ca="1" si="75"/>
        <v>0</v>
      </c>
      <c r="AF208" s="159" t="s">
        <v>2358</v>
      </c>
      <c r="AG208" s="783">
        <f>COUNTIF('VA Detailed Scorecard Config'!D:D,AF208)</f>
        <v>4</v>
      </c>
      <c r="AH208" s="99"/>
    </row>
    <row r="209" spans="2:34" ht="13.5" customHeight="1">
      <c r="B209" s="328" t="s">
        <v>1753</v>
      </c>
      <c r="C209" s="99" t="str">
        <f t="shared" ca="1" si="65"/>
        <v>Yes, free break-fix for 2 years</v>
      </c>
      <c r="G209" s="99" t="str">
        <f t="shared" ca="1" si="66"/>
        <v/>
      </c>
      <c r="K209" s="99" t="str">
        <f t="shared" ca="1" si="67"/>
        <v>Warranty</v>
      </c>
      <c r="L209" s="99" t="b">
        <f t="shared" ca="1" si="68"/>
        <v>1</v>
      </c>
      <c r="M209" s="99"/>
      <c r="N209" s="99"/>
      <c r="O209" s="99"/>
      <c r="P209" s="99" t="b">
        <f t="shared" ca="1" si="69"/>
        <v>1</v>
      </c>
      <c r="T209" s="37" t="str">
        <f ca="1">IF(NOT(ISERROR(MATCH(K209,'Lookup Tables'!A:A,0))),"Lookup",IF(OR(NOT(ISERROR(FIND("Numeric",K209))),NOT(ISERROR(FIND("Percentage",K209))),NOT(ISERROR(FIND("Date",K209)))),"Numeric",IF(NOT(ISERROR(FIND("lank",K209))),"Non-blank",IF(NOT(ISERROR(FIND("Not evaluated",K209))),"Skipped","Other"))))</f>
        <v>Lookup</v>
      </c>
      <c r="U209" s="461">
        <f t="shared" ca="1" si="77"/>
        <v>0.9</v>
      </c>
      <c r="V209" s="461" t="str">
        <f t="shared" ca="1" si="70"/>
        <v/>
      </c>
      <c r="W209" s="461" t="str">
        <f t="shared" ca="1" si="71"/>
        <v/>
      </c>
      <c r="X209" s="465" t="str">
        <f t="shared" ca="1" si="72"/>
        <v/>
      </c>
      <c r="Y209" s="99">
        <f t="shared" si="73"/>
        <v>1</v>
      </c>
      <c r="Z209" s="99"/>
      <c r="AA209" s="99"/>
      <c r="AB209" s="99"/>
      <c r="AC209" s="159" t="s">
        <v>2198</v>
      </c>
      <c r="AD209" s="101">
        <f t="shared" ca="1" si="74"/>
        <v>0.9</v>
      </c>
      <c r="AE209" s="99" t="b">
        <f t="shared" ca="1" si="75"/>
        <v>0</v>
      </c>
      <c r="AF209" s="159" t="s">
        <v>2359</v>
      </c>
      <c r="AG209" s="783">
        <f>COUNTIF('VA Detailed Scorecard Config'!D:D,AF209)</f>
        <v>4</v>
      </c>
      <c r="AH209" s="99"/>
    </row>
    <row r="210" spans="2:34" ht="13.5" customHeight="1">
      <c r="B210" s="328" t="s">
        <v>1754</v>
      </c>
      <c r="C210" s="99" t="str">
        <f t="shared" ca="1" si="65"/>
        <v>Other trained staff</v>
      </c>
      <c r="G210" s="99" t="str">
        <f t="shared" ca="1" si="66"/>
        <v/>
      </c>
      <c r="K210" s="99" t="str">
        <f t="shared" ca="1" si="67"/>
        <v>Non-blank is better</v>
      </c>
      <c r="L210" s="99" t="b">
        <f t="shared" ca="1" si="68"/>
        <v>1</v>
      </c>
      <c r="M210" s="99"/>
      <c r="N210" s="99"/>
      <c r="O210" s="99"/>
      <c r="P210" s="99" t="b">
        <f t="shared" ca="1" si="69"/>
        <v>1</v>
      </c>
      <c r="T210" s="37" t="str">
        <f ca="1">IF(NOT(ISERROR(MATCH(K210,'Lookup Tables'!A:A,0))),"Lookup",IF(OR(NOT(ISERROR(FIND("Numeric",K210))),NOT(ISERROR(FIND("Percentage",K210))),NOT(ISERROR(FIND("Date",K210)))),"Numeric",IF(NOT(ISERROR(FIND("lank",K210))),"Non-blank",IF(NOT(ISERROR(FIND("Not evaluated",K210))),"Skipped","Other"))))</f>
        <v>Non-blank</v>
      </c>
      <c r="U210" s="461">
        <f ca="1">IF(COLUMN()-COLUMN($U$55)+1&lt;=$Y210,IF(C210="",0,1),"")</f>
        <v>1</v>
      </c>
      <c r="V210" s="461" t="str">
        <f t="shared" ca="1" si="70"/>
        <v/>
      </c>
      <c r="W210" s="461" t="str">
        <f t="shared" ca="1" si="71"/>
        <v/>
      </c>
      <c r="X210" s="465" t="str">
        <f t="shared" ca="1" si="72"/>
        <v/>
      </c>
      <c r="Y210" s="99">
        <f t="shared" si="73"/>
        <v>1</v>
      </c>
      <c r="Z210" s="99"/>
      <c r="AA210" s="99"/>
      <c r="AB210" s="99"/>
      <c r="AC210" s="159" t="s">
        <v>2198</v>
      </c>
      <c r="AD210" s="101">
        <f t="shared" ca="1" si="74"/>
        <v>1</v>
      </c>
      <c r="AE210" s="99" t="b">
        <f t="shared" ca="1" si="75"/>
        <v>0</v>
      </c>
      <c r="AF210" s="159" t="s">
        <v>2360</v>
      </c>
      <c r="AG210" s="783">
        <f>COUNTIF('VA Detailed Scorecard Config'!D:D,AF210)</f>
        <v>4</v>
      </c>
      <c r="AH210" s="99"/>
    </row>
    <row r="211" spans="2:34" ht="13.5" customHeight="1">
      <c r="B211" s="328" t="s">
        <v>1755</v>
      </c>
      <c r="C211" s="99" t="str">
        <f t="shared" ca="1" si="65"/>
        <v>Yes</v>
      </c>
      <c r="G211" s="99" t="str">
        <f t="shared" ca="1" si="66"/>
        <v/>
      </c>
      <c r="K211" s="99" t="str">
        <f t="shared" ca="1" si="67"/>
        <v>YES_No</v>
      </c>
      <c r="L211" s="99" t="b">
        <f t="shared" ca="1" si="68"/>
        <v>1</v>
      </c>
      <c r="M211" s="99"/>
      <c r="N211" s="99"/>
      <c r="O211" s="99"/>
      <c r="P211" s="99" t="b">
        <f t="shared" ca="1" si="69"/>
        <v>1</v>
      </c>
      <c r="T211" s="37" t="str">
        <f ca="1">IF(NOT(ISERROR(MATCH(K211,'Lookup Tables'!A:A,0))),"Lookup",IF(OR(NOT(ISERROR(FIND("Numeric",K211))),NOT(ISERROR(FIND("Percentage",K211))),NOT(ISERROR(FIND("Date",K211)))),"Numeric",IF(NOT(ISERROR(FIND("lank",K211))),"Non-blank",IF(NOT(ISERROR(FIND("Not evaluated",K211))),"Skipped","Other"))))</f>
        <v>Lookup</v>
      </c>
      <c r="U211" s="461">
        <f t="shared" ca="1" si="77"/>
        <v>1</v>
      </c>
      <c r="V211" s="461" t="str">
        <f t="shared" ca="1" si="70"/>
        <v/>
      </c>
      <c r="W211" s="461" t="str">
        <f t="shared" ca="1" si="71"/>
        <v/>
      </c>
      <c r="X211" s="465" t="str">
        <f t="shared" ca="1" si="72"/>
        <v/>
      </c>
      <c r="Y211" s="99">
        <f t="shared" si="73"/>
        <v>1</v>
      </c>
      <c r="Z211" s="99"/>
      <c r="AA211" s="99"/>
      <c r="AB211" s="99"/>
      <c r="AC211" s="159" t="s">
        <v>2198</v>
      </c>
      <c r="AD211" s="101">
        <f t="shared" ca="1" si="74"/>
        <v>1</v>
      </c>
      <c r="AE211" s="99" t="b">
        <f t="shared" ca="1" si="75"/>
        <v>0</v>
      </c>
      <c r="AF211" s="159" t="s">
        <v>2361</v>
      </c>
      <c r="AG211" s="783">
        <f>COUNTIF('VA Detailed Scorecard Config'!D:D,AF211)</f>
        <v>2</v>
      </c>
      <c r="AH211" s="99"/>
    </row>
    <row r="212" spans="2:34" ht="13.5" customHeight="1">
      <c r="B212" s="328" t="s">
        <v>1781</v>
      </c>
      <c r="C212" s="99" t="str">
        <f t="shared" ca="1" si="65"/>
        <v>No</v>
      </c>
      <c r="G212" s="99" t="str">
        <f t="shared" ca="1" si="66"/>
        <v/>
      </c>
      <c r="K212" s="99" t="str">
        <f t="shared" ca="1" si="67"/>
        <v>YES_No</v>
      </c>
      <c r="L212" s="99" t="b">
        <f t="shared" ca="1" si="68"/>
        <v>1</v>
      </c>
      <c r="M212" s="99"/>
      <c r="N212" s="99"/>
      <c r="O212" s="99"/>
      <c r="P212" s="99" t="b">
        <f t="shared" ca="1" si="69"/>
        <v>1</v>
      </c>
      <c r="T212" s="37" t="str">
        <f ca="1">IF(NOT(ISERROR(MATCH(K212,'Lookup Tables'!A:A,0))),"Lookup",IF(OR(NOT(ISERROR(FIND("Numeric",K212))),NOT(ISERROR(FIND("Percentage",K212))),NOT(ISERROR(FIND("Date",K212)))),"Numeric",IF(NOT(ISERROR(FIND("lank",K212))),"Non-blank",IF(NOT(ISERROR(FIND("Not evaluated",K212))),"Skipped","Other"))))</f>
        <v>Lookup</v>
      </c>
      <c r="U212" s="461">
        <f t="shared" ca="1" si="77"/>
        <v>0</v>
      </c>
      <c r="V212" s="461" t="str">
        <f t="shared" ca="1" si="70"/>
        <v/>
      </c>
      <c r="W212" s="461" t="str">
        <f t="shared" ca="1" si="71"/>
        <v/>
      </c>
      <c r="X212" s="465" t="str">
        <f t="shared" ca="1" si="72"/>
        <v/>
      </c>
      <c r="Y212" s="99">
        <f t="shared" si="73"/>
        <v>1</v>
      </c>
      <c r="Z212" s="99"/>
      <c r="AA212" s="99"/>
      <c r="AB212" s="99"/>
      <c r="AC212" s="159" t="s">
        <v>2198</v>
      </c>
      <c r="AD212" s="101">
        <f t="shared" ca="1" si="74"/>
        <v>0</v>
      </c>
      <c r="AE212" s="99" t="b">
        <f t="shared" ca="1" si="75"/>
        <v>0</v>
      </c>
      <c r="AF212" s="159" t="s">
        <v>2362</v>
      </c>
      <c r="AG212" s="783">
        <f>COUNTIF('VA Detailed Scorecard Config'!D:D,AF212)</f>
        <v>3</v>
      </c>
      <c r="AH212" s="99"/>
    </row>
    <row r="213" spans="2:34" ht="13.5" customHeight="1">
      <c r="B213" s="328" t="s">
        <v>1790</v>
      </c>
      <c r="C213" s="99" t="str">
        <f t="shared" ca="1" si="65"/>
        <v>Yes</v>
      </c>
      <c r="G213" s="99" t="str">
        <f t="shared" ca="1" si="66"/>
        <v/>
      </c>
      <c r="K213" s="99" t="str">
        <f t="shared" ca="1" si="67"/>
        <v>YES_No</v>
      </c>
      <c r="L213" s="99" t="b">
        <f t="shared" ca="1" si="68"/>
        <v>1</v>
      </c>
      <c r="M213" s="99"/>
      <c r="N213" s="99"/>
      <c r="O213" s="99"/>
      <c r="P213" s="99" t="b">
        <f t="shared" ca="1" si="69"/>
        <v>1</v>
      </c>
      <c r="T213" s="37" t="str">
        <f ca="1">IF(NOT(ISERROR(MATCH(K213,'Lookup Tables'!A:A,0))),"Lookup",IF(OR(NOT(ISERROR(FIND("Numeric",K213))),NOT(ISERROR(FIND("Percentage",K213))),NOT(ISERROR(FIND("Date",K213)))),"Numeric",IF(NOT(ISERROR(FIND("lank",K213))),"Non-blank",IF(NOT(ISERROR(FIND("Not evaluated",K213))),"Skipped","Other"))))</f>
        <v>Lookup</v>
      </c>
      <c r="U213" s="461">
        <f t="shared" ca="1" si="77"/>
        <v>1</v>
      </c>
      <c r="V213" s="461" t="str">
        <f t="shared" ca="1" si="70"/>
        <v/>
      </c>
      <c r="W213" s="461" t="str">
        <f t="shared" ca="1" si="71"/>
        <v/>
      </c>
      <c r="X213" s="465" t="str">
        <f t="shared" ca="1" si="72"/>
        <v/>
      </c>
      <c r="Y213" s="99">
        <f t="shared" si="73"/>
        <v>1</v>
      </c>
      <c r="Z213" s="99"/>
      <c r="AA213" s="99"/>
      <c r="AB213" s="99"/>
      <c r="AC213" s="159" t="s">
        <v>2198</v>
      </c>
      <c r="AD213" s="101">
        <f t="shared" ca="1" si="74"/>
        <v>1</v>
      </c>
      <c r="AE213" s="99" t="b">
        <f t="shared" ca="1" si="75"/>
        <v>0</v>
      </c>
      <c r="AF213" s="159" t="s">
        <v>2363</v>
      </c>
      <c r="AG213" s="783">
        <f>COUNTIF('VA Detailed Scorecard Config'!D:D,AF213)</f>
        <v>2</v>
      </c>
      <c r="AH213" s="99"/>
    </row>
    <row r="214" spans="2:34" ht="13.5" customHeight="1">
      <c r="B214" s="328" t="s">
        <v>198</v>
      </c>
      <c r="C214" s="99">
        <f t="shared" ca="1" si="65"/>
        <v>0.2</v>
      </c>
      <c r="G214" s="99" t="str">
        <f t="shared" ca="1" si="66"/>
        <v/>
      </c>
      <c r="K214" s="99" t="str">
        <f t="shared" ca="1" si="67"/>
        <v>Percentage, smaller is better</v>
      </c>
      <c r="L214" s="99" t="b">
        <f t="shared" ca="1" si="68"/>
        <v>1</v>
      </c>
      <c r="M214" s="99"/>
      <c r="N214" s="99"/>
      <c r="O214" s="99"/>
      <c r="P214" s="99" t="b">
        <f t="shared" ca="1" si="69"/>
        <v>1</v>
      </c>
      <c r="T214" s="37" t="str">
        <f ca="1">IF(NOT(ISERROR(MATCH(K214,'Lookup Tables'!A:A,0))),"Lookup",IF(OR(NOT(ISERROR(FIND("Numeric",K214))),NOT(ISERROR(FIND("Percentage",K214))),NOT(ISERROR(FIND("Date",K214)))),"Numeric",IF(NOT(ISERROR(FIND("lank",K214))),"Non-blank",IF(NOT(ISERROR(FIND("Not evaluated",K214))),"Skipped","Other"))))</f>
        <v>Numeric</v>
      </c>
      <c r="U214" s="461">
        <f ca="1">1-(C214-MIN(C214,Z214:AA214))/(MAX(C214,Z214:AA214)-MIN(C214,Z214:AA214))</f>
        <v>0.6</v>
      </c>
      <c r="V214" s="461" t="str">
        <f t="shared" ca="1" si="70"/>
        <v/>
      </c>
      <c r="W214" s="461" t="str">
        <f t="shared" ca="1" si="71"/>
        <v/>
      </c>
      <c r="X214" s="465" t="str">
        <f t="shared" ca="1" si="72"/>
        <v/>
      </c>
      <c r="Y214" s="99">
        <f t="shared" si="73"/>
        <v>1</v>
      </c>
      <c r="Z214" s="107">
        <v>0</v>
      </c>
      <c r="AA214" s="107">
        <v>0.5</v>
      </c>
      <c r="AB214" s="159" t="s">
        <v>2352</v>
      </c>
      <c r="AC214" s="159" t="s">
        <v>2198</v>
      </c>
      <c r="AD214" s="101">
        <f t="shared" ca="1" si="74"/>
        <v>0.6</v>
      </c>
      <c r="AE214" s="99" t="b">
        <f t="shared" ca="1" si="75"/>
        <v>0</v>
      </c>
      <c r="AF214" s="159" t="s">
        <v>2364</v>
      </c>
      <c r="AG214" s="783">
        <f>COUNTIF('VA Detailed Scorecard Config'!D:D,AF214)</f>
        <v>2</v>
      </c>
      <c r="AH214" s="99"/>
    </row>
    <row r="215" spans="2:34" ht="13.5" customHeight="1">
      <c r="B215" s="328" t="s">
        <v>1789</v>
      </c>
      <c r="C215" s="99" t="str">
        <f t="shared" ca="1" si="65"/>
        <v>Yes, single copy stored offsite</v>
      </c>
      <c r="G215" s="99" t="str">
        <f t="shared" ca="1" si="66"/>
        <v/>
      </c>
      <c r="K215" s="99" t="str">
        <f t="shared" ca="1" si="67"/>
        <v>Backup</v>
      </c>
      <c r="L215" s="99" t="b">
        <f t="shared" ca="1" si="68"/>
        <v>1</v>
      </c>
      <c r="M215" s="99"/>
      <c r="N215" s="99"/>
      <c r="O215" s="99"/>
      <c r="P215" s="99" t="b">
        <f t="shared" ca="1" si="69"/>
        <v>1</v>
      </c>
      <c r="T215" s="37" t="str">
        <f ca="1">IF(NOT(ISERROR(MATCH(K215,'Lookup Tables'!A:A,0))),"Lookup",IF(OR(NOT(ISERROR(FIND("Numeric",K215))),NOT(ISERROR(FIND("Percentage",K215))),NOT(ISERROR(FIND("Date",K215)))),"Numeric",IF(NOT(ISERROR(FIND("lank",K215))),"Non-blank",IF(NOT(ISERROR(FIND("Not evaluated",K215))),"Skipped","Other"))))</f>
        <v>Lookup</v>
      </c>
      <c r="U215" s="461">
        <f t="shared" ca="1" si="77"/>
        <v>0.5</v>
      </c>
      <c r="V215" s="461" t="str">
        <f t="shared" ca="1" si="70"/>
        <v/>
      </c>
      <c r="W215" s="461" t="str">
        <f t="shared" ca="1" si="71"/>
        <v/>
      </c>
      <c r="X215" s="465" t="str">
        <f t="shared" ca="1" si="72"/>
        <v/>
      </c>
      <c r="Y215" s="99">
        <f t="shared" si="73"/>
        <v>1</v>
      </c>
      <c r="Z215" s="99"/>
      <c r="AA215" s="99"/>
      <c r="AB215" s="99"/>
      <c r="AC215" s="159" t="s">
        <v>2198</v>
      </c>
      <c r="AD215" s="101">
        <f t="shared" ca="1" si="74"/>
        <v>0.5</v>
      </c>
      <c r="AE215" s="99" t="b">
        <f t="shared" ca="1" si="75"/>
        <v>0</v>
      </c>
      <c r="AF215" s="159" t="s">
        <v>2365</v>
      </c>
      <c r="AG215" s="783">
        <f>COUNTIF('VA Detailed Scorecard Config'!D:D,AF215)</f>
        <v>2</v>
      </c>
      <c r="AH215" s="99"/>
    </row>
    <row r="216" spans="2:34" ht="13.5" customHeight="1">
      <c r="B216" s="328" t="s">
        <v>1797</v>
      </c>
      <c r="C216" s="99" t="str">
        <f t="shared" ca="1" si="65"/>
        <v>Monthly backup only</v>
      </c>
      <c r="G216" s="99" t="str">
        <f t="shared" ca="1" si="66"/>
        <v/>
      </c>
      <c r="K216" s="99" t="str">
        <f t="shared" ca="1" si="67"/>
        <v>Backup_Frequency</v>
      </c>
      <c r="L216" s="99" t="b">
        <f t="shared" ca="1" si="68"/>
        <v>1</v>
      </c>
      <c r="M216" s="99"/>
      <c r="N216" s="99"/>
      <c r="O216" s="99"/>
      <c r="P216" s="99" t="b">
        <f t="shared" ca="1" si="69"/>
        <v>1</v>
      </c>
      <c r="T216" s="37" t="str">
        <f ca="1">IF(NOT(ISERROR(MATCH(K216,'Lookup Tables'!A:A,0))),"Lookup",IF(OR(NOT(ISERROR(FIND("Numeric",K216))),NOT(ISERROR(FIND("Percentage",K216))),NOT(ISERROR(FIND("Date",K216)))),"Numeric",IF(NOT(ISERROR(FIND("lank",K216))),"Non-blank",IF(NOT(ISERROR(FIND("Not evaluated",K216))),"Skipped","Other"))))</f>
        <v>Lookup</v>
      </c>
      <c r="U216" s="461">
        <f t="shared" ca="1" si="77"/>
        <v>0.25</v>
      </c>
      <c r="V216" s="461" t="str">
        <f t="shared" ca="1" si="70"/>
        <v/>
      </c>
      <c r="W216" s="461" t="str">
        <f t="shared" ca="1" si="71"/>
        <v/>
      </c>
      <c r="X216" s="465" t="str">
        <f t="shared" ca="1" si="72"/>
        <v/>
      </c>
      <c r="Y216" s="99">
        <f t="shared" si="73"/>
        <v>1</v>
      </c>
      <c r="Z216" s="99"/>
      <c r="AA216" s="99"/>
      <c r="AB216" s="99"/>
      <c r="AC216" s="159" t="s">
        <v>2198</v>
      </c>
      <c r="AD216" s="101">
        <f t="shared" ca="1" si="74"/>
        <v>0.25</v>
      </c>
      <c r="AE216" s="99" t="b">
        <f t="shared" ca="1" si="75"/>
        <v>0</v>
      </c>
      <c r="AF216" s="159" t="s">
        <v>2366</v>
      </c>
      <c r="AG216" s="783">
        <f>COUNTIF('VA Detailed Scorecard Config'!D:D,AF216)</f>
        <v>2</v>
      </c>
      <c r="AH216" s="99"/>
    </row>
    <row r="217" spans="2:34" ht="13.5" customHeight="1">
      <c r="B217" s="328" t="s">
        <v>1805</v>
      </c>
      <c r="C217" s="99" t="str">
        <f t="shared" ca="1" si="65"/>
        <v>Obscurity</v>
      </c>
      <c r="G217" s="99" t="str">
        <f t="shared" ca="1" si="66"/>
        <v/>
      </c>
      <c r="K217" s="99" t="str">
        <f t="shared" ca="1" si="67"/>
        <v>Non-blank is better</v>
      </c>
      <c r="L217" s="99" t="b">
        <f t="shared" ca="1" si="68"/>
        <v>1</v>
      </c>
      <c r="M217" s="99"/>
      <c r="N217" s="99"/>
      <c r="O217" s="99"/>
      <c r="P217" s="99" t="b">
        <f t="shared" ca="1" si="69"/>
        <v>1</v>
      </c>
      <c r="T217" s="37" t="str">
        <f ca="1">IF(NOT(ISERROR(MATCH(K217,'Lookup Tables'!A:A,0))),"Lookup",IF(OR(NOT(ISERROR(FIND("Numeric",K217))),NOT(ISERROR(FIND("Percentage",K217))),NOT(ISERROR(FIND("Date",K217)))),"Numeric",IF(NOT(ISERROR(FIND("lank",K217))),"Non-blank",IF(NOT(ISERROR(FIND("Not evaluated",K217))),"Skipped","Other"))))</f>
        <v>Non-blank</v>
      </c>
      <c r="U217" s="461">
        <f ca="1">IF(COLUMN()-COLUMN($U$55)+1&lt;=$Y217,IF(C217="",0,1),"")</f>
        <v>1</v>
      </c>
      <c r="V217" s="461" t="str">
        <f t="shared" ca="1" si="70"/>
        <v/>
      </c>
      <c r="W217" s="461" t="str">
        <f t="shared" ca="1" si="71"/>
        <v/>
      </c>
      <c r="X217" s="465" t="str">
        <f t="shared" ca="1" si="72"/>
        <v/>
      </c>
      <c r="Y217" s="99">
        <f t="shared" si="73"/>
        <v>1</v>
      </c>
      <c r="Z217" s="99"/>
      <c r="AA217" s="99"/>
      <c r="AB217" s="99"/>
      <c r="AC217" s="159" t="s">
        <v>2198</v>
      </c>
      <c r="AD217" s="101">
        <f t="shared" ca="1" si="74"/>
        <v>1</v>
      </c>
      <c r="AE217" s="99" t="b">
        <f t="shared" ca="1" si="75"/>
        <v>0</v>
      </c>
      <c r="AF217" s="159" t="s">
        <v>2367</v>
      </c>
      <c r="AG217" s="783">
        <f>COUNTIF('VA Detailed Scorecard Config'!D:D,AF217)</f>
        <v>2</v>
      </c>
      <c r="AH217" s="99"/>
    </row>
    <row r="218" spans="2:34" ht="13.5" customHeight="1">
      <c r="B218" s="328" t="s">
        <v>1782</v>
      </c>
      <c r="C218" s="99" t="str">
        <f t="shared" ca="1" si="65"/>
        <v>Under 24 hours</v>
      </c>
      <c r="G218" s="99" t="str">
        <f t="shared" ca="1" si="66"/>
        <v/>
      </c>
      <c r="K218" s="99" t="str">
        <f t="shared" ca="1" si="67"/>
        <v>Response_Time</v>
      </c>
      <c r="L218" s="99" t="b">
        <f t="shared" ca="1" si="68"/>
        <v>1</v>
      </c>
      <c r="M218" s="99"/>
      <c r="N218" s="99"/>
      <c r="O218" s="99"/>
      <c r="P218" s="99" t="b">
        <f t="shared" ca="1" si="69"/>
        <v>1</v>
      </c>
      <c r="T218" s="37" t="str">
        <f ca="1">IF(NOT(ISERROR(MATCH(K218,'Lookup Tables'!A:A,0))),"Lookup",IF(OR(NOT(ISERROR(FIND("Numeric",K218))),NOT(ISERROR(FIND("Percentage",K218))),NOT(ISERROR(FIND("Date",K218)))),"Numeric",IF(NOT(ISERROR(FIND("lank",K218))),"Non-blank",IF(NOT(ISERROR(FIND("Not evaluated",K218))),"Skipped","Other"))))</f>
        <v>Lookup</v>
      </c>
      <c r="U218" s="461">
        <f t="shared" ca="1" si="77"/>
        <v>0.5</v>
      </c>
      <c r="V218" s="461" t="str">
        <f t="shared" ca="1" si="70"/>
        <v/>
      </c>
      <c r="W218" s="461" t="str">
        <f t="shared" ca="1" si="71"/>
        <v/>
      </c>
      <c r="X218" s="465" t="str">
        <f t="shared" ca="1" si="72"/>
        <v/>
      </c>
      <c r="Y218" s="99">
        <f t="shared" si="73"/>
        <v>1</v>
      </c>
      <c r="Z218" s="99"/>
      <c r="AA218" s="99"/>
      <c r="AB218" s="99"/>
      <c r="AC218" s="159" t="s">
        <v>2198</v>
      </c>
      <c r="AD218" s="101">
        <f t="shared" ca="1" si="74"/>
        <v>0.5</v>
      </c>
      <c r="AE218" s="99" t="b">
        <f t="shared" ca="1" si="75"/>
        <v>0</v>
      </c>
      <c r="AF218" s="159" t="s">
        <v>2368</v>
      </c>
      <c r="AG218" s="783">
        <f>COUNTIF('VA Detailed Scorecard Config'!D:D,AF218)</f>
        <v>2</v>
      </c>
      <c r="AH218" s="99"/>
    </row>
    <row r="219" spans="2:34" ht="13.5" customHeight="1">
      <c r="B219" s="328" t="s">
        <v>1783</v>
      </c>
      <c r="C219" s="99" t="str">
        <f t="shared" ca="1" si="65"/>
        <v>Under 5 business days for Severity 1 issues</v>
      </c>
      <c r="G219" s="99" t="str">
        <f t="shared" ca="1" si="66"/>
        <v/>
      </c>
      <c r="K219" s="99" t="str">
        <f t="shared" ca="1" si="67"/>
        <v>Resolution_Time</v>
      </c>
      <c r="L219" s="99" t="b">
        <f t="shared" ca="1" si="68"/>
        <v>1</v>
      </c>
      <c r="M219" s="99"/>
      <c r="N219" s="99"/>
      <c r="O219" s="99"/>
      <c r="P219" s="99" t="b">
        <f t="shared" ca="1" si="69"/>
        <v>1</v>
      </c>
      <c r="T219" s="37" t="str">
        <f ca="1">IF(NOT(ISERROR(MATCH(K219,'Lookup Tables'!A:A,0))),"Lookup",IF(OR(NOT(ISERROR(FIND("Numeric",K219))),NOT(ISERROR(FIND("Percentage",K219))),NOT(ISERROR(FIND("Date",K219)))),"Numeric",IF(NOT(ISERROR(FIND("lank",K219))),"Non-blank",IF(NOT(ISERROR(FIND("Not evaluated",K219))),"Skipped","Other"))))</f>
        <v>Lookup</v>
      </c>
      <c r="U219" s="461">
        <f t="shared" ca="1" si="77"/>
        <v>0.75</v>
      </c>
      <c r="V219" s="461" t="str">
        <f t="shared" ca="1" si="70"/>
        <v/>
      </c>
      <c r="W219" s="461" t="str">
        <f t="shared" ca="1" si="71"/>
        <v/>
      </c>
      <c r="X219" s="465" t="str">
        <f t="shared" ca="1" si="72"/>
        <v/>
      </c>
      <c r="Y219" s="99">
        <f t="shared" si="73"/>
        <v>1</v>
      </c>
      <c r="Z219" s="99"/>
      <c r="AA219" s="99"/>
      <c r="AB219" s="99"/>
      <c r="AC219" s="159" t="s">
        <v>2198</v>
      </c>
      <c r="AD219" s="101">
        <f t="shared" ca="1" si="74"/>
        <v>0.75</v>
      </c>
      <c r="AE219" s="99" t="b">
        <f t="shared" ca="1" si="75"/>
        <v>0</v>
      </c>
      <c r="AF219" s="159" t="s">
        <v>2369</v>
      </c>
      <c r="AG219" s="783">
        <f>COUNTIF('VA Detailed Scorecard Config'!D:D,AF219)</f>
        <v>2</v>
      </c>
      <c r="AH219" s="99"/>
    </row>
    <row r="220" spans="2:34" ht="13.5" customHeight="1">
      <c r="B220" s="328" t="s">
        <v>1784</v>
      </c>
      <c r="C220" s="99" t="str">
        <f t="shared" ca="1" si="65"/>
        <v>Not applicable (e.g. no online services)</v>
      </c>
      <c r="G220" s="99" t="str">
        <f t="shared" ca="1" si="66"/>
        <v/>
      </c>
      <c r="K220" s="99" t="str">
        <f t="shared" ca="1" si="67"/>
        <v>Uptime</v>
      </c>
      <c r="L220" s="99" t="b">
        <f t="shared" ca="1" si="68"/>
        <v>1</v>
      </c>
      <c r="M220" s="99"/>
      <c r="N220" s="99"/>
      <c r="O220" s="99"/>
      <c r="P220" s="99" t="b">
        <f t="shared" ca="1" si="69"/>
        <v>1</v>
      </c>
      <c r="T220" s="37" t="str">
        <f ca="1">IF(NOT(ISERROR(MATCH(K220,'Lookup Tables'!A:A,0))),"Lookup",IF(OR(NOT(ISERROR(FIND("Numeric",K220))),NOT(ISERROR(FIND("Percentage",K220))),NOT(ISERROR(FIND("Date",K220)))),"Numeric",IF(NOT(ISERROR(FIND("lank",K220))),"Non-blank",IF(NOT(ISERROR(FIND("Not evaluated",K220))),"Skipped","Other"))))</f>
        <v>Lookup</v>
      </c>
      <c r="U220" s="461">
        <f t="shared" ca="1" si="77"/>
        <v>0.5</v>
      </c>
      <c r="V220" s="461" t="str">
        <f t="shared" ca="1" si="70"/>
        <v/>
      </c>
      <c r="W220" s="461" t="str">
        <f t="shared" ca="1" si="71"/>
        <v/>
      </c>
      <c r="X220" s="465" t="str">
        <f t="shared" ca="1" si="72"/>
        <v/>
      </c>
      <c r="Y220" s="99">
        <f t="shared" si="73"/>
        <v>1</v>
      </c>
      <c r="Z220" s="99"/>
      <c r="AA220" s="99"/>
      <c r="AB220" s="99"/>
      <c r="AC220" s="159" t="s">
        <v>2198</v>
      </c>
      <c r="AD220" s="101">
        <f t="shared" ca="1" si="74"/>
        <v>0.5</v>
      </c>
      <c r="AE220" s="99" t="b">
        <f t="shared" ca="1" si="75"/>
        <v>0</v>
      </c>
      <c r="AF220" s="159" t="s">
        <v>2370</v>
      </c>
      <c r="AG220" s="783">
        <f>COUNTIF('VA Detailed Scorecard Config'!D:D,AF220)</f>
        <v>2</v>
      </c>
      <c r="AH220" s="99"/>
    </row>
    <row r="221" spans="2:34" ht="13.5" customHeight="1">
      <c r="B221" s="328" t="s">
        <v>1785</v>
      </c>
      <c r="C221" s="99" t="str">
        <f t="shared" ca="1" si="65"/>
        <v>No</v>
      </c>
      <c r="G221" s="99" t="str">
        <f t="shared" ca="1" si="66"/>
        <v/>
      </c>
      <c r="K221" s="99" t="str">
        <f t="shared" ca="1" si="67"/>
        <v>YES_No_NA</v>
      </c>
      <c r="L221" s="99" t="b">
        <f t="shared" ca="1" si="68"/>
        <v>1</v>
      </c>
      <c r="M221" s="99"/>
      <c r="N221" s="99"/>
      <c r="O221" s="99"/>
      <c r="P221" s="99" t="b">
        <f t="shared" ca="1" si="69"/>
        <v>1</v>
      </c>
      <c r="T221" s="37" t="str">
        <f ca="1">IF(NOT(ISERROR(MATCH(K221,'Lookup Tables'!A:A,0))),"Lookup",IF(OR(NOT(ISERROR(FIND("Numeric",K221))),NOT(ISERROR(FIND("Percentage",K221))),NOT(ISERROR(FIND("Date",K221)))),"Numeric",IF(NOT(ISERROR(FIND("lank",K221))),"Non-blank",IF(NOT(ISERROR(FIND("Not evaluated",K221))),"Skipped","Other"))))</f>
        <v>Lookup</v>
      </c>
      <c r="U221" s="461">
        <f t="shared" ca="1" si="77"/>
        <v>0</v>
      </c>
      <c r="V221" s="461" t="str">
        <f t="shared" ca="1" si="70"/>
        <v/>
      </c>
      <c r="W221" s="461" t="str">
        <f t="shared" ca="1" si="71"/>
        <v/>
      </c>
      <c r="X221" s="465" t="str">
        <f t="shared" ca="1" si="72"/>
        <v/>
      </c>
      <c r="Y221" s="99">
        <f t="shared" si="73"/>
        <v>1</v>
      </c>
      <c r="Z221" s="99"/>
      <c r="AA221" s="99"/>
      <c r="AB221" s="99"/>
      <c r="AC221" s="159" t="s">
        <v>2198</v>
      </c>
      <c r="AD221" s="101">
        <f t="shared" ca="1" si="74"/>
        <v>0</v>
      </c>
      <c r="AE221" s="99" t="b">
        <f t="shared" ca="1" si="75"/>
        <v>0</v>
      </c>
      <c r="AF221" s="159" t="s">
        <v>2371</v>
      </c>
      <c r="AG221" s="783">
        <f>COUNTIF('VA Detailed Scorecard Config'!D:D,AF221)</f>
        <v>2</v>
      </c>
      <c r="AH221" s="99"/>
    </row>
    <row r="222" spans="2:34" ht="13.5" customHeight="1">
      <c r="B222" s="328" t="s">
        <v>1786</v>
      </c>
      <c r="C222" s="99" t="str">
        <f t="shared" ca="1" si="65"/>
        <v>No</v>
      </c>
      <c r="G222" s="99" t="str">
        <f t="shared" ca="1" si="66"/>
        <v/>
      </c>
      <c r="K222" s="99" t="str">
        <f t="shared" ca="1" si="67"/>
        <v>YES_No</v>
      </c>
      <c r="L222" s="99" t="b">
        <f t="shared" ca="1" si="68"/>
        <v>1</v>
      </c>
      <c r="M222" s="99"/>
      <c r="N222" s="99"/>
      <c r="O222" s="99"/>
      <c r="P222" s="99" t="b">
        <f t="shared" ca="1" si="69"/>
        <v>1</v>
      </c>
      <c r="T222" s="37" t="str">
        <f ca="1">IF(NOT(ISERROR(MATCH(K222,'Lookup Tables'!A:A,0))),"Lookup",IF(OR(NOT(ISERROR(FIND("Numeric",K222))),NOT(ISERROR(FIND("Percentage",K222))),NOT(ISERROR(FIND("Date",K222)))),"Numeric",IF(NOT(ISERROR(FIND("lank",K222))),"Non-blank",IF(NOT(ISERROR(FIND("Not evaluated",K222))),"Skipped","Other"))))</f>
        <v>Lookup</v>
      </c>
      <c r="U222" s="461">
        <f t="shared" ca="1" si="77"/>
        <v>0</v>
      </c>
      <c r="V222" s="461" t="str">
        <f t="shared" ca="1" si="70"/>
        <v/>
      </c>
      <c r="W222" s="461" t="str">
        <f t="shared" ca="1" si="71"/>
        <v/>
      </c>
      <c r="X222" s="465" t="str">
        <f t="shared" ca="1" si="72"/>
        <v/>
      </c>
      <c r="Y222" s="99">
        <f t="shared" si="73"/>
        <v>1</v>
      </c>
      <c r="Z222" s="99"/>
      <c r="AA222" s="99"/>
      <c r="AB222" s="99"/>
      <c r="AC222" s="159" t="s">
        <v>2198</v>
      </c>
      <c r="AD222" s="101">
        <f t="shared" ca="1" si="74"/>
        <v>0</v>
      </c>
      <c r="AE222" s="99" t="b">
        <f t="shared" ca="1" si="75"/>
        <v>0</v>
      </c>
      <c r="AF222" s="159" t="s">
        <v>2372</v>
      </c>
      <c r="AG222" s="783">
        <f>COUNTIF('VA Detailed Scorecard Config'!D:D,AF222)</f>
        <v>2</v>
      </c>
      <c r="AH222" s="99"/>
    </row>
    <row r="223" spans="2:34" ht="13.5" customHeight="1">
      <c r="B223" s="328" t="s">
        <v>1787</v>
      </c>
      <c r="C223" s="99" t="str">
        <f t="shared" ca="1" si="65"/>
        <v/>
      </c>
      <c r="G223" s="99" t="str">
        <f t="shared" ca="1" si="66"/>
        <v/>
      </c>
      <c r="K223" s="99" t="str">
        <f t="shared" ca="1" si="67"/>
        <v>Non-blank is better</v>
      </c>
      <c r="L223" s="99" t="b">
        <f t="shared" ca="1" si="68"/>
        <v>1</v>
      </c>
      <c r="M223" s="99"/>
      <c r="N223" s="99"/>
      <c r="O223" s="99"/>
      <c r="P223" s="99" t="b">
        <f t="shared" ca="1" si="69"/>
        <v>1</v>
      </c>
      <c r="T223" s="37" t="str">
        <f ca="1">IF(NOT(ISERROR(MATCH(K223,'Lookup Tables'!A:A,0))),"Lookup",IF(OR(NOT(ISERROR(FIND("Numeric",K223))),NOT(ISERROR(FIND("Percentage",K223))),NOT(ISERROR(FIND("Date",K223)))),"Numeric",IF(NOT(ISERROR(FIND("lank",K223))),"Non-blank",IF(NOT(ISERROR(FIND("Not evaluated",K223))),"Skipped","Other"))))</f>
        <v>Non-blank</v>
      </c>
      <c r="U223" s="461">
        <f ca="1">IF(COLUMN()-COLUMN($U$55)+1&lt;=$Y223,IF(C223="",0,1),"")</f>
        <v>0</v>
      </c>
      <c r="V223" s="461" t="str">
        <f t="shared" ca="1" si="70"/>
        <v/>
      </c>
      <c r="W223" s="461" t="str">
        <f t="shared" ca="1" si="71"/>
        <v/>
      </c>
      <c r="X223" s="465" t="str">
        <f t="shared" ca="1" si="72"/>
        <v/>
      </c>
      <c r="Y223" s="99">
        <f t="shared" si="73"/>
        <v>1</v>
      </c>
      <c r="Z223" s="99"/>
      <c r="AA223" s="99"/>
      <c r="AB223" s="99"/>
      <c r="AC223" s="159" t="s">
        <v>2198</v>
      </c>
      <c r="AD223" s="101">
        <f t="shared" ca="1" si="74"/>
        <v>0</v>
      </c>
      <c r="AE223" s="99" t="b">
        <f t="shared" ca="1" si="75"/>
        <v>0</v>
      </c>
      <c r="AF223" s="159" t="s">
        <v>2373</v>
      </c>
      <c r="AG223" s="783">
        <f>COUNTIF('VA Detailed Scorecard Config'!D:D,AF223)</f>
        <v>2</v>
      </c>
      <c r="AH223" s="99"/>
    </row>
    <row r="224" spans="2:34" ht="13.5" customHeight="1">
      <c r="B224" s="328" t="s">
        <v>1828</v>
      </c>
      <c r="C224" s="99" t="str">
        <f t="shared" ca="1" si="65"/>
        <v>None</v>
      </c>
      <c r="G224" s="99" t="str">
        <f t="shared" ca="1" si="66"/>
        <v/>
      </c>
      <c r="K224" s="99" t="str">
        <f t="shared" ca="1" si="67"/>
        <v>Minor_SLA_Penalty</v>
      </c>
      <c r="L224" s="99" t="b">
        <f t="shared" ca="1" si="68"/>
        <v>1</v>
      </c>
      <c r="M224" s="99"/>
      <c r="N224" s="99"/>
      <c r="O224" s="99"/>
      <c r="P224" s="99" t="b">
        <f t="shared" ca="1" si="69"/>
        <v>1</v>
      </c>
      <c r="T224" s="37" t="str">
        <f ca="1">IF(NOT(ISERROR(MATCH(K224,'Lookup Tables'!A:A,0))),"Lookup",IF(OR(NOT(ISERROR(FIND("Numeric",K224))),NOT(ISERROR(FIND("Percentage",K224))),NOT(ISERROR(FIND("Date",K224)))),"Numeric",IF(NOT(ISERROR(FIND("lank",K224))),"Non-blank",IF(NOT(ISERROR(FIND("Not evaluated",K224))),"Skipped","Other"))))</f>
        <v>Lookup</v>
      </c>
      <c r="U224" s="461">
        <f t="shared" ca="1" si="77"/>
        <v>0</v>
      </c>
      <c r="V224" s="461" t="str">
        <f t="shared" ca="1" si="70"/>
        <v/>
      </c>
      <c r="W224" s="461" t="str">
        <f t="shared" ca="1" si="71"/>
        <v/>
      </c>
      <c r="X224" s="465" t="str">
        <f t="shared" ca="1" si="72"/>
        <v/>
      </c>
      <c r="Y224" s="99">
        <f t="shared" si="73"/>
        <v>1</v>
      </c>
      <c r="Z224" s="99"/>
      <c r="AA224" s="99"/>
      <c r="AB224" s="99"/>
      <c r="AC224" s="159" t="s">
        <v>2198</v>
      </c>
      <c r="AD224" s="101">
        <f t="shared" ca="1" si="74"/>
        <v>0</v>
      </c>
      <c r="AE224" s="99" t="b">
        <f t="shared" ca="1" si="75"/>
        <v>0</v>
      </c>
      <c r="AF224" s="159" t="s">
        <v>2374</v>
      </c>
      <c r="AG224" s="783">
        <f>COUNTIF('VA Detailed Scorecard Config'!D:D,AF224)</f>
        <v>2</v>
      </c>
      <c r="AH224" s="99"/>
    </row>
    <row r="225" spans="2:34" ht="13.5" customHeight="1">
      <c r="B225" s="328" t="s">
        <v>1829</v>
      </c>
      <c r="C225" s="99" t="str">
        <f t="shared" ca="1" si="65"/>
        <v>None</v>
      </c>
      <c r="G225" s="99" t="str">
        <f t="shared" ca="1" si="66"/>
        <v/>
      </c>
      <c r="K225" s="99" t="str">
        <f t="shared" ca="1" si="67"/>
        <v>Major_SLA_Penalty</v>
      </c>
      <c r="L225" s="99" t="b">
        <f t="shared" ca="1" si="68"/>
        <v>1</v>
      </c>
      <c r="M225" s="99"/>
      <c r="N225" s="99"/>
      <c r="O225" s="99"/>
      <c r="P225" s="99" t="b">
        <f t="shared" ca="1" si="69"/>
        <v>1</v>
      </c>
      <c r="T225" s="37" t="str">
        <f ca="1">IF(NOT(ISERROR(MATCH(K225,'Lookup Tables'!A:A,0))),"Lookup",IF(OR(NOT(ISERROR(FIND("Numeric",K225))),NOT(ISERROR(FIND("Percentage",K225))),NOT(ISERROR(FIND("Date",K225)))),"Numeric",IF(NOT(ISERROR(FIND("lank",K225))),"Non-blank",IF(NOT(ISERROR(FIND("Not evaluated",K225))),"Skipped","Other"))))</f>
        <v>Lookup</v>
      </c>
      <c r="U225" s="461">
        <f t="shared" ca="1" si="77"/>
        <v>0</v>
      </c>
      <c r="V225" s="461" t="str">
        <f t="shared" ca="1" si="70"/>
        <v/>
      </c>
      <c r="W225" s="461" t="str">
        <f t="shared" ca="1" si="71"/>
        <v/>
      </c>
      <c r="X225" s="465" t="str">
        <f t="shared" ca="1" si="72"/>
        <v/>
      </c>
      <c r="Y225" s="99">
        <f t="shared" si="73"/>
        <v>1</v>
      </c>
      <c r="Z225" s="99"/>
      <c r="AA225" s="99"/>
      <c r="AB225" s="99"/>
      <c r="AC225" s="159" t="s">
        <v>2198</v>
      </c>
      <c r="AD225" s="101">
        <f t="shared" ca="1" si="74"/>
        <v>0</v>
      </c>
      <c r="AE225" s="99" t="b">
        <f t="shared" ca="1" si="75"/>
        <v>0</v>
      </c>
      <c r="AF225" s="159" t="s">
        <v>2375</v>
      </c>
      <c r="AG225" s="783">
        <f>COUNTIF('VA Detailed Scorecard Config'!D:D,AF225)</f>
        <v>2</v>
      </c>
      <c r="AH225" s="99"/>
    </row>
    <row r="226" spans="2:34" ht="13.5" customHeight="1">
      <c r="B226" s="328" t="s">
        <v>1845</v>
      </c>
      <c r="C226" s="99" t="str">
        <f t="shared" ca="1" si="65"/>
        <v>Yes</v>
      </c>
      <c r="G226" s="99" t="str">
        <f t="shared" ca="1" si="66"/>
        <v/>
      </c>
      <c r="K226" s="99" t="str">
        <f t="shared" ca="1" si="67"/>
        <v>YES_No_NA</v>
      </c>
      <c r="L226" s="99" t="b">
        <f t="shared" ca="1" si="68"/>
        <v>1</v>
      </c>
      <c r="M226" s="99"/>
      <c r="N226" s="99"/>
      <c r="O226" s="99"/>
      <c r="P226" s="99" t="b">
        <f t="shared" ca="1" si="69"/>
        <v>1</v>
      </c>
      <c r="T226" s="37" t="str">
        <f ca="1">IF(NOT(ISERROR(MATCH(K226,'Lookup Tables'!A:A,0))),"Lookup",IF(OR(NOT(ISERROR(FIND("Numeric",K226))),NOT(ISERROR(FIND("Percentage",K226))),NOT(ISERROR(FIND("Date",K226)))),"Numeric",IF(NOT(ISERROR(FIND("lank",K226))),"Non-blank",IF(NOT(ISERROR(FIND("Not evaluated",K226))),"Skipped","Other"))))</f>
        <v>Lookup</v>
      </c>
      <c r="U226" s="461">
        <f t="shared" ca="1" si="77"/>
        <v>1</v>
      </c>
      <c r="V226" s="461" t="str">
        <f t="shared" ca="1" si="70"/>
        <v/>
      </c>
      <c r="W226" s="461" t="str">
        <f t="shared" ca="1" si="71"/>
        <v/>
      </c>
      <c r="X226" s="465" t="str">
        <f t="shared" ca="1" si="72"/>
        <v/>
      </c>
      <c r="Y226" s="99">
        <f t="shared" si="73"/>
        <v>1</v>
      </c>
      <c r="Z226" s="99"/>
      <c r="AA226" s="99"/>
      <c r="AB226" s="99"/>
      <c r="AC226" s="159" t="s">
        <v>2198</v>
      </c>
      <c r="AD226" s="101">
        <f t="shared" ca="1" si="74"/>
        <v>1</v>
      </c>
      <c r="AE226" s="99" t="b">
        <f t="shared" ca="1" si="75"/>
        <v>0</v>
      </c>
      <c r="AF226" s="159" t="s">
        <v>2376</v>
      </c>
      <c r="AG226" s="783">
        <f>COUNTIF('VA Detailed Scorecard Config'!D:D,AF226)</f>
        <v>2</v>
      </c>
      <c r="AH226" s="99"/>
    </row>
    <row r="227" spans="2:34" ht="13.5" customHeight="1">
      <c r="B227" s="328" t="s">
        <v>1844</v>
      </c>
      <c r="C227" s="99" t="str">
        <f t="shared" ca="1" si="65"/>
        <v>Yes</v>
      </c>
      <c r="G227" s="99" t="str">
        <f t="shared" ca="1" si="66"/>
        <v/>
      </c>
      <c r="K227" s="99" t="str">
        <f t="shared" ca="1" si="67"/>
        <v>YES_No_NA</v>
      </c>
      <c r="L227" s="99" t="b">
        <f t="shared" ca="1" si="68"/>
        <v>1</v>
      </c>
      <c r="M227" s="99"/>
      <c r="N227" s="99"/>
      <c r="O227" s="99"/>
      <c r="P227" s="99" t="b">
        <f t="shared" ca="1" si="69"/>
        <v>1</v>
      </c>
      <c r="T227" s="37" t="str">
        <f ca="1">IF(NOT(ISERROR(MATCH(K227,'Lookup Tables'!A:A,0))),"Lookup",IF(OR(NOT(ISERROR(FIND("Numeric",K227))),NOT(ISERROR(FIND("Percentage",K227))),NOT(ISERROR(FIND("Date",K227)))),"Numeric",IF(NOT(ISERROR(FIND("lank",K227))),"Non-blank",IF(NOT(ISERROR(FIND("Not evaluated",K227))),"Skipped","Other"))))</f>
        <v>Lookup</v>
      </c>
      <c r="U227" s="461">
        <f t="shared" ca="1" si="77"/>
        <v>1</v>
      </c>
      <c r="V227" s="461" t="str">
        <f t="shared" ca="1" si="70"/>
        <v/>
      </c>
      <c r="W227" s="461" t="str">
        <f t="shared" ca="1" si="71"/>
        <v/>
      </c>
      <c r="X227" s="465" t="str">
        <f t="shared" ca="1" si="72"/>
        <v/>
      </c>
      <c r="Y227" s="99">
        <f t="shared" si="73"/>
        <v>1</v>
      </c>
      <c r="Z227" s="99"/>
      <c r="AA227" s="99"/>
      <c r="AB227" s="99"/>
      <c r="AC227" s="159" t="s">
        <v>2198</v>
      </c>
      <c r="AD227" s="101">
        <f t="shared" ca="1" si="74"/>
        <v>1</v>
      </c>
      <c r="AE227" s="99" t="b">
        <f t="shared" ca="1" si="75"/>
        <v>0</v>
      </c>
      <c r="AF227" s="159" t="s">
        <v>2377</v>
      </c>
      <c r="AG227" s="783">
        <f>COUNTIF('VA Detailed Scorecard Config'!D:D,AF227)</f>
        <v>2</v>
      </c>
      <c r="AH227" s="99"/>
    </row>
    <row r="228" spans="2:34" ht="13.5" customHeight="1">
      <c r="B228" s="328" t="s">
        <v>1846</v>
      </c>
      <c r="C228" s="99" t="str">
        <f t="shared" ca="1" si="65"/>
        <v>No</v>
      </c>
      <c r="G228" s="99" t="str">
        <f t="shared" ca="1" si="66"/>
        <v/>
      </c>
      <c r="K228" s="99" t="str">
        <f t="shared" ca="1" si="67"/>
        <v>YES_No_NA</v>
      </c>
      <c r="L228" s="99" t="b">
        <f t="shared" ca="1" si="68"/>
        <v>1</v>
      </c>
      <c r="M228" s="99"/>
      <c r="N228" s="99"/>
      <c r="O228" s="99"/>
      <c r="P228" s="99" t="b">
        <f t="shared" ca="1" si="69"/>
        <v>1</v>
      </c>
      <c r="T228" s="37" t="str">
        <f ca="1">IF(NOT(ISERROR(MATCH(K228,'Lookup Tables'!A:A,0))),"Lookup",IF(OR(NOT(ISERROR(FIND("Numeric",K228))),NOT(ISERROR(FIND("Percentage",K228))),NOT(ISERROR(FIND("Date",K228)))),"Numeric",IF(NOT(ISERROR(FIND("lank",K228))),"Non-blank",IF(NOT(ISERROR(FIND("Not evaluated",K228))),"Skipped","Other"))))</f>
        <v>Lookup</v>
      </c>
      <c r="U228" s="461">
        <f t="shared" ca="1" si="77"/>
        <v>0</v>
      </c>
      <c r="V228" s="461" t="str">
        <f t="shared" ca="1" si="70"/>
        <v/>
      </c>
      <c r="W228" s="461" t="str">
        <f t="shared" ca="1" si="71"/>
        <v/>
      </c>
      <c r="X228" s="465" t="str">
        <f t="shared" ca="1" si="72"/>
        <v/>
      </c>
      <c r="Y228" s="99">
        <f t="shared" si="73"/>
        <v>1</v>
      </c>
      <c r="Z228" s="99"/>
      <c r="AA228" s="99"/>
      <c r="AB228" s="99"/>
      <c r="AC228" s="159" t="s">
        <v>2198</v>
      </c>
      <c r="AD228" s="101">
        <f t="shared" ca="1" si="74"/>
        <v>0</v>
      </c>
      <c r="AE228" s="99" t="b">
        <f t="shared" ca="1" si="75"/>
        <v>0</v>
      </c>
      <c r="AF228" s="159" t="s">
        <v>2378</v>
      </c>
      <c r="AG228" s="783">
        <f>COUNTIF('VA Detailed Scorecard Config'!D:D,AF228)</f>
        <v>2</v>
      </c>
      <c r="AH228" s="99"/>
    </row>
    <row r="229" spans="2:34" ht="13.5" customHeight="1">
      <c r="B229" s="328" t="s">
        <v>1848</v>
      </c>
      <c r="C229" s="99" t="str">
        <f t="shared" ca="1" si="65"/>
        <v>Yes</v>
      </c>
      <c r="G229" s="99" t="str">
        <f t="shared" ca="1" si="66"/>
        <v/>
      </c>
      <c r="K229" s="99" t="str">
        <f t="shared" ca="1" si="67"/>
        <v>YES_No_NA</v>
      </c>
      <c r="L229" s="99" t="b">
        <f t="shared" ca="1" si="68"/>
        <v>1</v>
      </c>
      <c r="M229" s="99"/>
      <c r="N229" s="99"/>
      <c r="O229" s="99"/>
      <c r="P229" s="99" t="b">
        <f t="shared" ca="1" si="69"/>
        <v>1</v>
      </c>
      <c r="T229" s="37" t="str">
        <f ca="1">IF(NOT(ISERROR(MATCH(K229,'Lookup Tables'!A:A,0))),"Lookup",IF(OR(NOT(ISERROR(FIND("Numeric",K229))),NOT(ISERROR(FIND("Percentage",K229))),NOT(ISERROR(FIND("Date",K229)))),"Numeric",IF(NOT(ISERROR(FIND("lank",K229))),"Non-blank",IF(NOT(ISERROR(FIND("Not evaluated",K229))),"Skipped","Other"))))</f>
        <v>Lookup</v>
      </c>
      <c r="U229" s="461">
        <f t="shared" ca="1" si="77"/>
        <v>1</v>
      </c>
      <c r="V229" s="461" t="str">
        <f t="shared" ca="1" si="70"/>
        <v/>
      </c>
      <c r="W229" s="461" t="str">
        <f t="shared" ca="1" si="71"/>
        <v/>
      </c>
      <c r="X229" s="465" t="str">
        <f t="shared" ca="1" si="72"/>
        <v/>
      </c>
      <c r="Y229" s="99">
        <f t="shared" si="73"/>
        <v>1</v>
      </c>
      <c r="Z229" s="99"/>
      <c r="AA229" s="99"/>
      <c r="AB229" s="99"/>
      <c r="AC229" s="159" t="s">
        <v>2198</v>
      </c>
      <c r="AD229" s="101">
        <f t="shared" ca="1" si="74"/>
        <v>1</v>
      </c>
      <c r="AE229" s="99" t="b">
        <f t="shared" ca="1" si="75"/>
        <v>0</v>
      </c>
      <c r="AF229" s="159" t="s">
        <v>2379</v>
      </c>
      <c r="AG229" s="783">
        <f>COUNTIF('VA Detailed Scorecard Config'!D:D,AF229)</f>
        <v>2</v>
      </c>
      <c r="AH229" s="99"/>
    </row>
    <row r="230" spans="2:34" ht="13.5" customHeight="1">
      <c r="B230" s="328" t="s">
        <v>1950</v>
      </c>
      <c r="C230" s="99" t="str">
        <f t="shared" ca="1" si="65"/>
        <v>Yes</v>
      </c>
      <c r="G230" s="99" t="str">
        <f t="shared" ca="1" si="66"/>
        <v/>
      </c>
      <c r="K230" s="99" t="str">
        <f t="shared" ca="1" si="67"/>
        <v>YES_No</v>
      </c>
      <c r="L230" s="99" t="b">
        <f t="shared" ca="1" si="68"/>
        <v>1</v>
      </c>
      <c r="M230" s="99"/>
      <c r="N230" s="99"/>
      <c r="O230" s="99"/>
      <c r="P230" s="99" t="b">
        <f t="shared" ca="1" si="69"/>
        <v>1</v>
      </c>
      <c r="T230" s="37" t="str">
        <f ca="1">IF(NOT(ISERROR(MATCH(K230,'Lookup Tables'!A:A,0))),"Lookup",IF(OR(NOT(ISERROR(FIND("Numeric",K230))),NOT(ISERROR(FIND("Percentage",K230))),NOT(ISERROR(FIND("Date",K230)))),"Numeric",IF(NOT(ISERROR(FIND("lank",K230))),"Non-blank",IF(NOT(ISERROR(FIND("Not evaluated",K230))),"Skipped","Other"))))</f>
        <v>Lookup</v>
      </c>
      <c r="U230" s="461">
        <f t="shared" ca="1" si="77"/>
        <v>1</v>
      </c>
      <c r="V230" s="461" t="str">
        <f t="shared" ca="1" si="70"/>
        <v/>
      </c>
      <c r="W230" s="461" t="str">
        <f t="shared" ca="1" si="71"/>
        <v/>
      </c>
      <c r="X230" s="465" t="str">
        <f t="shared" ca="1" si="72"/>
        <v/>
      </c>
      <c r="Y230" s="99">
        <f t="shared" si="73"/>
        <v>1</v>
      </c>
      <c r="Z230" s="99"/>
      <c r="AA230" s="99"/>
      <c r="AB230" s="99"/>
      <c r="AC230" s="159" t="s">
        <v>2198</v>
      </c>
      <c r="AD230" s="101">
        <f t="shared" ca="1" si="74"/>
        <v>1</v>
      </c>
      <c r="AE230" s="99" t="b">
        <f t="shared" ca="1" si="75"/>
        <v>0</v>
      </c>
      <c r="AF230" s="159" t="s">
        <v>2380</v>
      </c>
      <c r="AG230" s="783">
        <f>COUNTIF('VA Detailed Scorecard Config'!D:D,AF230)</f>
        <v>0</v>
      </c>
      <c r="AH230" s="99"/>
    </row>
    <row r="231" spans="2:34" ht="13.5" customHeight="1">
      <c r="AF231" s="137"/>
      <c r="AG231" s="775"/>
    </row>
    <row r="232" spans="2:34" ht="13.5" customHeight="1">
      <c r="B232" s="704" t="s">
        <v>2026</v>
      </c>
      <c r="C232" s="705"/>
      <c r="D232" s="705"/>
      <c r="E232" s="705"/>
      <c r="F232" s="705"/>
      <c r="G232" s="705"/>
      <c r="H232" s="705"/>
      <c r="I232" s="705"/>
      <c r="J232" s="705"/>
      <c r="K232" s="705"/>
      <c r="L232" s="705"/>
      <c r="M232" s="705"/>
      <c r="N232" s="705"/>
      <c r="O232" s="706"/>
      <c r="P232" s="579" t="s">
        <v>1981</v>
      </c>
      <c r="Q232" s="579"/>
      <c r="R232" s="579"/>
      <c r="S232" s="579"/>
      <c r="T232" s="578" t="s">
        <v>2169</v>
      </c>
      <c r="U232" s="578" t="s">
        <v>2174</v>
      </c>
      <c r="V232" s="578"/>
      <c r="W232" s="578"/>
      <c r="X232" s="578"/>
      <c r="Y232" s="580" t="s">
        <v>2181</v>
      </c>
      <c r="Z232" s="582" t="s">
        <v>2182</v>
      </c>
      <c r="AA232" s="582"/>
      <c r="AB232" s="582"/>
      <c r="AC232" s="581" t="s">
        <v>2197</v>
      </c>
      <c r="AD232" s="581" t="s">
        <v>2225</v>
      </c>
      <c r="AE232" s="581" t="s">
        <v>2226</v>
      </c>
      <c r="AF232" s="767" t="s">
        <v>2246</v>
      </c>
      <c r="AG232" s="764" t="s">
        <v>2278</v>
      </c>
      <c r="AH232" s="767" t="s">
        <v>2277</v>
      </c>
    </row>
    <row r="233" spans="2:34" ht="13.5" customHeight="1">
      <c r="B233" s="414" t="s">
        <v>4</v>
      </c>
      <c r="C233" s="404" t="s">
        <v>1989</v>
      </c>
      <c r="D233" s="404" t="s">
        <v>1990</v>
      </c>
      <c r="E233" s="404" t="s">
        <v>2028</v>
      </c>
      <c r="F233" s="404" t="s">
        <v>2029</v>
      </c>
      <c r="G233" s="404" t="s">
        <v>1991</v>
      </c>
      <c r="H233" s="404" t="s">
        <v>1992</v>
      </c>
      <c r="I233" s="404" t="s">
        <v>2030</v>
      </c>
      <c r="J233" s="404" t="s">
        <v>2031</v>
      </c>
      <c r="K233" s="404" t="s">
        <v>1988</v>
      </c>
      <c r="L233" s="404" t="s">
        <v>2219</v>
      </c>
      <c r="M233" s="404" t="s">
        <v>2220</v>
      </c>
      <c r="N233" s="404" t="s">
        <v>2221</v>
      </c>
      <c r="O233" s="404" t="s">
        <v>2222</v>
      </c>
      <c r="P233" s="406" t="s">
        <v>1993</v>
      </c>
      <c r="Q233" s="406" t="s">
        <v>1994</v>
      </c>
      <c r="R233" s="406" t="s">
        <v>1995</v>
      </c>
      <c r="S233" s="406" t="s">
        <v>1996</v>
      </c>
      <c r="T233" s="579"/>
      <c r="U233" s="190" t="s">
        <v>1993</v>
      </c>
      <c r="V233" s="190" t="s">
        <v>1994</v>
      </c>
      <c r="W233" s="190" t="s">
        <v>1995</v>
      </c>
      <c r="X233" s="190" t="s">
        <v>1996</v>
      </c>
      <c r="Y233" s="581"/>
      <c r="Z233" s="381" t="s">
        <v>2183</v>
      </c>
      <c r="AA233" s="381" t="s">
        <v>2184</v>
      </c>
      <c r="AB233" s="381" t="s">
        <v>2185</v>
      </c>
      <c r="AC233" s="769"/>
      <c r="AD233" s="769"/>
      <c r="AE233" s="769"/>
      <c r="AF233" s="768"/>
      <c r="AG233" s="766"/>
      <c r="AH233" s="768"/>
    </row>
    <row r="234" spans="2:34" ht="13.5" customHeight="1">
      <c r="B234" s="327" t="s">
        <v>1855</v>
      </c>
      <c r="C234" s="99" t="str">
        <f ca="1">IF(INDIRECT(C$19&amp;"!C"&amp;ROW()-ROW($C$234)+6)="","",INDIRECT(C$19&amp;"!C"&amp;ROW()-ROW($C$234)+6))</f>
        <v>User Interface</v>
      </c>
      <c r="D234" s="99" t="str">
        <f ca="1">IF(INDIRECT(D$19&amp;"!C"&amp;ROW()-ROW($C$234)+6)="","",INDIRECT(D$19&amp;"!C"&amp;ROW()-ROW($C$234)+6))</f>
        <v>Project scoring logic</v>
      </c>
      <c r="E234" s="99" t="str">
        <f ca="1">IF(INDIRECT(E$19&amp;"!C"&amp;ROW()-ROW($C$234)+6)="","",INDIRECT(E$19&amp;"!C"&amp;ROW()-ROW($C$234)+6))</f>
        <v>Program logic model</v>
      </c>
      <c r="F234" s="99" t="str">
        <f ca="1">IF(INDIRECT(F$19&amp;"!C"&amp;ROW()-ROW($C$234)+6)="","",INDIRECT(F$19&amp;"!C"&amp;ROW()-ROW($C$234)+6))</f>
        <v>Scorecard logic</v>
      </c>
      <c r="G234" s="99" t="str">
        <f ca="1">IF(INDIRECT(C$19&amp;"!D"&amp;ROW()-ROW($C$234)+6)="","",INDIRECT(C$19&amp;"!D"&amp;ROW()-ROW($C$234)+6))</f>
        <v/>
      </c>
      <c r="H234" s="99" t="str">
        <f ca="1">IF(INDIRECT(D$19&amp;"!D"&amp;ROW()-ROW($C$234)+6)="","",INDIRECT(D$19&amp;"!D"&amp;ROW()-ROW($C$234)+6))</f>
        <v/>
      </c>
      <c r="I234" s="99" t="str">
        <f ca="1">IF(INDIRECT(E$19&amp;"!D"&amp;ROW()-ROW($C$234)+6)="","",INDIRECT(E$19&amp;"!D"&amp;ROW()-ROW($C$234)+6))</f>
        <v/>
      </c>
      <c r="J234" s="99" t="str">
        <f ca="1">IF(INDIRECT(F$19&amp;"!D"&amp;ROW()-ROW($C$234)+6)="","",INDIRECT(F$19&amp;"!D"&amp;ROW()-ROW($C$234)+6))</f>
        <v/>
      </c>
      <c r="K234" s="99" t="str">
        <f ca="1">IF(INDIRECT(C$19&amp;"!E"&amp;ROW()-ROW($C$234)+6)="","",INDIRECT(C$19&amp;"!E"&amp;ROW()-ROW($C$234)+6))</f>
        <v>Non-blank is required</v>
      </c>
      <c r="L234" s="99" t="b">
        <f ca="1">IF(INDIRECT(C$19&amp;"!F"&amp;ROW()-ROW($C$234)+6)="","",INDIRECT(C$19&amp;"!F"&amp;ROW()-ROW($C$234)+6))</f>
        <v>1</v>
      </c>
      <c r="M234" s="99" t="b">
        <f ca="1">IF(INDIRECT(D$19&amp;"!F"&amp;ROW()-ROW($C$234)+6)="","",INDIRECT(D$19&amp;"!F"&amp;ROW()-ROW($C$234)+6))</f>
        <v>1</v>
      </c>
      <c r="N234" s="99" t="b">
        <f ca="1">IF(INDIRECT(E$19&amp;"!F"&amp;ROW()-ROW($C$234)+6)="","",INDIRECT(E$19&amp;"!F"&amp;ROW()-ROW($C$234)+6))</f>
        <v>1</v>
      </c>
      <c r="O234" s="99" t="b">
        <f ca="1">IF(INDIRECT(F$19&amp;"!F"&amp;ROW()-ROW($C$234)+6)="","",INDIRECT(F$19&amp;"!F"&amp;ROW()-ROW($C$234)+6))</f>
        <v>1</v>
      </c>
      <c r="P234" s="99" t="b">
        <f ca="1">INDIRECT(C$19&amp;"!B"&amp;ROW()-ROW($C$234)+6)=$B234</f>
        <v>1</v>
      </c>
      <c r="Q234" s="99" t="b">
        <f ca="1">INDIRECT(D$19&amp;"!B"&amp;ROW()-ROW($C$234)+6)=$B234</f>
        <v>1</v>
      </c>
      <c r="R234" s="99" t="b">
        <f ca="1">INDIRECT(E$19&amp;"!B"&amp;ROW()-ROW($C$234)+6)=$B234</f>
        <v>1</v>
      </c>
      <c r="S234" s="99" t="b">
        <f ca="1">INDIRECT(F$19&amp;"!B"&amp;ROW()-ROW($C$234)+6)=$B234</f>
        <v>1</v>
      </c>
      <c r="T234" s="99" t="str">
        <f ca="1">IF(NOT(ISERROR(MATCH(K234,'Lookup Tables'!A:A,0))),"Lookup",IF(OR(NOT(ISERROR(FIND("Numeric",K234))),NOT(ISERROR(FIND("Percentage",K234))),NOT(ISERROR(FIND("Date",K234)))),"Numeric",IF(NOT(ISERROR(FIND("lank",K234))),"Non-blank",IF(NOT(ISERROR(FIND("Not evaluated",K234))),"Skipped","Other"))))</f>
        <v>Non-blank</v>
      </c>
      <c r="U234" s="461">
        <f ca="1">IF(COLUMN()-COLUMN($U$55)+1&lt;=$Y234,IF(C234="",0,1),"")</f>
        <v>1</v>
      </c>
      <c r="V234" s="461">
        <f ca="1">IF(COLUMN()-COLUMN($U$55)+1&lt;=$Y234,IF(D234="",0,1),"")</f>
        <v>1</v>
      </c>
      <c r="W234" s="461">
        <f ca="1">IF(COLUMN()-COLUMN($U$55)+1&lt;=$Y234,IF(E234="",0,1),"")</f>
        <v>1</v>
      </c>
      <c r="X234" s="465">
        <f ca="1">IF(COLUMN()-COLUMN($U$55)+1&lt;=$Y234,IF(F234="",0,1),"")</f>
        <v>1</v>
      </c>
      <c r="Y234" s="99">
        <f>COUNTA($C$19:$F$19)</f>
        <v>4</v>
      </c>
      <c r="Z234" s="99"/>
      <c r="AA234" s="99"/>
      <c r="AB234" s="99"/>
      <c r="AC234" s="234" t="s">
        <v>2382</v>
      </c>
      <c r="AD234" s="101">
        <f ca="1">MIN(U234:X234)</f>
        <v>1</v>
      </c>
      <c r="AE234" s="99" t="b">
        <f ca="1">IF(AD234="","",ISERROR(MATCH(TRUE,L234:O234,0)))</f>
        <v>0</v>
      </c>
      <c r="AF234" s="159" t="s">
        <v>2383</v>
      </c>
      <c r="AG234" s="783">
        <f>COUNTIF('VA Detailed Scorecard Config'!D:D,AF234)</f>
        <v>0</v>
      </c>
      <c r="AH234" s="159" t="s">
        <v>2381</v>
      </c>
    </row>
    <row r="235" spans="2:34" ht="13.5" customHeight="1">
      <c r="B235" s="327" t="s">
        <v>1857</v>
      </c>
      <c r="C235" s="99">
        <f ca="1">IF(INDIRECT(C$19&amp;"!C"&amp;ROW()-ROW($C$234)+6)="","",INDIRECT(C$19&amp;"!C"&amp;ROW()-ROW($C$234)+6))</f>
        <v>60</v>
      </c>
      <c r="D235" s="99" t="str">
        <f ca="1">IF(INDIRECT(D$19&amp;"!C"&amp;ROW()-ROW($C$234)+6)="","",INDIRECT(D$19&amp;"!C"&amp;ROW()-ROW($C$234)+6))</f>
        <v/>
      </c>
      <c r="E235" s="99" t="str">
        <f ca="1">IF(INDIRECT(E$19&amp;"!C"&amp;ROW()-ROW($C$234)+6)="","",INDIRECT(E$19&amp;"!C"&amp;ROW()-ROW($C$234)+6))</f>
        <v/>
      </c>
      <c r="F235" s="99" t="str">
        <f ca="1">IF(INDIRECT(F$19&amp;"!C"&amp;ROW()-ROW($C$234)+6)="","",INDIRECT(F$19&amp;"!C"&amp;ROW()-ROW($C$234)+6))</f>
        <v/>
      </c>
      <c r="G235" s="99" t="str">
        <f ca="1">IF(INDIRECT(C$19&amp;"!D"&amp;ROW()-ROW($C$234)+6)="","",INDIRECT(C$19&amp;"!D"&amp;ROW()-ROW($C$234)+6))</f>
        <v/>
      </c>
      <c r="H235" s="99" t="str">
        <f ca="1">IF(INDIRECT(D$19&amp;"!D"&amp;ROW()-ROW($C$234)+6)="","",INDIRECT(D$19&amp;"!D"&amp;ROW()-ROW($C$234)+6))</f>
        <v/>
      </c>
      <c r="I235" s="99" t="str">
        <f ca="1">IF(INDIRECT(E$19&amp;"!D"&amp;ROW()-ROW($C$234)+6)="","",INDIRECT(E$19&amp;"!D"&amp;ROW()-ROW($C$234)+6))</f>
        <v/>
      </c>
      <c r="J235" s="99" t="str">
        <f ca="1">IF(INDIRECT(F$19&amp;"!D"&amp;ROW()-ROW($C$234)+6)="","",INDIRECT(F$19&amp;"!D"&amp;ROW()-ROW($C$234)+6))</f>
        <v/>
      </c>
      <c r="K235" s="99" t="str">
        <f ca="1">IF(INDIRECT(C$19&amp;"!E"&amp;ROW()-ROW($C$234)+6)="","",INDIRECT(C$19&amp;"!E"&amp;ROW()-ROW($C$234)+6))</f>
        <v>Numeric value (lower is better)</v>
      </c>
      <c r="L235" s="99" t="b">
        <f ca="1">IF(INDIRECT(C$19&amp;"!F"&amp;ROW()-ROW($C$234)+6)="","",INDIRECT(C$19&amp;"!F"&amp;ROW()-ROW($C$234)+6))</f>
        <v>1</v>
      </c>
      <c r="M235" s="99" t="b">
        <f ca="1">IF(INDIRECT(D$19&amp;"!F"&amp;ROW()-ROW($C$234)+6)="","",INDIRECT(D$19&amp;"!F"&amp;ROW()-ROW($C$234)+6))</f>
        <v>1</v>
      </c>
      <c r="N235" s="99" t="b">
        <f ca="1">IF(INDIRECT(E$19&amp;"!F"&amp;ROW()-ROW($C$234)+6)="","",INDIRECT(E$19&amp;"!F"&amp;ROW()-ROW($C$234)+6))</f>
        <v>1</v>
      </c>
      <c r="O235" s="99" t="b">
        <f ca="1">IF(INDIRECT(F$19&amp;"!F"&amp;ROW()-ROW($C$234)+6)="","",INDIRECT(F$19&amp;"!F"&amp;ROW()-ROW($C$234)+6))</f>
        <v>1</v>
      </c>
      <c r="P235" s="99" t="b">
        <f ca="1">INDIRECT(C$19&amp;"!B"&amp;ROW()-ROW($C$234)+6)=$B235</f>
        <v>1</v>
      </c>
      <c r="Q235" s="99" t="b">
        <f ca="1">INDIRECT(D$19&amp;"!B"&amp;ROW()-ROW($C$234)+6)=$B235</f>
        <v>1</v>
      </c>
      <c r="R235" s="99" t="b">
        <f ca="1">INDIRECT(E$19&amp;"!B"&amp;ROW()-ROW($C$234)+6)=$B235</f>
        <v>1</v>
      </c>
      <c r="S235" s="99" t="b">
        <f ca="1">INDIRECT(F$19&amp;"!B"&amp;ROW()-ROW($C$234)+6)=$B235</f>
        <v>1</v>
      </c>
      <c r="T235" s="37" t="str">
        <f ca="1">IF(NOT(ISERROR(MATCH(K235,'Lookup Tables'!A:A,0))),"Lookup",IF(OR(NOT(ISERROR(FIND("Numeric",K235))),NOT(ISERROR(FIND("Percentage",K235))),NOT(ISERROR(FIND("Date",K235)))),"Numeric",IF(NOT(ISERROR(FIND("lank",K235))),"Non-blank",IF(NOT(ISERROR(FIND("Not evaluated",K235))),"Skipped","Other"))))</f>
        <v>Numeric</v>
      </c>
      <c r="X235" s="137"/>
      <c r="Y235" s="99">
        <f t="shared" ref="Y235:Y248" si="78">COUNTA($C$19:$F$19)</f>
        <v>4</v>
      </c>
      <c r="Z235" s="99"/>
      <c r="AA235" s="99"/>
      <c r="AB235" s="159" t="s">
        <v>2201</v>
      </c>
      <c r="AC235" s="159"/>
      <c r="AD235" s="99"/>
      <c r="AE235" s="99" t="str">
        <f t="shared" ref="AE234:AE247" si="79">IF(AD235="","",NOT(P235))</f>
        <v/>
      </c>
      <c r="AF235" s="99"/>
      <c r="AG235" s="248"/>
      <c r="AH235" s="99"/>
    </row>
    <row r="236" spans="2:34" ht="13.5" customHeight="1">
      <c r="B236" s="327" t="s">
        <v>1858</v>
      </c>
      <c r="C236" s="99" t="str">
        <f ca="1">IF(INDIRECT(C$19&amp;"!C"&amp;ROW()-ROW($C$234)+6)="","",INDIRECT(C$19&amp;"!C"&amp;ROW()-ROW($C$234)+6))</f>
        <v/>
      </c>
      <c r="D236" s="99">
        <f ca="1">IF(INDIRECT(D$19&amp;"!C"&amp;ROW()-ROW($C$234)+6)="","",INDIRECT(D$19&amp;"!C"&amp;ROW()-ROW($C$234)+6))</f>
        <v>30</v>
      </c>
      <c r="E236" s="99">
        <f ca="1">IF(INDIRECT(E$19&amp;"!C"&amp;ROW()-ROW($C$234)+6)="","",INDIRECT(E$19&amp;"!C"&amp;ROW()-ROW($C$234)+6))</f>
        <v>30</v>
      </c>
      <c r="F236" s="99">
        <f ca="1">IF(INDIRECT(F$19&amp;"!C"&amp;ROW()-ROW($C$234)+6)="","",INDIRECT(F$19&amp;"!C"&amp;ROW()-ROW($C$234)+6))</f>
        <v>30</v>
      </c>
      <c r="G236" s="99" t="str">
        <f ca="1">IF(INDIRECT(C$19&amp;"!D"&amp;ROW()-ROW($C$234)+6)="","",INDIRECT(C$19&amp;"!D"&amp;ROW()-ROW($C$234)+6))</f>
        <v/>
      </c>
      <c r="H236" s="99" t="str">
        <f ca="1">IF(INDIRECT(D$19&amp;"!D"&amp;ROW()-ROW($C$234)+6)="","",INDIRECT(D$19&amp;"!D"&amp;ROW()-ROW($C$234)+6))</f>
        <v/>
      </c>
      <c r="I236" s="99" t="str">
        <f ca="1">IF(INDIRECT(E$19&amp;"!D"&amp;ROW()-ROW($C$234)+6)="","",INDIRECT(E$19&amp;"!D"&amp;ROW()-ROW($C$234)+6))</f>
        <v/>
      </c>
      <c r="J236" s="99" t="str">
        <f ca="1">IF(INDIRECT(F$19&amp;"!D"&amp;ROW()-ROW($C$234)+6)="","",INDIRECT(F$19&amp;"!D"&amp;ROW()-ROW($C$234)+6))</f>
        <v/>
      </c>
      <c r="K236" s="99" t="str">
        <f ca="1">IF(INDIRECT(C$19&amp;"!E"&amp;ROW()-ROW($C$234)+6)="","",INDIRECT(C$19&amp;"!E"&amp;ROW()-ROW($C$234)+6))</f>
        <v>Numeric value (lower is better)</v>
      </c>
      <c r="L236" s="99" t="b">
        <f ca="1">IF(INDIRECT(C$19&amp;"!F"&amp;ROW()-ROW($C$234)+6)="","",INDIRECT(C$19&amp;"!F"&amp;ROW()-ROW($C$234)+6))</f>
        <v>1</v>
      </c>
      <c r="M236" s="99" t="b">
        <f ca="1">IF(INDIRECT(D$19&amp;"!F"&amp;ROW()-ROW($C$234)+6)="","",INDIRECT(D$19&amp;"!F"&amp;ROW()-ROW($C$234)+6))</f>
        <v>1</v>
      </c>
      <c r="N236" s="99" t="b">
        <f ca="1">IF(INDIRECT(E$19&amp;"!F"&amp;ROW()-ROW($C$234)+6)="","",INDIRECT(E$19&amp;"!F"&amp;ROW()-ROW($C$234)+6))</f>
        <v>1</v>
      </c>
      <c r="O236" s="99" t="b">
        <f ca="1">IF(INDIRECT(F$19&amp;"!F"&amp;ROW()-ROW($C$234)+6)="","",INDIRECT(F$19&amp;"!F"&amp;ROW()-ROW($C$234)+6))</f>
        <v>1</v>
      </c>
      <c r="P236" s="99" t="b">
        <f ca="1">INDIRECT(C$19&amp;"!B"&amp;ROW()-ROW($C$234)+6)=$B236</f>
        <v>1</v>
      </c>
      <c r="Q236" s="99" t="b">
        <f ca="1">INDIRECT(D$19&amp;"!B"&amp;ROW()-ROW($C$234)+6)=$B236</f>
        <v>1</v>
      </c>
      <c r="R236" s="99" t="b">
        <f ca="1">INDIRECT(E$19&amp;"!B"&amp;ROW()-ROW($C$234)+6)=$B236</f>
        <v>1</v>
      </c>
      <c r="S236" s="99" t="b">
        <f ca="1">INDIRECT(F$19&amp;"!B"&amp;ROW()-ROW($C$234)+6)=$B236</f>
        <v>1</v>
      </c>
      <c r="T236" s="37" t="str">
        <f ca="1">IF(NOT(ISERROR(MATCH(K236,'Lookup Tables'!A:A,0))),"Lookup",IF(OR(NOT(ISERROR(FIND("Numeric",K236))),NOT(ISERROR(FIND("Percentage",K236))),NOT(ISERROR(FIND("Date",K236)))),"Numeric",IF(NOT(ISERROR(FIND("lank",K236))),"Non-blank",IF(NOT(ISERROR(FIND("Not evaluated",K236))),"Skipped","Other"))))</f>
        <v>Numeric</v>
      </c>
      <c r="X236" s="137"/>
      <c r="Y236" s="99">
        <f t="shared" si="78"/>
        <v>4</v>
      </c>
      <c r="Z236" s="99"/>
      <c r="AA236" s="99"/>
      <c r="AB236" s="159" t="s">
        <v>2200</v>
      </c>
      <c r="AC236" s="159"/>
      <c r="AD236" s="99"/>
      <c r="AE236" s="99" t="str">
        <f t="shared" si="79"/>
        <v/>
      </c>
      <c r="AF236" s="99"/>
      <c r="AG236" s="248"/>
      <c r="AH236" s="99"/>
    </row>
    <row r="237" spans="2:34" ht="13.5" customHeight="1">
      <c r="B237" s="327" t="s">
        <v>1955</v>
      </c>
      <c r="C237" s="99" t="str">
        <f ca="1">IF(INDIRECT(C$19&amp;"!C"&amp;ROW()-ROW($C$234)+6)="","",INDIRECT(C$19&amp;"!C"&amp;ROW()-ROW($C$234)+6))</f>
        <v/>
      </c>
      <c r="D237" s="99" t="str">
        <f ca="1">IF(INDIRECT(D$19&amp;"!C"&amp;ROW()-ROW($C$234)+6)="","",INDIRECT(D$19&amp;"!C"&amp;ROW()-ROW($C$234)+6))</f>
        <v/>
      </c>
      <c r="E237" s="99" t="str">
        <f ca="1">IF(INDIRECT(E$19&amp;"!C"&amp;ROW()-ROW($C$234)+6)="","",INDIRECT(E$19&amp;"!C"&amp;ROW()-ROW($C$234)+6))</f>
        <v/>
      </c>
      <c r="F237" s="99" t="str">
        <f ca="1">IF(INDIRECT(F$19&amp;"!C"&amp;ROW()-ROW($C$234)+6)="","",INDIRECT(F$19&amp;"!C"&amp;ROW()-ROW($C$234)+6))</f>
        <v/>
      </c>
      <c r="G237" s="99" t="str">
        <f ca="1">IF(INDIRECT(C$19&amp;"!D"&amp;ROW()-ROW($C$234)+6)="","",INDIRECT(C$19&amp;"!D"&amp;ROW()-ROW($C$234)+6))</f>
        <v/>
      </c>
      <c r="H237" s="99" t="str">
        <f ca="1">IF(INDIRECT(D$19&amp;"!D"&amp;ROW()-ROW($C$234)+6)="","",INDIRECT(D$19&amp;"!D"&amp;ROW()-ROW($C$234)+6))</f>
        <v/>
      </c>
      <c r="I237" s="99" t="str">
        <f ca="1">IF(INDIRECT(E$19&amp;"!D"&amp;ROW()-ROW($C$234)+6)="","",INDIRECT(E$19&amp;"!D"&amp;ROW()-ROW($C$234)+6))</f>
        <v/>
      </c>
      <c r="J237" s="99" t="str">
        <f ca="1">IF(INDIRECT(F$19&amp;"!D"&amp;ROW()-ROW($C$234)+6)="","",INDIRECT(F$19&amp;"!D"&amp;ROW()-ROW($C$234)+6))</f>
        <v/>
      </c>
      <c r="K237" s="99" t="str">
        <f ca="1">IF(INDIRECT(C$19&amp;"!E"&amp;ROW()-ROW($C$234)+6)="","",INDIRECT(C$19&amp;"!E"&amp;ROW()-ROW($C$234)+6))</f>
        <v>Date (earlier is better)</v>
      </c>
      <c r="L237" s="99" t="b">
        <f ca="1">IF(INDIRECT(C$19&amp;"!F"&amp;ROW()-ROW($C$234)+6)="","",INDIRECT(C$19&amp;"!F"&amp;ROW()-ROW($C$234)+6))</f>
        <v>1</v>
      </c>
      <c r="M237" s="99" t="b">
        <f ca="1">IF(INDIRECT(D$19&amp;"!F"&amp;ROW()-ROW($C$234)+6)="","",INDIRECT(D$19&amp;"!F"&amp;ROW()-ROW($C$234)+6))</f>
        <v>1</v>
      </c>
      <c r="N237" s="99" t="b">
        <f ca="1">IF(INDIRECT(E$19&amp;"!F"&amp;ROW()-ROW($C$234)+6)="","",INDIRECT(E$19&amp;"!F"&amp;ROW()-ROW($C$234)+6))</f>
        <v>1</v>
      </c>
      <c r="O237" s="99" t="b">
        <f ca="1">IF(INDIRECT(F$19&amp;"!F"&amp;ROW()-ROW($C$234)+6)="","",INDIRECT(F$19&amp;"!F"&amp;ROW()-ROW($C$234)+6))</f>
        <v>1</v>
      </c>
      <c r="P237" s="99" t="b">
        <f ca="1">INDIRECT(C$19&amp;"!B"&amp;ROW()-ROW($C$234)+6)=$B237</f>
        <v>1</v>
      </c>
      <c r="Q237" s="99" t="b">
        <f ca="1">INDIRECT(D$19&amp;"!B"&amp;ROW()-ROW($C$234)+6)=$B237</f>
        <v>1</v>
      </c>
      <c r="R237" s="99" t="b">
        <f ca="1">INDIRECT(E$19&amp;"!B"&amp;ROW()-ROW($C$234)+6)=$B237</f>
        <v>1</v>
      </c>
      <c r="S237" s="99" t="b">
        <f ca="1">INDIRECT(F$19&amp;"!B"&amp;ROW()-ROW($C$234)+6)=$B237</f>
        <v>1</v>
      </c>
      <c r="T237" s="37" t="str">
        <f ca="1">IF(NOT(ISERROR(MATCH(K237,'Lookup Tables'!A:A,0))),"Lookup",IF(OR(NOT(ISERROR(FIND("Numeric",K237))),NOT(ISERROR(FIND("Percentage",K237))),NOT(ISERROR(FIND("Date",K237)))),"Numeric",IF(NOT(ISERROR(FIND("lank",K237))),"Non-blank",IF(NOT(ISERROR(FIND("Not evaluated",K237))),"Skipped","Other"))))</f>
        <v>Numeric</v>
      </c>
      <c r="X237" s="137"/>
      <c r="Y237" s="99">
        <f t="shared" si="78"/>
        <v>4</v>
      </c>
      <c r="Z237" s="99"/>
      <c r="AA237" s="99"/>
      <c r="AB237" s="159" t="s">
        <v>2200</v>
      </c>
      <c r="AC237" s="159"/>
      <c r="AD237" s="99"/>
      <c r="AE237" s="99" t="str">
        <f t="shared" si="79"/>
        <v/>
      </c>
      <c r="AF237" s="99"/>
      <c r="AG237" s="248"/>
      <c r="AH237" s="99"/>
    </row>
    <row r="238" spans="2:34" ht="13.5" customHeight="1">
      <c r="B238" s="327" t="s">
        <v>1865</v>
      </c>
      <c r="C238" s="99">
        <f ca="1">IF(INDIRECT(C$19&amp;"!C"&amp;ROW()-ROW($C$234)+6)="","",INDIRECT(C$19&amp;"!C"&amp;ROW()-ROW($C$234)+6))</f>
        <v>50</v>
      </c>
      <c r="D238" s="99">
        <f ca="1">IF(INDIRECT(D$19&amp;"!C"&amp;ROW()-ROW($C$234)+6)="","",INDIRECT(D$19&amp;"!C"&amp;ROW()-ROW($C$234)+6))</f>
        <v>120</v>
      </c>
      <c r="E238" s="99">
        <f ca="1">IF(INDIRECT(E$19&amp;"!C"&amp;ROW()-ROW($C$234)+6)="","",INDIRECT(E$19&amp;"!C"&amp;ROW()-ROW($C$234)+6))</f>
        <v>60</v>
      </c>
      <c r="F238" s="99">
        <f ca="1">IF(INDIRECT(F$19&amp;"!C"&amp;ROW()-ROW($C$234)+6)="","",INDIRECT(F$19&amp;"!C"&amp;ROW()-ROW($C$234)+6))</f>
        <v>200</v>
      </c>
      <c r="G238" s="99" t="str">
        <f ca="1">IF(INDIRECT(C$19&amp;"!D"&amp;ROW()-ROW($C$234)+6)="","",INDIRECT(C$19&amp;"!D"&amp;ROW()-ROW($C$234)+6))</f>
        <v/>
      </c>
      <c r="H238" s="99" t="str">
        <f ca="1">IF(INDIRECT(D$19&amp;"!D"&amp;ROW()-ROW($C$234)+6)="","",INDIRECT(D$19&amp;"!D"&amp;ROW()-ROW($C$234)+6))</f>
        <v/>
      </c>
      <c r="I238" s="99" t="str">
        <f ca="1">IF(INDIRECT(E$19&amp;"!D"&amp;ROW()-ROW($C$234)+6)="","",INDIRECT(E$19&amp;"!D"&amp;ROW()-ROW($C$234)+6))</f>
        <v/>
      </c>
      <c r="J238" s="99" t="str">
        <f ca="1">IF(INDIRECT(F$19&amp;"!D"&amp;ROW()-ROW($C$234)+6)="","",INDIRECT(F$19&amp;"!D"&amp;ROW()-ROW($C$234)+6))</f>
        <v/>
      </c>
      <c r="K238" s="99" t="str">
        <f ca="1">IF(INDIRECT(C$19&amp;"!E"&amp;ROW()-ROW($C$234)+6)="","",INDIRECT(C$19&amp;"!E"&amp;ROW()-ROW($C$234)+6))</f>
        <v>Numeric value (not evaluated)</v>
      </c>
      <c r="L238" s="99" t="b">
        <f ca="1">IF(INDIRECT(C$19&amp;"!F"&amp;ROW()-ROW($C$234)+6)="","",INDIRECT(C$19&amp;"!F"&amp;ROW()-ROW($C$234)+6))</f>
        <v>1</v>
      </c>
      <c r="M238" s="99" t="b">
        <f ca="1">IF(INDIRECT(D$19&amp;"!F"&amp;ROW()-ROW($C$234)+6)="","",INDIRECT(D$19&amp;"!F"&amp;ROW()-ROW($C$234)+6))</f>
        <v>1</v>
      </c>
      <c r="N238" s="99" t="b">
        <f ca="1">IF(INDIRECT(E$19&amp;"!F"&amp;ROW()-ROW($C$234)+6)="","",INDIRECT(E$19&amp;"!F"&amp;ROW()-ROW($C$234)+6))</f>
        <v>1</v>
      </c>
      <c r="O238" s="99" t="b">
        <f ca="1">IF(INDIRECT(F$19&amp;"!F"&amp;ROW()-ROW($C$234)+6)="","",INDIRECT(F$19&amp;"!F"&amp;ROW()-ROW($C$234)+6))</f>
        <v>1</v>
      </c>
      <c r="P238" s="99" t="b">
        <f ca="1">INDIRECT(C$19&amp;"!B"&amp;ROW()-ROW($C$234)+6)=$B238</f>
        <v>1</v>
      </c>
      <c r="Q238" s="99" t="b">
        <f ca="1">INDIRECT(D$19&amp;"!B"&amp;ROW()-ROW($C$234)+6)=$B238</f>
        <v>1</v>
      </c>
      <c r="R238" s="99" t="b">
        <f ca="1">INDIRECT(E$19&amp;"!B"&amp;ROW()-ROW($C$234)+6)=$B238</f>
        <v>1</v>
      </c>
      <c r="S238" s="99" t="b">
        <f ca="1">INDIRECT(F$19&amp;"!B"&amp;ROW()-ROW($C$234)+6)=$B238</f>
        <v>1</v>
      </c>
      <c r="T238" s="37" t="str">
        <f ca="1">IF(NOT(ISERROR(MATCH(K238,'Lookup Tables'!A:A,0))),"Lookup",IF(OR(NOT(ISERROR(FIND("Numeric",K238))),NOT(ISERROR(FIND("Percentage",K238))),NOT(ISERROR(FIND("Date",K238)))),"Numeric",IF(NOT(ISERROR(FIND("lank",K238))),"Non-blank",IF(NOT(ISERROR(FIND("Not evaluated",K238))),"Skipped","Other"))))</f>
        <v>Numeric</v>
      </c>
      <c r="X238" s="137"/>
      <c r="Y238" s="99">
        <f t="shared" si="78"/>
        <v>4</v>
      </c>
      <c r="Z238" s="99"/>
      <c r="AA238" s="99"/>
      <c r="AB238" s="159" t="s">
        <v>2200</v>
      </c>
      <c r="AC238" s="159"/>
      <c r="AD238" s="99"/>
      <c r="AE238" s="99" t="str">
        <f t="shared" si="79"/>
        <v/>
      </c>
      <c r="AF238" s="99"/>
      <c r="AG238" s="248"/>
      <c r="AH238" s="99"/>
    </row>
    <row r="239" spans="2:34" ht="13.5" customHeight="1">
      <c r="B239" s="327" t="s">
        <v>1860</v>
      </c>
      <c r="C239" s="99" t="str">
        <f ca="1">IF(INDIRECT(C$19&amp;"!C"&amp;ROW()-ROW($C$234)+6)="","",INDIRECT(C$19&amp;"!C"&amp;ROW()-ROW($C$234)+6))</f>
        <v>The UI for the tool</v>
      </c>
      <c r="D239" s="99" t="str">
        <f ca="1">IF(INDIRECT(D$19&amp;"!C"&amp;ROW()-ROW($C$234)+6)="","",INDIRECT(D$19&amp;"!C"&amp;ROW()-ROW($C$234)+6))</f>
        <v>Logic model for project-based grants</v>
      </c>
      <c r="E239" s="99" t="str">
        <f ca="1">IF(INDIRECT(E$19&amp;"!C"&amp;ROW()-ROW($C$234)+6)="","",INDIRECT(E$19&amp;"!C"&amp;ROW()-ROW($C$234)+6))</f>
        <v>Extend project model to program level</v>
      </c>
      <c r="F239" s="99" t="str">
        <f ca="1">IF(INDIRECT(F$19&amp;"!C"&amp;ROW()-ROW($C$234)+6)="","",INDIRECT(F$19&amp;"!C"&amp;ROW()-ROW($C$234)+6))</f>
        <v>Back end of calculating the scores</v>
      </c>
      <c r="G239" s="99" t="str">
        <f ca="1">IF(INDIRECT(C$19&amp;"!D"&amp;ROW()-ROW($C$234)+6)="","",INDIRECT(C$19&amp;"!D"&amp;ROW()-ROW($C$234)+6))</f>
        <v/>
      </c>
      <c r="H239" s="99" t="str">
        <f ca="1">IF(INDIRECT(D$19&amp;"!D"&amp;ROW()-ROW($C$234)+6)="","",INDIRECT(D$19&amp;"!D"&amp;ROW()-ROW($C$234)+6))</f>
        <v/>
      </c>
      <c r="I239" s="99" t="str">
        <f ca="1">IF(INDIRECT(E$19&amp;"!D"&amp;ROW()-ROW($C$234)+6)="","",INDIRECT(E$19&amp;"!D"&amp;ROW()-ROW($C$234)+6))</f>
        <v/>
      </c>
      <c r="J239" s="99" t="str">
        <f ca="1">IF(INDIRECT(F$19&amp;"!D"&amp;ROW()-ROW($C$234)+6)="","",INDIRECT(F$19&amp;"!D"&amp;ROW()-ROW($C$234)+6))</f>
        <v/>
      </c>
      <c r="K239" s="99" t="str">
        <f ca="1">IF(INDIRECT(C$19&amp;"!E"&amp;ROW()-ROW($C$234)+6)="","",INDIRECT(C$19&amp;"!E"&amp;ROW()-ROW($C$234)+6))</f>
        <v>Non-blank is required</v>
      </c>
      <c r="L239" s="99" t="b">
        <f ca="1">IF(INDIRECT(C$19&amp;"!F"&amp;ROW()-ROW($C$234)+6)="","",INDIRECT(C$19&amp;"!F"&amp;ROW()-ROW($C$234)+6))</f>
        <v>1</v>
      </c>
      <c r="M239" s="99" t="b">
        <f ca="1">IF(INDIRECT(D$19&amp;"!F"&amp;ROW()-ROW($C$234)+6)="","",INDIRECT(D$19&amp;"!F"&amp;ROW()-ROW($C$234)+6))</f>
        <v>1</v>
      </c>
      <c r="N239" s="99" t="b">
        <f ca="1">IF(INDIRECT(E$19&amp;"!F"&amp;ROW()-ROW($C$234)+6)="","",INDIRECT(E$19&amp;"!F"&amp;ROW()-ROW($C$234)+6))</f>
        <v>1</v>
      </c>
      <c r="O239" s="99" t="b">
        <f ca="1">IF(INDIRECT(F$19&amp;"!F"&amp;ROW()-ROW($C$234)+6)="","",INDIRECT(F$19&amp;"!F"&amp;ROW()-ROW($C$234)+6))</f>
        <v>1</v>
      </c>
      <c r="P239" s="99" t="b">
        <f ca="1">INDIRECT(C$19&amp;"!B"&amp;ROW()-ROW($C$234)+6)=$B239</f>
        <v>1</v>
      </c>
      <c r="Q239" s="99" t="b">
        <f ca="1">INDIRECT(D$19&amp;"!B"&amp;ROW()-ROW($C$234)+6)=$B239</f>
        <v>1</v>
      </c>
      <c r="R239" s="99" t="b">
        <f ca="1">INDIRECT(E$19&amp;"!B"&amp;ROW()-ROW($C$234)+6)=$B239</f>
        <v>1</v>
      </c>
      <c r="S239" s="99" t="b">
        <f ca="1">INDIRECT(F$19&amp;"!B"&amp;ROW()-ROW($C$234)+6)=$B239</f>
        <v>1</v>
      </c>
      <c r="T239" s="99" t="str">
        <f ca="1">IF(NOT(ISERROR(MATCH(K239,'Lookup Tables'!A:A,0))),"Lookup",IF(OR(NOT(ISERROR(FIND("Numeric",K239))),NOT(ISERROR(FIND("Percentage",K239))),NOT(ISERROR(FIND("Date",K239)))),"Numeric",IF(NOT(ISERROR(FIND("lank",K239))),"Non-blank",IF(NOT(ISERROR(FIND("Not evaluated",K239))),"Skipped","Other"))))</f>
        <v>Non-blank</v>
      </c>
      <c r="U239" s="461">
        <f ca="1">IF(COLUMN()-COLUMN($U$55)+1&lt;=$Y239,IF(C239="",0,1),"")</f>
        <v>1</v>
      </c>
      <c r="V239" s="461">
        <f ca="1">IF(COLUMN()-COLUMN($U$55)+1&lt;=$Y239,IF(D239="",0,1),"")</f>
        <v>1</v>
      </c>
      <c r="W239" s="461">
        <f ca="1">IF(COLUMN()-COLUMN($U$55)+1&lt;=$Y239,IF(E239="",0,1),"")</f>
        <v>1</v>
      </c>
      <c r="X239" s="465">
        <f ca="1">IF(COLUMN()-COLUMN($U$55)+1&lt;=$Y239,IF(F239="",0,1),"")</f>
        <v>1</v>
      </c>
      <c r="Y239" s="99">
        <f t="shared" si="78"/>
        <v>4</v>
      </c>
      <c r="Z239" s="99"/>
      <c r="AA239" s="99"/>
      <c r="AB239" s="99"/>
      <c r="AC239" s="234" t="s">
        <v>2382</v>
      </c>
      <c r="AD239" s="101">
        <f ca="1">MIN(U239:X239)</f>
        <v>1</v>
      </c>
      <c r="AE239" s="99" t="b">
        <f t="shared" ref="AE239:AE242" ca="1" si="80">IF(AD239="","",ISERROR(MATCH(TRUE,L239:O239,0)))</f>
        <v>0</v>
      </c>
      <c r="AF239" s="159" t="s">
        <v>2384</v>
      </c>
      <c r="AG239" s="783">
        <f>COUNTIF('VA Detailed Scorecard Config'!D:D,AF239)</f>
        <v>1</v>
      </c>
      <c r="AH239" s="159" t="s">
        <v>2381</v>
      </c>
    </row>
    <row r="240" spans="2:34" ht="13.5" customHeight="1">
      <c r="B240" s="327" t="s">
        <v>1861</v>
      </c>
      <c r="C240" s="99" t="str">
        <f ca="1">IF(INDIRECT(C$19&amp;"!C"&amp;ROW()-ROW($C$234)+6)="","",INDIRECT(C$19&amp;"!C"&amp;ROW()-ROW($C$234)+6))</f>
        <v>Good looking UI</v>
      </c>
      <c r="D240" s="99" t="str">
        <f ca="1">IF(INDIRECT(D$19&amp;"!C"&amp;ROW()-ROW($C$234)+6)="","",INDIRECT(D$19&amp;"!C"&amp;ROW()-ROW($C$234)+6))</f>
        <v>DAO approves the structure (or doesn't comment)</v>
      </c>
      <c r="E240" s="99" t="str">
        <f ca="1">IF(INDIRECT(E$19&amp;"!C"&amp;ROW()-ROW($C$234)+6)="","",INDIRECT(E$19&amp;"!C"&amp;ROW()-ROW($C$234)+6))</f>
        <v>DAO agrees this is a good model for programs</v>
      </c>
      <c r="F240" s="99" t="str">
        <f ca="1">IF(INDIRECT(F$19&amp;"!C"&amp;ROW()-ROW($C$234)+6)="","",INDIRECT(F$19&amp;"!C"&amp;ROW()-ROW($C$234)+6))</f>
        <v>DAO agrees the model is usable</v>
      </c>
      <c r="G240" s="99" t="str">
        <f ca="1">IF(INDIRECT(C$19&amp;"!D"&amp;ROW()-ROW($C$234)+6)="","",INDIRECT(C$19&amp;"!D"&amp;ROW()-ROW($C$234)+6))</f>
        <v/>
      </c>
      <c r="H240" s="99" t="str">
        <f ca="1">IF(INDIRECT(D$19&amp;"!D"&amp;ROW()-ROW($C$234)+6)="","",INDIRECT(D$19&amp;"!D"&amp;ROW()-ROW($C$234)+6))</f>
        <v/>
      </c>
      <c r="I240" s="99" t="str">
        <f ca="1">IF(INDIRECT(E$19&amp;"!D"&amp;ROW()-ROW($C$234)+6)="","",INDIRECT(E$19&amp;"!D"&amp;ROW()-ROW($C$234)+6))</f>
        <v/>
      </c>
      <c r="J240" s="99" t="str">
        <f ca="1">IF(INDIRECT(F$19&amp;"!D"&amp;ROW()-ROW($C$234)+6)="","",INDIRECT(F$19&amp;"!D"&amp;ROW()-ROW($C$234)+6))</f>
        <v/>
      </c>
      <c r="K240" s="99" t="str">
        <f ca="1">IF(INDIRECT(C$19&amp;"!E"&amp;ROW()-ROW($C$234)+6)="","",INDIRECT(C$19&amp;"!E"&amp;ROW()-ROW($C$234)+6))</f>
        <v>Non-blank is required</v>
      </c>
      <c r="L240" s="99" t="b">
        <f ca="1">IF(INDIRECT(C$19&amp;"!F"&amp;ROW()-ROW($C$234)+6)="","",INDIRECT(C$19&amp;"!F"&amp;ROW()-ROW($C$234)+6))</f>
        <v>1</v>
      </c>
      <c r="M240" s="99" t="b">
        <f ca="1">IF(INDIRECT(D$19&amp;"!F"&amp;ROW()-ROW($C$234)+6)="","",INDIRECT(D$19&amp;"!F"&amp;ROW()-ROW($C$234)+6))</f>
        <v>1</v>
      </c>
      <c r="N240" s="99" t="b">
        <f ca="1">IF(INDIRECT(E$19&amp;"!F"&amp;ROW()-ROW($C$234)+6)="","",INDIRECT(E$19&amp;"!F"&amp;ROW()-ROW($C$234)+6))</f>
        <v>1</v>
      </c>
      <c r="O240" s="99" t="b">
        <f ca="1">IF(INDIRECT(F$19&amp;"!F"&amp;ROW()-ROW($C$234)+6)="","",INDIRECT(F$19&amp;"!F"&amp;ROW()-ROW($C$234)+6))</f>
        <v>1</v>
      </c>
      <c r="P240" s="99" t="b">
        <f ca="1">INDIRECT(C$19&amp;"!B"&amp;ROW()-ROW($C$234)+6)=$B240</f>
        <v>1</v>
      </c>
      <c r="Q240" s="99" t="b">
        <f ca="1">INDIRECT(D$19&amp;"!B"&amp;ROW()-ROW($C$234)+6)=$B240</f>
        <v>1</v>
      </c>
      <c r="R240" s="99" t="b">
        <f ca="1">INDIRECT(E$19&amp;"!B"&amp;ROW()-ROW($C$234)+6)=$B240</f>
        <v>1</v>
      </c>
      <c r="S240" s="99" t="b">
        <f ca="1">INDIRECT(F$19&amp;"!B"&amp;ROW()-ROW($C$234)+6)=$B240</f>
        <v>1</v>
      </c>
      <c r="T240" s="99" t="str">
        <f ca="1">IF(NOT(ISERROR(MATCH(K240,'Lookup Tables'!A:A,0))),"Lookup",IF(OR(NOT(ISERROR(FIND("Numeric",K240))),NOT(ISERROR(FIND("Percentage",K240))),NOT(ISERROR(FIND("Date",K240)))),"Numeric",IF(NOT(ISERROR(FIND("lank",K240))),"Non-blank",IF(NOT(ISERROR(FIND("Not evaluated",K240))),"Skipped","Other"))))</f>
        <v>Non-blank</v>
      </c>
      <c r="U240" s="461">
        <f ca="1">IF(COLUMN()-COLUMN($U$55)+1&lt;=$Y240,IF(C240="",0,1),"")</f>
        <v>1</v>
      </c>
      <c r="V240" s="461">
        <f ca="1">IF(COLUMN()-COLUMN($U$55)+1&lt;=$Y240,IF(D240="",0,1),"")</f>
        <v>1</v>
      </c>
      <c r="W240" s="461">
        <f ca="1">IF(COLUMN()-COLUMN($U$55)+1&lt;=$Y240,IF(E240="",0,1),"")</f>
        <v>1</v>
      </c>
      <c r="X240" s="465">
        <f ca="1">IF(COLUMN()-COLUMN($U$55)+1&lt;=$Y240,IF(F240="",0,1),"")</f>
        <v>1</v>
      </c>
      <c r="Y240" s="99">
        <f t="shared" si="78"/>
        <v>4</v>
      </c>
      <c r="Z240" s="99"/>
      <c r="AA240" s="99"/>
      <c r="AB240" s="99"/>
      <c r="AC240" s="234" t="s">
        <v>2382</v>
      </c>
      <c r="AD240" s="101">
        <f ca="1">MIN(U240:X240)</f>
        <v>1</v>
      </c>
      <c r="AE240" s="99" t="b">
        <f t="shared" ca="1" si="80"/>
        <v>0</v>
      </c>
      <c r="AF240" s="159" t="s">
        <v>2385</v>
      </c>
      <c r="AG240" s="783">
        <f>COUNTIF('VA Detailed Scorecard Config'!D:D,AF240)</f>
        <v>1</v>
      </c>
      <c r="AH240" s="159" t="s">
        <v>2381</v>
      </c>
    </row>
    <row r="241" spans="2:34" ht="13.5" customHeight="1">
      <c r="B241" s="327" t="s">
        <v>1862</v>
      </c>
      <c r="C241" s="99">
        <f ca="1">IF(INDIRECT(C$19&amp;"!C"&amp;ROW()-ROW($C$234)+6)="","",INDIRECT(C$19&amp;"!C"&amp;ROW()-ROW($C$234)+6))</f>
        <v>20000</v>
      </c>
      <c r="D241" s="99">
        <f ca="1">IF(INDIRECT(D$19&amp;"!C"&amp;ROW()-ROW($C$234)+6)="","",INDIRECT(D$19&amp;"!C"&amp;ROW()-ROW($C$234)+6))</f>
        <v>50000</v>
      </c>
      <c r="E241" s="99">
        <f ca="1">IF(INDIRECT(E$19&amp;"!C"&amp;ROW()-ROW($C$234)+6)="","",INDIRECT(E$19&amp;"!C"&amp;ROW()-ROW($C$234)+6))</f>
        <v>30000</v>
      </c>
      <c r="F241" s="99">
        <f ca="1">IF(INDIRECT(F$19&amp;"!C"&amp;ROW()-ROW($C$234)+6)="","",INDIRECT(F$19&amp;"!C"&amp;ROW()-ROW($C$234)+6))</f>
        <v>80000</v>
      </c>
      <c r="G241" s="99" t="str">
        <f ca="1">IF(INDIRECT(C$19&amp;"!D"&amp;ROW()-ROW($C$234)+6)="","",INDIRECT(C$19&amp;"!D"&amp;ROW()-ROW($C$234)+6))</f>
        <v/>
      </c>
      <c r="H241" s="99" t="str">
        <f ca="1">IF(INDIRECT(D$19&amp;"!D"&amp;ROW()-ROW($C$234)+6)="","",INDIRECT(D$19&amp;"!D"&amp;ROW()-ROW($C$234)+6))</f>
        <v/>
      </c>
      <c r="I241" s="99" t="str">
        <f ca="1">IF(INDIRECT(E$19&amp;"!D"&amp;ROW()-ROW($C$234)+6)="","",INDIRECT(E$19&amp;"!D"&amp;ROW()-ROW($C$234)+6))</f>
        <v/>
      </c>
      <c r="J241" s="99" t="str">
        <f ca="1">IF(INDIRECT(F$19&amp;"!D"&amp;ROW()-ROW($C$234)+6)="","",INDIRECT(F$19&amp;"!D"&amp;ROW()-ROW($C$234)+6))</f>
        <v/>
      </c>
      <c r="K241" s="99" t="str">
        <f ca="1">IF(INDIRECT(C$19&amp;"!E"&amp;ROW()-ROW($C$234)+6)="","",INDIRECT(C$19&amp;"!E"&amp;ROW()-ROW($C$234)+6))</f>
        <v>Numeric value in Euro</v>
      </c>
      <c r="L241" s="99" t="b">
        <f ca="1">IF(INDIRECT(C$19&amp;"!F"&amp;ROW()-ROW($C$234)+6)="","",INDIRECT(C$19&amp;"!F"&amp;ROW()-ROW($C$234)+6))</f>
        <v>1</v>
      </c>
      <c r="M241" s="99" t="b">
        <f ca="1">IF(INDIRECT(D$19&amp;"!F"&amp;ROW()-ROW($C$234)+6)="","",INDIRECT(D$19&amp;"!F"&amp;ROW()-ROW($C$234)+6))</f>
        <v>1</v>
      </c>
      <c r="N241" s="99" t="b">
        <f ca="1">IF(INDIRECT(E$19&amp;"!F"&amp;ROW()-ROW($C$234)+6)="","",INDIRECT(E$19&amp;"!F"&amp;ROW()-ROW($C$234)+6))</f>
        <v>1</v>
      </c>
      <c r="O241" s="99" t="b">
        <f ca="1">IF(INDIRECT(F$19&amp;"!F"&amp;ROW()-ROW($C$234)+6)="","",INDIRECT(F$19&amp;"!F"&amp;ROW()-ROW($C$234)+6))</f>
        <v>1</v>
      </c>
      <c r="P241" s="99" t="b">
        <f ca="1">INDIRECT(C$19&amp;"!B"&amp;ROW()-ROW($C$234)+6)=$B241</f>
        <v>1</v>
      </c>
      <c r="Q241" s="99" t="b">
        <f ca="1">INDIRECT(D$19&amp;"!B"&amp;ROW()-ROW($C$234)+6)=$B241</f>
        <v>1</v>
      </c>
      <c r="R241" s="99" t="b">
        <f ca="1">INDIRECT(E$19&amp;"!B"&amp;ROW()-ROW($C$234)+6)=$B241</f>
        <v>1</v>
      </c>
      <c r="S241" s="99" t="b">
        <f ca="1">INDIRECT(F$19&amp;"!B"&amp;ROW()-ROW($C$234)+6)=$B241</f>
        <v>1</v>
      </c>
      <c r="T241" s="99" t="str">
        <f ca="1">IF(NOT(ISERROR(MATCH(K241,'Lookup Tables'!A:A,0))),"Lookup",IF(OR(NOT(ISERROR(FIND("Numeric",K241))),NOT(ISERROR(FIND("Percentage",K241))),NOT(ISERROR(FIND("Date",K241)))),"Numeric",IF(NOT(ISERROR(FIND("lank",K241))),"Non-blank",IF(NOT(ISERROR(FIND("Not evaluated",K241))),"Skipped","Other"))))</f>
        <v>Numeric</v>
      </c>
      <c r="U241" s="101">
        <f ca="1">IF(COLUMN()-COLUMN($U$55)+1&lt;=$Y240,1-((LOG(C241+1)-LOG(MIN($C241:$F241,$Z241:$AA241)+1))/(LOG(MAX($AA241,$C241:$F241)+1)-LOG(MIN($C241:$F241,$Z241:$AA241)+1))),"")</f>
        <v>0.73837044045910227</v>
      </c>
      <c r="V241" s="101">
        <f ca="1">IF(COLUMN()-COLUMN($U$55)+1&lt;=$Y240,1-((LOG(D241+1)-LOG(MIN($C241:$F241,$Z241:$AA241)+1))/(LOG(MAX($AA241,$C241:$F241)+1)-LOG(MIN($C241:$F241,$Z241:$AA241)+1))),"")</f>
        <v>0.56542965920909172</v>
      </c>
      <c r="W241" s="101">
        <f ca="1">IF(COLUMN()-COLUMN($U$55)+1&lt;=$Y240,1-((LOG(E241+1)-LOG(MIN($C241:$F241,$Z241:$AA241)+1))/(LOG(MAX($AA241,$C241:$F241)+1)-LOG(MIN($C241:$F241,$Z241:$AA241)+1))),"")</f>
        <v>0.66184356571700675</v>
      </c>
      <c r="X241" s="466">
        <f ca="1">IF(COLUMN()-COLUMN($U$55)+1&lt;=$Y240,1-((LOG(F241+1)-LOG(MIN($C241:$F241,$Z241:$AA241)+1))/(LOG(MAX($AA241,$C241:$F241)+1)-LOG(MIN($C241:$F241,$Z241:$AA241)+1))),"")</f>
        <v>0.47671965028191987</v>
      </c>
      <c r="Y241" s="99">
        <f t="shared" si="78"/>
        <v>4</v>
      </c>
      <c r="Z241" s="99">
        <v>5000</v>
      </c>
      <c r="AA241" s="99">
        <v>1000000</v>
      </c>
      <c r="AB241" s="159" t="s">
        <v>2192</v>
      </c>
      <c r="AC241" s="159" t="s">
        <v>2227</v>
      </c>
      <c r="AD241" s="101">
        <f t="shared" ref="AD239:AD243" ca="1" si="81">IFERROR(SUMPRODUCT(U241:X241,$C$241:$F$241)/SUM($C$241:$F$241),AVERAGE(U241:X241))</f>
        <v>0.56128761535389127</v>
      </c>
      <c r="AE241" s="99" t="b">
        <f t="shared" ca="1" si="80"/>
        <v>0</v>
      </c>
      <c r="AF241" s="159" t="s">
        <v>2386</v>
      </c>
      <c r="AG241" s="783">
        <f>COUNTIF('VA Detailed Scorecard Config'!D:D,AF241)</f>
        <v>1</v>
      </c>
      <c r="AH241" s="99"/>
    </row>
    <row r="242" spans="2:34" ht="13.5" customHeight="1">
      <c r="B242" s="344" t="s">
        <v>1868</v>
      </c>
      <c r="C242" s="99">
        <f ca="1">IF(INDIRECT(C$19&amp;"!C"&amp;ROW()-ROW($C$234)+6)="","",INDIRECT(C$19&amp;"!C"&amp;ROW()-ROW($C$234)+6))</f>
        <v>0</v>
      </c>
      <c r="D242" s="99">
        <f ca="1">IF(INDIRECT(D$19&amp;"!C"&amp;ROW()-ROW($C$234)+6)="","",INDIRECT(D$19&amp;"!C"&amp;ROW()-ROW($C$234)+6))</f>
        <v>0</v>
      </c>
      <c r="E242" s="99">
        <f ca="1">IF(INDIRECT(E$19&amp;"!C"&amp;ROW()-ROW($C$234)+6)="","",INDIRECT(E$19&amp;"!C"&amp;ROW()-ROW($C$234)+6))</f>
        <v>0</v>
      </c>
      <c r="F242" s="99">
        <f ca="1">IF(INDIRECT(F$19&amp;"!C"&amp;ROW()-ROW($C$234)+6)="","",INDIRECT(F$19&amp;"!C"&amp;ROW()-ROW($C$234)+6))</f>
        <v>0</v>
      </c>
      <c r="G242" s="99" t="str">
        <f ca="1">IF(INDIRECT(C$19&amp;"!D"&amp;ROW()-ROW($C$234)+6)="","",INDIRECT(C$19&amp;"!D"&amp;ROW()-ROW($C$234)+6))</f>
        <v/>
      </c>
      <c r="H242" s="99" t="str">
        <f ca="1">IF(INDIRECT(D$19&amp;"!D"&amp;ROW()-ROW($C$234)+6)="","",INDIRECT(D$19&amp;"!D"&amp;ROW()-ROW($C$234)+6))</f>
        <v/>
      </c>
      <c r="I242" s="99" t="str">
        <f ca="1">IF(INDIRECT(E$19&amp;"!D"&amp;ROW()-ROW($C$234)+6)="","",INDIRECT(E$19&amp;"!D"&amp;ROW()-ROW($C$234)+6))</f>
        <v/>
      </c>
      <c r="J242" s="99" t="str">
        <f ca="1">IF(INDIRECT(F$19&amp;"!D"&amp;ROW()-ROW($C$234)+6)="","",INDIRECT(F$19&amp;"!D"&amp;ROW()-ROW($C$234)+6))</f>
        <v/>
      </c>
      <c r="K242" s="99" t="str">
        <f ca="1">IF(INDIRECT(C$19&amp;"!E"&amp;ROW()-ROW($C$234)+6)="","",INDIRECT(C$19&amp;"!E"&amp;ROW()-ROW($C$234)+6))</f>
        <v>Numeric value in Euro</v>
      </c>
      <c r="L242" s="99" t="b">
        <f ca="1">IF(INDIRECT(C$19&amp;"!F"&amp;ROW()-ROW($C$234)+6)="","",INDIRECT(C$19&amp;"!F"&amp;ROW()-ROW($C$234)+6))</f>
        <v>1</v>
      </c>
      <c r="M242" s="99" t="b">
        <f ca="1">IF(INDIRECT(D$19&amp;"!F"&amp;ROW()-ROW($C$234)+6)="","",INDIRECT(D$19&amp;"!F"&amp;ROW()-ROW($C$234)+6))</f>
        <v>1</v>
      </c>
      <c r="N242" s="99" t="b">
        <f ca="1">IF(INDIRECT(E$19&amp;"!F"&amp;ROW()-ROW($C$234)+6)="","",INDIRECT(E$19&amp;"!F"&amp;ROW()-ROW($C$234)+6))</f>
        <v>1</v>
      </c>
      <c r="O242" s="99" t="b">
        <f ca="1">IF(INDIRECT(F$19&amp;"!F"&amp;ROW()-ROW($C$234)+6)="","",INDIRECT(F$19&amp;"!F"&amp;ROW()-ROW($C$234)+6))</f>
        <v>1</v>
      </c>
      <c r="P242" s="99" t="b">
        <f ca="1">INDIRECT(C$19&amp;"!B"&amp;ROW()-ROW($C$234)+6)=$B242</f>
        <v>1</v>
      </c>
      <c r="Q242" s="99" t="b">
        <f ca="1">INDIRECT(D$19&amp;"!B"&amp;ROW()-ROW($C$234)+6)=$B242</f>
        <v>1</v>
      </c>
      <c r="R242" s="99" t="b">
        <f ca="1">INDIRECT(E$19&amp;"!B"&amp;ROW()-ROW($C$234)+6)=$B242</f>
        <v>1</v>
      </c>
      <c r="S242" s="99" t="b">
        <f ca="1">INDIRECT(F$19&amp;"!B"&amp;ROW()-ROW($C$234)+6)=$B242</f>
        <v>1</v>
      </c>
      <c r="T242" s="99" t="str">
        <f ca="1">IF(NOT(ISERROR(MATCH(K242,'Lookup Tables'!A:A,0))),"Lookup",IF(OR(NOT(ISERROR(FIND("Numeric",K242))),NOT(ISERROR(FIND("Percentage",K242))),NOT(ISERROR(FIND("Date",K242)))),"Numeric",IF(NOT(ISERROR(FIND("lank",K242))),"Non-blank",IF(NOT(ISERROR(FIND("Not evaluated",K242))),"Skipped","Other"))))</f>
        <v>Numeric</v>
      </c>
      <c r="U242" s="101">
        <f ca="1">IF(COLUMN()-COLUMN($U$55)+1&lt;=$Y242,1-((LOG(C242/C241+1)-LOG(1))/(LOG(2)-LOG(1))),"")</f>
        <v>1</v>
      </c>
      <c r="V242" s="101">
        <f ca="1">IF(COLUMN()-COLUMN($U$55)+1&lt;=$Y242,1-((LOG(D242/D241+1)-LOG(1))/(LOG(2)-LOG(1))),"")</f>
        <v>1</v>
      </c>
      <c r="W242" s="101">
        <f ca="1">IF(COLUMN()-COLUMN($U$55)+1&lt;=$Y242,1-((LOG(E242/E241+1)-LOG(1))/(LOG(2)-LOG(1))),"")</f>
        <v>1</v>
      </c>
      <c r="X242" s="466">
        <f ca="1">IF(COLUMN()-COLUMN($U$55)+1&lt;=$Y242,1-((LOG(F242/F241+1)-LOG(1))/(LOG(2)-LOG(1))),"")</f>
        <v>1</v>
      </c>
      <c r="Y242" s="99">
        <f t="shared" si="78"/>
        <v>4</v>
      </c>
      <c r="Z242" s="99">
        <v>5000</v>
      </c>
      <c r="AA242" s="99">
        <v>3000000</v>
      </c>
      <c r="AB242" s="159" t="s">
        <v>2194</v>
      </c>
      <c r="AC242" s="159" t="s">
        <v>2227</v>
      </c>
      <c r="AD242" s="101">
        <f t="shared" ca="1" si="81"/>
        <v>1</v>
      </c>
      <c r="AE242" s="99" t="b">
        <f t="shared" ca="1" si="80"/>
        <v>0</v>
      </c>
      <c r="AF242" s="159" t="s">
        <v>2387</v>
      </c>
      <c r="AG242" s="783">
        <f>COUNTIF('VA Detailed Scorecard Config'!D:D,AF242)</f>
        <v>1</v>
      </c>
      <c r="AH242" s="99"/>
    </row>
    <row r="243" spans="2:34" ht="13.5" customHeight="1">
      <c r="B243" s="327" t="s">
        <v>1867</v>
      </c>
      <c r="C243" s="99">
        <f ca="1">IF(INDIRECT(C$19&amp;"!C"&amp;ROW()-ROW($C$234)+6)="","",INDIRECT(C$19&amp;"!C"&amp;ROW()-ROW($C$234)+6))</f>
        <v>0</v>
      </c>
      <c r="D243" s="99">
        <f ca="1">IF(INDIRECT(D$19&amp;"!C"&amp;ROW()-ROW($C$234)+6)="","",INDIRECT(D$19&amp;"!C"&amp;ROW()-ROW($C$234)+6))</f>
        <v>0</v>
      </c>
      <c r="E243" s="99">
        <f ca="1">IF(INDIRECT(E$19&amp;"!C"&amp;ROW()-ROW($C$234)+6)="","",INDIRECT(E$19&amp;"!C"&amp;ROW()-ROW($C$234)+6))</f>
        <v>0</v>
      </c>
      <c r="F243" s="99">
        <f ca="1">IF(INDIRECT(F$19&amp;"!C"&amp;ROW()-ROW($C$234)+6)="","",INDIRECT(F$19&amp;"!C"&amp;ROW()-ROW($C$234)+6))</f>
        <v>0</v>
      </c>
      <c r="G243" s="99" t="str">
        <f ca="1">IF(INDIRECT(C$19&amp;"!D"&amp;ROW()-ROW($C$234)+6)="","",INDIRECT(C$19&amp;"!D"&amp;ROW()-ROW($C$234)+6))</f>
        <v/>
      </c>
      <c r="H243" s="99" t="str">
        <f ca="1">IF(INDIRECT(D$19&amp;"!D"&amp;ROW()-ROW($C$234)+6)="","",INDIRECT(D$19&amp;"!D"&amp;ROW()-ROW($C$234)+6))</f>
        <v/>
      </c>
      <c r="I243" s="99" t="str">
        <f ca="1">IF(INDIRECT(E$19&amp;"!D"&amp;ROW()-ROW($C$234)+6)="","",INDIRECT(E$19&amp;"!D"&amp;ROW()-ROW($C$234)+6))</f>
        <v/>
      </c>
      <c r="J243" s="99" t="str">
        <f ca="1">IF(INDIRECT(F$19&amp;"!D"&amp;ROW()-ROW($C$234)+6)="","",INDIRECT(F$19&amp;"!D"&amp;ROW()-ROW($C$234)+6))</f>
        <v/>
      </c>
      <c r="K243" s="99" t="str">
        <f ca="1">IF(INDIRECT(C$19&amp;"!E"&amp;ROW()-ROW($C$234)+6)="","",INDIRECT(C$19&amp;"!E"&amp;ROW()-ROW($C$234)+6))</f>
        <v>Numeric value in Euro</v>
      </c>
      <c r="L243" s="99" t="b">
        <f ca="1">IF(INDIRECT(C$19&amp;"!F"&amp;ROW()-ROW($C$234)+6)="","",INDIRECT(C$19&amp;"!F"&amp;ROW()-ROW($C$234)+6))</f>
        <v>1</v>
      </c>
      <c r="M243" s="99" t="b">
        <f ca="1">IF(INDIRECT(D$19&amp;"!F"&amp;ROW()-ROW($C$234)+6)="","",INDIRECT(D$19&amp;"!F"&amp;ROW()-ROW($C$234)+6))</f>
        <v>1</v>
      </c>
      <c r="N243" s="99" t="b">
        <f ca="1">IF(INDIRECT(E$19&amp;"!F"&amp;ROW()-ROW($C$234)+6)="","",INDIRECT(E$19&amp;"!F"&amp;ROW()-ROW($C$234)+6))</f>
        <v>1</v>
      </c>
      <c r="O243" s="99" t="b">
        <f ca="1">IF(INDIRECT(F$19&amp;"!F"&amp;ROW()-ROW($C$234)+6)="","",INDIRECT(F$19&amp;"!F"&amp;ROW()-ROW($C$234)+6))</f>
        <v>1</v>
      </c>
      <c r="P243" s="99" t="b">
        <f ca="1">INDIRECT(C$19&amp;"!B"&amp;ROW()-ROW($C$234)+6)=$B243</f>
        <v>1</v>
      </c>
      <c r="Q243" s="99" t="b">
        <f ca="1">INDIRECT(D$19&amp;"!B"&amp;ROW()-ROW($C$234)+6)=$B243</f>
        <v>1</v>
      </c>
      <c r="R243" s="99" t="b">
        <f ca="1">INDIRECT(E$19&amp;"!B"&amp;ROW()-ROW($C$234)+6)=$B243</f>
        <v>1</v>
      </c>
      <c r="S243" s="99" t="b">
        <f ca="1">INDIRECT(F$19&amp;"!B"&amp;ROW()-ROW($C$234)+6)=$B243</f>
        <v>1</v>
      </c>
      <c r="T243" s="99" t="str">
        <f ca="1">IF(NOT(ISERROR(MATCH(K243,'Lookup Tables'!A:A,0))),"Lookup",IF(OR(NOT(ISERROR(FIND("Numeric",K243))),NOT(ISERROR(FIND("Percentage",K243))),NOT(ISERROR(FIND("Date",K243)))),"Numeric",IF(NOT(ISERROR(FIND("lank",K243))),"Non-blank",IF(NOT(ISERROR(FIND("Not evaluated",K243))),"Skipped","Other"))))</f>
        <v>Numeric</v>
      </c>
      <c r="U243" s="101">
        <f ca="1">IF(COLUMN()-COLUMN($U$55)+1&lt;=$Y243,1-((LOG(C243/C241+1)-LOG(1))/(LOG(2)-LOG(1))),"")</f>
        <v>1</v>
      </c>
      <c r="V243" s="101">
        <f ca="1">IF(COLUMN()-COLUMN($U$55)+1&lt;=$Y243,1-((LOG(D243/D241+1)-LOG(1))/(LOG(2)-LOG(1))),"")</f>
        <v>1</v>
      </c>
      <c r="W243" s="101">
        <f ca="1">IF(COLUMN()-COLUMN($U$55)+1&lt;=$Y243,1-((LOG(E243/E241+1)-LOG(1))/(LOG(2)-LOG(1))),"")</f>
        <v>1</v>
      </c>
      <c r="X243" s="466">
        <f ca="1">IF(COLUMN()-COLUMN($U$55)+1&lt;=$Y243,1-((LOG(F243/F241+1)-LOG(1))/(LOG(2)-LOG(1))),"")</f>
        <v>1</v>
      </c>
      <c r="Y243" s="99">
        <f t="shared" si="78"/>
        <v>4</v>
      </c>
      <c r="Z243" s="99">
        <v>5000</v>
      </c>
      <c r="AA243" s="99">
        <v>3000000</v>
      </c>
      <c r="AB243" s="159" t="s">
        <v>2193</v>
      </c>
      <c r="AC243" s="159" t="s">
        <v>2227</v>
      </c>
      <c r="AD243" s="101">
        <f t="shared" ca="1" si="81"/>
        <v>1</v>
      </c>
      <c r="AE243" s="99" t="b">
        <f ca="1">IF(AD243="","",ISERROR(MATCH(TRUE,L243:O243,0)))</f>
        <v>0</v>
      </c>
      <c r="AF243" s="159" t="s">
        <v>2388</v>
      </c>
      <c r="AG243" s="783">
        <f>COUNTIF('VA Detailed Scorecard Config'!D:D,AF243)</f>
        <v>1</v>
      </c>
      <c r="AH243" s="99"/>
    </row>
    <row r="244" spans="2:34" ht="13.5" customHeight="1">
      <c r="B244" s="344" t="s">
        <v>1869</v>
      </c>
      <c r="C244" s="99">
        <f ca="1">IF(INDIRECT(C$19&amp;"!C"&amp;ROW()-ROW($C$234)+6)="","",INDIRECT(C$19&amp;"!C"&amp;ROW()-ROW($C$234)+6))</f>
        <v>0</v>
      </c>
      <c r="D244" s="99">
        <f ca="1">IF(INDIRECT(D$19&amp;"!C"&amp;ROW()-ROW($C$234)+6)="","",INDIRECT(D$19&amp;"!C"&amp;ROW()-ROW($C$234)+6))</f>
        <v>0</v>
      </c>
      <c r="E244" s="99">
        <f ca="1">IF(INDIRECT(E$19&amp;"!C"&amp;ROW()-ROW($C$234)+6)="","",INDIRECT(E$19&amp;"!C"&amp;ROW()-ROW($C$234)+6))</f>
        <v>0</v>
      </c>
      <c r="F244" s="99">
        <f ca="1">IF(INDIRECT(F$19&amp;"!C"&amp;ROW()-ROW($C$234)+6)="","",INDIRECT(F$19&amp;"!C"&amp;ROW()-ROW($C$234)+6))</f>
        <v>0</v>
      </c>
      <c r="G244" s="99" t="str">
        <f ca="1">IF(INDIRECT(C$19&amp;"!D"&amp;ROW()-ROW($C$234)+6)="","",INDIRECT(C$19&amp;"!D"&amp;ROW()-ROW($C$234)+6))</f>
        <v/>
      </c>
      <c r="H244" s="99" t="str">
        <f ca="1">IF(INDIRECT(D$19&amp;"!D"&amp;ROW()-ROW($C$234)+6)="","",INDIRECT(D$19&amp;"!D"&amp;ROW()-ROW($C$234)+6))</f>
        <v/>
      </c>
      <c r="I244" s="99" t="str">
        <f ca="1">IF(INDIRECT(E$19&amp;"!D"&amp;ROW()-ROW($C$234)+6)="","",INDIRECT(E$19&amp;"!D"&amp;ROW()-ROW($C$234)+6))</f>
        <v/>
      </c>
      <c r="J244" s="99" t="str">
        <f ca="1">IF(INDIRECT(F$19&amp;"!D"&amp;ROW()-ROW($C$234)+6)="","",INDIRECT(F$19&amp;"!D"&amp;ROW()-ROW($C$234)+6))</f>
        <v/>
      </c>
      <c r="K244" s="99" t="str">
        <f ca="1">IF(INDIRECT(C$19&amp;"!E"&amp;ROW()-ROW($C$234)+6)="","",INDIRECT(C$19&amp;"!E"&amp;ROW()-ROW($C$234)+6))</f>
        <v>Numeric value in Euro</v>
      </c>
      <c r="L244" s="99" t="b">
        <f ca="1">IF(INDIRECT(C$19&amp;"!F"&amp;ROW()-ROW($C$234)+6)="","",INDIRECT(C$19&amp;"!F"&amp;ROW()-ROW($C$234)+6))</f>
        <v>1</v>
      </c>
      <c r="M244" s="99" t="b">
        <f ca="1">IF(INDIRECT(D$19&amp;"!F"&amp;ROW()-ROW($C$234)+6)="","",INDIRECT(D$19&amp;"!F"&amp;ROW()-ROW($C$234)+6))</f>
        <v>1</v>
      </c>
      <c r="N244" s="99" t="b">
        <f ca="1">IF(INDIRECT(E$19&amp;"!F"&amp;ROW()-ROW($C$234)+6)="","",INDIRECT(E$19&amp;"!F"&amp;ROW()-ROW($C$234)+6))</f>
        <v>1</v>
      </c>
      <c r="O244" s="99" t="b">
        <f ca="1">IF(INDIRECT(F$19&amp;"!F"&amp;ROW()-ROW($C$234)+6)="","",INDIRECT(F$19&amp;"!F"&amp;ROW()-ROW($C$234)+6))</f>
        <v>1</v>
      </c>
      <c r="P244" s="99" t="b">
        <f ca="1">INDIRECT(C$19&amp;"!B"&amp;ROW()-ROW($C$234)+6)=$B244</f>
        <v>1</v>
      </c>
      <c r="Q244" s="99" t="b">
        <f ca="1">INDIRECT(D$19&amp;"!B"&amp;ROW()-ROW($C$234)+6)=$B244</f>
        <v>1</v>
      </c>
      <c r="R244" s="99" t="b">
        <f ca="1">INDIRECT(E$19&amp;"!B"&amp;ROW()-ROW($C$234)+6)=$B244</f>
        <v>1</v>
      </c>
      <c r="S244" s="99" t="b">
        <f ca="1">INDIRECT(F$19&amp;"!B"&amp;ROW()-ROW($C$234)+6)=$B244</f>
        <v>1</v>
      </c>
      <c r="T244" s="37" t="s">
        <v>2191</v>
      </c>
      <c r="X244" s="137"/>
      <c r="Y244" s="99">
        <f t="shared" si="78"/>
        <v>4</v>
      </c>
      <c r="Z244" s="99"/>
      <c r="AA244" s="99"/>
      <c r="AB244" s="99"/>
      <c r="AC244" s="159"/>
      <c r="AD244" s="99"/>
      <c r="AE244" s="99" t="str">
        <f t="shared" si="79"/>
        <v/>
      </c>
      <c r="AF244" s="99"/>
      <c r="AG244" s="248"/>
      <c r="AH244" s="99"/>
    </row>
    <row r="245" spans="2:34" ht="13.5" customHeight="1">
      <c r="B245" s="344" t="s">
        <v>1952</v>
      </c>
      <c r="C245" s="99">
        <f ca="1">IF(INDIRECT(C$19&amp;"!C"&amp;ROW()-ROW($C$234)+6)="","",INDIRECT(C$19&amp;"!C"&amp;ROW()-ROW($C$234)+6))</f>
        <v>0</v>
      </c>
      <c r="D245" s="99">
        <f ca="1">IF(INDIRECT(D$19&amp;"!C"&amp;ROW()-ROW($C$234)+6)="","",INDIRECT(D$19&amp;"!C"&amp;ROW()-ROW($C$234)+6))</f>
        <v>0</v>
      </c>
      <c r="E245" s="99">
        <f ca="1">IF(INDIRECT(E$19&amp;"!C"&amp;ROW()-ROW($C$234)+6)="","",INDIRECT(E$19&amp;"!C"&amp;ROW()-ROW($C$234)+6))</f>
        <v>0</v>
      </c>
      <c r="F245" s="99">
        <f ca="1">IF(INDIRECT(F$19&amp;"!C"&amp;ROW()-ROW($C$234)+6)="","",INDIRECT(F$19&amp;"!C"&amp;ROW()-ROW($C$234)+6))</f>
        <v>0</v>
      </c>
      <c r="G245" s="99" t="str">
        <f ca="1">IF(INDIRECT(C$19&amp;"!D"&amp;ROW()-ROW($C$234)+6)="","",INDIRECT(C$19&amp;"!D"&amp;ROW()-ROW($C$234)+6))</f>
        <v/>
      </c>
      <c r="H245" s="99" t="str">
        <f ca="1">IF(INDIRECT(D$19&amp;"!D"&amp;ROW()-ROW($C$234)+6)="","",INDIRECT(D$19&amp;"!D"&amp;ROW()-ROW($C$234)+6))</f>
        <v/>
      </c>
      <c r="I245" s="99" t="str">
        <f ca="1">IF(INDIRECT(E$19&amp;"!D"&amp;ROW()-ROW($C$234)+6)="","",INDIRECT(E$19&amp;"!D"&amp;ROW()-ROW($C$234)+6))</f>
        <v/>
      </c>
      <c r="J245" s="99" t="str">
        <f ca="1">IF(INDIRECT(F$19&amp;"!D"&amp;ROW()-ROW($C$234)+6)="","",INDIRECT(F$19&amp;"!D"&amp;ROW()-ROW($C$234)+6))</f>
        <v/>
      </c>
      <c r="K245" s="99" t="str">
        <f ca="1">IF(INDIRECT(C$19&amp;"!E"&amp;ROW()-ROW($C$234)+6)="","",INDIRECT(C$19&amp;"!E"&amp;ROW()-ROW($C$234)+6))</f>
        <v>Numeric value in Euro</v>
      </c>
      <c r="L245" s="99" t="b">
        <f ca="1">IF(INDIRECT(C$19&amp;"!F"&amp;ROW()-ROW($C$234)+6)="","",INDIRECT(C$19&amp;"!F"&amp;ROW()-ROW($C$234)+6))</f>
        <v>1</v>
      </c>
      <c r="M245" s="99" t="b">
        <f ca="1">IF(INDIRECT(D$19&amp;"!F"&amp;ROW()-ROW($C$234)+6)="","",INDIRECT(D$19&amp;"!F"&amp;ROW()-ROW($C$234)+6))</f>
        <v>1</v>
      </c>
      <c r="N245" s="99" t="b">
        <f ca="1">IF(INDIRECT(E$19&amp;"!F"&amp;ROW()-ROW($C$234)+6)="","",INDIRECT(E$19&amp;"!F"&amp;ROW()-ROW($C$234)+6))</f>
        <v>1</v>
      </c>
      <c r="O245" s="99" t="b">
        <f ca="1">IF(INDIRECT(F$19&amp;"!F"&amp;ROW()-ROW($C$234)+6)="","",INDIRECT(F$19&amp;"!F"&amp;ROW()-ROW($C$234)+6))</f>
        <v>1</v>
      </c>
      <c r="P245" s="99" t="b">
        <f ca="1">INDIRECT(C$19&amp;"!B"&amp;ROW()-ROW($C$234)+6)=$B245</f>
        <v>1</v>
      </c>
      <c r="Q245" s="99" t="b">
        <f ca="1">INDIRECT(D$19&amp;"!B"&amp;ROW()-ROW($C$234)+6)=$B245</f>
        <v>1</v>
      </c>
      <c r="R245" s="99" t="b">
        <f ca="1">INDIRECT(E$19&amp;"!B"&amp;ROW()-ROW($C$234)+6)=$B245</f>
        <v>1</v>
      </c>
      <c r="S245" s="99" t="b">
        <f ca="1">INDIRECT(F$19&amp;"!B"&amp;ROW()-ROW($C$234)+6)=$B245</f>
        <v>1</v>
      </c>
      <c r="T245" s="37" t="s">
        <v>2191</v>
      </c>
      <c r="X245" s="137"/>
      <c r="Y245" s="99">
        <f t="shared" si="78"/>
        <v>4</v>
      </c>
      <c r="Z245" s="99"/>
      <c r="AA245" s="99"/>
      <c r="AB245" s="99"/>
      <c r="AC245" s="159"/>
      <c r="AD245" s="99"/>
      <c r="AE245" s="99" t="str">
        <f t="shared" si="79"/>
        <v/>
      </c>
      <c r="AF245" s="99"/>
      <c r="AG245" s="248"/>
      <c r="AH245" s="99"/>
    </row>
    <row r="246" spans="2:34" ht="13.5" customHeight="1">
      <c r="B246" s="327" t="s">
        <v>1870</v>
      </c>
      <c r="C246" s="99">
        <f ca="1">IF(INDIRECT(C$19&amp;"!C"&amp;ROW()-ROW($C$234)+6)="","",INDIRECT(C$19&amp;"!C"&amp;ROW()-ROW($C$234)+6))</f>
        <v>400</v>
      </c>
      <c r="D246" s="99">
        <f ca="1">IF(INDIRECT(D$19&amp;"!C"&amp;ROW()-ROW($C$234)+6)="","",INDIRECT(D$19&amp;"!C"&amp;ROW()-ROW($C$234)+6))</f>
        <v>416.66666666666669</v>
      </c>
      <c r="E246" s="99">
        <f ca="1">IF(INDIRECT(E$19&amp;"!C"&amp;ROW()-ROW($C$234)+6)="","",INDIRECT(E$19&amp;"!C"&amp;ROW()-ROW($C$234)+6))</f>
        <v>500</v>
      </c>
      <c r="F246" s="99">
        <f ca="1">IF(INDIRECT(F$19&amp;"!C"&amp;ROW()-ROW($C$234)+6)="","",INDIRECT(F$19&amp;"!C"&amp;ROW()-ROW($C$234)+6))</f>
        <v>400</v>
      </c>
      <c r="G246" s="99" t="str">
        <f ca="1">IF(INDIRECT(C$19&amp;"!D"&amp;ROW()-ROW($C$234)+6)="","",INDIRECT(C$19&amp;"!D"&amp;ROW()-ROW($C$234)+6))</f>
        <v/>
      </c>
      <c r="H246" s="99" t="str">
        <f ca="1">IF(INDIRECT(D$19&amp;"!D"&amp;ROW()-ROW($C$234)+6)="","",INDIRECT(D$19&amp;"!D"&amp;ROW()-ROW($C$234)+6))</f>
        <v/>
      </c>
      <c r="I246" s="99" t="str">
        <f ca="1">IF(INDIRECT(E$19&amp;"!D"&amp;ROW()-ROW($C$234)+6)="","",INDIRECT(E$19&amp;"!D"&amp;ROW()-ROW($C$234)+6))</f>
        <v/>
      </c>
      <c r="J246" s="99" t="str">
        <f ca="1">IF(INDIRECT(F$19&amp;"!D"&amp;ROW()-ROW($C$234)+6)="","",INDIRECT(F$19&amp;"!D"&amp;ROW()-ROW($C$234)+6))</f>
        <v/>
      </c>
      <c r="K246" s="99" t="str">
        <f ca="1">IF(INDIRECT(C$19&amp;"!E"&amp;ROW()-ROW($C$234)+6)="","",INDIRECT(C$19&amp;"!E"&amp;ROW()-ROW($C$234)+6))</f>
        <v>Numeric - Calculated automatically</v>
      </c>
      <c r="L246" s="99" t="b">
        <f ca="1">IF(INDIRECT(C$19&amp;"!F"&amp;ROW()-ROW($C$234)+6)="","",INDIRECT(C$19&amp;"!F"&amp;ROW()-ROW($C$234)+6))</f>
        <v>1</v>
      </c>
      <c r="M246" s="99" t="b">
        <f ca="1">IF(INDIRECT(D$19&amp;"!F"&amp;ROW()-ROW($C$234)+6)="","",INDIRECT(D$19&amp;"!F"&amp;ROW()-ROW($C$234)+6))</f>
        <v>1</v>
      </c>
      <c r="N246" s="99" t="b">
        <f ca="1">IF(INDIRECT(E$19&amp;"!F"&amp;ROW()-ROW($C$234)+6)="","",INDIRECT(E$19&amp;"!F"&amp;ROW()-ROW($C$234)+6))</f>
        <v>1</v>
      </c>
      <c r="O246" s="99" t="b">
        <f ca="1">IF(INDIRECT(F$19&amp;"!F"&amp;ROW()-ROW($C$234)+6)="","",INDIRECT(F$19&amp;"!F"&amp;ROW()-ROW($C$234)+6))</f>
        <v>1</v>
      </c>
      <c r="P246" s="99" t="b">
        <f ca="1">INDIRECT(C$19&amp;"!B"&amp;ROW()-ROW($C$234)+6)=$B246</f>
        <v>1</v>
      </c>
      <c r="Q246" s="99" t="b">
        <f ca="1">INDIRECT(D$19&amp;"!B"&amp;ROW()-ROW($C$234)+6)=$B246</f>
        <v>1</v>
      </c>
      <c r="R246" s="99" t="b">
        <f ca="1">INDIRECT(E$19&amp;"!B"&amp;ROW()-ROW($C$234)+6)=$B246</f>
        <v>1</v>
      </c>
      <c r="S246" s="99" t="b">
        <f ca="1">INDIRECT(F$19&amp;"!B"&amp;ROW()-ROW($C$234)+6)=$B246</f>
        <v>1</v>
      </c>
      <c r="T246" s="99" t="str">
        <f ca="1">IF(NOT(ISERROR(MATCH(K246,'Lookup Tables'!A:A,0))),"Lookup",IF(OR(NOT(ISERROR(FIND("Numeric",K246))),NOT(ISERROR(FIND("Percentage",K246))),NOT(ISERROR(FIND("Date",K246)))),"Numeric",IF(NOT(ISERROR(FIND("lank",K246))),"Non-blank",IF(NOT(ISERROR(FIND("Not evaluated",K246))),"Skipped","Other"))))</f>
        <v>Numeric</v>
      </c>
      <c r="U246" s="101">
        <f ca="1">IF(COLUMN()-COLUMN($U$55)+1&lt;=$Y245,1-((LOG(C246+1)-LOG(MIN($C246:$F246,$Z246:$AA246)+1))/(LOG(MAX($AA246,$C246:$F246)+1)-LOG(MIN($C246:$F246,$Z246:$AA246)+1))),"")</f>
        <v>0.35275033436468028</v>
      </c>
      <c r="V246" s="101">
        <f ca="1">IF(COLUMN()-COLUMN($U$55)+1&lt;=$Y245,1-((LOG(D246+1)-LOG(MIN($C246:$F246,$Z246:$AA246)+1))/(LOG(MAX($AA246,$C246:$F246)+1)-LOG(MIN($C246:$F246,$Z246:$AA246)+1))),"")</f>
        <v>0.3438139042100371</v>
      </c>
      <c r="W246" s="101">
        <f ca="1">IF(COLUMN()-COLUMN($U$55)+1&lt;=$Y245,1-((LOG(E246+1)-LOG(MIN($C246:$F246,$Z246:$AA246)+1))/(LOG(MAX($AA246,$C246:$F246)+1)-LOG(MIN($C246:$F246,$Z246:$AA246)+1))),"")</f>
        <v>0.30389131705072858</v>
      </c>
      <c r="X246" s="466">
        <f ca="1">IF(COLUMN()-COLUMN($U$55)+1&lt;=$Y245,1-((LOG(F246+1)-LOG(MIN($C246:$F246,$Z246:$AA246)+1))/(LOG(MAX($AA246,$C246:$F246)+1)-LOG(MIN($C246:$F246,$Z246:$AA246)+1))),"")</f>
        <v>0.35275033436468028</v>
      </c>
      <c r="Y246" s="99">
        <f t="shared" si="78"/>
        <v>4</v>
      </c>
      <c r="Z246" s="99">
        <v>20</v>
      </c>
      <c r="AA246" s="99">
        <v>2000</v>
      </c>
      <c r="AB246" s="159" t="s">
        <v>2192</v>
      </c>
      <c r="AC246" s="159" t="s">
        <v>2227</v>
      </c>
      <c r="AD246" s="101">
        <f ca="1">IFERROR(SUMPRODUCT(U246:X246,$C$241:$F$241)/SUM($C$241:$F$241),AVERAGE(U246:X246))</f>
        <v>0.34212482310273185</v>
      </c>
      <c r="AE246" s="99" t="b">
        <f ca="1">IF(AD246="","",ISERROR(MATCH(TRUE,L246:O246,0)))</f>
        <v>0</v>
      </c>
      <c r="AF246" s="159" t="s">
        <v>2389</v>
      </c>
      <c r="AG246" s="783">
        <f>COUNTIF('VA Detailed Scorecard Config'!D:D,AF246)</f>
        <v>1</v>
      </c>
      <c r="AH246" s="99"/>
    </row>
    <row r="247" spans="2:34" ht="13.5" customHeight="1">
      <c r="B247" s="327" t="s">
        <v>2027</v>
      </c>
      <c r="C247" s="99" t="b">
        <f ca="1">IF(INDIRECT(C$19&amp;"!C"&amp;ROW()-ROW($C$234)+6)="","",INDIRECT(C$19&amp;"!C"&amp;ROW()-ROW($C$234)+6))</f>
        <v>1</v>
      </c>
      <c r="D247" s="99" t="b">
        <f ca="1">IF(INDIRECT(D$19&amp;"!C"&amp;ROW()-ROW($C$234)+6)="","",INDIRECT(D$19&amp;"!C"&amp;ROW()-ROW($C$234)+6))</f>
        <v>1</v>
      </c>
      <c r="E247" s="99" t="b">
        <f ca="1">IF(INDIRECT(E$19&amp;"!C"&amp;ROW()-ROW($C$234)+6)="","",INDIRECT(E$19&amp;"!C"&amp;ROW()-ROW($C$234)+6))</f>
        <v>1</v>
      </c>
      <c r="F247" s="99" t="b">
        <f ca="1">IF(INDIRECT(F$19&amp;"!C"&amp;ROW()-ROW($C$234)+6)="","",INDIRECT(F$19&amp;"!C"&amp;ROW()-ROW($C$234)+6))</f>
        <v>1</v>
      </c>
      <c r="G247" s="99" t="str">
        <f ca="1">IF(INDIRECT(C$19&amp;"!D"&amp;ROW()-ROW($C$234)+6)="","",INDIRECT(C$19&amp;"!D"&amp;ROW()-ROW($C$234)+6))</f>
        <v/>
      </c>
      <c r="H247" s="99" t="str">
        <f ca="1">IF(INDIRECT(D$19&amp;"!D"&amp;ROW()-ROW($C$234)+6)="","",INDIRECT(D$19&amp;"!D"&amp;ROW()-ROW($C$234)+6))</f>
        <v/>
      </c>
      <c r="I247" s="99" t="str">
        <f ca="1">IF(INDIRECT(E$19&amp;"!D"&amp;ROW()-ROW($C$234)+6)="","",INDIRECT(E$19&amp;"!D"&amp;ROW()-ROW($C$234)+6))</f>
        <v/>
      </c>
      <c r="J247" s="99" t="str">
        <f ca="1">IF(INDIRECT(F$19&amp;"!D"&amp;ROW()-ROW($C$234)+6)="","",INDIRECT(F$19&amp;"!D"&amp;ROW()-ROW($C$234)+6))</f>
        <v/>
      </c>
      <c r="K247" s="99" t="str">
        <f ca="1">IF(INDIRECT(C$19&amp;"!E"&amp;ROW()-ROW($C$234)+6)="","",INDIRECT(C$19&amp;"!E"&amp;ROW()-ROW($C$234)+6))</f>
        <v>Not evaluated</v>
      </c>
      <c r="L247" s="99" t="b">
        <f ca="1">IF(INDIRECT(C$19&amp;"!F"&amp;ROW()-ROW($C$234)+6)="","",INDIRECT(C$19&amp;"!F"&amp;ROW()-ROW($C$234)+6))</f>
        <v>1</v>
      </c>
      <c r="M247" s="99" t="b">
        <f ca="1">IF(INDIRECT(D$19&amp;"!F"&amp;ROW()-ROW($C$234)+6)="","",INDIRECT(D$19&amp;"!F"&amp;ROW()-ROW($C$234)+6))</f>
        <v>1</v>
      </c>
      <c r="N247" s="99" t="b">
        <f ca="1">IF(INDIRECT(E$19&amp;"!F"&amp;ROW()-ROW($C$234)+6)="","",INDIRECT(E$19&amp;"!F"&amp;ROW()-ROW($C$234)+6))</f>
        <v>1</v>
      </c>
      <c r="O247" s="99" t="b">
        <f ca="1">IF(INDIRECT(F$19&amp;"!F"&amp;ROW()-ROW($C$234)+6)="","",INDIRECT(F$19&amp;"!F"&amp;ROW()-ROW($C$234)+6))</f>
        <v>1</v>
      </c>
      <c r="P247" s="99" t="b">
        <f ca="1">INDIRECT(C$19&amp;"!B"&amp;ROW()-ROW($C$234)+6)=$B247</f>
        <v>1</v>
      </c>
      <c r="Q247" s="99" t="b">
        <f ca="1">INDIRECT(D$19&amp;"!B"&amp;ROW()-ROW($C$234)+6)=$B247</f>
        <v>1</v>
      </c>
      <c r="R247" s="99" t="b">
        <f ca="1">INDIRECT(E$19&amp;"!B"&amp;ROW()-ROW($C$234)+6)=$B247</f>
        <v>1</v>
      </c>
      <c r="S247" s="99" t="b">
        <f ca="1">INDIRECT(F$19&amp;"!B"&amp;ROW()-ROW($C$234)+6)=$B247</f>
        <v>1</v>
      </c>
      <c r="T247" s="37" t="str">
        <f ca="1">IF(NOT(ISERROR(MATCH(K247,'Lookup Tables'!A:A,0))),"Lookup",IF(OR(NOT(ISERROR(FIND("Numeric",K247))),NOT(ISERROR(FIND("Percentage",K247))),NOT(ISERROR(FIND("Date",K247)))),"Numeric",IF(NOT(ISERROR(FIND("lank",K247))),"Non-blank",IF(NOT(ISERROR(FIND("Not evaluated",K247))),"Skipped","Other"))))</f>
        <v>Skipped</v>
      </c>
      <c r="X247" s="137"/>
      <c r="Y247" s="99">
        <f t="shared" si="78"/>
        <v>4</v>
      </c>
      <c r="Z247" s="99"/>
      <c r="AA247" s="99"/>
      <c r="AB247" s="99"/>
      <c r="AC247" s="159"/>
      <c r="AD247" s="99"/>
      <c r="AE247" s="99" t="str">
        <f t="shared" si="79"/>
        <v/>
      </c>
      <c r="AF247" s="99"/>
      <c r="AG247" s="248"/>
      <c r="AH247" s="99"/>
    </row>
    <row r="248" spans="2:34" ht="13.5" customHeight="1">
      <c r="B248" s="469" t="s">
        <v>2202</v>
      </c>
      <c r="C248" s="468">
        <f ca="1">MAX(C235:C236,IF(C237&lt;&gt;"",C237-TODAY()))</f>
        <v>60</v>
      </c>
      <c r="D248" s="99">
        <f ca="1">IF(D236&lt;&gt;"",D236,IF(D235&lt;&gt;"",MAX(0,D235-C235),IF(D237&lt;&gt;"",D237-C237,0)))</f>
        <v>30</v>
      </c>
      <c r="E248" s="99">
        <f ca="1">IF(E236&lt;&gt;"",E236,IF(E235&lt;&gt;"",MAX(0,E235-D235),IF(E237&lt;&gt;"",E237-D237,0)))</f>
        <v>30</v>
      </c>
      <c r="F248" s="99">
        <f ca="1">IF(F236&lt;&gt;"",F236,IF(F235&lt;&gt;"",MAX(0,F235-E235),IF(F237&lt;&gt;"",F237-E237,0)))</f>
        <v>30</v>
      </c>
      <c r="G248" s="159" t="s">
        <v>2203</v>
      </c>
      <c r="H248" s="99"/>
      <c r="I248" s="99"/>
      <c r="J248" s="99"/>
      <c r="K248" s="99"/>
      <c r="L248" s="99"/>
      <c r="M248" s="99"/>
      <c r="N248" s="99"/>
      <c r="O248" s="99"/>
      <c r="P248" s="99"/>
      <c r="Q248" s="99"/>
      <c r="R248" s="99"/>
      <c r="S248" s="99"/>
      <c r="T248" s="159" t="s">
        <v>2204</v>
      </c>
      <c r="U248" s="101">
        <f ca="1">IF(COLUMN()-COLUMN($U$55)+1&lt;=$Y247,1-((LOG(C248+1)-LOG(MIN($C248:$F248,$Z248:$AA248)+1))/(LOG(MAX($AA248,$C248:$F248)+1)-LOG(MIN($C248:$F248,$Z248:$AA248)+1))),"")</f>
        <v>0.43585853724275581</v>
      </c>
      <c r="V248" s="101">
        <f ca="1">IF(COLUMN()-COLUMN($U$55)+1&lt;=$Y247,1-((LOG(D248+1)-LOG(MIN($C248:$F248,$Z248:$AA248)+1))/(LOG(MAX($AA248,$C248:$F248)+1)-LOG(MIN($C248:$F248,$Z248:$AA248)+1))),"")</f>
        <v>0.60051614583233137</v>
      </c>
      <c r="W248" s="101">
        <f ca="1">IF(COLUMN()-COLUMN($U$55)+1&lt;=$Y247,1-((LOG(E248+1)-LOG(MIN($C248:$F248,$Z248:$AA248)+1))/(LOG(MAX($AA248,$C248:$F248)+1)-LOG(MIN($C248:$F248,$Z248:$AA248)+1))),"")</f>
        <v>0.60051614583233137</v>
      </c>
      <c r="X248" s="466">
        <f ca="1">IF(COLUMN()-COLUMN($U$55)+1&lt;=$Y247,1-((LOG(F248+1)-LOG(MIN($C248:$F248,$Z248:$AA248)+1))/(LOG(MAX($AA248,$C248:$F248)+1)-LOG(MIN($C248:$F248,$Z248:$AA248)+1))),"")</f>
        <v>0.60051614583233137</v>
      </c>
      <c r="Y248" s="99">
        <f t="shared" si="78"/>
        <v>4</v>
      </c>
      <c r="Z248" s="99">
        <v>5</v>
      </c>
      <c r="AA248" s="99">
        <v>365</v>
      </c>
      <c r="AB248" s="159" t="s">
        <v>2192</v>
      </c>
      <c r="AC248" s="159" t="s">
        <v>2228</v>
      </c>
      <c r="AD248" s="101">
        <f ca="1">IFERROR(SUMPRODUCT(U248:X248,$U$241:$X$241)/SUM($U$241:$X$241),AVERAGE(U248:X248))</f>
        <v>0.55073718371013825</v>
      </c>
      <c r="AE248" s="99" t="b">
        <v>0</v>
      </c>
      <c r="AF248" s="159" t="s">
        <v>2390</v>
      </c>
      <c r="AG248" s="783">
        <f>COUNTIF('VA Detailed Scorecard Config'!D:D,AF248)</f>
        <v>2</v>
      </c>
      <c r="AH248" s="99"/>
    </row>
    <row r="249" spans="2:34" ht="13.5" customHeight="1">
      <c r="AF249" s="137"/>
      <c r="AG249" s="775"/>
    </row>
    <row r="250" spans="2:34" ht="13.5" customHeight="1">
      <c r="B250" s="707" t="s">
        <v>1902</v>
      </c>
      <c r="C250" s="708"/>
      <c r="D250" s="708"/>
      <c r="E250" s="708"/>
      <c r="F250" s="708"/>
      <c r="G250" s="708"/>
      <c r="H250" s="708"/>
      <c r="I250" s="708"/>
      <c r="J250" s="708"/>
      <c r="K250" s="708"/>
      <c r="L250" s="708"/>
      <c r="M250" s="708"/>
      <c r="N250" s="708"/>
      <c r="O250" s="709"/>
      <c r="P250" s="583" t="s">
        <v>1981</v>
      </c>
      <c r="Q250" s="583"/>
      <c r="R250" s="583"/>
      <c r="S250" s="583"/>
      <c r="T250" s="578" t="s">
        <v>2169</v>
      </c>
      <c r="U250" s="578" t="s">
        <v>2174</v>
      </c>
      <c r="V250" s="578"/>
      <c r="W250" s="578"/>
      <c r="X250" s="578"/>
      <c r="Y250" s="580" t="s">
        <v>2181</v>
      </c>
      <c r="Z250" s="582" t="s">
        <v>2182</v>
      </c>
      <c r="AA250" s="582"/>
      <c r="AB250" s="582"/>
      <c r="AC250" s="581" t="s">
        <v>2197</v>
      </c>
      <c r="AD250" s="581" t="s">
        <v>2225</v>
      </c>
      <c r="AE250" s="581" t="s">
        <v>2226</v>
      </c>
      <c r="AF250" s="767" t="s">
        <v>2246</v>
      </c>
      <c r="AG250" s="764" t="s">
        <v>2278</v>
      </c>
      <c r="AH250" s="767" t="s">
        <v>2277</v>
      </c>
    </row>
    <row r="251" spans="2:34" ht="13.5" customHeight="1">
      <c r="B251" s="421" t="s">
        <v>4</v>
      </c>
      <c r="C251" s="408" t="s">
        <v>1989</v>
      </c>
      <c r="D251" s="408" t="s">
        <v>1990</v>
      </c>
      <c r="E251" s="176"/>
      <c r="F251" s="176"/>
      <c r="G251" s="408" t="s">
        <v>1991</v>
      </c>
      <c r="H251" s="408" t="s">
        <v>1992</v>
      </c>
      <c r="I251" s="176"/>
      <c r="J251" s="176"/>
      <c r="K251" s="410" t="s">
        <v>1988</v>
      </c>
      <c r="L251" s="410" t="s">
        <v>2219</v>
      </c>
      <c r="M251" s="410" t="s">
        <v>2220</v>
      </c>
      <c r="N251" s="410" t="s">
        <v>2221</v>
      </c>
      <c r="O251" s="410" t="s">
        <v>2222</v>
      </c>
      <c r="P251" s="423" t="s">
        <v>1993</v>
      </c>
      <c r="Q251" s="423" t="s">
        <v>1994</v>
      </c>
      <c r="R251" s="423" t="s">
        <v>1995</v>
      </c>
      <c r="S251" s="423" t="s">
        <v>1996</v>
      </c>
      <c r="T251" s="579"/>
      <c r="U251" s="190" t="s">
        <v>1993</v>
      </c>
      <c r="V251" s="190" t="s">
        <v>1994</v>
      </c>
      <c r="W251" s="190" t="s">
        <v>1995</v>
      </c>
      <c r="X251" s="190" t="s">
        <v>1996</v>
      </c>
      <c r="Y251" s="581"/>
      <c r="Z251" s="381" t="s">
        <v>2183</v>
      </c>
      <c r="AA251" s="381" t="s">
        <v>2184</v>
      </c>
      <c r="AB251" s="381" t="s">
        <v>2185</v>
      </c>
      <c r="AC251" s="769"/>
      <c r="AD251" s="769"/>
      <c r="AE251" s="769"/>
      <c r="AF251" s="768"/>
      <c r="AG251" s="766"/>
      <c r="AH251" s="768"/>
    </row>
    <row r="252" spans="2:34" ht="13.5" customHeight="1">
      <c r="B252" s="335" t="s">
        <v>1439</v>
      </c>
      <c r="C252" s="161" t="str">
        <f ca="1">IF(INDIRECT(C$24&amp;"!C"&amp;ROW()-ROW($C$252)+4)="","",INDIRECT(C$24&amp;"!C"&amp;ROW()-ROW($C$252)+4))</f>
        <v>MickeyMouse</v>
      </c>
      <c r="D252" s="161" t="str">
        <f ca="1">IF(INDIRECT(D$24&amp;"!C"&amp;ROW()-ROW($C$252)+4)="","",INDIRECT(D$24&amp;"!C"&amp;ROW()-ROW($C$252)+4))</f>
        <v>DonaldDuck</v>
      </c>
      <c r="E252" s="137"/>
      <c r="F252" s="137"/>
      <c r="G252" s="161" t="str">
        <f ca="1">IF(INDIRECT(C$24&amp;"!D"&amp;ROW()-ROW($C$252)+4)="","",INDIRECT(C$24&amp;"!D"&amp;ROW()-ROW($C$252)+4))</f>
        <v/>
      </c>
      <c r="H252" s="161" t="str">
        <f ca="1">IF(INDIRECT(D$24&amp;"!D"&amp;ROW()-ROW($C$252)+4)="","",INDIRECT(D$24&amp;"!D"&amp;ROW()-ROW($C$252)+4))</f>
        <v/>
      </c>
      <c r="I252" s="137"/>
      <c r="J252" s="137"/>
      <c r="K252" s="99" t="str">
        <f ca="1">IF(INDIRECT(C$24&amp;"!E"&amp;ROW()-ROW($C$252)+4)="","",INDIRECT(C$24&amp;"!E"&amp;ROW()-ROW($C$252)+4))</f>
        <v>Not evaluated</v>
      </c>
      <c r="L252" s="99" t="b">
        <f ca="1">IF(INDIRECT(C$24&amp;"!F"&amp;ROW()-ROW($C$252)+4)="","",INDIRECT(C$24&amp;"!F"&amp;ROW()-ROW($C$252)+4))</f>
        <v>1</v>
      </c>
      <c r="M252" s="99" t="b">
        <f ca="1">IF(INDIRECT(D$24&amp;"!F"&amp;ROW()-ROW($C$252)+4)="","",INDIRECT(D$24&amp;"!F"&amp;ROW()-ROW($C$252)+4))</f>
        <v>1</v>
      </c>
      <c r="N252" s="99"/>
      <c r="O252" s="99"/>
      <c r="P252" s="99" t="b">
        <f ca="1">INDIRECT(C$24&amp;"!B"&amp;ROW()-ROW($C$252)+4)=$B252</f>
        <v>1</v>
      </c>
      <c r="Q252" s="99" t="b">
        <f ca="1">INDIRECT(D$24&amp;"!B"&amp;ROW()-ROW($C$252)+4)=$B252</f>
        <v>1</v>
      </c>
      <c r="R252" s="137"/>
      <c r="S252" s="137"/>
      <c r="T252" s="37" t="str">
        <f ca="1">IF(NOT(ISERROR(MATCH(K252,'Lookup Tables'!A:A,0))),"Lookup",IF(OR(NOT(ISERROR(FIND("Numeric",K252))),NOT(ISERROR(FIND("Percentage",K252))),NOT(ISERROR(FIND("Date",K252)))),"Numeric",IF(NOT(ISERROR(FIND("lank",K252))),"Non-blank",IF(NOT(ISERROR(FIND("Not evaluated",K252))),"Skipped","Other"))))</f>
        <v>Skipped</v>
      </c>
      <c r="X252" s="137"/>
      <c r="Y252" s="99">
        <f>COUNTA($C$24:$F$24)</f>
        <v>2</v>
      </c>
      <c r="Z252" s="99"/>
      <c r="AA252" s="99"/>
      <c r="AB252" s="99"/>
      <c r="AC252" s="159"/>
      <c r="AD252" s="107"/>
      <c r="AE252" s="99"/>
      <c r="AF252" s="159"/>
      <c r="AG252" s="248"/>
      <c r="AH252" s="159"/>
    </row>
    <row r="253" spans="2:34" ht="13.5" customHeight="1">
      <c r="B253" s="344" t="s">
        <v>1912</v>
      </c>
      <c r="C253" s="99" t="str">
        <f ca="1">IF(INDIRECT(C$24&amp;"!C"&amp;ROW()-ROW($C$252)+4)="","",INDIRECT(C$24&amp;"!C"&amp;ROW()-ROW($C$252)+4))</f>
        <v>Yes</v>
      </c>
      <c r="D253" s="99" t="str">
        <f ca="1">IF(INDIRECT(D$24&amp;"!C"&amp;ROW()-ROW($C$252)+4)="","",INDIRECT(D$24&amp;"!C"&amp;ROW()-ROW($C$252)+4))</f>
        <v>Yes</v>
      </c>
      <c r="G253" s="99" t="str">
        <f ca="1">IF(INDIRECT(C$24&amp;"!D"&amp;ROW()-ROW($C$252)+4)="","",INDIRECT(C$24&amp;"!D"&amp;ROW()-ROW($C$252)+4))</f>
        <v/>
      </c>
      <c r="H253" s="99" t="str">
        <f ca="1">IF(INDIRECT(D$24&amp;"!D"&amp;ROW()-ROW($C$252)+4)="","",INDIRECT(D$24&amp;"!D"&amp;ROW()-ROW($C$252)+4))</f>
        <v/>
      </c>
      <c r="K253" s="99" t="str">
        <f ca="1">IF(INDIRECT(C$24&amp;"!E"&amp;ROW()-ROW($C$252)+4)="","",INDIRECT(C$24&amp;"!E"&amp;ROW()-ROW($C$252)+4))</f>
        <v>YES_No</v>
      </c>
      <c r="L253" s="99" t="b">
        <f ca="1">IF(INDIRECT(C$24&amp;"!F"&amp;ROW()-ROW($C$252)+4)="","",INDIRECT(C$24&amp;"!F"&amp;ROW()-ROW($C$252)+4))</f>
        <v>1</v>
      </c>
      <c r="M253" s="99" t="b">
        <f ca="1">IF(INDIRECT(D$24&amp;"!F"&amp;ROW()-ROW($C$252)+4)="","",INDIRECT(D$24&amp;"!F"&amp;ROW()-ROW($C$252)+4))</f>
        <v>1</v>
      </c>
      <c r="N253" s="99"/>
      <c r="O253" s="99"/>
      <c r="P253" s="99" t="b">
        <f ca="1">INDIRECT(C$24&amp;"!B"&amp;ROW()-ROW($C$252)+4)=$B253</f>
        <v>1</v>
      </c>
      <c r="Q253" s="99" t="b">
        <f ca="1">INDIRECT(D$24&amp;"!B"&amp;ROW()-ROW($C$252)+4)=$B253</f>
        <v>1</v>
      </c>
      <c r="T253" s="37" t="str">
        <f ca="1">IF(NOT(ISERROR(MATCH(K253,'Lookup Tables'!A:A,0))),"Lookup",IF(OR(NOT(ISERROR(FIND("Numeric",K253))),NOT(ISERROR(FIND("Percentage",K253))),NOT(ISERROR(FIND("Date",K253)))),"Numeric",IF(NOT(ISERROR(FIND("lank",K253))),"Non-blank",IF(NOT(ISERROR(FIND("Not evaluated",K253))),"Skipped","Other"))))</f>
        <v>Lookup</v>
      </c>
      <c r="U253" s="461">
        <f ca="1">IF(COLUMN()-COLUMN($U$55)+1&lt;=$Y253,INDEX(OFFSET(INDIRECT($K253),0,1),MATCH(C253,INDIRECT($K253),0)),"")</f>
        <v>1</v>
      </c>
      <c r="V253" s="461">
        <f ca="1">IF(COLUMN()-COLUMN($U$55)+1&lt;=$Y253,INDEX(OFFSET(INDIRECT($K253),0,1),MATCH(D253,INDIRECT($K253),0)),"")</f>
        <v>1</v>
      </c>
      <c r="W253" s="461" t="str">
        <f ca="1">IF(COLUMN()-COLUMN($U$55)+1&lt;=$Y253,INDEX(OFFSET(INDIRECT($K253),0,1),MATCH(E253,INDIRECT($K253),0)),"")</f>
        <v/>
      </c>
      <c r="X253" s="465" t="str">
        <f ca="1">IF(COLUMN()-COLUMN($U$55)+1&lt;=$Y253,INDEX(OFFSET(INDIRECT($K253),0,1),MATCH(F253,INDIRECT($K253),0)),"")</f>
        <v/>
      </c>
      <c r="Y253" s="99">
        <f t="shared" ref="Y253:Y293" si="82">COUNTA($C$24:$F$24)</f>
        <v>2</v>
      </c>
      <c r="Z253" s="99"/>
      <c r="AA253" s="99"/>
      <c r="AB253" s="99"/>
      <c r="AC253" s="159" t="s">
        <v>2199</v>
      </c>
      <c r="AD253" s="107">
        <f t="shared" ref="AD253:AD291" ca="1" si="83">IFERROR(SUMPRODUCT(U253:X253,$C$294:$F$294)/SUM($C$294:$F$294),AVERAGE(U253:X253))</f>
        <v>1</v>
      </c>
      <c r="AE253" s="99" t="b">
        <f t="shared" ref="AE253:AE291" ca="1" si="84">IF(AD253="","",ISERROR(MATCH(TRUE,L253:O253,0)))</f>
        <v>0</v>
      </c>
      <c r="AF253" s="159" t="s">
        <v>2391</v>
      </c>
      <c r="AG253" s="783">
        <f>COUNTIF('VA Detailed Scorecard Config'!D:D,AF253)</f>
        <v>0</v>
      </c>
      <c r="AH253" s="159" t="s">
        <v>2284</v>
      </c>
    </row>
    <row r="254" spans="2:34" ht="13.5" customHeight="1" thickBot="1">
      <c r="B254" s="399" t="s">
        <v>1539</v>
      </c>
      <c r="C254" s="99" t="str">
        <f ca="1">IF(INDIRECT(C$24&amp;"!C"&amp;ROW()-ROW($C$252)+4)="","",INDIRECT(C$24&amp;"!C"&amp;ROW()-ROW($C$252)+4))</f>
        <v/>
      </c>
      <c r="D254" s="99" t="str">
        <f ca="1">IF(INDIRECT(D$24&amp;"!C"&amp;ROW()-ROW($C$252)+4)="","",INDIRECT(D$24&amp;"!C"&amp;ROW()-ROW($C$252)+4))</f>
        <v/>
      </c>
      <c r="G254" s="99" t="str">
        <f ca="1">IF(INDIRECT(C$24&amp;"!D"&amp;ROW()-ROW($C$252)+4)="","",INDIRECT(C$24&amp;"!D"&amp;ROW()-ROW($C$252)+4))</f>
        <v/>
      </c>
      <c r="H254" s="99" t="str">
        <f ca="1">IF(INDIRECT(D$24&amp;"!D"&amp;ROW()-ROW($C$252)+4)="","",INDIRECT(D$24&amp;"!D"&amp;ROW()-ROW($C$252)+4))</f>
        <v/>
      </c>
      <c r="K254" s="99" t="str">
        <f ca="1">IF(INDIRECT(C$24&amp;"!E"&amp;ROW()-ROW($C$252)+4)="","",INDIRECT(C$24&amp;"!E"&amp;ROW()-ROW($C$252)+4))</f>
        <v>Non-blank is better</v>
      </c>
      <c r="L254" s="99" t="b">
        <f ca="1">IF(INDIRECT(C$24&amp;"!F"&amp;ROW()-ROW($C$252)+4)="","",INDIRECT(C$24&amp;"!F"&amp;ROW()-ROW($C$252)+4))</f>
        <v>0</v>
      </c>
      <c r="M254" s="99" t="b">
        <f ca="1">IF(INDIRECT(D$24&amp;"!F"&amp;ROW()-ROW($C$252)+4)="","",INDIRECT(D$24&amp;"!F"&amp;ROW()-ROW($C$252)+4))</f>
        <v>0</v>
      </c>
      <c r="N254" s="99"/>
      <c r="O254" s="99"/>
      <c r="P254" s="99" t="b">
        <f ca="1">INDIRECT(C$24&amp;"!B"&amp;ROW()-ROW($C$252)+4)=$B254</f>
        <v>1</v>
      </c>
      <c r="Q254" s="99" t="b">
        <f ca="1">INDIRECT(D$24&amp;"!B"&amp;ROW()-ROW($C$252)+4)=$B254</f>
        <v>1</v>
      </c>
      <c r="T254" s="99" t="str">
        <f ca="1">IF(NOT(ISERROR(MATCH(K254,'Lookup Tables'!A:A,0))),"Lookup",IF(OR(NOT(ISERROR(FIND("Numeric",K254))),NOT(ISERROR(FIND("Percentage",K254))),NOT(ISERROR(FIND("Date",K254)))),"Numeric",IF(NOT(ISERROR(FIND("lank",K254))),"Non-blank",IF(NOT(ISERROR(FIND("Not evaluated",K254))),"Skipped","Other"))))</f>
        <v>Non-blank</v>
      </c>
      <c r="U254" s="461">
        <f ca="1">IF(COLUMN()-COLUMN($U$55)+1&lt;=$Y254,IF(C254="",0,1),"")</f>
        <v>0</v>
      </c>
      <c r="V254" s="461">
        <f ca="1">IF(COLUMN()-COLUMN($U$55)+1&lt;=$Y254,IF(D254="",0,1),"")</f>
        <v>0</v>
      </c>
      <c r="W254" s="461" t="str">
        <f>IF(COLUMN()-COLUMN($U$55)+1&lt;=$Y254,IF(E254="",0,1),"")</f>
        <v/>
      </c>
      <c r="X254" s="465" t="str">
        <f>IF(COLUMN()-COLUMN($U$55)+1&lt;=$Y254,IF(F254="",0,1),"")</f>
        <v/>
      </c>
      <c r="Y254" s="99">
        <f t="shared" si="82"/>
        <v>2</v>
      </c>
      <c r="Z254" s="99"/>
      <c r="AA254" s="99"/>
      <c r="AB254" s="99"/>
      <c r="AC254" s="159" t="s">
        <v>2199</v>
      </c>
      <c r="AD254" s="107">
        <f t="shared" ca="1" si="83"/>
        <v>0</v>
      </c>
      <c r="AE254" s="99" t="b">
        <f t="shared" ca="1" si="84"/>
        <v>1</v>
      </c>
      <c r="AF254" s="159" t="s">
        <v>2392</v>
      </c>
      <c r="AG254" s="783">
        <f>COUNTIF('VA Detailed Scorecard Config'!D:D,AF254)</f>
        <v>0</v>
      </c>
      <c r="AH254" s="99"/>
    </row>
    <row r="255" spans="2:34" ht="13.5" customHeight="1">
      <c r="B255" s="397" t="s">
        <v>735</v>
      </c>
      <c r="C255" s="99">
        <f ca="1">IF(INDIRECT(C$24&amp;"!C"&amp;ROW()-ROW($C$252)+4)="","",INDIRECT(C$24&amp;"!C"&amp;ROW()-ROW($C$252)+4))</f>
        <v>4</v>
      </c>
      <c r="D255" s="99">
        <f ca="1">IF(INDIRECT(D$24&amp;"!C"&amp;ROW()-ROW($C$252)+4)="","",INDIRECT(D$24&amp;"!C"&amp;ROW()-ROW($C$252)+4))</f>
        <v>4</v>
      </c>
      <c r="G255" s="99" t="str">
        <f ca="1">IF(INDIRECT(C$24&amp;"!D"&amp;ROW()-ROW($C$252)+4)="","",INDIRECT(C$24&amp;"!D"&amp;ROW()-ROW($C$252)+4))</f>
        <v/>
      </c>
      <c r="H255" s="99" t="str">
        <f ca="1">IF(INDIRECT(D$24&amp;"!D"&amp;ROW()-ROW($C$252)+4)="","",INDIRECT(D$24&amp;"!D"&amp;ROW()-ROW($C$252)+4))</f>
        <v/>
      </c>
      <c r="K255" s="99" t="str">
        <f ca="1">IF(INDIRECT(C$24&amp;"!E"&amp;ROW()-ROW($C$252)+4)="","",INDIRECT(C$24&amp;"!E"&amp;ROW()-ROW($C$252)+4))</f>
        <v>Disagree_Agree_1_5</v>
      </c>
      <c r="L255" s="99" t="b">
        <f ca="1">IF(INDIRECT(C$24&amp;"!F"&amp;ROW()-ROW($C$252)+4)="","",INDIRECT(C$24&amp;"!F"&amp;ROW()-ROW($C$252)+4))</f>
        <v>1</v>
      </c>
      <c r="M255" s="99" t="b">
        <f ca="1">IF(INDIRECT(D$24&amp;"!F"&amp;ROW()-ROW($C$252)+4)="","",INDIRECT(D$24&amp;"!F"&amp;ROW()-ROW($C$252)+4))</f>
        <v>1</v>
      </c>
      <c r="N255" s="99"/>
      <c r="O255" s="99"/>
      <c r="P255" s="99" t="b">
        <f ca="1">INDIRECT(C$24&amp;"!B"&amp;ROW()-ROW($C$252)+4)=$B255</f>
        <v>1</v>
      </c>
      <c r="Q255" s="99" t="b">
        <f ca="1">INDIRECT(D$24&amp;"!B"&amp;ROW()-ROW($C$252)+4)=$B255</f>
        <v>1</v>
      </c>
      <c r="T255" s="37" t="str">
        <f ca="1">IF(NOT(ISERROR(MATCH(K255,'Lookup Tables'!A:A,0))),"Lookup",IF(OR(NOT(ISERROR(FIND("Numeric",K255))),NOT(ISERROR(FIND("Percentage",K255))),NOT(ISERROR(FIND("Date",K255)))),"Numeric",IF(NOT(ISERROR(FIND("lank",K255))),"Non-blank",IF(NOT(ISERROR(FIND("Not evaluated",K255))),"Skipped","Other"))))</f>
        <v>Lookup</v>
      </c>
      <c r="U255" s="461">
        <f t="shared" ref="U255:U291" ca="1" si="85">IF(COLUMN()-COLUMN($U$55)+1&lt;=$Y255,INDEX(OFFSET(INDIRECT($K255),0,1),MATCH(C255,INDIRECT($K255),0)),"")</f>
        <v>0.75</v>
      </c>
      <c r="V255" s="461">
        <f t="shared" ref="V255:V291" ca="1" si="86">IF(COLUMN()-COLUMN($U$55)+1&lt;=$Y255,INDEX(OFFSET(INDIRECT($K255),0,1),MATCH(D255,INDIRECT($K255),0)),"")</f>
        <v>0.75</v>
      </c>
      <c r="W255" s="461" t="str">
        <f t="shared" ref="W255:W291" ca="1" si="87">IF(COLUMN()-COLUMN($U$55)+1&lt;=$Y255,INDEX(OFFSET(INDIRECT($K255),0,1),MATCH(E255,INDIRECT($K255),0)),"")</f>
        <v/>
      </c>
      <c r="X255" s="465" t="str">
        <f t="shared" ref="X255:X291" ca="1" si="88">IF(COLUMN()-COLUMN($U$55)+1&lt;=$Y255,INDEX(OFFSET(INDIRECT($K255),0,1),MATCH(F255,INDIRECT($K255),0)),"")</f>
        <v/>
      </c>
      <c r="Y255" s="99">
        <f t="shared" si="82"/>
        <v>2</v>
      </c>
      <c r="Z255" s="99"/>
      <c r="AA255" s="99"/>
      <c r="AB255" s="99"/>
      <c r="AC255" s="159" t="s">
        <v>2199</v>
      </c>
      <c r="AD255" s="107">
        <f t="shared" ca="1" si="83"/>
        <v>0.75</v>
      </c>
      <c r="AE255" s="99" t="b">
        <f t="shared" ca="1" si="84"/>
        <v>0</v>
      </c>
      <c r="AF255" s="159" t="s">
        <v>2393</v>
      </c>
      <c r="AG255" s="783">
        <f>COUNTIF('VA Detailed Scorecard Config'!D:D,AF255)</f>
        <v>1</v>
      </c>
      <c r="AH255" s="99"/>
    </row>
    <row r="256" spans="2:34" ht="13.5" customHeight="1">
      <c r="B256" s="327" t="s">
        <v>736</v>
      </c>
      <c r="C256" s="99" t="str">
        <f ca="1">IF(INDIRECT(C$24&amp;"!C"&amp;ROW()-ROW($C$252)+4)="","",INDIRECT(C$24&amp;"!C"&amp;ROW()-ROW($C$252)+4))</f>
        <v>5 - Completely Agree</v>
      </c>
      <c r="D256" s="99">
        <f ca="1">IF(INDIRECT(D$24&amp;"!C"&amp;ROW()-ROW($C$252)+4)="","",INDIRECT(D$24&amp;"!C"&amp;ROW()-ROW($C$252)+4))</f>
        <v>3</v>
      </c>
      <c r="G256" s="99" t="str">
        <f ca="1">IF(INDIRECT(C$24&amp;"!D"&amp;ROW()-ROW($C$252)+4)="","",INDIRECT(C$24&amp;"!D"&amp;ROW()-ROW($C$252)+4))</f>
        <v/>
      </c>
      <c r="H256" s="99" t="str">
        <f ca="1">IF(INDIRECT(D$24&amp;"!D"&amp;ROW()-ROW($C$252)+4)="","",INDIRECT(D$24&amp;"!D"&amp;ROW()-ROW($C$252)+4))</f>
        <v/>
      </c>
      <c r="K256" s="99" t="str">
        <f ca="1">IF(INDIRECT(C$24&amp;"!E"&amp;ROW()-ROW($C$252)+4)="","",INDIRECT(C$24&amp;"!E"&amp;ROW()-ROW($C$252)+4))</f>
        <v>Disagree_Agree_1_5</v>
      </c>
      <c r="L256" s="99" t="b">
        <f ca="1">IF(INDIRECT(C$24&amp;"!F"&amp;ROW()-ROW($C$252)+4)="","",INDIRECT(C$24&amp;"!F"&amp;ROW()-ROW($C$252)+4))</f>
        <v>1</v>
      </c>
      <c r="M256" s="99" t="b">
        <f ca="1">IF(INDIRECT(D$24&amp;"!F"&amp;ROW()-ROW($C$252)+4)="","",INDIRECT(D$24&amp;"!F"&amp;ROW()-ROW($C$252)+4))</f>
        <v>1</v>
      </c>
      <c r="N256" s="99"/>
      <c r="O256" s="99"/>
      <c r="P256" s="99" t="b">
        <f ca="1">INDIRECT(C$24&amp;"!B"&amp;ROW()-ROW($C$252)+4)=$B256</f>
        <v>1</v>
      </c>
      <c r="Q256" s="99" t="b">
        <f ca="1">INDIRECT(D$24&amp;"!B"&amp;ROW()-ROW($C$252)+4)=$B256</f>
        <v>1</v>
      </c>
      <c r="T256" s="37" t="str">
        <f ca="1">IF(NOT(ISERROR(MATCH(K256,'Lookup Tables'!A:A,0))),"Lookup",IF(OR(NOT(ISERROR(FIND("Numeric",K256))),NOT(ISERROR(FIND("Percentage",K256))),NOT(ISERROR(FIND("Date",K256)))),"Numeric",IF(NOT(ISERROR(FIND("lank",K256))),"Non-blank",IF(NOT(ISERROR(FIND("Not evaluated",K256))),"Skipped","Other"))))</f>
        <v>Lookup</v>
      </c>
      <c r="U256" s="461">
        <f t="shared" ca="1" si="85"/>
        <v>1</v>
      </c>
      <c r="V256" s="461">
        <f t="shared" ca="1" si="86"/>
        <v>0.5</v>
      </c>
      <c r="W256" s="461" t="str">
        <f t="shared" ca="1" si="87"/>
        <v/>
      </c>
      <c r="X256" s="465" t="str">
        <f t="shared" ca="1" si="88"/>
        <v/>
      </c>
      <c r="Y256" s="99">
        <f t="shared" si="82"/>
        <v>2</v>
      </c>
      <c r="Z256" s="99"/>
      <c r="AA256" s="99"/>
      <c r="AB256" s="99"/>
      <c r="AC256" s="159" t="s">
        <v>2199</v>
      </c>
      <c r="AD256" s="107">
        <f t="shared" ca="1" si="83"/>
        <v>0.75</v>
      </c>
      <c r="AE256" s="99" t="b">
        <f t="shared" ca="1" si="84"/>
        <v>0</v>
      </c>
      <c r="AF256" s="159" t="s">
        <v>2394</v>
      </c>
      <c r="AG256" s="783">
        <f>COUNTIF('VA Detailed Scorecard Config'!D:D,AF256)</f>
        <v>1</v>
      </c>
      <c r="AH256" s="99"/>
    </row>
    <row r="257" spans="2:34" ht="13.5" customHeight="1">
      <c r="B257" s="328" t="s">
        <v>753</v>
      </c>
      <c r="C257" s="99" t="str">
        <f ca="1">IF(INDIRECT(C$24&amp;"!C"&amp;ROW()-ROW($C$252)+4)="","",INDIRECT(C$24&amp;"!C"&amp;ROW()-ROW($C$252)+4))</f>
        <v>5 - Completely Agree</v>
      </c>
      <c r="D257" s="99" t="str">
        <f ca="1">IF(INDIRECT(D$24&amp;"!C"&amp;ROW()-ROW($C$252)+4)="","",INDIRECT(D$24&amp;"!C"&amp;ROW()-ROW($C$252)+4))</f>
        <v>5 - Completely Agree</v>
      </c>
      <c r="G257" s="99" t="str">
        <f ca="1">IF(INDIRECT(C$24&amp;"!D"&amp;ROW()-ROW($C$252)+4)="","",INDIRECT(C$24&amp;"!D"&amp;ROW()-ROW($C$252)+4))</f>
        <v/>
      </c>
      <c r="H257" s="99" t="str">
        <f ca="1">IF(INDIRECT(D$24&amp;"!D"&amp;ROW()-ROW($C$252)+4)="","",INDIRECT(D$24&amp;"!D"&amp;ROW()-ROW($C$252)+4))</f>
        <v/>
      </c>
      <c r="K257" s="99" t="str">
        <f ca="1">IF(INDIRECT(C$24&amp;"!E"&amp;ROW()-ROW($C$252)+4)="","",INDIRECT(C$24&amp;"!E"&amp;ROW()-ROW($C$252)+4))</f>
        <v>Disagree_Agree_1_5</v>
      </c>
      <c r="L257" s="99" t="b">
        <f ca="1">IF(INDIRECT(C$24&amp;"!F"&amp;ROW()-ROW($C$252)+4)="","",INDIRECT(C$24&amp;"!F"&amp;ROW()-ROW($C$252)+4))</f>
        <v>1</v>
      </c>
      <c r="M257" s="99" t="b">
        <f ca="1">IF(INDIRECT(D$24&amp;"!F"&amp;ROW()-ROW($C$252)+4)="","",INDIRECT(D$24&amp;"!F"&amp;ROW()-ROW($C$252)+4))</f>
        <v>1</v>
      </c>
      <c r="N257" s="99"/>
      <c r="O257" s="99"/>
      <c r="P257" s="99" t="b">
        <f ca="1">INDIRECT(C$24&amp;"!B"&amp;ROW()-ROW($C$252)+4)=$B257</f>
        <v>1</v>
      </c>
      <c r="Q257" s="99" t="b">
        <f ca="1">INDIRECT(D$24&amp;"!B"&amp;ROW()-ROW($C$252)+4)=$B257</f>
        <v>1</v>
      </c>
      <c r="T257" s="37" t="str">
        <f ca="1">IF(NOT(ISERROR(MATCH(K257,'Lookup Tables'!A:A,0))),"Lookup",IF(OR(NOT(ISERROR(FIND("Numeric",K257))),NOT(ISERROR(FIND("Percentage",K257))),NOT(ISERROR(FIND("Date",K257)))),"Numeric",IF(NOT(ISERROR(FIND("lank",K257))),"Non-blank",IF(NOT(ISERROR(FIND("Not evaluated",K257))),"Skipped","Other"))))</f>
        <v>Lookup</v>
      </c>
      <c r="U257" s="461">
        <f t="shared" ca="1" si="85"/>
        <v>1</v>
      </c>
      <c r="V257" s="461">
        <f t="shared" ca="1" si="86"/>
        <v>1</v>
      </c>
      <c r="W257" s="461" t="str">
        <f t="shared" ca="1" si="87"/>
        <v/>
      </c>
      <c r="X257" s="465" t="str">
        <f t="shared" ca="1" si="88"/>
        <v/>
      </c>
      <c r="Y257" s="99">
        <f t="shared" si="82"/>
        <v>2</v>
      </c>
      <c r="Z257" s="99"/>
      <c r="AA257" s="99"/>
      <c r="AB257" s="99"/>
      <c r="AC257" s="159" t="s">
        <v>2199</v>
      </c>
      <c r="AD257" s="107">
        <f t="shared" ca="1" si="83"/>
        <v>1</v>
      </c>
      <c r="AE257" s="99" t="b">
        <f t="shared" ca="1" si="84"/>
        <v>0</v>
      </c>
      <c r="AF257" s="159" t="s">
        <v>2395</v>
      </c>
      <c r="AG257" s="783">
        <f>COUNTIF('VA Detailed Scorecard Config'!D:D,AF257)</f>
        <v>1</v>
      </c>
      <c r="AH257" s="99"/>
    </row>
    <row r="258" spans="2:34" ht="13.5" customHeight="1" thickBot="1">
      <c r="B258" s="399" t="s">
        <v>1919</v>
      </c>
      <c r="C258" s="99">
        <f ca="1">IF(INDIRECT(C$24&amp;"!C"&amp;ROW()-ROW($C$252)+4)="","",INDIRECT(C$24&amp;"!C"&amp;ROW()-ROW($C$252)+4))</f>
        <v>3</v>
      </c>
      <c r="D258" s="99">
        <f ca="1">IF(INDIRECT(D$24&amp;"!C"&amp;ROW()-ROW($C$252)+4)="","",INDIRECT(D$24&amp;"!C"&amp;ROW()-ROW($C$252)+4))</f>
        <v>2</v>
      </c>
      <c r="G258" s="99" t="str">
        <f ca="1">IF(INDIRECT(C$24&amp;"!D"&amp;ROW()-ROW($C$252)+4)="","",INDIRECT(C$24&amp;"!D"&amp;ROW()-ROW($C$252)+4))</f>
        <v/>
      </c>
      <c r="H258" s="99" t="str">
        <f ca="1">IF(INDIRECT(D$24&amp;"!D"&amp;ROW()-ROW($C$252)+4)="","",INDIRECT(D$24&amp;"!D"&amp;ROW()-ROW($C$252)+4))</f>
        <v/>
      </c>
      <c r="K258" s="99" t="str">
        <f ca="1">IF(INDIRECT(C$24&amp;"!E"&amp;ROW()-ROW($C$252)+4)="","",INDIRECT(C$24&amp;"!E"&amp;ROW()-ROW($C$252)+4))</f>
        <v>Disagree_Agree_1_5</v>
      </c>
      <c r="L258" s="99" t="b">
        <f ca="1">IF(INDIRECT(C$24&amp;"!F"&amp;ROW()-ROW($C$252)+4)="","",INDIRECT(C$24&amp;"!F"&amp;ROW()-ROW($C$252)+4))</f>
        <v>1</v>
      </c>
      <c r="M258" s="99" t="b">
        <f ca="1">IF(INDIRECT(D$24&amp;"!F"&amp;ROW()-ROW($C$252)+4)="","",INDIRECT(D$24&amp;"!F"&amp;ROW()-ROW($C$252)+4))</f>
        <v>1</v>
      </c>
      <c r="N258" s="99"/>
      <c r="O258" s="99"/>
      <c r="P258" s="99" t="b">
        <f ca="1">INDIRECT(C$24&amp;"!B"&amp;ROW()-ROW($C$252)+4)=$B258</f>
        <v>1</v>
      </c>
      <c r="Q258" s="99" t="b">
        <f ca="1">INDIRECT(D$24&amp;"!B"&amp;ROW()-ROW($C$252)+4)=$B258</f>
        <v>1</v>
      </c>
      <c r="T258" s="37" t="str">
        <f ca="1">IF(NOT(ISERROR(MATCH(K258,'Lookup Tables'!A:A,0))),"Lookup",IF(OR(NOT(ISERROR(FIND("Numeric",K258))),NOT(ISERROR(FIND("Percentage",K258))),NOT(ISERROR(FIND("Date",K258)))),"Numeric",IF(NOT(ISERROR(FIND("lank",K258))),"Non-blank",IF(NOT(ISERROR(FIND("Not evaluated",K258))),"Skipped","Other"))))</f>
        <v>Lookup</v>
      </c>
      <c r="U258" s="461">
        <f t="shared" ca="1" si="85"/>
        <v>0.5</v>
      </c>
      <c r="V258" s="461">
        <f t="shared" ca="1" si="86"/>
        <v>0.25</v>
      </c>
      <c r="W258" s="461" t="str">
        <f t="shared" ca="1" si="87"/>
        <v/>
      </c>
      <c r="X258" s="465" t="str">
        <f t="shared" ca="1" si="88"/>
        <v/>
      </c>
      <c r="Y258" s="99">
        <f t="shared" si="82"/>
        <v>2</v>
      </c>
      <c r="Z258" s="99"/>
      <c r="AA258" s="99"/>
      <c r="AB258" s="99"/>
      <c r="AC258" s="159" t="s">
        <v>2199</v>
      </c>
      <c r="AD258" s="107">
        <f t="shared" ca="1" si="83"/>
        <v>0.375</v>
      </c>
      <c r="AE258" s="99" t="b">
        <f t="shared" ca="1" si="84"/>
        <v>0</v>
      </c>
      <c r="AF258" s="159" t="s">
        <v>2396</v>
      </c>
      <c r="AG258" s="783">
        <f>COUNTIF('VA Detailed Scorecard Config'!D:D,AF258)</f>
        <v>1</v>
      </c>
      <c r="AH258" s="99"/>
    </row>
    <row r="259" spans="2:34" ht="13.5" customHeight="1">
      <c r="B259" s="397" t="s">
        <v>737</v>
      </c>
      <c r="C259" s="99">
        <f ca="1">IF(INDIRECT(C$24&amp;"!C"&amp;ROW()-ROW($C$252)+4)="","",INDIRECT(C$24&amp;"!C"&amp;ROW()-ROW($C$252)+4))</f>
        <v>2</v>
      </c>
      <c r="D259" s="99">
        <f ca="1">IF(INDIRECT(D$24&amp;"!C"&amp;ROW()-ROW($C$252)+4)="","",INDIRECT(D$24&amp;"!C"&amp;ROW()-ROW($C$252)+4))</f>
        <v>2</v>
      </c>
      <c r="G259" s="99" t="str">
        <f ca="1">IF(INDIRECT(C$24&amp;"!D"&amp;ROW()-ROW($C$252)+4)="","",INDIRECT(C$24&amp;"!D"&amp;ROW()-ROW($C$252)+4))</f>
        <v/>
      </c>
      <c r="H259" s="99" t="str">
        <f ca="1">IF(INDIRECT(D$24&amp;"!D"&amp;ROW()-ROW($C$252)+4)="","",INDIRECT(D$24&amp;"!D"&amp;ROW()-ROW($C$252)+4))</f>
        <v/>
      </c>
      <c r="K259" s="99" t="str">
        <f ca="1">IF(INDIRECT(C$24&amp;"!E"&amp;ROW()-ROW($C$252)+4)="","",INDIRECT(C$24&amp;"!E"&amp;ROW()-ROW($C$252)+4))</f>
        <v>Disagree_Agree_1_5</v>
      </c>
      <c r="L259" s="99" t="b">
        <f ca="1">IF(INDIRECT(C$24&amp;"!F"&amp;ROW()-ROW($C$252)+4)="","",INDIRECT(C$24&amp;"!F"&amp;ROW()-ROW($C$252)+4))</f>
        <v>1</v>
      </c>
      <c r="M259" s="99" t="b">
        <f ca="1">IF(INDIRECT(D$24&amp;"!F"&amp;ROW()-ROW($C$252)+4)="","",INDIRECT(D$24&amp;"!F"&amp;ROW()-ROW($C$252)+4))</f>
        <v>1</v>
      </c>
      <c r="N259" s="99"/>
      <c r="O259" s="99"/>
      <c r="P259" s="99" t="b">
        <f ca="1">INDIRECT(C$24&amp;"!B"&amp;ROW()-ROW($C$252)+4)=$B259</f>
        <v>1</v>
      </c>
      <c r="Q259" s="99" t="b">
        <f ca="1">INDIRECT(D$24&amp;"!B"&amp;ROW()-ROW($C$252)+4)=$B259</f>
        <v>1</v>
      </c>
      <c r="T259" s="37" t="str">
        <f ca="1">IF(NOT(ISERROR(MATCH(K259,'Lookup Tables'!A:A,0))),"Lookup",IF(OR(NOT(ISERROR(FIND("Numeric",K259))),NOT(ISERROR(FIND("Percentage",K259))),NOT(ISERROR(FIND("Date",K259)))),"Numeric",IF(NOT(ISERROR(FIND("lank",K259))),"Non-blank",IF(NOT(ISERROR(FIND("Not evaluated",K259))),"Skipped","Other"))))</f>
        <v>Lookup</v>
      </c>
      <c r="U259" s="461">
        <f t="shared" ca="1" si="85"/>
        <v>0.25</v>
      </c>
      <c r="V259" s="461">
        <f t="shared" ca="1" si="86"/>
        <v>0.25</v>
      </c>
      <c r="W259" s="461" t="str">
        <f t="shared" ca="1" si="87"/>
        <v/>
      </c>
      <c r="X259" s="465" t="str">
        <f t="shared" ca="1" si="88"/>
        <v/>
      </c>
      <c r="Y259" s="99">
        <f t="shared" si="82"/>
        <v>2</v>
      </c>
      <c r="Z259" s="99"/>
      <c r="AA259" s="99"/>
      <c r="AB259" s="99"/>
      <c r="AC259" s="159" t="s">
        <v>2199</v>
      </c>
      <c r="AD259" s="107">
        <f t="shared" ca="1" si="83"/>
        <v>0.25</v>
      </c>
      <c r="AE259" s="99" t="b">
        <f t="shared" ca="1" si="84"/>
        <v>0</v>
      </c>
      <c r="AF259" s="159" t="s">
        <v>2397</v>
      </c>
      <c r="AG259" s="783">
        <f>COUNTIF('VA Detailed Scorecard Config'!D:D,AF259)</f>
        <v>1</v>
      </c>
      <c r="AH259" s="99"/>
    </row>
    <row r="260" spans="2:34" ht="13.5" customHeight="1">
      <c r="B260" s="327" t="s">
        <v>738</v>
      </c>
      <c r="C260" s="99">
        <f ca="1">IF(INDIRECT(C$24&amp;"!C"&amp;ROW()-ROW($C$252)+4)="","",INDIRECT(C$24&amp;"!C"&amp;ROW()-ROW($C$252)+4))</f>
        <v>3</v>
      </c>
      <c r="D260" s="99">
        <f ca="1">IF(INDIRECT(D$24&amp;"!C"&amp;ROW()-ROW($C$252)+4)="","",INDIRECT(D$24&amp;"!C"&amp;ROW()-ROW($C$252)+4))</f>
        <v>2</v>
      </c>
      <c r="G260" s="99" t="str">
        <f ca="1">IF(INDIRECT(C$24&amp;"!D"&amp;ROW()-ROW($C$252)+4)="","",INDIRECT(C$24&amp;"!D"&amp;ROW()-ROW($C$252)+4))</f>
        <v/>
      </c>
      <c r="H260" s="99" t="str">
        <f ca="1">IF(INDIRECT(D$24&amp;"!D"&amp;ROW()-ROW($C$252)+4)="","",INDIRECT(D$24&amp;"!D"&amp;ROW()-ROW($C$252)+4))</f>
        <v/>
      </c>
      <c r="K260" s="99" t="str">
        <f ca="1">IF(INDIRECT(C$24&amp;"!E"&amp;ROW()-ROW($C$252)+4)="","",INDIRECT(C$24&amp;"!E"&amp;ROW()-ROW($C$252)+4))</f>
        <v>Disagree_Agree_1_5</v>
      </c>
      <c r="L260" s="99" t="b">
        <f ca="1">IF(INDIRECT(C$24&amp;"!F"&amp;ROW()-ROW($C$252)+4)="","",INDIRECT(C$24&amp;"!F"&amp;ROW()-ROW($C$252)+4))</f>
        <v>1</v>
      </c>
      <c r="M260" s="99" t="b">
        <f ca="1">IF(INDIRECT(D$24&amp;"!F"&amp;ROW()-ROW($C$252)+4)="","",INDIRECT(D$24&amp;"!F"&amp;ROW()-ROW($C$252)+4))</f>
        <v>1</v>
      </c>
      <c r="N260" s="99"/>
      <c r="O260" s="99"/>
      <c r="P260" s="99" t="b">
        <f ca="1">INDIRECT(C$24&amp;"!B"&amp;ROW()-ROW($C$252)+4)=$B260</f>
        <v>1</v>
      </c>
      <c r="Q260" s="99" t="b">
        <f ca="1">INDIRECT(D$24&amp;"!B"&amp;ROW()-ROW($C$252)+4)=$B260</f>
        <v>1</v>
      </c>
      <c r="T260" s="37" t="str">
        <f ca="1">IF(NOT(ISERROR(MATCH(K260,'Lookup Tables'!A:A,0))),"Lookup",IF(OR(NOT(ISERROR(FIND("Numeric",K260))),NOT(ISERROR(FIND("Percentage",K260))),NOT(ISERROR(FIND("Date",K260)))),"Numeric",IF(NOT(ISERROR(FIND("lank",K260))),"Non-blank",IF(NOT(ISERROR(FIND("Not evaluated",K260))),"Skipped","Other"))))</f>
        <v>Lookup</v>
      </c>
      <c r="U260" s="461">
        <f t="shared" ca="1" si="85"/>
        <v>0.5</v>
      </c>
      <c r="V260" s="461">
        <f t="shared" ca="1" si="86"/>
        <v>0.25</v>
      </c>
      <c r="W260" s="461" t="str">
        <f t="shared" ca="1" si="87"/>
        <v/>
      </c>
      <c r="X260" s="465" t="str">
        <f t="shared" ca="1" si="88"/>
        <v/>
      </c>
      <c r="Y260" s="99">
        <f t="shared" si="82"/>
        <v>2</v>
      </c>
      <c r="Z260" s="99"/>
      <c r="AA260" s="99"/>
      <c r="AB260" s="99"/>
      <c r="AC260" s="159" t="s">
        <v>2199</v>
      </c>
      <c r="AD260" s="107">
        <f t="shared" ca="1" si="83"/>
        <v>0.375</v>
      </c>
      <c r="AE260" s="99" t="b">
        <f t="shared" ca="1" si="84"/>
        <v>0</v>
      </c>
      <c r="AF260" s="159" t="s">
        <v>2398</v>
      </c>
      <c r="AG260" s="783">
        <f>COUNTIF('VA Detailed Scorecard Config'!D:D,AF260)</f>
        <v>1</v>
      </c>
      <c r="AH260" s="99"/>
    </row>
    <row r="261" spans="2:34" ht="13.5" customHeight="1">
      <c r="B261" s="327" t="s">
        <v>739</v>
      </c>
      <c r="C261" s="99" t="str">
        <f ca="1">IF(INDIRECT(C$24&amp;"!C"&amp;ROW()-ROW($C$252)+4)="","",INDIRECT(C$24&amp;"!C"&amp;ROW()-ROW($C$252)+4))</f>
        <v>5 - Completely Agree</v>
      </c>
      <c r="D261" s="99">
        <f ca="1">IF(INDIRECT(D$24&amp;"!C"&amp;ROW()-ROW($C$252)+4)="","",INDIRECT(D$24&amp;"!C"&amp;ROW()-ROW($C$252)+4))</f>
        <v>4</v>
      </c>
      <c r="G261" s="99" t="str">
        <f ca="1">IF(INDIRECT(C$24&amp;"!D"&amp;ROW()-ROW($C$252)+4)="","",INDIRECT(C$24&amp;"!D"&amp;ROW()-ROW($C$252)+4))</f>
        <v/>
      </c>
      <c r="H261" s="99" t="str">
        <f ca="1">IF(INDIRECT(D$24&amp;"!D"&amp;ROW()-ROW($C$252)+4)="","",INDIRECT(D$24&amp;"!D"&amp;ROW()-ROW($C$252)+4))</f>
        <v/>
      </c>
      <c r="K261" s="99" t="str">
        <f ca="1">IF(INDIRECT(C$24&amp;"!E"&amp;ROW()-ROW($C$252)+4)="","",INDIRECT(C$24&amp;"!E"&amp;ROW()-ROW($C$252)+4))</f>
        <v>Disagree_Agree_1_5</v>
      </c>
      <c r="L261" s="99" t="b">
        <f ca="1">IF(INDIRECT(C$24&amp;"!F"&amp;ROW()-ROW($C$252)+4)="","",INDIRECT(C$24&amp;"!F"&amp;ROW()-ROW($C$252)+4))</f>
        <v>1</v>
      </c>
      <c r="M261" s="99" t="b">
        <f ca="1">IF(INDIRECT(D$24&amp;"!F"&amp;ROW()-ROW($C$252)+4)="","",INDIRECT(D$24&amp;"!F"&amp;ROW()-ROW($C$252)+4))</f>
        <v>1</v>
      </c>
      <c r="N261" s="99"/>
      <c r="O261" s="99"/>
      <c r="P261" s="99" t="b">
        <f ca="1">INDIRECT(C$24&amp;"!B"&amp;ROW()-ROW($C$252)+4)=$B261</f>
        <v>1</v>
      </c>
      <c r="Q261" s="99" t="b">
        <f ca="1">INDIRECT(D$24&amp;"!B"&amp;ROW()-ROW($C$252)+4)=$B261</f>
        <v>1</v>
      </c>
      <c r="T261" s="37" t="str">
        <f ca="1">IF(NOT(ISERROR(MATCH(K261,'Lookup Tables'!A:A,0))),"Lookup",IF(OR(NOT(ISERROR(FIND("Numeric",K261))),NOT(ISERROR(FIND("Percentage",K261))),NOT(ISERROR(FIND("Date",K261)))),"Numeric",IF(NOT(ISERROR(FIND("lank",K261))),"Non-blank",IF(NOT(ISERROR(FIND("Not evaluated",K261))),"Skipped","Other"))))</f>
        <v>Lookup</v>
      </c>
      <c r="U261" s="461">
        <f t="shared" ca="1" si="85"/>
        <v>1</v>
      </c>
      <c r="V261" s="461">
        <f t="shared" ca="1" si="86"/>
        <v>0.75</v>
      </c>
      <c r="W261" s="461" t="str">
        <f t="shared" ca="1" si="87"/>
        <v/>
      </c>
      <c r="X261" s="465" t="str">
        <f t="shared" ca="1" si="88"/>
        <v/>
      </c>
      <c r="Y261" s="99">
        <f t="shared" si="82"/>
        <v>2</v>
      </c>
      <c r="Z261" s="99"/>
      <c r="AA261" s="99"/>
      <c r="AB261" s="99"/>
      <c r="AC261" s="159" t="s">
        <v>2199</v>
      </c>
      <c r="AD261" s="107">
        <f t="shared" ca="1" si="83"/>
        <v>0.875</v>
      </c>
      <c r="AE261" s="99" t="b">
        <f t="shared" ca="1" si="84"/>
        <v>0</v>
      </c>
      <c r="AF261" s="159" t="s">
        <v>2399</v>
      </c>
      <c r="AG261" s="783">
        <f>COUNTIF('VA Detailed Scorecard Config'!D:D,AF261)</f>
        <v>1</v>
      </c>
      <c r="AH261" s="99"/>
    </row>
    <row r="262" spans="2:34" ht="13.5" customHeight="1">
      <c r="B262" s="327" t="s">
        <v>741</v>
      </c>
      <c r="C262" s="99" t="str">
        <f ca="1">IF(INDIRECT(C$24&amp;"!C"&amp;ROW()-ROW($C$252)+4)="","",INDIRECT(C$24&amp;"!C"&amp;ROW()-ROW($C$252)+4))</f>
        <v>5 - Completely Agree</v>
      </c>
      <c r="D262" s="99">
        <f ca="1">IF(INDIRECT(D$24&amp;"!C"&amp;ROW()-ROW($C$252)+4)="","",INDIRECT(D$24&amp;"!C"&amp;ROW()-ROW($C$252)+4))</f>
        <v>4</v>
      </c>
      <c r="G262" s="99" t="str">
        <f ca="1">IF(INDIRECT(C$24&amp;"!D"&amp;ROW()-ROW($C$252)+4)="","",INDIRECT(C$24&amp;"!D"&amp;ROW()-ROW($C$252)+4))</f>
        <v/>
      </c>
      <c r="H262" s="99" t="str">
        <f ca="1">IF(INDIRECT(D$24&amp;"!D"&amp;ROW()-ROW($C$252)+4)="","",INDIRECT(D$24&amp;"!D"&amp;ROW()-ROW($C$252)+4))</f>
        <v/>
      </c>
      <c r="K262" s="99" t="str">
        <f ca="1">IF(INDIRECT(C$24&amp;"!E"&amp;ROW()-ROW($C$252)+4)="","",INDIRECT(C$24&amp;"!E"&amp;ROW()-ROW($C$252)+4))</f>
        <v>Disagree_Agree_1_5</v>
      </c>
      <c r="L262" s="99" t="b">
        <f ca="1">IF(INDIRECT(C$24&amp;"!F"&amp;ROW()-ROW($C$252)+4)="","",INDIRECT(C$24&amp;"!F"&amp;ROW()-ROW($C$252)+4))</f>
        <v>1</v>
      </c>
      <c r="M262" s="99" t="b">
        <f ca="1">IF(INDIRECT(D$24&amp;"!F"&amp;ROW()-ROW($C$252)+4)="","",INDIRECT(D$24&amp;"!F"&amp;ROW()-ROW($C$252)+4))</f>
        <v>1</v>
      </c>
      <c r="N262" s="99"/>
      <c r="O262" s="99"/>
      <c r="P262" s="99" t="b">
        <f ca="1">INDIRECT(C$24&amp;"!B"&amp;ROW()-ROW($C$252)+4)=$B262</f>
        <v>1</v>
      </c>
      <c r="Q262" s="99" t="b">
        <f ca="1">INDIRECT(D$24&amp;"!B"&amp;ROW()-ROW($C$252)+4)=$B262</f>
        <v>1</v>
      </c>
      <c r="T262" s="37" t="str">
        <f ca="1">IF(NOT(ISERROR(MATCH(K262,'Lookup Tables'!A:A,0))),"Lookup",IF(OR(NOT(ISERROR(FIND("Numeric",K262))),NOT(ISERROR(FIND("Percentage",K262))),NOT(ISERROR(FIND("Date",K262)))),"Numeric",IF(NOT(ISERROR(FIND("lank",K262))),"Non-blank",IF(NOT(ISERROR(FIND("Not evaluated",K262))),"Skipped","Other"))))</f>
        <v>Lookup</v>
      </c>
      <c r="U262" s="461">
        <f t="shared" ca="1" si="85"/>
        <v>1</v>
      </c>
      <c r="V262" s="461">
        <f t="shared" ca="1" si="86"/>
        <v>0.75</v>
      </c>
      <c r="W262" s="461" t="str">
        <f t="shared" ca="1" si="87"/>
        <v/>
      </c>
      <c r="X262" s="465" t="str">
        <f t="shared" ca="1" si="88"/>
        <v/>
      </c>
      <c r="Y262" s="99">
        <f t="shared" si="82"/>
        <v>2</v>
      </c>
      <c r="Z262" s="99"/>
      <c r="AA262" s="99"/>
      <c r="AB262" s="99"/>
      <c r="AC262" s="159" t="s">
        <v>2199</v>
      </c>
      <c r="AD262" s="107">
        <f t="shared" ca="1" si="83"/>
        <v>0.875</v>
      </c>
      <c r="AE262" s="99" t="b">
        <f t="shared" ca="1" si="84"/>
        <v>0</v>
      </c>
      <c r="AF262" s="159" t="s">
        <v>2400</v>
      </c>
      <c r="AG262" s="783">
        <f>COUNTIF('VA Detailed Scorecard Config'!D:D,AF262)</f>
        <v>1</v>
      </c>
      <c r="AH262" s="99"/>
    </row>
    <row r="263" spans="2:34" ht="13.5" customHeight="1">
      <c r="B263" s="327" t="s">
        <v>742</v>
      </c>
      <c r="C263" s="99">
        <f ca="1">IF(INDIRECT(C$24&amp;"!C"&amp;ROW()-ROW($C$252)+4)="","",INDIRECT(C$24&amp;"!C"&amp;ROW()-ROW($C$252)+4))</f>
        <v>3</v>
      </c>
      <c r="D263" s="99" t="str">
        <f ca="1">IF(INDIRECT(D$24&amp;"!C"&amp;ROW()-ROW($C$252)+4)="","",INDIRECT(D$24&amp;"!C"&amp;ROW()-ROW($C$252)+4))</f>
        <v>5 - Completely Agree</v>
      </c>
      <c r="G263" s="99" t="str">
        <f ca="1">IF(INDIRECT(C$24&amp;"!D"&amp;ROW()-ROW($C$252)+4)="","",INDIRECT(C$24&amp;"!D"&amp;ROW()-ROW($C$252)+4))</f>
        <v/>
      </c>
      <c r="H263" s="99" t="str">
        <f ca="1">IF(INDIRECT(D$24&amp;"!D"&amp;ROW()-ROW($C$252)+4)="","",INDIRECT(D$24&amp;"!D"&amp;ROW()-ROW($C$252)+4))</f>
        <v/>
      </c>
      <c r="K263" s="99" t="str">
        <f ca="1">IF(INDIRECT(C$24&amp;"!E"&amp;ROW()-ROW($C$252)+4)="","",INDIRECT(C$24&amp;"!E"&amp;ROW()-ROW($C$252)+4))</f>
        <v>Disagree_Agree_1_5</v>
      </c>
      <c r="L263" s="99" t="b">
        <f ca="1">IF(INDIRECT(C$24&amp;"!F"&amp;ROW()-ROW($C$252)+4)="","",INDIRECT(C$24&amp;"!F"&amp;ROW()-ROW($C$252)+4))</f>
        <v>1</v>
      </c>
      <c r="M263" s="99" t="b">
        <f ca="1">IF(INDIRECT(D$24&amp;"!F"&amp;ROW()-ROW($C$252)+4)="","",INDIRECT(D$24&amp;"!F"&amp;ROW()-ROW($C$252)+4))</f>
        <v>1</v>
      </c>
      <c r="N263" s="99"/>
      <c r="O263" s="99"/>
      <c r="P263" s="99" t="b">
        <f ca="1">INDIRECT(C$24&amp;"!B"&amp;ROW()-ROW($C$252)+4)=$B263</f>
        <v>1</v>
      </c>
      <c r="Q263" s="99" t="b">
        <f ca="1">INDIRECT(D$24&amp;"!B"&amp;ROW()-ROW($C$252)+4)=$B263</f>
        <v>1</v>
      </c>
      <c r="T263" s="37" t="str">
        <f ca="1">IF(NOT(ISERROR(MATCH(K263,'Lookup Tables'!A:A,0))),"Lookup",IF(OR(NOT(ISERROR(FIND("Numeric",K263))),NOT(ISERROR(FIND("Percentage",K263))),NOT(ISERROR(FIND("Date",K263)))),"Numeric",IF(NOT(ISERROR(FIND("lank",K263))),"Non-blank",IF(NOT(ISERROR(FIND("Not evaluated",K263))),"Skipped","Other"))))</f>
        <v>Lookup</v>
      </c>
      <c r="U263" s="461">
        <f t="shared" ca="1" si="85"/>
        <v>0.5</v>
      </c>
      <c r="V263" s="461">
        <f t="shared" ca="1" si="86"/>
        <v>1</v>
      </c>
      <c r="W263" s="461" t="str">
        <f t="shared" ca="1" si="87"/>
        <v/>
      </c>
      <c r="X263" s="465" t="str">
        <f t="shared" ca="1" si="88"/>
        <v/>
      </c>
      <c r="Y263" s="99">
        <f t="shared" si="82"/>
        <v>2</v>
      </c>
      <c r="Z263" s="99"/>
      <c r="AA263" s="99"/>
      <c r="AB263" s="99"/>
      <c r="AC263" s="159" t="s">
        <v>2199</v>
      </c>
      <c r="AD263" s="107">
        <f t="shared" ca="1" si="83"/>
        <v>0.75</v>
      </c>
      <c r="AE263" s="99" t="b">
        <f t="shared" ca="1" si="84"/>
        <v>0</v>
      </c>
      <c r="AF263" s="159" t="s">
        <v>2401</v>
      </c>
      <c r="AG263" s="783">
        <f>COUNTIF('VA Detailed Scorecard Config'!D:D,AF263)</f>
        <v>1</v>
      </c>
      <c r="AH263" s="99"/>
    </row>
    <row r="264" spans="2:34" ht="13.5" customHeight="1" thickBot="1">
      <c r="B264" s="398" t="s">
        <v>1917</v>
      </c>
      <c r="C264" s="99">
        <f ca="1">IF(INDIRECT(C$24&amp;"!C"&amp;ROW()-ROW($C$252)+4)="","",INDIRECT(C$24&amp;"!C"&amp;ROW()-ROW($C$252)+4))</f>
        <v>2</v>
      </c>
      <c r="D264" s="99" t="str">
        <f ca="1">IF(INDIRECT(D$24&amp;"!C"&amp;ROW()-ROW($C$252)+4)="","",INDIRECT(D$24&amp;"!C"&amp;ROW()-ROW($C$252)+4))</f>
        <v>Not applicable</v>
      </c>
      <c r="G264" s="99" t="str">
        <f ca="1">IF(INDIRECT(C$24&amp;"!D"&amp;ROW()-ROW($C$252)+4)="","",INDIRECT(C$24&amp;"!D"&amp;ROW()-ROW($C$252)+4))</f>
        <v/>
      </c>
      <c r="H264" s="99" t="str">
        <f ca="1">IF(INDIRECT(D$24&amp;"!D"&amp;ROW()-ROW($C$252)+4)="","",INDIRECT(D$24&amp;"!D"&amp;ROW()-ROW($C$252)+4))</f>
        <v/>
      </c>
      <c r="K264" s="99" t="str">
        <f ca="1">IF(INDIRECT(C$24&amp;"!E"&amp;ROW()-ROW($C$252)+4)="","",INDIRECT(C$24&amp;"!E"&amp;ROW()-ROW($C$252)+4))</f>
        <v>Disagree_Agree_1_5</v>
      </c>
      <c r="L264" s="99" t="b">
        <f ca="1">IF(INDIRECT(C$24&amp;"!F"&amp;ROW()-ROW($C$252)+4)="","",INDIRECT(C$24&amp;"!F"&amp;ROW()-ROW($C$252)+4))</f>
        <v>1</v>
      </c>
      <c r="M264" s="99" t="b">
        <f ca="1">IF(INDIRECT(D$24&amp;"!F"&amp;ROW()-ROW($C$252)+4)="","",INDIRECT(D$24&amp;"!F"&amp;ROW()-ROW($C$252)+4))</f>
        <v>1</v>
      </c>
      <c r="N264" s="99"/>
      <c r="O264" s="99"/>
      <c r="P264" s="99" t="b">
        <f ca="1">INDIRECT(C$24&amp;"!B"&amp;ROW()-ROW($C$252)+4)=$B264</f>
        <v>1</v>
      </c>
      <c r="Q264" s="99" t="b">
        <f ca="1">INDIRECT(D$24&amp;"!B"&amp;ROW()-ROW($C$252)+4)=$B264</f>
        <v>1</v>
      </c>
      <c r="T264" s="37" t="str">
        <f ca="1">IF(NOT(ISERROR(MATCH(K264,'Lookup Tables'!A:A,0))),"Lookup",IF(OR(NOT(ISERROR(FIND("Numeric",K264))),NOT(ISERROR(FIND("Percentage",K264))),NOT(ISERROR(FIND("Date",K264)))),"Numeric",IF(NOT(ISERROR(FIND("lank",K264))),"Non-blank",IF(NOT(ISERROR(FIND("Not evaluated",K264))),"Skipped","Other"))))</f>
        <v>Lookup</v>
      </c>
      <c r="U264" s="461">
        <f t="shared" ca="1" si="85"/>
        <v>0.25</v>
      </c>
      <c r="V264" s="461">
        <f t="shared" ca="1" si="86"/>
        <v>0</v>
      </c>
      <c r="W264" s="461" t="str">
        <f t="shared" ca="1" si="87"/>
        <v/>
      </c>
      <c r="X264" s="465" t="str">
        <f t="shared" ca="1" si="88"/>
        <v/>
      </c>
      <c r="Y264" s="99">
        <f t="shared" si="82"/>
        <v>2</v>
      </c>
      <c r="Z264" s="99"/>
      <c r="AA264" s="99"/>
      <c r="AB264" s="99"/>
      <c r="AC264" s="159" t="s">
        <v>2199</v>
      </c>
      <c r="AD264" s="107">
        <f t="shared" ca="1" si="83"/>
        <v>0.125</v>
      </c>
      <c r="AE264" s="99" t="b">
        <f t="shared" ca="1" si="84"/>
        <v>0</v>
      </c>
      <c r="AF264" s="159" t="s">
        <v>2402</v>
      </c>
      <c r="AG264" s="783">
        <f>COUNTIF('VA Detailed Scorecard Config'!D:D,AF264)</f>
        <v>1</v>
      </c>
      <c r="AH264" s="99"/>
    </row>
    <row r="265" spans="2:34" ht="13.5" customHeight="1">
      <c r="B265" s="400" t="s">
        <v>748</v>
      </c>
      <c r="C265" s="99" t="str">
        <f ca="1">IF(INDIRECT(C$24&amp;"!C"&amp;ROW()-ROW($C$252)+4)="","",INDIRECT(C$24&amp;"!C"&amp;ROW()-ROW($C$252)+4))</f>
        <v>5 - Completely Agree</v>
      </c>
      <c r="D265" s="99">
        <f ca="1">IF(INDIRECT(D$24&amp;"!C"&amp;ROW()-ROW($C$252)+4)="","",INDIRECT(D$24&amp;"!C"&amp;ROW()-ROW($C$252)+4))</f>
        <v>4</v>
      </c>
      <c r="G265" s="99" t="str">
        <f ca="1">IF(INDIRECT(C$24&amp;"!D"&amp;ROW()-ROW($C$252)+4)="","",INDIRECT(C$24&amp;"!D"&amp;ROW()-ROW($C$252)+4))</f>
        <v/>
      </c>
      <c r="H265" s="99" t="str">
        <f ca="1">IF(INDIRECT(D$24&amp;"!D"&amp;ROW()-ROW($C$252)+4)="","",INDIRECT(D$24&amp;"!D"&amp;ROW()-ROW($C$252)+4))</f>
        <v/>
      </c>
      <c r="K265" s="99" t="str">
        <f ca="1">IF(INDIRECT(C$24&amp;"!E"&amp;ROW()-ROW($C$252)+4)="","",INDIRECT(C$24&amp;"!E"&amp;ROW()-ROW($C$252)+4))</f>
        <v>Disagree_Agree_1_5</v>
      </c>
      <c r="L265" s="99" t="b">
        <f ca="1">IF(INDIRECT(C$24&amp;"!F"&amp;ROW()-ROW($C$252)+4)="","",INDIRECT(C$24&amp;"!F"&amp;ROW()-ROW($C$252)+4))</f>
        <v>1</v>
      </c>
      <c r="M265" s="99" t="b">
        <f ca="1">IF(INDIRECT(D$24&amp;"!F"&amp;ROW()-ROW($C$252)+4)="","",INDIRECT(D$24&amp;"!F"&amp;ROW()-ROW($C$252)+4))</f>
        <v>1</v>
      </c>
      <c r="N265" s="99"/>
      <c r="O265" s="99"/>
      <c r="P265" s="99" t="b">
        <f ca="1">INDIRECT(C$24&amp;"!B"&amp;ROW()-ROW($C$252)+4)=$B265</f>
        <v>1</v>
      </c>
      <c r="Q265" s="99" t="b">
        <f ca="1">INDIRECT(D$24&amp;"!B"&amp;ROW()-ROW($C$252)+4)=$B265</f>
        <v>1</v>
      </c>
      <c r="T265" s="37" t="str">
        <f ca="1">IF(NOT(ISERROR(MATCH(K265,'Lookup Tables'!A:A,0))),"Lookup",IF(OR(NOT(ISERROR(FIND("Numeric",K265))),NOT(ISERROR(FIND("Percentage",K265))),NOT(ISERROR(FIND("Date",K265)))),"Numeric",IF(NOT(ISERROR(FIND("lank",K265))),"Non-blank",IF(NOT(ISERROR(FIND("Not evaluated",K265))),"Skipped","Other"))))</f>
        <v>Lookup</v>
      </c>
      <c r="U265" s="461">
        <f t="shared" ca="1" si="85"/>
        <v>1</v>
      </c>
      <c r="V265" s="461">
        <f t="shared" ca="1" si="86"/>
        <v>0.75</v>
      </c>
      <c r="W265" s="461" t="str">
        <f t="shared" ca="1" si="87"/>
        <v/>
      </c>
      <c r="X265" s="465" t="str">
        <f t="shared" ca="1" si="88"/>
        <v/>
      </c>
      <c r="Y265" s="99">
        <f t="shared" si="82"/>
        <v>2</v>
      </c>
      <c r="Z265" s="99"/>
      <c r="AA265" s="99"/>
      <c r="AB265" s="99"/>
      <c r="AC265" s="159" t="s">
        <v>2199</v>
      </c>
      <c r="AD265" s="107">
        <f t="shared" ca="1" si="83"/>
        <v>0.875</v>
      </c>
      <c r="AE265" s="99" t="b">
        <f t="shared" ca="1" si="84"/>
        <v>0</v>
      </c>
      <c r="AF265" s="159" t="s">
        <v>2403</v>
      </c>
      <c r="AG265" s="783">
        <f>COUNTIF('VA Detailed Scorecard Config'!D:D,AF265)</f>
        <v>1</v>
      </c>
      <c r="AH265" s="99"/>
    </row>
    <row r="266" spans="2:34" ht="13.5" customHeight="1">
      <c r="B266" s="328" t="s">
        <v>749</v>
      </c>
      <c r="C266" s="99">
        <f ca="1">IF(INDIRECT(C$24&amp;"!C"&amp;ROW()-ROW($C$252)+4)="","",INDIRECT(C$24&amp;"!C"&amp;ROW()-ROW($C$252)+4))</f>
        <v>4</v>
      </c>
      <c r="D266" s="99">
        <f ca="1">IF(INDIRECT(D$24&amp;"!C"&amp;ROW()-ROW($C$252)+4)="","",INDIRECT(D$24&amp;"!C"&amp;ROW()-ROW($C$252)+4))</f>
        <v>3</v>
      </c>
      <c r="G266" s="99" t="str">
        <f ca="1">IF(INDIRECT(C$24&amp;"!D"&amp;ROW()-ROW($C$252)+4)="","",INDIRECT(C$24&amp;"!D"&amp;ROW()-ROW($C$252)+4))</f>
        <v/>
      </c>
      <c r="H266" s="99" t="str">
        <f ca="1">IF(INDIRECT(D$24&amp;"!D"&amp;ROW()-ROW($C$252)+4)="","",INDIRECT(D$24&amp;"!D"&amp;ROW()-ROW($C$252)+4))</f>
        <v/>
      </c>
      <c r="K266" s="99" t="str">
        <f ca="1">IF(INDIRECT(C$24&amp;"!E"&amp;ROW()-ROW($C$252)+4)="","",INDIRECT(C$24&amp;"!E"&amp;ROW()-ROW($C$252)+4))</f>
        <v>Disagree_Agree_1_5</v>
      </c>
      <c r="L266" s="99" t="b">
        <f ca="1">IF(INDIRECT(C$24&amp;"!F"&amp;ROW()-ROW($C$252)+4)="","",INDIRECT(C$24&amp;"!F"&amp;ROW()-ROW($C$252)+4))</f>
        <v>1</v>
      </c>
      <c r="M266" s="99" t="b">
        <f ca="1">IF(INDIRECT(D$24&amp;"!F"&amp;ROW()-ROW($C$252)+4)="","",INDIRECT(D$24&amp;"!F"&amp;ROW()-ROW($C$252)+4))</f>
        <v>1</v>
      </c>
      <c r="N266" s="99"/>
      <c r="O266" s="99"/>
      <c r="P266" s="99" t="b">
        <f ca="1">INDIRECT(C$24&amp;"!B"&amp;ROW()-ROW($C$252)+4)=$B266</f>
        <v>1</v>
      </c>
      <c r="Q266" s="99" t="b">
        <f ca="1">INDIRECT(D$24&amp;"!B"&amp;ROW()-ROW($C$252)+4)=$B266</f>
        <v>1</v>
      </c>
      <c r="T266" s="37" t="str">
        <f ca="1">IF(NOT(ISERROR(MATCH(K266,'Lookup Tables'!A:A,0))),"Lookup",IF(OR(NOT(ISERROR(FIND("Numeric",K266))),NOT(ISERROR(FIND("Percentage",K266))),NOT(ISERROR(FIND("Date",K266)))),"Numeric",IF(NOT(ISERROR(FIND("lank",K266))),"Non-blank",IF(NOT(ISERROR(FIND("Not evaluated",K266))),"Skipped","Other"))))</f>
        <v>Lookup</v>
      </c>
      <c r="U266" s="461">
        <f t="shared" ca="1" si="85"/>
        <v>0.75</v>
      </c>
      <c r="V266" s="461">
        <f t="shared" ca="1" si="86"/>
        <v>0.5</v>
      </c>
      <c r="W266" s="461" t="str">
        <f t="shared" ca="1" si="87"/>
        <v/>
      </c>
      <c r="X266" s="465" t="str">
        <f t="shared" ca="1" si="88"/>
        <v/>
      </c>
      <c r="Y266" s="99">
        <f t="shared" si="82"/>
        <v>2</v>
      </c>
      <c r="Z266" s="99"/>
      <c r="AA266" s="99"/>
      <c r="AB266" s="99"/>
      <c r="AC266" s="159" t="s">
        <v>2199</v>
      </c>
      <c r="AD266" s="107">
        <f t="shared" ca="1" si="83"/>
        <v>0.625</v>
      </c>
      <c r="AE266" s="99" t="b">
        <f t="shared" ca="1" si="84"/>
        <v>0</v>
      </c>
      <c r="AF266" s="159" t="s">
        <v>2404</v>
      </c>
      <c r="AG266" s="783">
        <f>COUNTIF('VA Detailed Scorecard Config'!D:D,AF266)</f>
        <v>1</v>
      </c>
      <c r="AH266" s="99"/>
    </row>
    <row r="267" spans="2:34" ht="13.5" customHeight="1">
      <c r="B267" s="328" t="s">
        <v>750</v>
      </c>
      <c r="C267" s="99" t="str">
        <f ca="1">IF(INDIRECT(C$24&amp;"!C"&amp;ROW()-ROW($C$252)+4)="","",INDIRECT(C$24&amp;"!C"&amp;ROW()-ROW($C$252)+4))</f>
        <v>5 - Completely Agree</v>
      </c>
      <c r="D267" s="99">
        <f ca="1">IF(INDIRECT(D$24&amp;"!C"&amp;ROW()-ROW($C$252)+4)="","",INDIRECT(D$24&amp;"!C"&amp;ROW()-ROW($C$252)+4))</f>
        <v>2</v>
      </c>
      <c r="G267" s="99" t="str">
        <f ca="1">IF(INDIRECT(C$24&amp;"!D"&amp;ROW()-ROW($C$252)+4)="","",INDIRECT(C$24&amp;"!D"&amp;ROW()-ROW($C$252)+4))</f>
        <v/>
      </c>
      <c r="H267" s="99" t="str">
        <f ca="1">IF(INDIRECT(D$24&amp;"!D"&amp;ROW()-ROW($C$252)+4)="","",INDIRECT(D$24&amp;"!D"&amp;ROW()-ROW($C$252)+4))</f>
        <v/>
      </c>
      <c r="K267" s="99" t="str">
        <f ca="1">IF(INDIRECT(C$24&amp;"!E"&amp;ROW()-ROW($C$252)+4)="","",INDIRECT(C$24&amp;"!E"&amp;ROW()-ROW($C$252)+4))</f>
        <v>Disagree_Agree_1_5</v>
      </c>
      <c r="L267" s="99" t="b">
        <f ca="1">IF(INDIRECT(C$24&amp;"!F"&amp;ROW()-ROW($C$252)+4)="","",INDIRECT(C$24&amp;"!F"&amp;ROW()-ROW($C$252)+4))</f>
        <v>1</v>
      </c>
      <c r="M267" s="99" t="b">
        <f ca="1">IF(INDIRECT(D$24&amp;"!F"&amp;ROW()-ROW($C$252)+4)="","",INDIRECT(D$24&amp;"!F"&amp;ROW()-ROW($C$252)+4))</f>
        <v>1</v>
      </c>
      <c r="N267" s="99"/>
      <c r="O267" s="99"/>
      <c r="P267" s="99" t="b">
        <f ca="1">INDIRECT(C$24&amp;"!B"&amp;ROW()-ROW($C$252)+4)=$B267</f>
        <v>1</v>
      </c>
      <c r="Q267" s="99" t="b">
        <f ca="1">INDIRECT(D$24&amp;"!B"&amp;ROW()-ROW($C$252)+4)=$B267</f>
        <v>1</v>
      </c>
      <c r="T267" s="37" t="str">
        <f ca="1">IF(NOT(ISERROR(MATCH(K267,'Lookup Tables'!A:A,0))),"Lookup",IF(OR(NOT(ISERROR(FIND("Numeric",K267))),NOT(ISERROR(FIND("Percentage",K267))),NOT(ISERROR(FIND("Date",K267)))),"Numeric",IF(NOT(ISERROR(FIND("lank",K267))),"Non-blank",IF(NOT(ISERROR(FIND("Not evaluated",K267))),"Skipped","Other"))))</f>
        <v>Lookup</v>
      </c>
      <c r="U267" s="461">
        <f t="shared" ca="1" si="85"/>
        <v>1</v>
      </c>
      <c r="V267" s="461">
        <f t="shared" ca="1" si="86"/>
        <v>0.25</v>
      </c>
      <c r="W267" s="461" t="str">
        <f t="shared" ca="1" si="87"/>
        <v/>
      </c>
      <c r="X267" s="465" t="str">
        <f t="shared" ca="1" si="88"/>
        <v/>
      </c>
      <c r="Y267" s="99">
        <f t="shared" si="82"/>
        <v>2</v>
      </c>
      <c r="Z267" s="99"/>
      <c r="AA267" s="99"/>
      <c r="AB267" s="99"/>
      <c r="AC267" s="159" t="s">
        <v>2199</v>
      </c>
      <c r="AD267" s="107">
        <f t="shared" ca="1" si="83"/>
        <v>0.625</v>
      </c>
      <c r="AE267" s="99" t="b">
        <f t="shared" ca="1" si="84"/>
        <v>0</v>
      </c>
      <c r="AF267" s="159" t="s">
        <v>2405</v>
      </c>
      <c r="AG267" s="783">
        <f>COUNTIF('VA Detailed Scorecard Config'!D:D,AF267)</f>
        <v>1</v>
      </c>
      <c r="AH267" s="99"/>
    </row>
    <row r="268" spans="2:34" ht="13.5" customHeight="1">
      <c r="B268" s="328" t="s">
        <v>751</v>
      </c>
      <c r="C268" s="99">
        <f ca="1">IF(INDIRECT(C$24&amp;"!C"&amp;ROW()-ROW($C$252)+4)="","",INDIRECT(C$24&amp;"!C"&amp;ROW()-ROW($C$252)+4))</f>
        <v>4</v>
      </c>
      <c r="D268" s="99" t="str">
        <f ca="1">IF(INDIRECT(D$24&amp;"!C"&amp;ROW()-ROW($C$252)+4)="","",INDIRECT(D$24&amp;"!C"&amp;ROW()-ROW($C$252)+4))</f>
        <v>5 - Completely Agree</v>
      </c>
      <c r="G268" s="99" t="str">
        <f ca="1">IF(INDIRECT(C$24&amp;"!D"&amp;ROW()-ROW($C$252)+4)="","",INDIRECT(C$24&amp;"!D"&amp;ROW()-ROW($C$252)+4))</f>
        <v/>
      </c>
      <c r="H268" s="99" t="str">
        <f ca="1">IF(INDIRECT(D$24&amp;"!D"&amp;ROW()-ROW($C$252)+4)="","",INDIRECT(D$24&amp;"!D"&amp;ROW()-ROW($C$252)+4))</f>
        <v/>
      </c>
      <c r="K268" s="99" t="str">
        <f ca="1">IF(INDIRECT(C$24&amp;"!E"&amp;ROW()-ROW($C$252)+4)="","",INDIRECT(C$24&amp;"!E"&amp;ROW()-ROW($C$252)+4))</f>
        <v>Disagree_Agree_1_5</v>
      </c>
      <c r="L268" s="99" t="b">
        <f ca="1">IF(INDIRECT(C$24&amp;"!F"&amp;ROW()-ROW($C$252)+4)="","",INDIRECT(C$24&amp;"!F"&amp;ROW()-ROW($C$252)+4))</f>
        <v>1</v>
      </c>
      <c r="M268" s="99" t="b">
        <f ca="1">IF(INDIRECT(D$24&amp;"!F"&amp;ROW()-ROW($C$252)+4)="","",INDIRECT(D$24&amp;"!F"&amp;ROW()-ROW($C$252)+4))</f>
        <v>1</v>
      </c>
      <c r="N268" s="99"/>
      <c r="O268" s="99"/>
      <c r="P268" s="99" t="b">
        <f ca="1">INDIRECT(C$24&amp;"!B"&amp;ROW()-ROW($C$252)+4)=$B268</f>
        <v>1</v>
      </c>
      <c r="Q268" s="99" t="b">
        <f ca="1">INDIRECT(D$24&amp;"!B"&amp;ROW()-ROW($C$252)+4)=$B268</f>
        <v>1</v>
      </c>
      <c r="T268" s="37" t="str">
        <f ca="1">IF(NOT(ISERROR(MATCH(K268,'Lookup Tables'!A:A,0))),"Lookup",IF(OR(NOT(ISERROR(FIND("Numeric",K268))),NOT(ISERROR(FIND("Percentage",K268))),NOT(ISERROR(FIND("Date",K268)))),"Numeric",IF(NOT(ISERROR(FIND("lank",K268))),"Non-blank",IF(NOT(ISERROR(FIND("Not evaluated",K268))),"Skipped","Other"))))</f>
        <v>Lookup</v>
      </c>
      <c r="U268" s="461">
        <f t="shared" ca="1" si="85"/>
        <v>0.75</v>
      </c>
      <c r="V268" s="461">
        <f t="shared" ca="1" si="86"/>
        <v>1</v>
      </c>
      <c r="W268" s="461" t="str">
        <f t="shared" ca="1" si="87"/>
        <v/>
      </c>
      <c r="X268" s="465" t="str">
        <f t="shared" ca="1" si="88"/>
        <v/>
      </c>
      <c r="Y268" s="99">
        <f t="shared" si="82"/>
        <v>2</v>
      </c>
      <c r="Z268" s="99"/>
      <c r="AA268" s="99"/>
      <c r="AB268" s="99"/>
      <c r="AC268" s="159" t="s">
        <v>2199</v>
      </c>
      <c r="AD268" s="107">
        <f t="shared" ca="1" si="83"/>
        <v>0.875</v>
      </c>
      <c r="AE268" s="99" t="b">
        <f t="shared" ca="1" si="84"/>
        <v>0</v>
      </c>
      <c r="AF268" s="159" t="s">
        <v>2406</v>
      </c>
      <c r="AG268" s="783">
        <f>COUNTIF('VA Detailed Scorecard Config'!D:D,AF268)</f>
        <v>1</v>
      </c>
      <c r="AH268" s="99"/>
    </row>
    <row r="269" spans="2:34" ht="13.5" customHeight="1">
      <c r="B269" s="327" t="s">
        <v>1918</v>
      </c>
      <c r="C269" s="99">
        <f ca="1">IF(INDIRECT(C$24&amp;"!C"&amp;ROW()-ROW($C$252)+4)="","",INDIRECT(C$24&amp;"!C"&amp;ROW()-ROW($C$252)+4))</f>
        <v>4</v>
      </c>
      <c r="D269" s="99">
        <f ca="1">IF(INDIRECT(D$24&amp;"!C"&amp;ROW()-ROW($C$252)+4)="","",INDIRECT(D$24&amp;"!C"&amp;ROW()-ROW($C$252)+4))</f>
        <v>4</v>
      </c>
      <c r="G269" s="99" t="str">
        <f ca="1">IF(INDIRECT(C$24&amp;"!D"&amp;ROW()-ROW($C$252)+4)="","",INDIRECT(C$24&amp;"!D"&amp;ROW()-ROW($C$252)+4))</f>
        <v/>
      </c>
      <c r="H269" s="99" t="str">
        <f ca="1">IF(INDIRECT(D$24&amp;"!D"&amp;ROW()-ROW($C$252)+4)="","",INDIRECT(D$24&amp;"!D"&amp;ROW()-ROW($C$252)+4))</f>
        <v/>
      </c>
      <c r="K269" s="99" t="str">
        <f ca="1">IF(INDIRECT(C$24&amp;"!E"&amp;ROW()-ROW($C$252)+4)="","",INDIRECT(C$24&amp;"!E"&amp;ROW()-ROW($C$252)+4))</f>
        <v>Disagree_Agree_1_5</v>
      </c>
      <c r="L269" s="99" t="b">
        <f ca="1">IF(INDIRECT(C$24&amp;"!F"&amp;ROW()-ROW($C$252)+4)="","",INDIRECT(C$24&amp;"!F"&amp;ROW()-ROW($C$252)+4))</f>
        <v>1</v>
      </c>
      <c r="M269" s="99" t="b">
        <f ca="1">IF(INDIRECT(D$24&amp;"!F"&amp;ROW()-ROW($C$252)+4)="","",INDIRECT(D$24&amp;"!F"&amp;ROW()-ROW($C$252)+4))</f>
        <v>1</v>
      </c>
      <c r="N269" s="99"/>
      <c r="O269" s="99"/>
      <c r="P269" s="99" t="b">
        <f ca="1">INDIRECT(C$24&amp;"!B"&amp;ROW()-ROW($C$252)+4)=$B269</f>
        <v>1</v>
      </c>
      <c r="Q269" s="99" t="b">
        <f ca="1">INDIRECT(D$24&amp;"!B"&amp;ROW()-ROW($C$252)+4)=$B269</f>
        <v>1</v>
      </c>
      <c r="T269" s="37" t="str">
        <f ca="1">IF(NOT(ISERROR(MATCH(K269,'Lookup Tables'!A:A,0))),"Lookup",IF(OR(NOT(ISERROR(FIND("Numeric",K269))),NOT(ISERROR(FIND("Percentage",K269))),NOT(ISERROR(FIND("Date",K269)))),"Numeric",IF(NOT(ISERROR(FIND("lank",K269))),"Non-blank",IF(NOT(ISERROR(FIND("Not evaluated",K269))),"Skipped","Other"))))</f>
        <v>Lookup</v>
      </c>
      <c r="U269" s="461">
        <f t="shared" ca="1" si="85"/>
        <v>0.75</v>
      </c>
      <c r="V269" s="461">
        <f t="shared" ca="1" si="86"/>
        <v>0.75</v>
      </c>
      <c r="W269" s="461" t="str">
        <f t="shared" ca="1" si="87"/>
        <v/>
      </c>
      <c r="X269" s="465" t="str">
        <f t="shared" ca="1" si="88"/>
        <v/>
      </c>
      <c r="Y269" s="99">
        <f t="shared" si="82"/>
        <v>2</v>
      </c>
      <c r="Z269" s="99"/>
      <c r="AA269" s="99"/>
      <c r="AB269" s="99"/>
      <c r="AC269" s="159" t="s">
        <v>2199</v>
      </c>
      <c r="AD269" s="107">
        <f t="shared" ca="1" si="83"/>
        <v>0.75</v>
      </c>
      <c r="AE269" s="99" t="b">
        <f t="shared" ca="1" si="84"/>
        <v>0</v>
      </c>
      <c r="AF269" s="159" t="s">
        <v>2407</v>
      </c>
      <c r="AG269" s="783">
        <f>COUNTIF('VA Detailed Scorecard Config'!D:D,AF269)</f>
        <v>1</v>
      </c>
      <c r="AH269" s="99"/>
    </row>
    <row r="270" spans="2:34" ht="13.5" customHeight="1">
      <c r="B270" s="328" t="s">
        <v>754</v>
      </c>
      <c r="C270" s="99">
        <f ca="1">IF(INDIRECT(C$24&amp;"!C"&amp;ROW()-ROW($C$252)+4)="","",INDIRECT(C$24&amp;"!C"&amp;ROW()-ROW($C$252)+4))</f>
        <v>3</v>
      </c>
      <c r="D270" s="99">
        <f ca="1">IF(INDIRECT(D$24&amp;"!C"&amp;ROW()-ROW($C$252)+4)="","",INDIRECT(D$24&amp;"!C"&amp;ROW()-ROW($C$252)+4))</f>
        <v>2</v>
      </c>
      <c r="G270" s="99" t="str">
        <f ca="1">IF(INDIRECT(C$24&amp;"!D"&amp;ROW()-ROW($C$252)+4)="","",INDIRECT(C$24&amp;"!D"&amp;ROW()-ROW($C$252)+4))</f>
        <v/>
      </c>
      <c r="H270" s="99" t="str">
        <f ca="1">IF(INDIRECT(D$24&amp;"!D"&amp;ROW()-ROW($C$252)+4)="","",INDIRECT(D$24&amp;"!D"&amp;ROW()-ROW($C$252)+4))</f>
        <v/>
      </c>
      <c r="K270" s="99" t="str">
        <f ca="1">IF(INDIRECT(C$24&amp;"!E"&amp;ROW()-ROW($C$252)+4)="","",INDIRECT(C$24&amp;"!E"&amp;ROW()-ROW($C$252)+4))</f>
        <v>Disagree_Agree_1_5</v>
      </c>
      <c r="L270" s="99" t="b">
        <f ca="1">IF(INDIRECT(C$24&amp;"!F"&amp;ROW()-ROW($C$252)+4)="","",INDIRECT(C$24&amp;"!F"&amp;ROW()-ROW($C$252)+4))</f>
        <v>1</v>
      </c>
      <c r="M270" s="99" t="b">
        <f ca="1">IF(INDIRECT(D$24&amp;"!F"&amp;ROW()-ROW($C$252)+4)="","",INDIRECT(D$24&amp;"!F"&amp;ROW()-ROW($C$252)+4))</f>
        <v>1</v>
      </c>
      <c r="N270" s="99"/>
      <c r="O270" s="99"/>
      <c r="P270" s="99" t="b">
        <f ca="1">INDIRECT(C$24&amp;"!B"&amp;ROW()-ROW($C$252)+4)=$B270</f>
        <v>1</v>
      </c>
      <c r="Q270" s="99" t="b">
        <f ca="1">INDIRECT(D$24&amp;"!B"&amp;ROW()-ROW($C$252)+4)=$B270</f>
        <v>1</v>
      </c>
      <c r="T270" s="37" t="str">
        <f ca="1">IF(NOT(ISERROR(MATCH(K270,'Lookup Tables'!A:A,0))),"Lookup",IF(OR(NOT(ISERROR(FIND("Numeric",K270))),NOT(ISERROR(FIND("Percentage",K270))),NOT(ISERROR(FIND("Date",K270)))),"Numeric",IF(NOT(ISERROR(FIND("lank",K270))),"Non-blank",IF(NOT(ISERROR(FIND("Not evaluated",K270))),"Skipped","Other"))))</f>
        <v>Lookup</v>
      </c>
      <c r="U270" s="461">
        <f t="shared" ca="1" si="85"/>
        <v>0.5</v>
      </c>
      <c r="V270" s="461">
        <f t="shared" ca="1" si="86"/>
        <v>0.25</v>
      </c>
      <c r="W270" s="461" t="str">
        <f t="shared" ca="1" si="87"/>
        <v/>
      </c>
      <c r="X270" s="465" t="str">
        <f t="shared" ca="1" si="88"/>
        <v/>
      </c>
      <c r="Y270" s="99">
        <f t="shared" si="82"/>
        <v>2</v>
      </c>
      <c r="Z270" s="99"/>
      <c r="AA270" s="99"/>
      <c r="AB270" s="99"/>
      <c r="AC270" s="159" t="s">
        <v>2199</v>
      </c>
      <c r="AD270" s="107">
        <f t="shared" ca="1" si="83"/>
        <v>0.375</v>
      </c>
      <c r="AE270" s="99" t="b">
        <f t="shared" ca="1" si="84"/>
        <v>0</v>
      </c>
      <c r="AF270" s="159" t="s">
        <v>2408</v>
      </c>
      <c r="AG270" s="783">
        <f>COUNTIF('VA Detailed Scorecard Config'!D:D,AF270)</f>
        <v>1</v>
      </c>
      <c r="AH270" s="99"/>
    </row>
    <row r="271" spans="2:34" ht="13.5" customHeight="1">
      <c r="B271" s="327" t="s">
        <v>1935</v>
      </c>
      <c r="C271" s="99">
        <f ca="1">IF(INDIRECT(C$24&amp;"!C"&amp;ROW()-ROW($C$252)+4)="","",INDIRECT(C$24&amp;"!C"&amp;ROW()-ROW($C$252)+4))</f>
        <v>4</v>
      </c>
      <c r="D271" s="99">
        <f ca="1">IF(INDIRECT(D$24&amp;"!C"&amp;ROW()-ROW($C$252)+4)="","",INDIRECT(D$24&amp;"!C"&amp;ROW()-ROW($C$252)+4))</f>
        <v>3</v>
      </c>
      <c r="G271" s="99" t="str">
        <f ca="1">IF(INDIRECT(C$24&amp;"!D"&amp;ROW()-ROW($C$252)+4)="","",INDIRECT(C$24&amp;"!D"&amp;ROW()-ROW($C$252)+4))</f>
        <v/>
      </c>
      <c r="H271" s="99" t="str">
        <f ca="1">IF(INDIRECT(D$24&amp;"!D"&amp;ROW()-ROW($C$252)+4)="","",INDIRECT(D$24&amp;"!D"&amp;ROW()-ROW($C$252)+4))</f>
        <v/>
      </c>
      <c r="K271" s="99" t="str">
        <f ca="1">IF(INDIRECT(C$24&amp;"!E"&amp;ROW()-ROW($C$252)+4)="","",INDIRECT(C$24&amp;"!E"&amp;ROW()-ROW($C$252)+4))</f>
        <v>Disagree_Agree_1_5</v>
      </c>
      <c r="L271" s="99" t="b">
        <f ca="1">IF(INDIRECT(C$24&amp;"!F"&amp;ROW()-ROW($C$252)+4)="","",INDIRECT(C$24&amp;"!F"&amp;ROW()-ROW($C$252)+4))</f>
        <v>1</v>
      </c>
      <c r="M271" s="99" t="b">
        <f ca="1">IF(INDIRECT(D$24&amp;"!F"&amp;ROW()-ROW($C$252)+4)="","",INDIRECT(D$24&amp;"!F"&amp;ROW()-ROW($C$252)+4))</f>
        <v>1</v>
      </c>
      <c r="N271" s="99"/>
      <c r="O271" s="99"/>
      <c r="P271" s="99" t="b">
        <f ca="1">INDIRECT(C$24&amp;"!B"&amp;ROW()-ROW($C$252)+4)=$B271</f>
        <v>1</v>
      </c>
      <c r="Q271" s="99" t="b">
        <f ca="1">INDIRECT(D$24&amp;"!B"&amp;ROW()-ROW($C$252)+4)=$B271</f>
        <v>1</v>
      </c>
      <c r="T271" s="37" t="str">
        <f ca="1">IF(NOT(ISERROR(MATCH(K271,'Lookup Tables'!A:A,0))),"Lookup",IF(OR(NOT(ISERROR(FIND("Numeric",K271))),NOT(ISERROR(FIND("Percentage",K271))),NOT(ISERROR(FIND("Date",K271)))),"Numeric",IF(NOT(ISERROR(FIND("lank",K271))),"Non-blank",IF(NOT(ISERROR(FIND("Not evaluated",K271))),"Skipped","Other"))))</f>
        <v>Lookup</v>
      </c>
      <c r="U271" s="461">
        <f t="shared" ca="1" si="85"/>
        <v>0.75</v>
      </c>
      <c r="V271" s="461">
        <f t="shared" ca="1" si="86"/>
        <v>0.5</v>
      </c>
      <c r="W271" s="461" t="str">
        <f t="shared" ca="1" si="87"/>
        <v/>
      </c>
      <c r="X271" s="465" t="str">
        <f t="shared" ca="1" si="88"/>
        <v/>
      </c>
      <c r="Y271" s="99">
        <f t="shared" si="82"/>
        <v>2</v>
      </c>
      <c r="Z271" s="99"/>
      <c r="AA271" s="99"/>
      <c r="AB271" s="99"/>
      <c r="AC271" s="159" t="s">
        <v>2199</v>
      </c>
      <c r="AD271" s="107">
        <f t="shared" ca="1" si="83"/>
        <v>0.625</v>
      </c>
      <c r="AE271" s="99" t="b">
        <f t="shared" ca="1" si="84"/>
        <v>0</v>
      </c>
      <c r="AF271" s="159" t="s">
        <v>2409</v>
      </c>
      <c r="AG271" s="783">
        <f>COUNTIF('VA Detailed Scorecard Config'!D:D,AF271)</f>
        <v>1</v>
      </c>
      <c r="AH271" s="99"/>
    </row>
    <row r="272" spans="2:34" ht="13.5" customHeight="1">
      <c r="B272" s="328" t="s">
        <v>764</v>
      </c>
      <c r="C272" s="99" t="str">
        <f ca="1">IF(INDIRECT(C$24&amp;"!C"&amp;ROW()-ROW($C$252)+4)="","",INDIRECT(C$24&amp;"!C"&amp;ROW()-ROW($C$252)+4))</f>
        <v>5 - Completely Agree</v>
      </c>
      <c r="D272" s="99">
        <f ca="1">IF(INDIRECT(D$24&amp;"!C"&amp;ROW()-ROW($C$252)+4)="","",INDIRECT(D$24&amp;"!C"&amp;ROW()-ROW($C$252)+4))</f>
        <v>4</v>
      </c>
      <c r="G272" s="99" t="str">
        <f ca="1">IF(INDIRECT(C$24&amp;"!D"&amp;ROW()-ROW($C$252)+4)="","",INDIRECT(C$24&amp;"!D"&amp;ROW()-ROW($C$252)+4))</f>
        <v/>
      </c>
      <c r="H272" s="99" t="str">
        <f ca="1">IF(INDIRECT(D$24&amp;"!D"&amp;ROW()-ROW($C$252)+4)="","",INDIRECT(D$24&amp;"!D"&amp;ROW()-ROW($C$252)+4))</f>
        <v/>
      </c>
      <c r="K272" s="99" t="str">
        <f ca="1">IF(INDIRECT(C$24&amp;"!E"&amp;ROW()-ROW($C$252)+4)="","",INDIRECT(C$24&amp;"!E"&amp;ROW()-ROW($C$252)+4))</f>
        <v>Disagree_Agree_1_5</v>
      </c>
      <c r="L272" s="99" t="b">
        <f ca="1">IF(INDIRECT(C$24&amp;"!F"&amp;ROW()-ROW($C$252)+4)="","",INDIRECT(C$24&amp;"!F"&amp;ROW()-ROW($C$252)+4))</f>
        <v>1</v>
      </c>
      <c r="M272" s="99" t="b">
        <f ca="1">IF(INDIRECT(D$24&amp;"!F"&amp;ROW()-ROW($C$252)+4)="","",INDIRECT(D$24&amp;"!F"&amp;ROW()-ROW($C$252)+4))</f>
        <v>1</v>
      </c>
      <c r="N272" s="99"/>
      <c r="O272" s="99"/>
      <c r="P272" s="99" t="b">
        <f ca="1">INDIRECT(C$24&amp;"!B"&amp;ROW()-ROW($C$252)+4)=$B272</f>
        <v>1</v>
      </c>
      <c r="Q272" s="99" t="b">
        <f ca="1">INDIRECT(D$24&amp;"!B"&amp;ROW()-ROW($C$252)+4)=$B272</f>
        <v>1</v>
      </c>
      <c r="T272" s="37" t="str">
        <f ca="1">IF(NOT(ISERROR(MATCH(K272,'Lookup Tables'!A:A,0))),"Lookup",IF(OR(NOT(ISERROR(FIND("Numeric",K272))),NOT(ISERROR(FIND("Percentage",K272))),NOT(ISERROR(FIND("Date",K272)))),"Numeric",IF(NOT(ISERROR(FIND("lank",K272))),"Non-blank",IF(NOT(ISERROR(FIND("Not evaluated",K272))),"Skipped","Other"))))</f>
        <v>Lookup</v>
      </c>
      <c r="U272" s="461">
        <f t="shared" ca="1" si="85"/>
        <v>1</v>
      </c>
      <c r="V272" s="461">
        <f t="shared" ca="1" si="86"/>
        <v>0.75</v>
      </c>
      <c r="W272" s="461" t="str">
        <f t="shared" ca="1" si="87"/>
        <v/>
      </c>
      <c r="X272" s="465" t="str">
        <f t="shared" ca="1" si="88"/>
        <v/>
      </c>
      <c r="Y272" s="99">
        <f t="shared" si="82"/>
        <v>2</v>
      </c>
      <c r="Z272" s="99"/>
      <c r="AA272" s="99"/>
      <c r="AB272" s="99"/>
      <c r="AC272" s="159" t="s">
        <v>2199</v>
      </c>
      <c r="AD272" s="107">
        <f t="shared" ca="1" si="83"/>
        <v>0.875</v>
      </c>
      <c r="AE272" s="99" t="b">
        <f t="shared" ca="1" si="84"/>
        <v>0</v>
      </c>
      <c r="AF272" s="159" t="s">
        <v>2411</v>
      </c>
      <c r="AG272" s="783">
        <f>COUNTIF('VA Detailed Scorecard Config'!D:D,AF272)</f>
        <v>1</v>
      </c>
      <c r="AH272" s="99"/>
    </row>
    <row r="273" spans="2:34" ht="13.5" customHeight="1">
      <c r="B273" s="327" t="s">
        <v>1936</v>
      </c>
      <c r="C273" s="99">
        <f ca="1">IF(INDIRECT(C$24&amp;"!C"&amp;ROW()-ROW($C$252)+4)="","",INDIRECT(C$24&amp;"!C"&amp;ROW()-ROW($C$252)+4))</f>
        <v>4</v>
      </c>
      <c r="D273" s="99">
        <f ca="1">IF(INDIRECT(D$24&amp;"!C"&amp;ROW()-ROW($C$252)+4)="","",INDIRECT(D$24&amp;"!C"&amp;ROW()-ROW($C$252)+4))</f>
        <v>3</v>
      </c>
      <c r="G273" s="99" t="str">
        <f ca="1">IF(INDIRECT(C$24&amp;"!D"&amp;ROW()-ROW($C$252)+4)="","",INDIRECT(C$24&amp;"!D"&amp;ROW()-ROW($C$252)+4))</f>
        <v/>
      </c>
      <c r="H273" s="99" t="str">
        <f ca="1">IF(INDIRECT(D$24&amp;"!D"&amp;ROW()-ROW($C$252)+4)="","",INDIRECT(D$24&amp;"!D"&amp;ROW()-ROW($C$252)+4))</f>
        <v/>
      </c>
      <c r="K273" s="99" t="str">
        <f ca="1">IF(INDIRECT(C$24&amp;"!E"&amp;ROW()-ROW($C$252)+4)="","",INDIRECT(C$24&amp;"!E"&amp;ROW()-ROW($C$252)+4))</f>
        <v>Disagree_Agree_1_5</v>
      </c>
      <c r="L273" s="99" t="b">
        <f ca="1">IF(INDIRECT(C$24&amp;"!F"&amp;ROW()-ROW($C$252)+4)="","",INDIRECT(C$24&amp;"!F"&amp;ROW()-ROW($C$252)+4))</f>
        <v>1</v>
      </c>
      <c r="M273" s="99" t="b">
        <f ca="1">IF(INDIRECT(D$24&amp;"!F"&amp;ROW()-ROW($C$252)+4)="","",INDIRECT(D$24&amp;"!F"&amp;ROW()-ROW($C$252)+4))</f>
        <v>1</v>
      </c>
      <c r="N273" s="99"/>
      <c r="O273" s="99"/>
      <c r="P273" s="99" t="b">
        <f ca="1">INDIRECT(C$24&amp;"!B"&amp;ROW()-ROW($C$252)+4)=$B273</f>
        <v>1</v>
      </c>
      <c r="Q273" s="99" t="b">
        <f ca="1">INDIRECT(D$24&amp;"!B"&amp;ROW()-ROW($C$252)+4)=$B273</f>
        <v>1</v>
      </c>
      <c r="T273" s="37" t="str">
        <f ca="1">IF(NOT(ISERROR(MATCH(K273,'Lookup Tables'!A:A,0))),"Lookup",IF(OR(NOT(ISERROR(FIND("Numeric",K273))),NOT(ISERROR(FIND("Percentage",K273))),NOT(ISERROR(FIND("Date",K273)))),"Numeric",IF(NOT(ISERROR(FIND("lank",K273))),"Non-blank",IF(NOT(ISERROR(FIND("Not evaluated",K273))),"Skipped","Other"))))</f>
        <v>Lookup</v>
      </c>
      <c r="U273" s="461">
        <f t="shared" ca="1" si="85"/>
        <v>0.75</v>
      </c>
      <c r="V273" s="461">
        <f t="shared" ca="1" si="86"/>
        <v>0.5</v>
      </c>
      <c r="W273" s="461" t="str">
        <f t="shared" ca="1" si="87"/>
        <v/>
      </c>
      <c r="X273" s="465" t="str">
        <f t="shared" ca="1" si="88"/>
        <v/>
      </c>
      <c r="Y273" s="99">
        <f t="shared" si="82"/>
        <v>2</v>
      </c>
      <c r="Z273" s="99"/>
      <c r="AA273" s="99"/>
      <c r="AB273" s="99"/>
      <c r="AC273" s="159" t="s">
        <v>2199</v>
      </c>
      <c r="AD273" s="107">
        <f t="shared" ca="1" si="83"/>
        <v>0.625</v>
      </c>
      <c r="AE273" s="99" t="b">
        <f t="shared" ca="1" si="84"/>
        <v>0</v>
      </c>
      <c r="AF273" s="159" t="s">
        <v>2410</v>
      </c>
      <c r="AG273" s="783">
        <f>COUNTIF('VA Detailed Scorecard Config'!D:D,AF273)</f>
        <v>1</v>
      </c>
      <c r="AH273" s="99"/>
    </row>
    <row r="274" spans="2:34" ht="13.5" customHeight="1">
      <c r="B274" s="327" t="s">
        <v>1937</v>
      </c>
      <c r="C274" s="99">
        <f ca="1">IF(INDIRECT(C$24&amp;"!C"&amp;ROW()-ROW($C$252)+4)="","",INDIRECT(C$24&amp;"!C"&amp;ROW()-ROW($C$252)+4))</f>
        <v>3</v>
      </c>
      <c r="D274" s="99">
        <f ca="1">IF(INDIRECT(D$24&amp;"!C"&amp;ROW()-ROW($C$252)+4)="","",INDIRECT(D$24&amp;"!C"&amp;ROW()-ROW($C$252)+4))</f>
        <v>3</v>
      </c>
      <c r="G274" s="99" t="str">
        <f ca="1">IF(INDIRECT(C$24&amp;"!D"&amp;ROW()-ROW($C$252)+4)="","",INDIRECT(C$24&amp;"!D"&amp;ROW()-ROW($C$252)+4))</f>
        <v/>
      </c>
      <c r="H274" s="99" t="str">
        <f ca="1">IF(INDIRECT(D$24&amp;"!D"&amp;ROW()-ROW($C$252)+4)="","",INDIRECT(D$24&amp;"!D"&amp;ROW()-ROW($C$252)+4))</f>
        <v/>
      </c>
      <c r="K274" s="99" t="str">
        <f ca="1">IF(INDIRECT(C$24&amp;"!E"&amp;ROW()-ROW($C$252)+4)="","",INDIRECT(C$24&amp;"!E"&amp;ROW()-ROW($C$252)+4))</f>
        <v>Disagree_Agree_1_5</v>
      </c>
      <c r="L274" s="99" t="b">
        <f ca="1">IF(INDIRECT(C$24&amp;"!F"&amp;ROW()-ROW($C$252)+4)="","",INDIRECT(C$24&amp;"!F"&amp;ROW()-ROW($C$252)+4))</f>
        <v>1</v>
      </c>
      <c r="M274" s="99" t="b">
        <f ca="1">IF(INDIRECT(D$24&amp;"!F"&amp;ROW()-ROW($C$252)+4)="","",INDIRECT(D$24&amp;"!F"&amp;ROW()-ROW($C$252)+4))</f>
        <v>1</v>
      </c>
      <c r="N274" s="99"/>
      <c r="O274" s="99"/>
      <c r="P274" s="99" t="b">
        <f ca="1">INDIRECT(C$24&amp;"!B"&amp;ROW()-ROW($C$252)+4)=$B274</f>
        <v>1</v>
      </c>
      <c r="Q274" s="99" t="b">
        <f ca="1">INDIRECT(D$24&amp;"!B"&amp;ROW()-ROW($C$252)+4)=$B274</f>
        <v>1</v>
      </c>
      <c r="T274" s="37" t="str">
        <f ca="1">IF(NOT(ISERROR(MATCH(K274,'Lookup Tables'!A:A,0))),"Lookup",IF(OR(NOT(ISERROR(FIND("Numeric",K274))),NOT(ISERROR(FIND("Percentage",K274))),NOT(ISERROR(FIND("Date",K274)))),"Numeric",IF(NOT(ISERROR(FIND("lank",K274))),"Non-blank",IF(NOT(ISERROR(FIND("Not evaluated",K274))),"Skipped","Other"))))</f>
        <v>Lookup</v>
      </c>
      <c r="U274" s="461">
        <f t="shared" ca="1" si="85"/>
        <v>0.5</v>
      </c>
      <c r="V274" s="461">
        <f t="shared" ca="1" si="86"/>
        <v>0.5</v>
      </c>
      <c r="W274" s="461" t="str">
        <f t="shared" ca="1" si="87"/>
        <v/>
      </c>
      <c r="X274" s="465" t="str">
        <f t="shared" ca="1" si="88"/>
        <v/>
      </c>
      <c r="Y274" s="99">
        <f t="shared" si="82"/>
        <v>2</v>
      </c>
      <c r="Z274" s="99"/>
      <c r="AA274" s="99"/>
      <c r="AB274" s="99"/>
      <c r="AC274" s="159" t="s">
        <v>2199</v>
      </c>
      <c r="AD274" s="107">
        <f t="shared" ca="1" si="83"/>
        <v>0.5</v>
      </c>
      <c r="AE274" s="99" t="b">
        <f t="shared" ca="1" si="84"/>
        <v>0</v>
      </c>
      <c r="AF274" s="159" t="s">
        <v>2412</v>
      </c>
      <c r="AG274" s="783">
        <f>COUNTIF('VA Detailed Scorecard Config'!D:D,AF274)</f>
        <v>1</v>
      </c>
      <c r="AH274" s="99"/>
    </row>
    <row r="275" spans="2:34" ht="13.5" customHeight="1">
      <c r="B275" s="328" t="s">
        <v>767</v>
      </c>
      <c r="C275" s="99">
        <f ca="1">IF(INDIRECT(C$24&amp;"!C"&amp;ROW()-ROW($C$252)+4)="","",INDIRECT(C$24&amp;"!C"&amp;ROW()-ROW($C$252)+4))</f>
        <v>3</v>
      </c>
      <c r="D275" s="99">
        <f ca="1">IF(INDIRECT(D$24&amp;"!C"&amp;ROW()-ROW($C$252)+4)="","",INDIRECT(D$24&amp;"!C"&amp;ROW()-ROW($C$252)+4))</f>
        <v>3</v>
      </c>
      <c r="G275" s="99" t="str">
        <f ca="1">IF(INDIRECT(C$24&amp;"!D"&amp;ROW()-ROW($C$252)+4)="","",INDIRECT(C$24&amp;"!D"&amp;ROW()-ROW($C$252)+4))</f>
        <v/>
      </c>
      <c r="H275" s="99" t="str">
        <f ca="1">IF(INDIRECT(D$24&amp;"!D"&amp;ROW()-ROW($C$252)+4)="","",INDIRECT(D$24&amp;"!D"&amp;ROW()-ROW($C$252)+4))</f>
        <v/>
      </c>
      <c r="K275" s="99" t="str">
        <f ca="1">IF(INDIRECT(C$24&amp;"!E"&amp;ROW()-ROW($C$252)+4)="","",INDIRECT(C$24&amp;"!E"&amp;ROW()-ROW($C$252)+4))</f>
        <v>Disagree_Agree_1_5</v>
      </c>
      <c r="L275" s="99" t="b">
        <f ca="1">IF(INDIRECT(C$24&amp;"!F"&amp;ROW()-ROW($C$252)+4)="","",INDIRECT(C$24&amp;"!F"&amp;ROW()-ROW($C$252)+4))</f>
        <v>1</v>
      </c>
      <c r="M275" s="99" t="b">
        <f ca="1">IF(INDIRECT(D$24&amp;"!F"&amp;ROW()-ROW($C$252)+4)="","",INDIRECT(D$24&amp;"!F"&amp;ROW()-ROW($C$252)+4))</f>
        <v>1</v>
      </c>
      <c r="N275" s="99"/>
      <c r="O275" s="99"/>
      <c r="P275" s="99" t="b">
        <f ca="1">INDIRECT(C$24&amp;"!B"&amp;ROW()-ROW($C$252)+4)=$B275</f>
        <v>1</v>
      </c>
      <c r="Q275" s="99" t="b">
        <f ca="1">INDIRECT(D$24&amp;"!B"&amp;ROW()-ROW($C$252)+4)=$B275</f>
        <v>1</v>
      </c>
      <c r="T275" s="37" t="str">
        <f ca="1">IF(NOT(ISERROR(MATCH(K275,'Lookup Tables'!A:A,0))),"Lookup",IF(OR(NOT(ISERROR(FIND("Numeric",K275))),NOT(ISERROR(FIND("Percentage",K275))),NOT(ISERROR(FIND("Date",K275)))),"Numeric",IF(NOT(ISERROR(FIND("lank",K275))),"Non-blank",IF(NOT(ISERROR(FIND("Not evaluated",K275))),"Skipped","Other"))))</f>
        <v>Lookup</v>
      </c>
      <c r="U275" s="461">
        <f t="shared" ca="1" si="85"/>
        <v>0.5</v>
      </c>
      <c r="V275" s="461">
        <f t="shared" ca="1" si="86"/>
        <v>0.5</v>
      </c>
      <c r="W275" s="461" t="str">
        <f t="shared" ca="1" si="87"/>
        <v/>
      </c>
      <c r="X275" s="465" t="str">
        <f t="shared" ca="1" si="88"/>
        <v/>
      </c>
      <c r="Y275" s="99">
        <f t="shared" si="82"/>
        <v>2</v>
      </c>
      <c r="Z275" s="99"/>
      <c r="AA275" s="99"/>
      <c r="AB275" s="99"/>
      <c r="AC275" s="159" t="s">
        <v>2199</v>
      </c>
      <c r="AD275" s="107">
        <f t="shared" ca="1" si="83"/>
        <v>0.5</v>
      </c>
      <c r="AE275" s="99" t="b">
        <f t="shared" ca="1" si="84"/>
        <v>0</v>
      </c>
      <c r="AF275" s="159" t="s">
        <v>2413</v>
      </c>
      <c r="AG275" s="783">
        <f>COUNTIF('VA Detailed Scorecard Config'!D:D,AF275)</f>
        <v>1</v>
      </c>
      <c r="AH275" s="99"/>
    </row>
    <row r="276" spans="2:34" ht="13.5" customHeight="1">
      <c r="B276" s="328" t="s">
        <v>768</v>
      </c>
      <c r="C276" s="99" t="str">
        <f ca="1">IF(INDIRECT(C$24&amp;"!C"&amp;ROW()-ROW($C$252)+4)="","",INDIRECT(C$24&amp;"!C"&amp;ROW()-ROW($C$252)+4))</f>
        <v>5 - Completely Agree</v>
      </c>
      <c r="D276" s="99" t="str">
        <f ca="1">IF(INDIRECT(D$24&amp;"!C"&amp;ROW()-ROW($C$252)+4)="","",INDIRECT(D$24&amp;"!C"&amp;ROW()-ROW($C$252)+4))</f>
        <v>5 - Completely Agree</v>
      </c>
      <c r="G276" s="99" t="str">
        <f ca="1">IF(INDIRECT(C$24&amp;"!D"&amp;ROW()-ROW($C$252)+4)="","",INDIRECT(C$24&amp;"!D"&amp;ROW()-ROW($C$252)+4))</f>
        <v/>
      </c>
      <c r="H276" s="99" t="str">
        <f ca="1">IF(INDIRECT(D$24&amp;"!D"&amp;ROW()-ROW($C$252)+4)="","",INDIRECT(D$24&amp;"!D"&amp;ROW()-ROW($C$252)+4))</f>
        <v/>
      </c>
      <c r="K276" s="99" t="str">
        <f ca="1">IF(INDIRECT(C$24&amp;"!E"&amp;ROW()-ROW($C$252)+4)="","",INDIRECT(C$24&amp;"!E"&amp;ROW()-ROW($C$252)+4))</f>
        <v>Disagree_Agree_1_5</v>
      </c>
      <c r="L276" s="99" t="b">
        <f ca="1">IF(INDIRECT(C$24&amp;"!F"&amp;ROW()-ROW($C$252)+4)="","",INDIRECT(C$24&amp;"!F"&amp;ROW()-ROW($C$252)+4))</f>
        <v>1</v>
      </c>
      <c r="M276" s="99" t="b">
        <f ca="1">IF(INDIRECT(D$24&amp;"!F"&amp;ROW()-ROW($C$252)+4)="","",INDIRECT(D$24&amp;"!F"&amp;ROW()-ROW($C$252)+4))</f>
        <v>1</v>
      </c>
      <c r="N276" s="99"/>
      <c r="O276" s="99"/>
      <c r="P276" s="99" t="b">
        <f ca="1">INDIRECT(C$24&amp;"!B"&amp;ROW()-ROW($C$252)+4)=$B276</f>
        <v>1</v>
      </c>
      <c r="Q276" s="99" t="b">
        <f ca="1">INDIRECT(D$24&amp;"!B"&amp;ROW()-ROW($C$252)+4)=$B276</f>
        <v>1</v>
      </c>
      <c r="T276" s="37" t="str">
        <f ca="1">IF(NOT(ISERROR(MATCH(K276,'Lookup Tables'!A:A,0))),"Lookup",IF(OR(NOT(ISERROR(FIND("Numeric",K276))),NOT(ISERROR(FIND("Percentage",K276))),NOT(ISERROR(FIND("Date",K276)))),"Numeric",IF(NOT(ISERROR(FIND("lank",K276))),"Non-blank",IF(NOT(ISERROR(FIND("Not evaluated",K276))),"Skipped","Other"))))</f>
        <v>Lookup</v>
      </c>
      <c r="U276" s="461">
        <f t="shared" ca="1" si="85"/>
        <v>1</v>
      </c>
      <c r="V276" s="461">
        <f t="shared" ca="1" si="86"/>
        <v>1</v>
      </c>
      <c r="W276" s="461" t="str">
        <f t="shared" ca="1" si="87"/>
        <v/>
      </c>
      <c r="X276" s="465" t="str">
        <f t="shared" ca="1" si="88"/>
        <v/>
      </c>
      <c r="Y276" s="99">
        <f t="shared" si="82"/>
        <v>2</v>
      </c>
      <c r="Z276" s="99"/>
      <c r="AA276" s="99"/>
      <c r="AB276" s="99"/>
      <c r="AC276" s="159" t="s">
        <v>2199</v>
      </c>
      <c r="AD276" s="107">
        <f t="shared" ca="1" si="83"/>
        <v>1</v>
      </c>
      <c r="AE276" s="99" t="b">
        <f t="shared" ca="1" si="84"/>
        <v>0</v>
      </c>
      <c r="AF276" s="159" t="s">
        <v>2414</v>
      </c>
      <c r="AG276" s="783">
        <f>COUNTIF('VA Detailed Scorecard Config'!D:D,AF276)</f>
        <v>1</v>
      </c>
      <c r="AH276" s="99"/>
    </row>
    <row r="277" spans="2:34" ht="13.5" customHeight="1">
      <c r="B277" s="328" t="s">
        <v>769</v>
      </c>
      <c r="C277" s="99" t="str">
        <f ca="1">IF(INDIRECT(C$24&amp;"!C"&amp;ROW()-ROW($C$252)+4)="","",INDIRECT(C$24&amp;"!C"&amp;ROW()-ROW($C$252)+4))</f>
        <v>5 - Completely Agree</v>
      </c>
      <c r="D277" s="99" t="str">
        <f ca="1">IF(INDIRECT(D$24&amp;"!C"&amp;ROW()-ROW($C$252)+4)="","",INDIRECT(D$24&amp;"!C"&amp;ROW()-ROW($C$252)+4))</f>
        <v>5 - Completely Agree</v>
      </c>
      <c r="G277" s="99" t="str">
        <f ca="1">IF(INDIRECT(C$24&amp;"!D"&amp;ROW()-ROW($C$252)+4)="","",INDIRECT(C$24&amp;"!D"&amp;ROW()-ROW($C$252)+4))</f>
        <v/>
      </c>
      <c r="H277" s="99" t="str">
        <f ca="1">IF(INDIRECT(D$24&amp;"!D"&amp;ROW()-ROW($C$252)+4)="","",INDIRECT(D$24&amp;"!D"&amp;ROW()-ROW($C$252)+4))</f>
        <v/>
      </c>
      <c r="K277" s="99" t="str">
        <f ca="1">IF(INDIRECT(C$24&amp;"!E"&amp;ROW()-ROW($C$252)+4)="","",INDIRECT(C$24&amp;"!E"&amp;ROW()-ROW($C$252)+4))</f>
        <v>Disagree_Agree_1_5</v>
      </c>
      <c r="L277" s="99" t="b">
        <f ca="1">IF(INDIRECT(C$24&amp;"!F"&amp;ROW()-ROW($C$252)+4)="","",INDIRECT(C$24&amp;"!F"&amp;ROW()-ROW($C$252)+4))</f>
        <v>1</v>
      </c>
      <c r="M277" s="99" t="b">
        <f ca="1">IF(INDIRECT(D$24&amp;"!F"&amp;ROW()-ROW($C$252)+4)="","",INDIRECT(D$24&amp;"!F"&amp;ROW()-ROW($C$252)+4))</f>
        <v>1</v>
      </c>
      <c r="N277" s="99"/>
      <c r="O277" s="99"/>
      <c r="P277" s="99" t="b">
        <f ca="1">INDIRECT(C$24&amp;"!B"&amp;ROW()-ROW($C$252)+4)=$B277</f>
        <v>1</v>
      </c>
      <c r="Q277" s="99" t="b">
        <f ca="1">INDIRECT(D$24&amp;"!B"&amp;ROW()-ROW($C$252)+4)=$B277</f>
        <v>1</v>
      </c>
      <c r="T277" s="37" t="str">
        <f ca="1">IF(NOT(ISERROR(MATCH(K277,'Lookup Tables'!A:A,0))),"Lookup",IF(OR(NOT(ISERROR(FIND("Numeric",K277))),NOT(ISERROR(FIND("Percentage",K277))),NOT(ISERROR(FIND("Date",K277)))),"Numeric",IF(NOT(ISERROR(FIND("lank",K277))),"Non-blank",IF(NOT(ISERROR(FIND("Not evaluated",K277))),"Skipped","Other"))))</f>
        <v>Lookup</v>
      </c>
      <c r="U277" s="461">
        <f t="shared" ca="1" si="85"/>
        <v>1</v>
      </c>
      <c r="V277" s="461">
        <f t="shared" ca="1" si="86"/>
        <v>1</v>
      </c>
      <c r="W277" s="461" t="str">
        <f t="shared" ca="1" si="87"/>
        <v/>
      </c>
      <c r="X277" s="465" t="str">
        <f t="shared" ca="1" si="88"/>
        <v/>
      </c>
      <c r="Y277" s="99">
        <f t="shared" si="82"/>
        <v>2</v>
      </c>
      <c r="Z277" s="99"/>
      <c r="AA277" s="99"/>
      <c r="AB277" s="99"/>
      <c r="AC277" s="159" t="s">
        <v>2199</v>
      </c>
      <c r="AD277" s="107">
        <f t="shared" ca="1" si="83"/>
        <v>1</v>
      </c>
      <c r="AE277" s="99" t="b">
        <f t="shared" ca="1" si="84"/>
        <v>0</v>
      </c>
      <c r="AF277" s="159" t="s">
        <v>2415</v>
      </c>
      <c r="AG277" s="783">
        <f>COUNTIF('VA Detailed Scorecard Config'!D:D,AF277)</f>
        <v>1</v>
      </c>
      <c r="AH277" s="99"/>
    </row>
    <row r="278" spans="2:34" ht="13.5" customHeight="1">
      <c r="B278" s="328" t="s">
        <v>770</v>
      </c>
      <c r="C278" s="99">
        <f ca="1">IF(INDIRECT(C$24&amp;"!C"&amp;ROW()-ROW($C$252)+4)="","",INDIRECT(C$24&amp;"!C"&amp;ROW()-ROW($C$252)+4))</f>
        <v>4</v>
      </c>
      <c r="D278" s="99" t="str">
        <f ca="1">IF(INDIRECT(D$24&amp;"!C"&amp;ROW()-ROW($C$252)+4)="","",INDIRECT(D$24&amp;"!C"&amp;ROW()-ROW($C$252)+4))</f>
        <v>5 - Completely Agree</v>
      </c>
      <c r="G278" s="99" t="str">
        <f ca="1">IF(INDIRECT(C$24&amp;"!D"&amp;ROW()-ROW($C$252)+4)="","",INDIRECT(C$24&amp;"!D"&amp;ROW()-ROW($C$252)+4))</f>
        <v/>
      </c>
      <c r="H278" s="99" t="str">
        <f ca="1">IF(INDIRECT(D$24&amp;"!D"&amp;ROW()-ROW($C$252)+4)="","",INDIRECT(D$24&amp;"!D"&amp;ROW()-ROW($C$252)+4))</f>
        <v/>
      </c>
      <c r="K278" s="99" t="str">
        <f ca="1">IF(INDIRECT(C$24&amp;"!E"&amp;ROW()-ROW($C$252)+4)="","",INDIRECT(C$24&amp;"!E"&amp;ROW()-ROW($C$252)+4))</f>
        <v>Disagree_Agree_1_5</v>
      </c>
      <c r="L278" s="99" t="b">
        <f ca="1">IF(INDIRECT(C$24&amp;"!F"&amp;ROW()-ROW($C$252)+4)="","",INDIRECT(C$24&amp;"!F"&amp;ROW()-ROW($C$252)+4))</f>
        <v>1</v>
      </c>
      <c r="M278" s="99" t="b">
        <f ca="1">IF(INDIRECT(D$24&amp;"!F"&amp;ROW()-ROW($C$252)+4)="","",INDIRECT(D$24&amp;"!F"&amp;ROW()-ROW($C$252)+4))</f>
        <v>1</v>
      </c>
      <c r="N278" s="99"/>
      <c r="O278" s="99"/>
      <c r="P278" s="99" t="b">
        <f ca="1">INDIRECT(C$24&amp;"!B"&amp;ROW()-ROW($C$252)+4)=$B278</f>
        <v>1</v>
      </c>
      <c r="Q278" s="99" t="b">
        <f ca="1">INDIRECT(D$24&amp;"!B"&amp;ROW()-ROW($C$252)+4)=$B278</f>
        <v>1</v>
      </c>
      <c r="T278" s="37" t="str">
        <f ca="1">IF(NOT(ISERROR(MATCH(K278,'Lookup Tables'!A:A,0))),"Lookup",IF(OR(NOT(ISERROR(FIND("Numeric",K278))),NOT(ISERROR(FIND("Percentage",K278))),NOT(ISERROR(FIND("Date",K278)))),"Numeric",IF(NOT(ISERROR(FIND("lank",K278))),"Non-blank",IF(NOT(ISERROR(FIND("Not evaluated",K278))),"Skipped","Other"))))</f>
        <v>Lookup</v>
      </c>
      <c r="U278" s="461">
        <f t="shared" ca="1" si="85"/>
        <v>0.75</v>
      </c>
      <c r="V278" s="461">
        <f t="shared" ca="1" si="86"/>
        <v>1</v>
      </c>
      <c r="W278" s="461" t="str">
        <f t="shared" ca="1" si="87"/>
        <v/>
      </c>
      <c r="X278" s="465" t="str">
        <f t="shared" ca="1" si="88"/>
        <v/>
      </c>
      <c r="Y278" s="99">
        <f t="shared" si="82"/>
        <v>2</v>
      </c>
      <c r="Z278" s="99"/>
      <c r="AA278" s="99"/>
      <c r="AB278" s="99"/>
      <c r="AC278" s="159" t="s">
        <v>2199</v>
      </c>
      <c r="AD278" s="107">
        <f t="shared" ca="1" si="83"/>
        <v>0.875</v>
      </c>
      <c r="AE278" s="99" t="b">
        <f t="shared" ca="1" si="84"/>
        <v>0</v>
      </c>
      <c r="AF278" s="159" t="s">
        <v>2416</v>
      </c>
      <c r="AG278" s="783">
        <f>COUNTIF('VA Detailed Scorecard Config'!D:D,AF278)</f>
        <v>1</v>
      </c>
      <c r="AH278" s="99"/>
    </row>
    <row r="279" spans="2:34" ht="13.5" customHeight="1">
      <c r="B279" s="328" t="s">
        <v>771</v>
      </c>
      <c r="C279" s="99">
        <f ca="1">IF(INDIRECT(C$24&amp;"!C"&amp;ROW()-ROW($C$252)+4)="","",INDIRECT(C$24&amp;"!C"&amp;ROW()-ROW($C$252)+4))</f>
        <v>4</v>
      </c>
      <c r="D279" s="99" t="str">
        <f ca="1">IF(INDIRECT(D$24&amp;"!C"&amp;ROW()-ROW($C$252)+4)="","",INDIRECT(D$24&amp;"!C"&amp;ROW()-ROW($C$252)+4))</f>
        <v>5 - Completely Agree</v>
      </c>
      <c r="G279" s="99" t="str">
        <f ca="1">IF(INDIRECT(C$24&amp;"!D"&amp;ROW()-ROW($C$252)+4)="","",INDIRECT(C$24&amp;"!D"&amp;ROW()-ROW($C$252)+4))</f>
        <v/>
      </c>
      <c r="H279" s="99" t="str">
        <f ca="1">IF(INDIRECT(D$24&amp;"!D"&amp;ROW()-ROW($C$252)+4)="","",INDIRECT(D$24&amp;"!D"&amp;ROW()-ROW($C$252)+4))</f>
        <v/>
      </c>
      <c r="K279" s="99" t="str">
        <f ca="1">IF(INDIRECT(C$24&amp;"!E"&amp;ROW()-ROW($C$252)+4)="","",INDIRECT(C$24&amp;"!E"&amp;ROW()-ROW($C$252)+4))</f>
        <v>Disagree_Agree_1_5</v>
      </c>
      <c r="L279" s="99" t="b">
        <f ca="1">IF(INDIRECT(C$24&amp;"!F"&amp;ROW()-ROW($C$252)+4)="","",INDIRECT(C$24&amp;"!F"&amp;ROW()-ROW($C$252)+4))</f>
        <v>1</v>
      </c>
      <c r="M279" s="99" t="b">
        <f ca="1">IF(INDIRECT(D$24&amp;"!F"&amp;ROW()-ROW($C$252)+4)="","",INDIRECT(D$24&amp;"!F"&amp;ROW()-ROW($C$252)+4))</f>
        <v>1</v>
      </c>
      <c r="N279" s="99"/>
      <c r="O279" s="99"/>
      <c r="P279" s="99" t="b">
        <f ca="1">INDIRECT(C$24&amp;"!B"&amp;ROW()-ROW($C$252)+4)=$B279</f>
        <v>1</v>
      </c>
      <c r="Q279" s="99" t="b">
        <f ca="1">INDIRECT(D$24&amp;"!B"&amp;ROW()-ROW($C$252)+4)=$B279</f>
        <v>1</v>
      </c>
      <c r="T279" s="37" t="str">
        <f ca="1">IF(NOT(ISERROR(MATCH(K279,'Lookup Tables'!A:A,0))),"Lookup",IF(OR(NOT(ISERROR(FIND("Numeric",K279))),NOT(ISERROR(FIND("Percentage",K279))),NOT(ISERROR(FIND("Date",K279)))),"Numeric",IF(NOT(ISERROR(FIND("lank",K279))),"Non-blank",IF(NOT(ISERROR(FIND("Not evaluated",K279))),"Skipped","Other"))))</f>
        <v>Lookup</v>
      </c>
      <c r="U279" s="461">
        <f t="shared" ca="1" si="85"/>
        <v>0.75</v>
      </c>
      <c r="V279" s="461">
        <f t="shared" ca="1" si="86"/>
        <v>1</v>
      </c>
      <c r="W279" s="461" t="str">
        <f t="shared" ca="1" si="87"/>
        <v/>
      </c>
      <c r="X279" s="465" t="str">
        <f t="shared" ca="1" si="88"/>
        <v/>
      </c>
      <c r="Y279" s="99">
        <f t="shared" si="82"/>
        <v>2</v>
      </c>
      <c r="Z279" s="99"/>
      <c r="AA279" s="99"/>
      <c r="AB279" s="99"/>
      <c r="AC279" s="159" t="s">
        <v>2199</v>
      </c>
      <c r="AD279" s="107">
        <f t="shared" ca="1" si="83"/>
        <v>0.875</v>
      </c>
      <c r="AE279" s="99" t="b">
        <f t="shared" ca="1" si="84"/>
        <v>0</v>
      </c>
      <c r="AF279" s="159" t="s">
        <v>2417</v>
      </c>
      <c r="AG279" s="783">
        <f>COUNTIF('VA Detailed Scorecard Config'!D:D,AF279)</f>
        <v>1</v>
      </c>
      <c r="AH279" s="99"/>
    </row>
    <row r="280" spans="2:34" ht="13.5" customHeight="1" thickBot="1">
      <c r="B280" s="399" t="s">
        <v>1948</v>
      </c>
      <c r="C280" s="99">
        <f ca="1">IF(INDIRECT(C$24&amp;"!C"&amp;ROW()-ROW($C$252)+4)="","",INDIRECT(C$24&amp;"!C"&amp;ROW()-ROW($C$252)+4))</f>
        <v>2</v>
      </c>
      <c r="D280" s="99" t="str">
        <f ca="1">IF(INDIRECT(D$24&amp;"!C"&amp;ROW()-ROW($C$252)+4)="","",INDIRECT(D$24&amp;"!C"&amp;ROW()-ROW($C$252)+4))</f>
        <v>1 - Completely Disagree</v>
      </c>
      <c r="G280" s="99" t="str">
        <f ca="1">IF(INDIRECT(C$24&amp;"!D"&amp;ROW()-ROW($C$252)+4)="","",INDIRECT(C$24&amp;"!D"&amp;ROW()-ROW($C$252)+4))</f>
        <v/>
      </c>
      <c r="H280" s="99" t="str">
        <f ca="1">IF(INDIRECT(D$24&amp;"!D"&amp;ROW()-ROW($C$252)+4)="","",INDIRECT(D$24&amp;"!D"&amp;ROW()-ROW($C$252)+4))</f>
        <v/>
      </c>
      <c r="K280" s="99" t="str">
        <f ca="1">IF(INDIRECT(C$24&amp;"!E"&amp;ROW()-ROW($C$252)+4)="","",INDIRECT(C$24&amp;"!E"&amp;ROW()-ROW($C$252)+4))</f>
        <v>Disagree_Agree_1_5</v>
      </c>
      <c r="L280" s="99" t="b">
        <f ca="1">IF(INDIRECT(C$24&amp;"!F"&amp;ROW()-ROW($C$252)+4)="","",INDIRECT(C$24&amp;"!F"&amp;ROW()-ROW($C$252)+4))</f>
        <v>1</v>
      </c>
      <c r="M280" s="99" t="b">
        <f ca="1">IF(INDIRECT(D$24&amp;"!F"&amp;ROW()-ROW($C$252)+4)="","",INDIRECT(D$24&amp;"!F"&amp;ROW()-ROW($C$252)+4))</f>
        <v>1</v>
      </c>
      <c r="N280" s="99"/>
      <c r="O280" s="99"/>
      <c r="P280" s="99" t="b">
        <f ca="1">INDIRECT(C$24&amp;"!B"&amp;ROW()-ROW($C$252)+4)=$B280</f>
        <v>1</v>
      </c>
      <c r="Q280" s="99" t="b">
        <f ca="1">INDIRECT(D$24&amp;"!B"&amp;ROW()-ROW($C$252)+4)=$B280</f>
        <v>1</v>
      </c>
      <c r="T280" s="37" t="str">
        <f ca="1">IF(NOT(ISERROR(MATCH(K280,'Lookup Tables'!A:A,0))),"Lookup",IF(OR(NOT(ISERROR(FIND("Numeric",K280))),NOT(ISERROR(FIND("Percentage",K280))),NOT(ISERROR(FIND("Date",K280)))),"Numeric",IF(NOT(ISERROR(FIND("lank",K280))),"Non-blank",IF(NOT(ISERROR(FIND("Not evaluated",K280))),"Skipped","Other"))))</f>
        <v>Lookup</v>
      </c>
      <c r="U280" s="461">
        <f t="shared" ca="1" si="85"/>
        <v>0.25</v>
      </c>
      <c r="V280" s="461">
        <f t="shared" ca="1" si="86"/>
        <v>0</v>
      </c>
      <c r="W280" s="461" t="str">
        <f t="shared" ca="1" si="87"/>
        <v/>
      </c>
      <c r="X280" s="465" t="str">
        <f t="shared" ca="1" si="88"/>
        <v/>
      </c>
      <c r="Y280" s="99">
        <f t="shared" si="82"/>
        <v>2</v>
      </c>
      <c r="Z280" s="99"/>
      <c r="AA280" s="99"/>
      <c r="AB280" s="99"/>
      <c r="AC280" s="159" t="s">
        <v>2199</v>
      </c>
      <c r="AD280" s="107">
        <f t="shared" ca="1" si="83"/>
        <v>0.125</v>
      </c>
      <c r="AE280" s="99" t="b">
        <f t="shared" ca="1" si="84"/>
        <v>0</v>
      </c>
      <c r="AF280" s="159" t="s">
        <v>2418</v>
      </c>
      <c r="AG280" s="783">
        <f>COUNTIF('VA Detailed Scorecard Config'!D:D,AF280)</f>
        <v>1</v>
      </c>
      <c r="AH280" s="99"/>
    </row>
    <row r="281" spans="2:34" ht="13.5" customHeight="1">
      <c r="B281" s="397" t="s">
        <v>1939</v>
      </c>
      <c r="C281" s="99" t="str">
        <f ca="1">IF(INDIRECT(C$24&amp;"!C"&amp;ROW()-ROW($C$252)+4)="","",INDIRECT(C$24&amp;"!C"&amp;ROW()-ROW($C$252)+4))</f>
        <v>5 - Completely Agree</v>
      </c>
      <c r="D281" s="99" t="str">
        <f ca="1">IF(INDIRECT(D$24&amp;"!C"&amp;ROW()-ROW($C$252)+4)="","",INDIRECT(D$24&amp;"!C"&amp;ROW()-ROW($C$252)+4))</f>
        <v>5 - Completely Agree</v>
      </c>
      <c r="G281" s="99" t="str">
        <f ca="1">IF(INDIRECT(C$24&amp;"!D"&amp;ROW()-ROW($C$252)+4)="","",INDIRECT(C$24&amp;"!D"&amp;ROW()-ROW($C$252)+4))</f>
        <v/>
      </c>
      <c r="H281" s="99" t="str">
        <f ca="1">IF(INDIRECT(D$24&amp;"!D"&amp;ROW()-ROW($C$252)+4)="","",INDIRECT(D$24&amp;"!D"&amp;ROW()-ROW($C$252)+4))</f>
        <v/>
      </c>
      <c r="K281" s="99" t="str">
        <f ca="1">IF(INDIRECT(C$24&amp;"!E"&amp;ROW()-ROW($C$252)+4)="","",INDIRECT(C$24&amp;"!E"&amp;ROW()-ROW($C$252)+4))</f>
        <v>Disagree_Agree_1_5</v>
      </c>
      <c r="L281" s="99" t="b">
        <f ca="1">IF(INDIRECT(C$24&amp;"!F"&amp;ROW()-ROW($C$252)+4)="","",INDIRECT(C$24&amp;"!F"&amp;ROW()-ROW($C$252)+4))</f>
        <v>1</v>
      </c>
      <c r="M281" s="99" t="b">
        <f ca="1">IF(INDIRECT(D$24&amp;"!F"&amp;ROW()-ROW($C$252)+4)="","",INDIRECT(D$24&amp;"!F"&amp;ROW()-ROW($C$252)+4))</f>
        <v>1</v>
      </c>
      <c r="N281" s="99"/>
      <c r="O281" s="99"/>
      <c r="P281" s="99" t="b">
        <f ca="1">INDIRECT(C$24&amp;"!B"&amp;ROW()-ROW($C$252)+4)=$B281</f>
        <v>1</v>
      </c>
      <c r="Q281" s="99" t="b">
        <f ca="1">INDIRECT(D$24&amp;"!B"&amp;ROW()-ROW($C$252)+4)=$B281</f>
        <v>1</v>
      </c>
      <c r="T281" s="37" t="str">
        <f ca="1">IF(NOT(ISERROR(MATCH(K281,'Lookup Tables'!A:A,0))),"Lookup",IF(OR(NOT(ISERROR(FIND("Numeric",K281))),NOT(ISERROR(FIND("Percentage",K281))),NOT(ISERROR(FIND("Date",K281)))),"Numeric",IF(NOT(ISERROR(FIND("lank",K281))),"Non-blank",IF(NOT(ISERROR(FIND("Not evaluated",K281))),"Skipped","Other"))))</f>
        <v>Lookup</v>
      </c>
      <c r="U281" s="461">
        <f t="shared" ca="1" si="85"/>
        <v>1</v>
      </c>
      <c r="V281" s="461">
        <f t="shared" ca="1" si="86"/>
        <v>1</v>
      </c>
      <c r="W281" s="461" t="str">
        <f t="shared" ca="1" si="87"/>
        <v/>
      </c>
      <c r="X281" s="465" t="str">
        <f t="shared" ca="1" si="88"/>
        <v/>
      </c>
      <c r="Y281" s="99">
        <f t="shared" si="82"/>
        <v>2</v>
      </c>
      <c r="Z281" s="99"/>
      <c r="AA281" s="99"/>
      <c r="AB281" s="99"/>
      <c r="AC281" s="159" t="s">
        <v>2199</v>
      </c>
      <c r="AD281" s="107">
        <f t="shared" ca="1" si="83"/>
        <v>1</v>
      </c>
      <c r="AE281" s="99" t="b">
        <f t="shared" ca="1" si="84"/>
        <v>0</v>
      </c>
      <c r="AF281" s="159" t="s">
        <v>2421</v>
      </c>
      <c r="AG281" s="783">
        <f>COUNTIF('VA Detailed Scorecard Config'!D:D,AF281)</f>
        <v>1</v>
      </c>
      <c r="AH281" s="99"/>
    </row>
    <row r="282" spans="2:34" ht="13.5" customHeight="1">
      <c r="B282" s="327" t="s">
        <v>1940</v>
      </c>
      <c r="C282" s="99" t="str">
        <f ca="1">IF(INDIRECT(C$24&amp;"!C"&amp;ROW()-ROW($C$252)+4)="","",INDIRECT(C$24&amp;"!C"&amp;ROW()-ROW($C$252)+4))</f>
        <v>Not applicable</v>
      </c>
      <c r="D282" s="99">
        <f ca="1">IF(INDIRECT(D$24&amp;"!C"&amp;ROW()-ROW($C$252)+4)="","",INDIRECT(D$24&amp;"!C"&amp;ROW()-ROW($C$252)+4))</f>
        <v>2</v>
      </c>
      <c r="G282" s="99" t="str">
        <f ca="1">IF(INDIRECT(C$24&amp;"!D"&amp;ROW()-ROW($C$252)+4)="","",INDIRECT(C$24&amp;"!D"&amp;ROW()-ROW($C$252)+4))</f>
        <v/>
      </c>
      <c r="H282" s="99" t="str">
        <f ca="1">IF(INDIRECT(D$24&amp;"!D"&amp;ROW()-ROW($C$252)+4)="","",INDIRECT(D$24&amp;"!D"&amp;ROW()-ROW($C$252)+4))</f>
        <v/>
      </c>
      <c r="K282" s="99" t="str">
        <f ca="1">IF(INDIRECT(C$24&amp;"!E"&amp;ROW()-ROW($C$252)+4)="","",INDIRECT(C$24&amp;"!E"&amp;ROW()-ROW($C$252)+4))</f>
        <v>Disagree_Agree_1_5</v>
      </c>
      <c r="L282" s="99" t="b">
        <f ca="1">IF(INDIRECT(C$24&amp;"!F"&amp;ROW()-ROW($C$252)+4)="","",INDIRECT(C$24&amp;"!F"&amp;ROW()-ROW($C$252)+4))</f>
        <v>1</v>
      </c>
      <c r="M282" s="99" t="b">
        <f ca="1">IF(INDIRECT(D$24&amp;"!F"&amp;ROW()-ROW($C$252)+4)="","",INDIRECT(D$24&amp;"!F"&amp;ROW()-ROW($C$252)+4))</f>
        <v>1</v>
      </c>
      <c r="N282" s="99"/>
      <c r="O282" s="99"/>
      <c r="P282" s="99" t="b">
        <f ca="1">INDIRECT(C$24&amp;"!B"&amp;ROW()-ROW($C$252)+4)=$B282</f>
        <v>1</v>
      </c>
      <c r="Q282" s="99" t="b">
        <f ca="1">INDIRECT(D$24&amp;"!B"&amp;ROW()-ROW($C$252)+4)=$B282</f>
        <v>1</v>
      </c>
      <c r="T282" s="37" t="str">
        <f ca="1">IF(NOT(ISERROR(MATCH(K282,'Lookup Tables'!A:A,0))),"Lookup",IF(OR(NOT(ISERROR(FIND("Numeric",K282))),NOT(ISERROR(FIND("Percentage",K282))),NOT(ISERROR(FIND("Date",K282)))),"Numeric",IF(NOT(ISERROR(FIND("lank",K282))),"Non-blank",IF(NOT(ISERROR(FIND("Not evaluated",K282))),"Skipped","Other"))))</f>
        <v>Lookup</v>
      </c>
      <c r="U282" s="461">
        <f t="shared" ca="1" si="85"/>
        <v>0</v>
      </c>
      <c r="V282" s="461">
        <f t="shared" ca="1" si="86"/>
        <v>0.25</v>
      </c>
      <c r="W282" s="461" t="str">
        <f t="shared" ca="1" si="87"/>
        <v/>
      </c>
      <c r="X282" s="465" t="str">
        <f t="shared" ca="1" si="88"/>
        <v/>
      </c>
      <c r="Y282" s="99">
        <f t="shared" si="82"/>
        <v>2</v>
      </c>
      <c r="Z282" s="99"/>
      <c r="AA282" s="99"/>
      <c r="AB282" s="99"/>
      <c r="AC282" s="159" t="s">
        <v>2199</v>
      </c>
      <c r="AD282" s="107">
        <f t="shared" ca="1" si="83"/>
        <v>0.125</v>
      </c>
      <c r="AE282" s="99" t="b">
        <f t="shared" ca="1" si="84"/>
        <v>0</v>
      </c>
      <c r="AF282" s="159" t="s">
        <v>2422</v>
      </c>
      <c r="AG282" s="783">
        <f>COUNTIF('VA Detailed Scorecard Config'!D:D,AF282)</f>
        <v>1</v>
      </c>
      <c r="AH282" s="99"/>
    </row>
    <row r="283" spans="2:34" ht="13.5" customHeight="1">
      <c r="B283" s="327" t="s">
        <v>1941</v>
      </c>
      <c r="C283" s="99">
        <f ca="1">IF(INDIRECT(C$24&amp;"!C"&amp;ROW()-ROW($C$252)+4)="","",INDIRECT(C$24&amp;"!C"&amp;ROW()-ROW($C$252)+4))</f>
        <v>4</v>
      </c>
      <c r="D283" s="99">
        <f ca="1">IF(INDIRECT(D$24&amp;"!C"&amp;ROW()-ROW($C$252)+4)="","",INDIRECT(D$24&amp;"!C"&amp;ROW()-ROW($C$252)+4))</f>
        <v>4</v>
      </c>
      <c r="G283" s="99" t="str">
        <f ca="1">IF(INDIRECT(C$24&amp;"!D"&amp;ROW()-ROW($C$252)+4)="","",INDIRECT(C$24&amp;"!D"&amp;ROW()-ROW($C$252)+4))</f>
        <v/>
      </c>
      <c r="H283" s="99" t="str">
        <f ca="1">IF(INDIRECT(D$24&amp;"!D"&amp;ROW()-ROW($C$252)+4)="","",INDIRECT(D$24&amp;"!D"&amp;ROW()-ROW($C$252)+4))</f>
        <v/>
      </c>
      <c r="K283" s="99" t="str">
        <f ca="1">IF(INDIRECT(C$24&amp;"!E"&amp;ROW()-ROW($C$252)+4)="","",INDIRECT(C$24&amp;"!E"&amp;ROW()-ROW($C$252)+4))</f>
        <v>Disagree_Agree_1_5</v>
      </c>
      <c r="L283" s="99" t="b">
        <f ca="1">IF(INDIRECT(C$24&amp;"!F"&amp;ROW()-ROW($C$252)+4)="","",INDIRECT(C$24&amp;"!F"&amp;ROW()-ROW($C$252)+4))</f>
        <v>1</v>
      </c>
      <c r="M283" s="99" t="b">
        <f ca="1">IF(INDIRECT(D$24&amp;"!F"&amp;ROW()-ROW($C$252)+4)="","",INDIRECT(D$24&amp;"!F"&amp;ROW()-ROW($C$252)+4))</f>
        <v>1</v>
      </c>
      <c r="N283" s="99"/>
      <c r="O283" s="99"/>
      <c r="P283" s="99" t="b">
        <f ca="1">INDIRECT(C$24&amp;"!B"&amp;ROW()-ROW($C$252)+4)=$B283</f>
        <v>1</v>
      </c>
      <c r="Q283" s="99" t="b">
        <f ca="1">INDIRECT(D$24&amp;"!B"&amp;ROW()-ROW($C$252)+4)=$B283</f>
        <v>1</v>
      </c>
      <c r="T283" s="37" t="str">
        <f ca="1">IF(NOT(ISERROR(MATCH(K283,'Lookup Tables'!A:A,0))),"Lookup",IF(OR(NOT(ISERROR(FIND("Numeric",K283))),NOT(ISERROR(FIND("Percentage",K283))),NOT(ISERROR(FIND("Date",K283)))),"Numeric",IF(NOT(ISERROR(FIND("lank",K283))),"Non-blank",IF(NOT(ISERROR(FIND("Not evaluated",K283))),"Skipped","Other"))))</f>
        <v>Lookup</v>
      </c>
      <c r="U283" s="461">
        <f t="shared" ca="1" si="85"/>
        <v>0.75</v>
      </c>
      <c r="V283" s="461">
        <f t="shared" ca="1" si="86"/>
        <v>0.75</v>
      </c>
      <c r="W283" s="461" t="str">
        <f t="shared" ca="1" si="87"/>
        <v/>
      </c>
      <c r="X283" s="465" t="str">
        <f t="shared" ca="1" si="88"/>
        <v/>
      </c>
      <c r="Y283" s="99">
        <f t="shared" si="82"/>
        <v>2</v>
      </c>
      <c r="Z283" s="99"/>
      <c r="AA283" s="99"/>
      <c r="AB283" s="99"/>
      <c r="AC283" s="159" t="s">
        <v>2199</v>
      </c>
      <c r="AD283" s="107">
        <f t="shared" ca="1" si="83"/>
        <v>0.75</v>
      </c>
      <c r="AE283" s="99" t="b">
        <f t="shared" ca="1" si="84"/>
        <v>0</v>
      </c>
      <c r="AF283" s="159" t="s">
        <v>2419</v>
      </c>
      <c r="AG283" s="783">
        <f>COUNTIF('VA Detailed Scorecard Config'!D:D,AF283)</f>
        <v>1</v>
      </c>
      <c r="AH283" s="99"/>
    </row>
    <row r="284" spans="2:34" ht="13.5" customHeight="1">
      <c r="B284" s="327" t="s">
        <v>1949</v>
      </c>
      <c r="C284" s="99" t="str">
        <f ca="1">IF(INDIRECT(C$24&amp;"!C"&amp;ROW()-ROW($C$252)+4)="","",INDIRECT(C$24&amp;"!C"&amp;ROW()-ROW($C$252)+4))</f>
        <v>Not applicable</v>
      </c>
      <c r="D284" s="99" t="str">
        <f ca="1">IF(INDIRECT(D$24&amp;"!C"&amp;ROW()-ROW($C$252)+4)="","",INDIRECT(D$24&amp;"!C"&amp;ROW()-ROW($C$252)+4))</f>
        <v>Not applicable</v>
      </c>
      <c r="G284" s="99" t="str">
        <f ca="1">IF(INDIRECT(C$24&amp;"!D"&amp;ROW()-ROW($C$252)+4)="","",INDIRECT(C$24&amp;"!D"&amp;ROW()-ROW($C$252)+4))</f>
        <v/>
      </c>
      <c r="H284" s="99" t="str">
        <f ca="1">IF(INDIRECT(D$24&amp;"!D"&amp;ROW()-ROW($C$252)+4)="","",INDIRECT(D$24&amp;"!D"&amp;ROW()-ROW($C$252)+4))</f>
        <v/>
      </c>
      <c r="K284" s="99" t="str">
        <f ca="1">IF(INDIRECT(C$24&amp;"!E"&amp;ROW()-ROW($C$252)+4)="","",INDIRECT(C$24&amp;"!E"&amp;ROW()-ROW($C$252)+4))</f>
        <v>Disagree_Agree_1_5</v>
      </c>
      <c r="L284" s="99" t="b">
        <f ca="1">IF(INDIRECT(C$24&amp;"!F"&amp;ROW()-ROW($C$252)+4)="","",INDIRECT(C$24&amp;"!F"&amp;ROW()-ROW($C$252)+4))</f>
        <v>1</v>
      </c>
      <c r="M284" s="99" t="b">
        <f ca="1">IF(INDIRECT(D$24&amp;"!F"&amp;ROW()-ROW($C$252)+4)="","",INDIRECT(D$24&amp;"!F"&amp;ROW()-ROW($C$252)+4))</f>
        <v>1</v>
      </c>
      <c r="N284" s="99"/>
      <c r="O284" s="99"/>
      <c r="P284" s="99" t="b">
        <f ca="1">INDIRECT(C$24&amp;"!B"&amp;ROW()-ROW($C$252)+4)=$B284</f>
        <v>1</v>
      </c>
      <c r="Q284" s="99" t="b">
        <f ca="1">INDIRECT(D$24&amp;"!B"&amp;ROW()-ROW($C$252)+4)=$B284</f>
        <v>1</v>
      </c>
      <c r="T284" s="37" t="str">
        <f ca="1">IF(NOT(ISERROR(MATCH(K284,'Lookup Tables'!A:A,0))),"Lookup",IF(OR(NOT(ISERROR(FIND("Numeric",K284))),NOT(ISERROR(FIND("Percentage",K284))),NOT(ISERROR(FIND("Date",K284)))),"Numeric",IF(NOT(ISERROR(FIND("lank",K284))),"Non-blank",IF(NOT(ISERROR(FIND("Not evaluated",K284))),"Skipped","Other"))))</f>
        <v>Lookup</v>
      </c>
      <c r="U284" s="461">
        <f t="shared" ca="1" si="85"/>
        <v>0</v>
      </c>
      <c r="V284" s="461">
        <f t="shared" ca="1" si="86"/>
        <v>0</v>
      </c>
      <c r="W284" s="461" t="str">
        <f t="shared" ca="1" si="87"/>
        <v/>
      </c>
      <c r="X284" s="465" t="str">
        <f t="shared" ca="1" si="88"/>
        <v/>
      </c>
      <c r="Y284" s="99">
        <f t="shared" si="82"/>
        <v>2</v>
      </c>
      <c r="Z284" s="99"/>
      <c r="AA284" s="99"/>
      <c r="AB284" s="99"/>
      <c r="AC284" s="159" t="s">
        <v>2199</v>
      </c>
      <c r="AD284" s="107">
        <f t="shared" ca="1" si="83"/>
        <v>0</v>
      </c>
      <c r="AE284" s="99" t="b">
        <f t="shared" ca="1" si="84"/>
        <v>0</v>
      </c>
      <c r="AF284" s="159" t="s">
        <v>2423</v>
      </c>
      <c r="AG284" s="783">
        <f>COUNTIF('VA Detailed Scorecard Config'!D:D,AF284)</f>
        <v>1</v>
      </c>
      <c r="AH284" s="99"/>
    </row>
    <row r="285" spans="2:34" ht="13.5" customHeight="1" thickBot="1">
      <c r="B285" s="399" t="s">
        <v>1942</v>
      </c>
      <c r="C285" s="99" t="str">
        <f ca="1">IF(INDIRECT(C$24&amp;"!C"&amp;ROW()-ROW($C$252)+4)="","",INDIRECT(C$24&amp;"!C"&amp;ROW()-ROW($C$252)+4))</f>
        <v>No</v>
      </c>
      <c r="D285" s="99" t="str">
        <f ca="1">IF(INDIRECT(D$24&amp;"!C"&amp;ROW()-ROW($C$252)+4)="","",INDIRECT(D$24&amp;"!C"&amp;ROW()-ROW($C$252)+4))</f>
        <v>No</v>
      </c>
      <c r="G285" s="99" t="str">
        <f ca="1">IF(INDIRECT(C$24&amp;"!D"&amp;ROW()-ROW($C$252)+4)="","",INDIRECT(C$24&amp;"!D"&amp;ROW()-ROW($C$252)+4))</f>
        <v/>
      </c>
      <c r="H285" s="99" t="str">
        <f ca="1">IF(INDIRECT(D$24&amp;"!D"&amp;ROW()-ROW($C$252)+4)="","",INDIRECT(D$24&amp;"!D"&amp;ROW()-ROW($C$252)+4))</f>
        <v/>
      </c>
      <c r="K285" s="99" t="str">
        <f ca="1">IF(INDIRECT(C$24&amp;"!E"&amp;ROW()-ROW($C$252)+4)="","",INDIRECT(C$24&amp;"!E"&amp;ROW()-ROW($C$252)+4))</f>
        <v>YES_No</v>
      </c>
      <c r="L285" s="99" t="b">
        <f ca="1">IF(INDIRECT(C$24&amp;"!F"&amp;ROW()-ROW($C$252)+4)="","",INDIRECT(C$24&amp;"!F"&amp;ROW()-ROW($C$252)+4))</f>
        <v>1</v>
      </c>
      <c r="M285" s="99" t="b">
        <f ca="1">IF(INDIRECT(D$24&amp;"!F"&amp;ROW()-ROW($C$252)+4)="","",INDIRECT(D$24&amp;"!F"&amp;ROW()-ROW($C$252)+4))</f>
        <v>1</v>
      </c>
      <c r="N285" s="99"/>
      <c r="O285" s="99"/>
      <c r="P285" s="99" t="b">
        <f ca="1">INDIRECT(C$24&amp;"!B"&amp;ROW()-ROW($C$252)+4)=$B285</f>
        <v>1</v>
      </c>
      <c r="Q285" s="99" t="b">
        <f ca="1">INDIRECT(D$24&amp;"!B"&amp;ROW()-ROW($C$252)+4)=$B285</f>
        <v>1</v>
      </c>
      <c r="T285" s="37" t="str">
        <f ca="1">IF(NOT(ISERROR(MATCH(K285,'Lookup Tables'!A:A,0))),"Lookup",IF(OR(NOT(ISERROR(FIND("Numeric",K285))),NOT(ISERROR(FIND("Percentage",K285))),NOT(ISERROR(FIND("Date",K285)))),"Numeric",IF(NOT(ISERROR(FIND("lank",K285))),"Non-blank",IF(NOT(ISERROR(FIND("Not evaluated",K285))),"Skipped","Other"))))</f>
        <v>Lookup</v>
      </c>
      <c r="U285" s="461">
        <f t="shared" ca="1" si="85"/>
        <v>0</v>
      </c>
      <c r="V285" s="461">
        <f t="shared" ca="1" si="86"/>
        <v>0</v>
      </c>
      <c r="W285" s="461" t="str">
        <f t="shared" ca="1" si="87"/>
        <v/>
      </c>
      <c r="X285" s="465" t="str">
        <f t="shared" ca="1" si="88"/>
        <v/>
      </c>
      <c r="Y285" s="99">
        <f t="shared" si="82"/>
        <v>2</v>
      </c>
      <c r="Z285" s="99"/>
      <c r="AA285" s="99"/>
      <c r="AB285" s="99"/>
      <c r="AC285" s="159" t="s">
        <v>2199</v>
      </c>
      <c r="AD285" s="107">
        <f t="shared" ca="1" si="83"/>
        <v>0</v>
      </c>
      <c r="AE285" s="99" t="b">
        <f t="shared" ca="1" si="84"/>
        <v>0</v>
      </c>
      <c r="AF285" s="159" t="s">
        <v>2420</v>
      </c>
      <c r="AG285" s="783">
        <f>COUNTIF('VA Detailed Scorecard Config'!D:D,AF285)</f>
        <v>1</v>
      </c>
      <c r="AH285" s="99"/>
    </row>
    <row r="286" spans="2:34" ht="13.5" customHeight="1">
      <c r="B286" s="335" t="s">
        <v>1944</v>
      </c>
      <c r="C286" s="99">
        <f ca="1">IF(INDIRECT(C$24&amp;"!C"&amp;ROW()-ROW($C$252)+4)="","",INDIRECT(C$24&amp;"!C"&amp;ROW()-ROW($C$252)+4))</f>
        <v>4</v>
      </c>
      <c r="D286" s="99">
        <f ca="1">IF(INDIRECT(D$24&amp;"!C"&amp;ROW()-ROW($C$252)+4)="","",INDIRECT(D$24&amp;"!C"&amp;ROW()-ROW($C$252)+4))</f>
        <v>2</v>
      </c>
      <c r="G286" s="99" t="str">
        <f ca="1">IF(INDIRECT(C$24&amp;"!D"&amp;ROW()-ROW($C$252)+4)="","",INDIRECT(C$24&amp;"!D"&amp;ROW()-ROW($C$252)+4))</f>
        <v/>
      </c>
      <c r="H286" s="99" t="str">
        <f ca="1">IF(INDIRECT(D$24&amp;"!D"&amp;ROW()-ROW($C$252)+4)="","",INDIRECT(D$24&amp;"!D"&amp;ROW()-ROW($C$252)+4))</f>
        <v/>
      </c>
      <c r="K286" s="99" t="str">
        <f ca="1">IF(INDIRECT(C$24&amp;"!E"&amp;ROW()-ROW($C$252)+4)="","",INDIRECT(C$24&amp;"!E"&amp;ROW()-ROW($C$252)+4))</f>
        <v>Disagree_Agree_1_5</v>
      </c>
      <c r="L286" s="99" t="b">
        <f ca="1">IF(INDIRECT(C$24&amp;"!F"&amp;ROW()-ROW($C$252)+4)="","",INDIRECT(C$24&amp;"!F"&amp;ROW()-ROW($C$252)+4))</f>
        <v>1</v>
      </c>
      <c r="M286" s="99" t="b">
        <f ca="1">IF(INDIRECT(D$24&amp;"!F"&amp;ROW()-ROW($C$252)+4)="","",INDIRECT(D$24&amp;"!F"&amp;ROW()-ROW($C$252)+4))</f>
        <v>1</v>
      </c>
      <c r="N286" s="99"/>
      <c r="O286" s="99"/>
      <c r="P286" s="99" t="b">
        <f ca="1">INDIRECT(C$24&amp;"!B"&amp;ROW()-ROW($C$252)+4)=$B286</f>
        <v>1</v>
      </c>
      <c r="Q286" s="99" t="b">
        <f ca="1">INDIRECT(D$24&amp;"!B"&amp;ROW()-ROW($C$252)+4)=$B286</f>
        <v>1</v>
      </c>
      <c r="T286" s="37" t="str">
        <f ca="1">IF(NOT(ISERROR(MATCH(K286,'Lookup Tables'!A:A,0))),"Lookup",IF(OR(NOT(ISERROR(FIND("Numeric",K286))),NOT(ISERROR(FIND("Percentage",K286))),NOT(ISERROR(FIND("Date",K286)))),"Numeric",IF(NOT(ISERROR(FIND("lank",K286))),"Non-blank",IF(NOT(ISERROR(FIND("Not evaluated",K286))),"Skipped","Other"))))</f>
        <v>Lookup</v>
      </c>
      <c r="U286" s="461">
        <f t="shared" ca="1" si="85"/>
        <v>0.75</v>
      </c>
      <c r="V286" s="461">
        <f t="shared" ca="1" si="86"/>
        <v>0.25</v>
      </c>
      <c r="W286" s="461" t="str">
        <f t="shared" ca="1" si="87"/>
        <v/>
      </c>
      <c r="X286" s="465" t="str">
        <f t="shared" ca="1" si="88"/>
        <v/>
      </c>
      <c r="Y286" s="99">
        <f t="shared" si="82"/>
        <v>2</v>
      </c>
      <c r="Z286" s="99"/>
      <c r="AA286" s="99"/>
      <c r="AB286" s="99"/>
      <c r="AC286" s="159" t="s">
        <v>2199</v>
      </c>
      <c r="AD286" s="107">
        <f t="shared" ca="1" si="83"/>
        <v>0.5</v>
      </c>
      <c r="AE286" s="99" t="b">
        <f t="shared" ca="1" si="84"/>
        <v>0</v>
      </c>
      <c r="AF286" s="159" t="s">
        <v>2532</v>
      </c>
      <c r="AG286" s="783">
        <f>COUNTIF('VA Detailed Scorecard Config'!D:D,AF286)</f>
        <v>1</v>
      </c>
      <c r="AH286" s="99"/>
    </row>
    <row r="287" spans="2:34" ht="13.5" customHeight="1">
      <c r="B287" s="327" t="s">
        <v>1945</v>
      </c>
      <c r="C287" s="99">
        <f ca="1">IF(INDIRECT(C$24&amp;"!C"&amp;ROW()-ROW($C$252)+4)="","",INDIRECT(C$24&amp;"!C"&amp;ROW()-ROW($C$252)+4))</f>
        <v>4</v>
      </c>
      <c r="D287" s="99">
        <f ca="1">IF(INDIRECT(D$24&amp;"!C"&amp;ROW()-ROW($C$252)+4)="","",INDIRECT(D$24&amp;"!C"&amp;ROW()-ROW($C$252)+4))</f>
        <v>4</v>
      </c>
      <c r="G287" s="99" t="str">
        <f ca="1">IF(INDIRECT(C$24&amp;"!D"&amp;ROW()-ROW($C$252)+4)="","",INDIRECT(C$24&amp;"!D"&amp;ROW()-ROW($C$252)+4))</f>
        <v/>
      </c>
      <c r="H287" s="99" t="str">
        <f ca="1">IF(INDIRECT(D$24&amp;"!D"&amp;ROW()-ROW($C$252)+4)="","",INDIRECT(D$24&amp;"!D"&amp;ROW()-ROW($C$252)+4))</f>
        <v/>
      </c>
      <c r="K287" s="99" t="str">
        <f ca="1">IF(INDIRECT(C$24&amp;"!E"&amp;ROW()-ROW($C$252)+4)="","",INDIRECT(C$24&amp;"!E"&amp;ROW()-ROW($C$252)+4))</f>
        <v>Disagree_Agree_1_5</v>
      </c>
      <c r="L287" s="99" t="b">
        <f ca="1">IF(INDIRECT(C$24&amp;"!F"&amp;ROW()-ROW($C$252)+4)="","",INDIRECT(C$24&amp;"!F"&amp;ROW()-ROW($C$252)+4))</f>
        <v>1</v>
      </c>
      <c r="M287" s="99" t="b">
        <f ca="1">IF(INDIRECT(D$24&amp;"!F"&amp;ROW()-ROW($C$252)+4)="","",INDIRECT(D$24&amp;"!F"&amp;ROW()-ROW($C$252)+4))</f>
        <v>1</v>
      </c>
      <c r="N287" s="99"/>
      <c r="O287" s="99"/>
      <c r="P287" s="99" t="b">
        <f ca="1">INDIRECT(C$24&amp;"!B"&amp;ROW()-ROW($C$252)+4)=$B287</f>
        <v>1</v>
      </c>
      <c r="Q287" s="99" t="b">
        <f ca="1">INDIRECT(D$24&amp;"!B"&amp;ROW()-ROW($C$252)+4)=$B287</f>
        <v>1</v>
      </c>
      <c r="T287" s="37" t="str">
        <f ca="1">IF(NOT(ISERROR(MATCH(K287,'Lookup Tables'!A:A,0))),"Lookup",IF(OR(NOT(ISERROR(FIND("Numeric",K287))),NOT(ISERROR(FIND("Percentage",K287))),NOT(ISERROR(FIND("Date",K287)))),"Numeric",IF(NOT(ISERROR(FIND("lank",K287))),"Non-blank",IF(NOT(ISERROR(FIND("Not evaluated",K287))),"Skipped","Other"))))</f>
        <v>Lookup</v>
      </c>
      <c r="U287" s="461">
        <f t="shared" ca="1" si="85"/>
        <v>0.75</v>
      </c>
      <c r="V287" s="461">
        <f t="shared" ca="1" si="86"/>
        <v>0.75</v>
      </c>
      <c r="W287" s="461" t="str">
        <f t="shared" ca="1" si="87"/>
        <v/>
      </c>
      <c r="X287" s="465" t="str">
        <f t="shared" ca="1" si="88"/>
        <v/>
      </c>
      <c r="Y287" s="99">
        <f t="shared" si="82"/>
        <v>2</v>
      </c>
      <c r="Z287" s="99"/>
      <c r="AA287" s="99"/>
      <c r="AB287" s="99"/>
      <c r="AC287" s="159" t="s">
        <v>2199</v>
      </c>
      <c r="AD287" s="107">
        <f t="shared" ca="1" si="83"/>
        <v>0.75</v>
      </c>
      <c r="AE287" s="99" t="b">
        <f t="shared" ca="1" si="84"/>
        <v>0</v>
      </c>
      <c r="AF287" s="159" t="s">
        <v>2531</v>
      </c>
      <c r="AG287" s="783">
        <f>COUNTIF('VA Detailed Scorecard Config'!D:D,AF287)</f>
        <v>3</v>
      </c>
      <c r="AH287" s="99"/>
    </row>
    <row r="288" spans="2:34" ht="13.5" customHeight="1">
      <c r="B288" s="327" t="s">
        <v>1946</v>
      </c>
      <c r="C288" s="99" t="str">
        <f ca="1">IF(INDIRECT(C$24&amp;"!C"&amp;ROW()-ROW($C$252)+4)="","",INDIRECT(C$24&amp;"!C"&amp;ROW()-ROW($C$252)+4))</f>
        <v>Insufficient info to judge</v>
      </c>
      <c r="D288" s="99">
        <f ca="1">IF(INDIRECT(D$24&amp;"!C"&amp;ROW()-ROW($C$252)+4)="","",INDIRECT(D$24&amp;"!C"&amp;ROW()-ROW($C$252)+4))</f>
        <v>4</v>
      </c>
      <c r="G288" s="99" t="str">
        <f ca="1">IF(INDIRECT(C$24&amp;"!D"&amp;ROW()-ROW($C$252)+4)="","",INDIRECT(C$24&amp;"!D"&amp;ROW()-ROW($C$252)+4))</f>
        <v/>
      </c>
      <c r="H288" s="99" t="str">
        <f ca="1">IF(INDIRECT(D$24&amp;"!D"&amp;ROW()-ROW($C$252)+4)="","",INDIRECT(D$24&amp;"!D"&amp;ROW()-ROW($C$252)+4))</f>
        <v/>
      </c>
      <c r="K288" s="99" t="str">
        <f ca="1">IF(INDIRECT(C$24&amp;"!E"&amp;ROW()-ROW($C$252)+4)="","",INDIRECT(C$24&amp;"!E"&amp;ROW()-ROW($C$252)+4))</f>
        <v>Disagree_Agree_1_5</v>
      </c>
      <c r="L288" s="99" t="b">
        <f ca="1">IF(INDIRECT(C$24&amp;"!F"&amp;ROW()-ROW($C$252)+4)="","",INDIRECT(C$24&amp;"!F"&amp;ROW()-ROW($C$252)+4))</f>
        <v>1</v>
      </c>
      <c r="M288" s="99" t="b">
        <f ca="1">IF(INDIRECT(D$24&amp;"!F"&amp;ROW()-ROW($C$252)+4)="","",INDIRECT(D$24&amp;"!F"&amp;ROW()-ROW($C$252)+4))</f>
        <v>1</v>
      </c>
      <c r="N288" s="99"/>
      <c r="O288" s="99"/>
      <c r="P288" s="99" t="b">
        <f ca="1">INDIRECT(C$24&amp;"!B"&amp;ROW()-ROW($C$252)+4)=$B288</f>
        <v>1</v>
      </c>
      <c r="Q288" s="99" t="b">
        <f ca="1">INDIRECT(D$24&amp;"!B"&amp;ROW()-ROW($C$252)+4)=$B288</f>
        <v>1</v>
      </c>
      <c r="T288" s="37" t="str">
        <f ca="1">IF(NOT(ISERROR(MATCH(K288,'Lookup Tables'!A:A,0))),"Lookup",IF(OR(NOT(ISERROR(FIND("Numeric",K288))),NOT(ISERROR(FIND("Percentage",K288))),NOT(ISERROR(FIND("Date",K288)))),"Numeric",IF(NOT(ISERROR(FIND("lank",K288))),"Non-blank",IF(NOT(ISERROR(FIND("Not evaluated",K288))),"Skipped","Other"))))</f>
        <v>Lookup</v>
      </c>
      <c r="U288" s="461">
        <f t="shared" ca="1" si="85"/>
        <v>0</v>
      </c>
      <c r="V288" s="461">
        <f t="shared" ca="1" si="86"/>
        <v>0.75</v>
      </c>
      <c r="W288" s="461" t="str">
        <f t="shared" ca="1" si="87"/>
        <v/>
      </c>
      <c r="X288" s="465" t="str">
        <f t="shared" ca="1" si="88"/>
        <v/>
      </c>
      <c r="Y288" s="99">
        <f t="shared" si="82"/>
        <v>2</v>
      </c>
      <c r="Z288" s="99"/>
      <c r="AA288" s="99"/>
      <c r="AB288" s="99"/>
      <c r="AC288" s="159" t="s">
        <v>2199</v>
      </c>
      <c r="AD288" s="107">
        <f t="shared" ca="1" si="83"/>
        <v>0.375</v>
      </c>
      <c r="AE288" s="99" t="b">
        <f t="shared" ca="1" si="84"/>
        <v>0</v>
      </c>
      <c r="AF288" s="159" t="s">
        <v>2533</v>
      </c>
      <c r="AG288" s="783">
        <f>COUNTIF('VA Detailed Scorecard Config'!D:D,AF288)</f>
        <v>3</v>
      </c>
      <c r="AH288" s="99"/>
    </row>
    <row r="289" spans="1:34" ht="13.5" customHeight="1">
      <c r="B289" s="327" t="s">
        <v>1947</v>
      </c>
      <c r="C289" s="99" t="str">
        <f ca="1">IF(INDIRECT(C$24&amp;"!C"&amp;ROW()-ROW($C$252)+4)="","",INDIRECT(C$24&amp;"!C"&amp;ROW()-ROW($C$252)+4))</f>
        <v>5 - Completely Agree</v>
      </c>
      <c r="D289" s="99" t="str">
        <f ca="1">IF(INDIRECT(D$24&amp;"!C"&amp;ROW()-ROW($C$252)+4)="","",INDIRECT(D$24&amp;"!C"&amp;ROW()-ROW($C$252)+4))</f>
        <v>5 - Completely Agree</v>
      </c>
      <c r="G289" s="99" t="str">
        <f ca="1">IF(INDIRECT(C$24&amp;"!D"&amp;ROW()-ROW($C$252)+4)="","",INDIRECT(C$24&amp;"!D"&amp;ROW()-ROW($C$252)+4))</f>
        <v/>
      </c>
      <c r="H289" s="99" t="str">
        <f ca="1">IF(INDIRECT(D$24&amp;"!D"&amp;ROW()-ROW($C$252)+4)="","",INDIRECT(D$24&amp;"!D"&amp;ROW()-ROW($C$252)+4))</f>
        <v/>
      </c>
      <c r="K289" s="99" t="str">
        <f ca="1">IF(INDIRECT(C$24&amp;"!E"&amp;ROW()-ROW($C$252)+4)="","",INDIRECT(C$24&amp;"!E"&amp;ROW()-ROW($C$252)+4))</f>
        <v>Disagree_Agree_1_5</v>
      </c>
      <c r="L289" s="99" t="b">
        <f ca="1">IF(INDIRECT(C$24&amp;"!F"&amp;ROW()-ROW($C$252)+4)="","",INDIRECT(C$24&amp;"!F"&amp;ROW()-ROW($C$252)+4))</f>
        <v>1</v>
      </c>
      <c r="M289" s="99" t="b">
        <f ca="1">IF(INDIRECT(D$24&amp;"!F"&amp;ROW()-ROW($C$252)+4)="","",INDIRECT(D$24&amp;"!F"&amp;ROW()-ROW($C$252)+4))</f>
        <v>1</v>
      </c>
      <c r="N289" s="99"/>
      <c r="O289" s="99"/>
      <c r="P289" s="99" t="b">
        <f ca="1">INDIRECT(C$24&amp;"!B"&amp;ROW()-ROW($C$252)+4)=$B289</f>
        <v>1</v>
      </c>
      <c r="Q289" s="99" t="b">
        <f ca="1">INDIRECT(D$24&amp;"!B"&amp;ROW()-ROW($C$252)+4)=$B289</f>
        <v>1</v>
      </c>
      <c r="T289" s="37" t="str">
        <f ca="1">IF(NOT(ISERROR(MATCH(K289,'Lookup Tables'!A:A,0))),"Lookup",IF(OR(NOT(ISERROR(FIND("Numeric",K289))),NOT(ISERROR(FIND("Percentage",K289))),NOT(ISERROR(FIND("Date",K289)))),"Numeric",IF(NOT(ISERROR(FIND("lank",K289))),"Non-blank",IF(NOT(ISERROR(FIND("Not evaluated",K289))),"Skipped","Other"))))</f>
        <v>Lookup</v>
      </c>
      <c r="U289" s="461">
        <f t="shared" ca="1" si="85"/>
        <v>1</v>
      </c>
      <c r="V289" s="461">
        <f t="shared" ca="1" si="86"/>
        <v>1</v>
      </c>
      <c r="W289" s="461" t="str">
        <f t="shared" ca="1" si="87"/>
        <v/>
      </c>
      <c r="X289" s="465" t="str">
        <f t="shared" ca="1" si="88"/>
        <v/>
      </c>
      <c r="Y289" s="99">
        <f t="shared" si="82"/>
        <v>2</v>
      </c>
      <c r="Z289" s="99"/>
      <c r="AA289" s="99"/>
      <c r="AB289" s="99"/>
      <c r="AC289" s="159" t="s">
        <v>2199</v>
      </c>
      <c r="AD289" s="107">
        <f t="shared" ca="1" si="83"/>
        <v>1</v>
      </c>
      <c r="AE289" s="99" t="b">
        <f t="shared" ca="1" si="84"/>
        <v>0</v>
      </c>
      <c r="AF289" s="159" t="s">
        <v>2534</v>
      </c>
      <c r="AG289" s="783">
        <f>COUNTIF('VA Detailed Scorecard Config'!D:D,AF289)</f>
        <v>2</v>
      </c>
      <c r="AH289" s="99"/>
    </row>
    <row r="290" spans="1:34" ht="13.5" customHeight="1" thickBot="1">
      <c r="B290" s="399" t="s">
        <v>1951</v>
      </c>
      <c r="C290" s="99">
        <f ca="1">IF(INDIRECT(C$24&amp;"!C"&amp;ROW()-ROW($C$252)+4)="","",INDIRECT(C$24&amp;"!C"&amp;ROW()-ROW($C$252)+4))</f>
        <v>3</v>
      </c>
      <c r="D290" s="99">
        <f ca="1">IF(INDIRECT(D$24&amp;"!C"&amp;ROW()-ROW($C$252)+4)="","",INDIRECT(D$24&amp;"!C"&amp;ROW()-ROW($C$252)+4))</f>
        <v>3</v>
      </c>
      <c r="G290" s="99" t="str">
        <f ca="1">IF(INDIRECT(C$24&amp;"!D"&amp;ROW()-ROW($C$252)+4)="","",INDIRECT(C$24&amp;"!D"&amp;ROW()-ROW($C$252)+4))</f>
        <v/>
      </c>
      <c r="H290" s="99" t="str">
        <f ca="1">IF(INDIRECT(D$24&amp;"!D"&amp;ROW()-ROW($C$252)+4)="","",INDIRECT(D$24&amp;"!D"&amp;ROW()-ROW($C$252)+4))</f>
        <v/>
      </c>
      <c r="K290" s="99" t="str">
        <f ca="1">IF(INDIRECT(C$24&amp;"!E"&amp;ROW()-ROW($C$252)+4)="","",INDIRECT(C$24&amp;"!E"&amp;ROW()-ROW($C$252)+4))</f>
        <v>Disagree_Agree_1_5</v>
      </c>
      <c r="L290" s="99" t="b">
        <f ca="1">IF(INDIRECT(C$24&amp;"!F"&amp;ROW()-ROW($C$252)+4)="","",INDIRECT(C$24&amp;"!F"&amp;ROW()-ROW($C$252)+4))</f>
        <v>1</v>
      </c>
      <c r="M290" s="99" t="b">
        <f ca="1">IF(INDIRECT(D$24&amp;"!F"&amp;ROW()-ROW($C$252)+4)="","",INDIRECT(D$24&amp;"!F"&amp;ROW()-ROW($C$252)+4))</f>
        <v>1</v>
      </c>
      <c r="N290" s="99"/>
      <c r="O290" s="99"/>
      <c r="P290" s="99" t="b">
        <f ca="1">INDIRECT(C$24&amp;"!B"&amp;ROW()-ROW($C$252)+4)=$B290</f>
        <v>1</v>
      </c>
      <c r="Q290" s="99" t="b">
        <f ca="1">INDIRECT(D$24&amp;"!B"&amp;ROW()-ROW($C$252)+4)=$B290</f>
        <v>1</v>
      </c>
      <c r="T290" s="37" t="str">
        <f ca="1">IF(NOT(ISERROR(MATCH(K290,'Lookup Tables'!A:A,0))),"Lookup",IF(OR(NOT(ISERROR(FIND("Numeric",K290))),NOT(ISERROR(FIND("Percentage",K290))),NOT(ISERROR(FIND("Date",K290)))),"Numeric",IF(NOT(ISERROR(FIND("lank",K290))),"Non-blank",IF(NOT(ISERROR(FIND("Not evaluated",K290))),"Skipped","Other"))))</f>
        <v>Lookup</v>
      </c>
      <c r="U290" s="461">
        <f t="shared" ca="1" si="85"/>
        <v>0.5</v>
      </c>
      <c r="V290" s="461">
        <f t="shared" ca="1" si="86"/>
        <v>0.5</v>
      </c>
      <c r="W290" s="461" t="str">
        <f t="shared" ca="1" si="87"/>
        <v/>
      </c>
      <c r="X290" s="465" t="str">
        <f t="shared" ca="1" si="88"/>
        <v/>
      </c>
      <c r="Y290" s="99">
        <f t="shared" si="82"/>
        <v>2</v>
      </c>
      <c r="Z290" s="99"/>
      <c r="AA290" s="99"/>
      <c r="AB290" s="99"/>
      <c r="AC290" s="159" t="s">
        <v>2199</v>
      </c>
      <c r="AD290" s="107">
        <f t="shared" ca="1" si="83"/>
        <v>0.5</v>
      </c>
      <c r="AE290" s="99" t="b">
        <f t="shared" ca="1" si="84"/>
        <v>0</v>
      </c>
      <c r="AF290" s="159" t="s">
        <v>2424</v>
      </c>
      <c r="AG290" s="783">
        <f>COUNTIF('VA Detailed Scorecard Config'!D:D,AF290)</f>
        <v>2</v>
      </c>
      <c r="AH290" s="99"/>
    </row>
    <row r="291" spans="1:34" ht="13.5" customHeight="1" thickBot="1">
      <c r="B291" s="422" t="s">
        <v>1901</v>
      </c>
      <c r="C291" s="99" t="str">
        <f ca="1">IF(INDIRECT(C$24&amp;"!C"&amp;ROW()-ROW($C$252)+4)="","",INDIRECT(C$24&amp;"!C"&amp;ROW()-ROW($C$252)+4))</f>
        <v>Yes</v>
      </c>
      <c r="D291" s="99" t="str">
        <f ca="1">IF(INDIRECT(D$24&amp;"!C"&amp;ROW()-ROW($C$252)+4)="","",INDIRECT(D$24&amp;"!C"&amp;ROW()-ROW($C$252)+4))</f>
        <v>Yes</v>
      </c>
      <c r="G291" s="99" t="str">
        <f ca="1">IF(INDIRECT(C$24&amp;"!D"&amp;ROW()-ROW($C$252)+4)="","",INDIRECT(C$24&amp;"!D"&amp;ROW()-ROW($C$252)+4))</f>
        <v/>
      </c>
      <c r="H291" s="99" t="str">
        <f ca="1">IF(INDIRECT(D$24&amp;"!D"&amp;ROW()-ROW($C$252)+4)="","",INDIRECT(D$24&amp;"!D"&amp;ROW()-ROW($C$252)+4))</f>
        <v/>
      </c>
      <c r="K291" s="99" t="str">
        <f ca="1">IF(INDIRECT(C$24&amp;"!E"&amp;ROW()-ROW($C$252)+4)="","",INDIRECT(C$24&amp;"!E"&amp;ROW()-ROW($C$252)+4))</f>
        <v>YES_No</v>
      </c>
      <c r="L291" s="99" t="b">
        <f ca="1">IF(INDIRECT(C$24&amp;"!F"&amp;ROW()-ROW($C$252)+4)="","",INDIRECT(C$24&amp;"!F"&amp;ROW()-ROW($C$252)+4))</f>
        <v>1</v>
      </c>
      <c r="M291" s="99" t="b">
        <f ca="1">IF(INDIRECT(D$24&amp;"!F"&amp;ROW()-ROW($C$252)+4)="","",INDIRECT(D$24&amp;"!F"&amp;ROW()-ROW($C$252)+4))</f>
        <v>1</v>
      </c>
      <c r="N291" s="99"/>
      <c r="O291" s="99"/>
      <c r="P291" s="99" t="b">
        <f ca="1">INDIRECT(C$24&amp;"!B"&amp;ROW()-ROW($C$252)+4)=$B291</f>
        <v>1</v>
      </c>
      <c r="Q291" s="99" t="b">
        <f ca="1">INDIRECT(D$24&amp;"!B"&amp;ROW()-ROW($C$252)+4)=$B291</f>
        <v>1</v>
      </c>
      <c r="T291" s="37" t="str">
        <f ca="1">IF(NOT(ISERROR(MATCH(K291,'Lookup Tables'!A:A,0))),"Lookup",IF(OR(NOT(ISERROR(FIND("Numeric",K291))),NOT(ISERROR(FIND("Percentage",K291))),NOT(ISERROR(FIND("Date",K291)))),"Numeric",IF(NOT(ISERROR(FIND("lank",K291))),"Non-blank",IF(NOT(ISERROR(FIND("Not evaluated",K291))),"Skipped","Other"))))</f>
        <v>Lookup</v>
      </c>
      <c r="U291" s="461">
        <f t="shared" ca="1" si="85"/>
        <v>1</v>
      </c>
      <c r="V291" s="461">
        <f t="shared" ca="1" si="86"/>
        <v>1</v>
      </c>
      <c r="W291" s="461" t="str">
        <f t="shared" ca="1" si="87"/>
        <v/>
      </c>
      <c r="X291" s="465" t="str">
        <f t="shared" ca="1" si="88"/>
        <v/>
      </c>
      <c r="Y291" s="99">
        <f t="shared" si="82"/>
        <v>2</v>
      </c>
      <c r="Z291" s="99"/>
      <c r="AA291" s="99"/>
      <c r="AB291" s="99"/>
      <c r="AC291" s="159" t="s">
        <v>2199</v>
      </c>
      <c r="AD291" s="107">
        <f t="shared" ca="1" si="83"/>
        <v>1</v>
      </c>
      <c r="AE291" s="99" t="b">
        <f t="shared" ca="1" si="84"/>
        <v>0</v>
      </c>
      <c r="AF291" s="159" t="s">
        <v>2425</v>
      </c>
      <c r="AG291" s="783">
        <f>COUNTIF('VA Detailed Scorecard Config'!D:D,AF291)</f>
        <v>0</v>
      </c>
      <c r="AH291" s="99"/>
    </row>
    <row r="292" spans="1:34" ht="13.5" customHeight="1">
      <c r="B292" s="421" t="s">
        <v>1974</v>
      </c>
      <c r="C292" s="408" t="s">
        <v>1989</v>
      </c>
      <c r="D292" s="408" t="s">
        <v>1990</v>
      </c>
      <c r="G292" s="408" t="s">
        <v>1991</v>
      </c>
      <c r="H292" s="408" t="s">
        <v>1992</v>
      </c>
      <c r="K292" s="410" t="s">
        <v>1988</v>
      </c>
      <c r="L292" s="410" t="s">
        <v>2219</v>
      </c>
      <c r="M292" s="410" t="s">
        <v>2220</v>
      </c>
      <c r="N292" s="410" t="s">
        <v>2221</v>
      </c>
      <c r="O292" s="410" t="s">
        <v>2222</v>
      </c>
      <c r="AF292" s="137"/>
      <c r="AG292" s="775"/>
    </row>
    <row r="293" spans="1:34" ht="13.5" customHeight="1">
      <c r="B293" s="327" t="s">
        <v>1985</v>
      </c>
      <c r="C293" s="99" t="str">
        <f ca="1">IF(INDIRECT(C$24&amp;"!C"&amp;ROW()-ROW($C$252)+7)="","",INDIRECT(C$24&amp;"!C"&amp;ROW()-ROW($C$252)+7))</f>
        <v>Yes</v>
      </c>
      <c r="D293" s="99" t="str">
        <f ca="1">IF(INDIRECT(D$24&amp;"!C"&amp;ROW()-ROW($C$252)+7)="","",INDIRECT(D$24&amp;"!C"&amp;ROW()-ROW($C$252)+7))</f>
        <v>Yes</v>
      </c>
      <c r="G293" s="99" t="str">
        <f ca="1">IF(INDIRECT(C$24&amp;"!D"&amp;ROW()-ROW($C$252)+7)="","",INDIRECT(C$24&amp;"!D"&amp;ROW()-ROW($C$252)+7))</f>
        <v/>
      </c>
      <c r="H293" s="99" t="str">
        <f ca="1">IF(INDIRECT(D$24&amp;"!D"&amp;ROW()-ROW($C$252)+7)="","",INDIRECT(D$24&amp;"!D"&amp;ROW()-ROW($C$252)+7))</f>
        <v/>
      </c>
      <c r="K293" s="99" t="str">
        <f ca="1">IF(INDIRECT(C$24&amp;"!E"&amp;ROW()-ROW($C$252)+7)="","",INDIRECT(C$24&amp;"!E"&amp;ROW()-ROW($C$252)+7))</f>
        <v>YES_No</v>
      </c>
      <c r="L293" s="99" t="b">
        <f ca="1">IF(INDIRECT(C$24&amp;"!F"&amp;ROW()-ROW($C$252)+7)="","",INDIRECT(C$24&amp;"!F"&amp;ROW()-ROW($C$252)+7))</f>
        <v>1</v>
      </c>
      <c r="M293" s="99" t="b">
        <f ca="1">IF(INDIRECT(D$24&amp;"!F"&amp;ROW()-ROW($C$252)+7)="","",INDIRECT(D$24&amp;"!F"&amp;ROW()-ROW($C$252)+7))</f>
        <v>1</v>
      </c>
      <c r="N293" s="99"/>
      <c r="O293" s="99"/>
      <c r="P293" s="99" t="b">
        <f ca="1">INDIRECT(C$24&amp;"!B"&amp;ROW()-ROW($C$252)+7)=$B293</f>
        <v>1</v>
      </c>
      <c r="Q293" s="99" t="b">
        <f ca="1">INDIRECT(D$24&amp;"!B"&amp;ROW()-ROW($C$252)+7)=$B293</f>
        <v>1</v>
      </c>
      <c r="T293" s="37" t="s">
        <v>2191</v>
      </c>
      <c r="U293" s="461"/>
      <c r="V293" s="461"/>
      <c r="W293" s="461"/>
      <c r="X293" s="461"/>
      <c r="Y293" s="99">
        <f t="shared" si="82"/>
        <v>2</v>
      </c>
      <c r="Z293" s="99"/>
      <c r="AA293" s="99"/>
      <c r="AB293" s="99"/>
      <c r="AC293" s="99"/>
      <c r="AD293" s="99"/>
      <c r="AE293" s="99"/>
      <c r="AF293" s="99"/>
      <c r="AG293" s="248"/>
      <c r="AH293" s="99"/>
    </row>
    <row r="294" spans="1:34" ht="13.5" customHeight="1">
      <c r="B294" s="327" t="s">
        <v>1984</v>
      </c>
      <c r="C294" s="99">
        <f ca="1">IF(INDIRECT(C$24&amp;"!C"&amp;ROW()-ROW($C$252)+7)="","",INDIRECT(C$24&amp;"!C"&amp;ROW()-ROW($C$252)+7))</f>
        <v>1000</v>
      </c>
      <c r="D294" s="99">
        <f ca="1">IF(INDIRECT(D$24&amp;"!C"&amp;ROW()-ROW($C$252)+7)="","",INDIRECT(D$24&amp;"!C"&amp;ROW()-ROW($C$252)+7))</f>
        <v>1000</v>
      </c>
      <c r="G294" s="99" t="str">
        <f ca="1">IF(INDIRECT(C$24&amp;"!D"&amp;ROW()-ROW($C$252)+7)="","",INDIRECT(C$24&amp;"!D"&amp;ROW()-ROW($C$252)+7))</f>
        <v/>
      </c>
      <c r="H294" s="99" t="str">
        <f ca="1">IF(INDIRECT(D$24&amp;"!D"&amp;ROW()-ROW($C$252)+7)="","",INDIRECT(D$24&amp;"!D"&amp;ROW()-ROW($C$252)+7))</f>
        <v/>
      </c>
      <c r="K294" s="99" t="str">
        <f ca="1">IF(INDIRECT(C$24&amp;"!E"&amp;ROW()-ROW($C$252)+7)="","",INDIRECT(C$24&amp;"!E"&amp;ROW()-ROW($C$252)+7))</f>
        <v>Numerical (Larger is better, linear scale)</v>
      </c>
      <c r="L294" s="99" t="b">
        <f ca="1">IF(INDIRECT(C$24&amp;"!F"&amp;ROW()-ROW($C$252)+7)="","",INDIRECT(C$24&amp;"!F"&amp;ROW()-ROW($C$252)+7))</f>
        <v>1</v>
      </c>
      <c r="M294" s="99" t="b">
        <f ca="1">IF(INDIRECT(D$24&amp;"!F"&amp;ROW()-ROW($C$252)+7)="","",INDIRECT(D$24&amp;"!F"&amp;ROW()-ROW($C$252)+7))</f>
        <v>1</v>
      </c>
      <c r="N294" s="99"/>
      <c r="O294" s="99"/>
      <c r="P294" s="99" t="b">
        <f ca="1">INDIRECT(C$24&amp;"!B"&amp;ROW()-ROW($C$252)+7)=$B294</f>
        <v>1</v>
      </c>
      <c r="Q294" s="99" t="b">
        <f ca="1">INDIRECT(D$24&amp;"!B"&amp;ROW()-ROW($C$252)+7)=$B294</f>
        <v>1</v>
      </c>
      <c r="T294" s="99" t="str">
        <f ca="1">IF(NOT(ISERROR(MATCH(K294,'Lookup Tables'!A:A,0))),"Lookup",IF(OR(NOT(ISERROR(FIND("Numeric",K294))),NOT(ISERROR(FIND("Percentage",K294))),NOT(ISERROR(FIND("Date",K294)))),"Numeric",IF(NOT(ISERROR(FIND("lank",K294))),"Non-blank",IF(NOT(ISERROR(FIND("Not evaluated",K294))),"Skipped","Other"))))</f>
        <v>Numeric</v>
      </c>
      <c r="U294" s="101">
        <f ca="1">IF(COLUMN()-COLUMN($U$55)+1&lt;=$Y293,(C294-MIN($C294:$F294,$Z294:$AA294))/(MAX($AA294,$C294:$F294)-MIN($C294:$F294,$Z294:$AA294)),"")</f>
        <v>1</v>
      </c>
      <c r="V294" s="101">
        <f ca="1">IF(COLUMN()-COLUMN($U$55)+1&lt;=$Y293,(D294-MIN($C294:$F294,$Z294:$AA294))/(MAX($AA294,$C294:$F294)-MIN($C294:$F294,$Z294:$AA294)),"")</f>
        <v>1</v>
      </c>
      <c r="W294" s="101" t="str">
        <f>IF(COLUMN()-COLUMN($U$55)+1&lt;=$Y293,(E294-MIN($C294:$F294,$Z294:$AA294))/(MAX($AA294,$C294:$F294)-MIN($C294:$F294,$Z294:$AA294)),"")</f>
        <v/>
      </c>
      <c r="X294" s="101" t="str">
        <f>IF(COLUMN()-COLUMN($U$55)+1&lt;=$Y293,(F294-MIN($C294:$F294,$Z294:$AA294))/(MAX($AA294,$C294:$F294)-MIN($C294:$F294,$Z294:$AA294)),"")</f>
        <v/>
      </c>
      <c r="Y294" s="99">
        <f>COUNTA($C$8:$F$8)</f>
        <v>2</v>
      </c>
      <c r="Z294" s="99">
        <v>0</v>
      </c>
      <c r="AA294" s="99">
        <v>1000</v>
      </c>
      <c r="AB294" s="159" t="s">
        <v>2190</v>
      </c>
      <c r="AC294" s="159" t="s">
        <v>2229</v>
      </c>
      <c r="AD294" s="107">
        <f ca="1">MEDIAN(U294:X294)</f>
        <v>1</v>
      </c>
      <c r="AE294" s="99" t="b">
        <f ca="1">IF(AD294="","",ISERROR(MATCH(TRUE,L294:O294,0)))</f>
        <v>0</v>
      </c>
      <c r="AF294" s="159" t="s">
        <v>2426</v>
      </c>
      <c r="AG294" s="248"/>
      <c r="AH294" s="99"/>
    </row>
    <row r="295" spans="1:34" ht="13.5" customHeight="1">
      <c r="AF295" s="137"/>
      <c r="AG295" s="775"/>
    </row>
    <row r="296" spans="1:34" ht="13.5" customHeight="1">
      <c r="B296" s="704" t="s">
        <v>2033</v>
      </c>
      <c r="C296" s="705"/>
      <c r="D296" s="705"/>
      <c r="E296" s="705"/>
      <c r="F296" s="705"/>
      <c r="G296" s="705"/>
      <c r="H296" s="705"/>
      <c r="I296" s="705"/>
      <c r="J296" s="705"/>
      <c r="K296" s="705"/>
      <c r="L296" s="705"/>
      <c r="M296" s="705"/>
      <c r="N296" s="705"/>
      <c r="O296" s="706"/>
      <c r="P296" s="579" t="s">
        <v>1981</v>
      </c>
      <c r="Q296" s="579"/>
      <c r="R296" s="579"/>
      <c r="S296" s="579"/>
      <c r="T296" s="579" t="s">
        <v>2169</v>
      </c>
      <c r="U296" s="579" t="s">
        <v>2174</v>
      </c>
      <c r="V296" s="579"/>
      <c r="W296" s="579"/>
      <c r="X296" s="579"/>
      <c r="Y296" s="580" t="s">
        <v>2181</v>
      </c>
      <c r="Z296" s="582" t="s">
        <v>2182</v>
      </c>
      <c r="AA296" s="582"/>
      <c r="AB296" s="582"/>
      <c r="AC296" s="581" t="s">
        <v>2197</v>
      </c>
      <c r="AD296" s="581" t="s">
        <v>2225</v>
      </c>
      <c r="AE296" s="581" t="s">
        <v>2226</v>
      </c>
      <c r="AF296" s="767" t="s">
        <v>2246</v>
      </c>
      <c r="AG296" s="764" t="s">
        <v>2278</v>
      </c>
      <c r="AH296" s="767" t="s">
        <v>2277</v>
      </c>
    </row>
    <row r="297" spans="1:34" ht="13.5" customHeight="1">
      <c r="B297" s="417" t="s">
        <v>4</v>
      </c>
      <c r="C297" s="405" t="s">
        <v>1989</v>
      </c>
      <c r="D297" s="405" t="s">
        <v>1990</v>
      </c>
      <c r="E297" s="405" t="s">
        <v>2028</v>
      </c>
      <c r="F297" s="405" t="s">
        <v>2029</v>
      </c>
      <c r="G297" s="404" t="s">
        <v>1991</v>
      </c>
      <c r="H297" s="404" t="s">
        <v>1992</v>
      </c>
      <c r="I297" s="404" t="s">
        <v>2030</v>
      </c>
      <c r="J297" s="404" t="s">
        <v>2031</v>
      </c>
      <c r="K297" s="404" t="s">
        <v>1988</v>
      </c>
      <c r="L297" s="404" t="s">
        <v>2219</v>
      </c>
      <c r="M297" s="698" t="s">
        <v>2220</v>
      </c>
      <c r="N297" s="698" t="s">
        <v>2221</v>
      </c>
      <c r="O297" s="698" t="s">
        <v>2222</v>
      </c>
      <c r="P297" s="407" t="s">
        <v>1993</v>
      </c>
      <c r="Q297" s="407" t="s">
        <v>1994</v>
      </c>
      <c r="R297" s="407" t="s">
        <v>1995</v>
      </c>
      <c r="S297" s="407" t="s">
        <v>1996</v>
      </c>
      <c r="T297" s="579"/>
      <c r="U297" s="190" t="s">
        <v>1993</v>
      </c>
      <c r="V297" s="190" t="s">
        <v>1994</v>
      </c>
      <c r="W297" s="190" t="s">
        <v>1995</v>
      </c>
      <c r="X297" s="190" t="s">
        <v>1996</v>
      </c>
      <c r="Y297" s="581"/>
      <c r="Z297" s="381" t="s">
        <v>2183</v>
      </c>
      <c r="AA297" s="381" t="s">
        <v>2184</v>
      </c>
      <c r="AB297" s="381" t="s">
        <v>2185</v>
      </c>
      <c r="AC297" s="769"/>
      <c r="AD297" s="769"/>
      <c r="AE297" s="769"/>
      <c r="AF297" s="768"/>
      <c r="AG297" s="766"/>
      <c r="AH297" s="768"/>
    </row>
    <row r="298" spans="1:34" ht="13.5" customHeight="1">
      <c r="A298" s="102" t="s">
        <v>2231</v>
      </c>
      <c r="B298" s="328" t="s">
        <v>1428</v>
      </c>
      <c r="C298" s="99" t="str">
        <f ca="1">IF(INDIRECT(C$30&amp;"!C"&amp;ROW()-ROW($C$298)+4)="","",INDIRECT(C$30&amp;"!C"&amp;ROW()-ROW($C$298)+4))</f>
        <v>SampleCo</v>
      </c>
      <c r="D298" s="99" t="str">
        <f ca="1">IF(INDIRECT(D$30&amp;"!C"&amp;ROW()-ROW($C$298)+4)="","",INDIRECT(D$30&amp;"!C"&amp;ROW()-ROW($C$298)+4))</f>
        <v>SampleCo</v>
      </c>
      <c r="E298" s="99" t="str">
        <f ca="1">IF(INDIRECT(E$30&amp;"!C"&amp;ROW()-ROW($C$298)+4)="","",INDIRECT(E$30&amp;"!C"&amp;ROW()-ROW($C$298)+4))</f>
        <v>SampleCo</v>
      </c>
      <c r="F298" s="99"/>
      <c r="G298" s="99" t="str">
        <f ca="1">IF(INDIRECT(C$30&amp;"!D"&amp;ROW()-ROW($C$298)+4)="","",INDIRECT(C$30&amp;"!D"&amp;ROW()-ROW($C$298)+4))</f>
        <v/>
      </c>
      <c r="H298" s="99" t="str">
        <f ca="1">IF(INDIRECT(D$30&amp;"!D"&amp;ROW()-ROW($C$298)+4)="","",INDIRECT(D$30&amp;"!D"&amp;ROW()-ROW($C$298)+4))</f>
        <v/>
      </c>
      <c r="I298" s="99" t="str">
        <f ca="1">IF(INDIRECT(E$30&amp;"!D"&amp;ROW()-ROW($C$298)+4)="","",INDIRECT(E$30&amp;"!D"&amp;ROW()-ROW($C$298)+4))</f>
        <v/>
      </c>
      <c r="K298" s="99" t="str">
        <f ca="1">IF(INDIRECT(C$30&amp;"!E"&amp;ROW()-ROW($C$298)+4)="","",INDIRECT(C$30&amp;"!E"&amp;ROW()-ROW($C$298)+4))</f>
        <v>Not evaluated</v>
      </c>
      <c r="L298" s="99" t="b">
        <f ca="1">IF(INDIRECT(C$30&amp;"!F"&amp;ROW()-ROW($C$298)+4)="","",INDIRECT(C$30&amp;"!F"&amp;ROW()-ROW($C$298)+4))</f>
        <v>1</v>
      </c>
      <c r="M298" s="99" t="b">
        <f ca="1">IF(INDIRECT(D$30&amp;"!F"&amp;ROW()-ROW($C$298)+4)="","",INDIRECT(D$30&amp;"!F"&amp;ROW()-ROW($C$298)+4))</f>
        <v>1</v>
      </c>
      <c r="N298" s="99" t="b">
        <f ca="1">IF(INDIRECT(E$30&amp;"!F"&amp;ROW()-ROW($C$298)+4)="","",INDIRECT(E$30&amp;"!F"&amp;ROW()-ROW($C$298)+4))</f>
        <v>1</v>
      </c>
      <c r="O298" s="99"/>
      <c r="P298" s="99" t="b">
        <f ca="1">INDIRECT(C$30&amp;"!B"&amp;ROW()-ROW($C$298)+4)=$B298</f>
        <v>1</v>
      </c>
      <c r="Q298" s="99" t="b">
        <f ca="1">INDIRECT(D$30&amp;"!B"&amp;ROW()-ROW($C$298)+4)=$B298</f>
        <v>1</v>
      </c>
      <c r="R298" s="99" t="b">
        <f ca="1">INDIRECT(E$30&amp;"!B"&amp;ROW()-ROW($C$298)+4)=$B298</f>
        <v>1</v>
      </c>
      <c r="S298" s="99"/>
      <c r="T298" s="99" t="str">
        <f ca="1">IF(NOT(ISERROR(MATCH(K298,'Lookup Tables'!A:A,0))),"Lookup",IF(OR(NOT(ISERROR(FIND("Numeric",K298))),NOT(ISERROR(FIND("Percentage",K298))),NOT(ISERROR(FIND("Date",K298)))),"Numeric",IF(NOT(ISERROR(FIND("lank",K298))),"Non-blank",IF(NOT(ISERROR(FIND("Not evaluated",K298))),"Skipped","Other"))))</f>
        <v>Skipped</v>
      </c>
      <c r="U298" s="99"/>
      <c r="V298" s="99"/>
      <c r="W298" s="99"/>
      <c r="X298" s="99"/>
      <c r="Y298" s="99">
        <f>COUNTA($C$30:$F$30)</f>
        <v>3</v>
      </c>
      <c r="Z298" s="99"/>
      <c r="AA298" s="99"/>
      <c r="AB298" s="99"/>
      <c r="AC298" s="99"/>
      <c r="AD298" s="99"/>
      <c r="AE298" s="99"/>
      <c r="AF298" s="99"/>
      <c r="AG298" s="248"/>
      <c r="AH298" s="99"/>
    </row>
    <row r="299" spans="1:34" ht="13.5" customHeight="1">
      <c r="A299" s="102">
        <f ca="1">IFERROR(MATCH($C$149,$C$299:$F$299,0),0)</f>
        <v>1</v>
      </c>
      <c r="B299" s="328" t="s">
        <v>1411</v>
      </c>
      <c r="C299" s="99" t="str">
        <f ca="1">IF(INDIRECT(C$30&amp;"!C"&amp;ROW()-ROW($C$298)+4)="","",INDIRECT(C$30&amp;"!C"&amp;ROW()-ROW($C$298)+4))</f>
        <v>Wakko Warner</v>
      </c>
      <c r="D299" s="99" t="str">
        <f ca="1">IF(INDIRECT(D$30&amp;"!C"&amp;ROW()-ROW($C$298)+4)="","",INDIRECT(D$30&amp;"!C"&amp;ROW()-ROW($C$298)+4))</f>
        <v>Yakko Warner</v>
      </c>
      <c r="E299" s="99" t="str">
        <f ca="1">IF(INDIRECT(E$30&amp;"!C"&amp;ROW()-ROW($C$298)+4)="","",INDIRECT(E$30&amp;"!C"&amp;ROW()-ROW($C$298)+4))</f>
        <v>Dot Warner</v>
      </c>
      <c r="G299" s="99" t="str">
        <f ca="1">IF(INDIRECT(C$30&amp;"!D"&amp;ROW()-ROW($C$298)+4)="","",INDIRECT(C$30&amp;"!D"&amp;ROW()-ROW($C$298)+4))</f>
        <v/>
      </c>
      <c r="H299" s="99" t="str">
        <f ca="1">IF(INDIRECT(D$30&amp;"!D"&amp;ROW()-ROW($C$298)+4)="","",INDIRECT(D$30&amp;"!D"&amp;ROW()-ROW($C$298)+4))</f>
        <v/>
      </c>
      <c r="I299" s="99" t="str">
        <f ca="1">IF(INDIRECT(E$30&amp;"!D"&amp;ROW()-ROW($C$298)+4)="","",INDIRECT(E$30&amp;"!D"&amp;ROW()-ROW($C$298)+4))</f>
        <v/>
      </c>
      <c r="K299" s="99" t="str">
        <f ca="1">IF(INDIRECT(C$30&amp;"!E"&amp;ROW()-ROW($C$298)+4)="","",INDIRECT(C$30&amp;"!E"&amp;ROW()-ROW($C$298)+4))</f>
        <v>Not evaluated</v>
      </c>
      <c r="L299" s="99" t="b">
        <f ca="1">IF(INDIRECT(C$30&amp;"!F"&amp;ROW()-ROW($C$298)+4)="","",INDIRECT(C$30&amp;"!F"&amp;ROW()-ROW($C$298)+4))</f>
        <v>1</v>
      </c>
      <c r="M299" s="99" t="b">
        <f ca="1">IF(INDIRECT(D$30&amp;"!F"&amp;ROW()-ROW($C$298)+4)="","",INDIRECT(D$30&amp;"!F"&amp;ROW()-ROW($C$298)+4))</f>
        <v>1</v>
      </c>
      <c r="N299" s="99" t="b">
        <f ca="1">IF(INDIRECT(E$30&amp;"!F"&amp;ROW()-ROW($C$298)+4)="","",INDIRECT(E$30&amp;"!F"&amp;ROW()-ROW($C$298)+4))</f>
        <v>1</v>
      </c>
      <c r="O299" s="99"/>
      <c r="P299" s="99" t="b">
        <f ca="1">INDIRECT(C$30&amp;"!B"&amp;ROW()-ROW($C$298)+4)=$B299</f>
        <v>1</v>
      </c>
      <c r="Q299" s="99" t="b">
        <f ca="1">INDIRECT(D$30&amp;"!B"&amp;ROW()-ROW($C$298)+4)=$B299</f>
        <v>1</v>
      </c>
      <c r="R299" s="99" t="b">
        <f ca="1">INDIRECT(E$30&amp;"!B"&amp;ROW()-ROW($C$298)+4)=$B299</f>
        <v>1</v>
      </c>
      <c r="S299" s="99"/>
      <c r="T299" s="99" t="str">
        <f ca="1">IF(NOT(ISERROR(MATCH(K299,'Lookup Tables'!A:A,0))),"Lookup",IF(OR(NOT(ISERROR(FIND("Numeric",K299))),NOT(ISERROR(FIND("Percentage",K299))),NOT(ISERROR(FIND("Date",K299)))),"Numeric",IF(NOT(ISERROR(FIND("lank",K299))),"Non-blank",IF(NOT(ISERROR(FIND("Not evaluated",K299))),"Skipped","Other"))))</f>
        <v>Skipped</v>
      </c>
      <c r="U299" s="99"/>
      <c r="V299" s="99"/>
      <c r="W299" s="99"/>
      <c r="X299" s="99"/>
      <c r="Y299" s="99">
        <f t="shared" ref="Y299:Y335" si="89">COUNTA($C$30:$F$30)</f>
        <v>3</v>
      </c>
      <c r="Z299" s="99"/>
      <c r="AA299" s="99"/>
      <c r="AB299" s="99"/>
      <c r="AC299" s="99"/>
      <c r="AD299" s="99"/>
      <c r="AE299" s="99"/>
      <c r="AF299" s="99"/>
      <c r="AG299" s="248"/>
      <c r="AH299" s="99"/>
    </row>
    <row r="300" spans="1:34" ht="13.5" customHeight="1">
      <c r="B300" s="328" t="s">
        <v>1452</v>
      </c>
      <c r="C300" s="99" t="str">
        <f ca="1">IF(INDIRECT(C$30&amp;"!C"&amp;ROW()-ROW($C$298)+4)="","",INDIRECT(C$30&amp;"!C"&amp;ROW()-ROW($C$298)+4))</f>
        <v>linkedin/wakkowarner</v>
      </c>
      <c r="D300" s="99" t="str">
        <f ca="1">IF(INDIRECT(D$30&amp;"!C"&amp;ROW()-ROW($C$298)+4)="","",INDIRECT(D$30&amp;"!C"&amp;ROW()-ROW($C$298)+4))</f>
        <v>linkedin/yakko</v>
      </c>
      <c r="E300" s="99" t="str">
        <f ca="1">IF(INDIRECT(E$30&amp;"!C"&amp;ROW()-ROW($C$298)+4)="","",INDIRECT(E$30&amp;"!C"&amp;ROW()-ROW($C$298)+4))</f>
        <v>linkedin/dot</v>
      </c>
      <c r="G300" s="99" t="str">
        <f ca="1">IF(INDIRECT(C$30&amp;"!D"&amp;ROW()-ROW($C$298)+4)="","",INDIRECT(C$30&amp;"!D"&amp;ROW()-ROW($C$298)+4))</f>
        <v/>
      </c>
      <c r="H300" s="99" t="str">
        <f ca="1">IF(INDIRECT(D$30&amp;"!D"&amp;ROW()-ROW($C$298)+4)="","",INDIRECT(D$30&amp;"!D"&amp;ROW()-ROW($C$298)+4))</f>
        <v/>
      </c>
      <c r="I300" s="99" t="str">
        <f ca="1">IF(INDIRECT(E$30&amp;"!D"&amp;ROW()-ROW($C$298)+4)="","",INDIRECT(E$30&amp;"!D"&amp;ROW()-ROW($C$298)+4))</f>
        <v/>
      </c>
      <c r="K300" s="99" t="str">
        <f ca="1">IF(INDIRECT(C$30&amp;"!E"&amp;ROW()-ROW($C$298)+4)="","",INDIRECT(C$30&amp;"!E"&amp;ROW()-ROW($C$298)+4))</f>
        <v>Non-blank is better</v>
      </c>
      <c r="L300" s="99" t="b">
        <f ca="1">IF(INDIRECT(C$30&amp;"!F"&amp;ROW()-ROW($C$298)+4)="","",INDIRECT(C$30&amp;"!F"&amp;ROW()-ROW($C$298)+4))</f>
        <v>1</v>
      </c>
      <c r="M300" s="99" t="b">
        <f ca="1">IF(INDIRECT(D$30&amp;"!F"&amp;ROW()-ROW($C$298)+4)="","",INDIRECT(D$30&amp;"!F"&amp;ROW()-ROW($C$298)+4))</f>
        <v>1</v>
      </c>
      <c r="N300" s="99" t="b">
        <f ca="1">IF(INDIRECT(E$30&amp;"!F"&amp;ROW()-ROW($C$298)+4)="","",INDIRECT(E$30&amp;"!F"&amp;ROW()-ROW($C$298)+4))</f>
        <v>1</v>
      </c>
      <c r="O300" s="99"/>
      <c r="P300" s="99" t="b">
        <f ca="1">INDIRECT(C$30&amp;"!B"&amp;ROW()-ROW($C$298)+4)=$B300</f>
        <v>1</v>
      </c>
      <c r="Q300" s="99" t="b">
        <f ca="1">INDIRECT(D$30&amp;"!B"&amp;ROW()-ROW($C$298)+4)=$B300</f>
        <v>1</v>
      </c>
      <c r="R300" s="99" t="b">
        <f ca="1">INDIRECT(E$30&amp;"!B"&amp;ROW()-ROW($C$298)+4)=$B300</f>
        <v>1</v>
      </c>
      <c r="S300" s="99"/>
      <c r="T300" s="99" t="str">
        <f ca="1">IF(NOT(ISERROR(MATCH(K300,'Lookup Tables'!A:A,0))),"Lookup",IF(OR(NOT(ISERROR(FIND("Numeric",K300))),NOT(ISERROR(FIND("Percentage",K300))),NOT(ISERROR(FIND("Date",K300)))),"Numeric",IF(NOT(ISERROR(FIND("lank",K300))),"Non-blank",IF(NOT(ISERROR(FIND("Not evaluated",K300))),"Skipped","Other"))))</f>
        <v>Non-blank</v>
      </c>
      <c r="U300" s="461">
        <f ca="1">IF(COLUMN()-COLUMN($U$55)+1&lt;=$Y300,IF(C300="",0,1),"")</f>
        <v>1</v>
      </c>
      <c r="V300" s="461">
        <f ca="1">IF(COLUMN()-COLUMN($U$55)+1&lt;=$Y300,IF(D300="",0,1),"")</f>
        <v>1</v>
      </c>
      <c r="W300" s="461">
        <f ca="1">IF(COLUMN()-COLUMN($U$55)+1&lt;=$Y300,IF(E300="",0,1),"")</f>
        <v>1</v>
      </c>
      <c r="X300" s="461" t="str">
        <f>IF(COLUMN()-COLUMN($U$55)+1&lt;=$Y300,IF(F300="",0,1),"")</f>
        <v/>
      </c>
      <c r="Y300" s="99">
        <f t="shared" si="89"/>
        <v>3</v>
      </c>
      <c r="Z300" s="99"/>
      <c r="AA300" s="99"/>
      <c r="AB300" s="99"/>
      <c r="AC300" s="159" t="s">
        <v>2260</v>
      </c>
      <c r="AD300" s="107">
        <f ca="1">(MAX(U300:U302)+MAX(V300:V302)+MAX(W300:W302)+MAX(X300:X302))/COUNTA($C$30:$F$30)</f>
        <v>1</v>
      </c>
      <c r="AE300" s="99" t="b">
        <f t="shared" ref="AE300:AE335" ca="1" si="90">IF(AD300="","",ISERROR(MATCH(TRUE,L300:O300,0)))</f>
        <v>0</v>
      </c>
      <c r="AF300" s="159" t="s">
        <v>2427</v>
      </c>
      <c r="AG300" s="783">
        <f>COUNTIF('VA Detailed Scorecard Config'!D:D,AF300)</f>
        <v>0</v>
      </c>
      <c r="AH300" s="99"/>
    </row>
    <row r="301" spans="1:34" ht="13.5" customHeight="1">
      <c r="B301" s="328" t="s">
        <v>1670</v>
      </c>
      <c r="C301" s="99" t="str">
        <f ca="1">IF(INDIRECT(C$30&amp;"!C"&amp;ROW()-ROW($C$298)+4)="","",INDIRECT(C$30&amp;"!C"&amp;ROW()-ROW($C$298)+4))</f>
        <v/>
      </c>
      <c r="D301" s="99" t="str">
        <f ca="1">IF(INDIRECT(D$30&amp;"!C"&amp;ROW()-ROW($C$298)+4)="","",INDIRECT(D$30&amp;"!C"&amp;ROW()-ROW($C$298)+4))</f>
        <v/>
      </c>
      <c r="E301" s="99" t="str">
        <f ca="1">IF(INDIRECT(E$30&amp;"!C"&amp;ROW()-ROW($C$298)+4)="","",INDIRECT(E$30&amp;"!C"&amp;ROW()-ROW($C$298)+4))</f>
        <v/>
      </c>
      <c r="G301" s="99" t="str">
        <f ca="1">IF(INDIRECT(C$30&amp;"!D"&amp;ROW()-ROW($C$298)+4)="","",INDIRECT(C$30&amp;"!D"&amp;ROW()-ROW($C$298)+4))</f>
        <v/>
      </c>
      <c r="H301" s="99" t="str">
        <f ca="1">IF(INDIRECT(D$30&amp;"!D"&amp;ROW()-ROW($C$298)+4)="","",INDIRECT(D$30&amp;"!D"&amp;ROW()-ROW($C$298)+4))</f>
        <v/>
      </c>
      <c r="I301" s="99" t="str">
        <f ca="1">IF(INDIRECT(E$30&amp;"!D"&amp;ROW()-ROW($C$298)+4)="","",INDIRECT(E$30&amp;"!D"&amp;ROW()-ROW($C$298)+4))</f>
        <v/>
      </c>
      <c r="K301" s="99" t="str">
        <f ca="1">IF(INDIRECT(C$30&amp;"!E"&amp;ROW()-ROW($C$298)+4)="","",INDIRECT(C$30&amp;"!E"&amp;ROW()-ROW($C$298)+4))</f>
        <v>Non-blank is better</v>
      </c>
      <c r="L301" s="99" t="b">
        <f ca="1">IF(INDIRECT(C$30&amp;"!F"&amp;ROW()-ROW($C$298)+4)="","",INDIRECT(C$30&amp;"!F"&amp;ROW()-ROW($C$298)+4))</f>
        <v>1</v>
      </c>
      <c r="M301" s="99" t="b">
        <f ca="1">IF(INDIRECT(D$30&amp;"!F"&amp;ROW()-ROW($C$298)+4)="","",INDIRECT(D$30&amp;"!F"&amp;ROW()-ROW($C$298)+4))</f>
        <v>1</v>
      </c>
      <c r="N301" s="99" t="b">
        <f ca="1">IF(INDIRECT(E$30&amp;"!F"&amp;ROW()-ROW($C$298)+4)="","",INDIRECT(E$30&amp;"!F"&amp;ROW()-ROW($C$298)+4))</f>
        <v>1</v>
      </c>
      <c r="O301" s="99"/>
      <c r="P301" s="99" t="b">
        <f ca="1">INDIRECT(C$30&amp;"!B"&amp;ROW()-ROW($C$298)+4)=$B301</f>
        <v>1</v>
      </c>
      <c r="Q301" s="99" t="b">
        <f ca="1">INDIRECT(D$30&amp;"!B"&amp;ROW()-ROW($C$298)+4)=$B301</f>
        <v>1</v>
      </c>
      <c r="R301" s="99" t="b">
        <f ca="1">INDIRECT(E$30&amp;"!B"&amp;ROW()-ROW($C$298)+4)=$B301</f>
        <v>1</v>
      </c>
      <c r="S301" s="99"/>
      <c r="T301" s="99" t="str">
        <f ca="1">IF(NOT(ISERROR(MATCH(K301,'Lookup Tables'!A:A,0))),"Lookup",IF(OR(NOT(ISERROR(FIND("Numeric",K301))),NOT(ISERROR(FIND("Percentage",K301))),NOT(ISERROR(FIND("Date",K301)))),"Numeric",IF(NOT(ISERROR(FIND("lank",K301))),"Non-blank",IF(NOT(ISERROR(FIND("Not evaluated",K301))),"Skipped","Other"))))</f>
        <v>Non-blank</v>
      </c>
      <c r="U301" s="461">
        <f ca="1">IF(COLUMN()-COLUMN($U$55)+1&lt;=$Y301,IF(C301="",0,1),"")</f>
        <v>0</v>
      </c>
      <c r="V301" s="461">
        <f ca="1">IF(COLUMN()-COLUMN($U$55)+1&lt;=$Y301,IF(D301="",0,1),"")</f>
        <v>0</v>
      </c>
      <c r="W301" s="461">
        <f ca="1">IF(COLUMN()-COLUMN($U$55)+1&lt;=$Y301,IF(E301="",0,1),"")</f>
        <v>0</v>
      </c>
      <c r="X301" s="461" t="str">
        <f>IF(COLUMN()-COLUMN($U$55)+1&lt;=$Y301,IF(F301="",0,1),"")</f>
        <v/>
      </c>
      <c r="Y301" s="99">
        <f t="shared" si="89"/>
        <v>3</v>
      </c>
      <c r="Z301" s="99"/>
      <c r="AA301" s="99"/>
      <c r="AB301" s="99"/>
      <c r="AC301" s="159"/>
      <c r="AD301" s="107"/>
      <c r="AE301" s="99"/>
      <c r="AF301" s="159"/>
      <c r="AG301" s="248"/>
      <c r="AH301" s="99"/>
    </row>
    <row r="302" spans="1:34" ht="13.5" customHeight="1">
      <c r="B302" s="328" t="s">
        <v>1669</v>
      </c>
      <c r="C302" s="99" t="str">
        <f ca="1">IF(INDIRECT(C$30&amp;"!C"&amp;ROW()-ROW($C$298)+4)="","",INDIRECT(C$30&amp;"!C"&amp;ROW()-ROW($C$298)+4))</f>
        <v/>
      </c>
      <c r="D302" s="99" t="str">
        <f ca="1">IF(INDIRECT(D$30&amp;"!C"&amp;ROW()-ROW($C$298)+4)="","",INDIRECT(D$30&amp;"!C"&amp;ROW()-ROW($C$298)+4))</f>
        <v/>
      </c>
      <c r="E302" s="99" t="str">
        <f ca="1">IF(INDIRECT(E$30&amp;"!C"&amp;ROW()-ROW($C$298)+4)="","",INDIRECT(E$30&amp;"!C"&amp;ROW()-ROW($C$298)+4))</f>
        <v/>
      </c>
      <c r="G302" s="99" t="str">
        <f ca="1">IF(INDIRECT(C$30&amp;"!D"&amp;ROW()-ROW($C$298)+4)="","",INDIRECT(C$30&amp;"!D"&amp;ROW()-ROW($C$298)+4))</f>
        <v/>
      </c>
      <c r="H302" s="99" t="str">
        <f ca="1">IF(INDIRECT(D$30&amp;"!D"&amp;ROW()-ROW($C$298)+4)="","",INDIRECT(D$30&amp;"!D"&amp;ROW()-ROW($C$298)+4))</f>
        <v/>
      </c>
      <c r="I302" s="99" t="str">
        <f ca="1">IF(INDIRECT(E$30&amp;"!D"&amp;ROW()-ROW($C$298)+4)="","",INDIRECT(E$30&amp;"!D"&amp;ROW()-ROW($C$298)+4))</f>
        <v/>
      </c>
      <c r="K302" s="99" t="str">
        <f ca="1">IF(INDIRECT(C$30&amp;"!E"&amp;ROW()-ROW($C$298)+4)="","",INDIRECT(C$30&amp;"!E"&amp;ROW()-ROW($C$298)+4))</f>
        <v>Non-blank is better</v>
      </c>
      <c r="L302" s="99" t="b">
        <f ca="1">IF(INDIRECT(C$30&amp;"!F"&amp;ROW()-ROW($C$298)+4)="","",INDIRECT(C$30&amp;"!F"&amp;ROW()-ROW($C$298)+4))</f>
        <v>1</v>
      </c>
      <c r="M302" s="99" t="b">
        <f ca="1">IF(INDIRECT(D$30&amp;"!F"&amp;ROW()-ROW($C$298)+4)="","",INDIRECT(D$30&amp;"!F"&amp;ROW()-ROW($C$298)+4))</f>
        <v>1</v>
      </c>
      <c r="N302" s="99" t="b">
        <f ca="1">IF(INDIRECT(E$30&amp;"!F"&amp;ROW()-ROW($C$298)+4)="","",INDIRECT(E$30&amp;"!F"&amp;ROW()-ROW($C$298)+4))</f>
        <v>1</v>
      </c>
      <c r="O302" s="99"/>
      <c r="P302" s="99" t="b">
        <f ca="1">INDIRECT(C$30&amp;"!B"&amp;ROW()-ROW($C$298)+4)=$B302</f>
        <v>1</v>
      </c>
      <c r="Q302" s="99" t="b">
        <f ca="1">INDIRECT(D$30&amp;"!B"&amp;ROW()-ROW($C$298)+4)=$B302</f>
        <v>1</v>
      </c>
      <c r="R302" s="99" t="b">
        <f ca="1">INDIRECT(E$30&amp;"!B"&amp;ROW()-ROW($C$298)+4)=$B302</f>
        <v>1</v>
      </c>
      <c r="S302" s="99"/>
      <c r="T302" s="99" t="str">
        <f ca="1">IF(NOT(ISERROR(MATCH(K302,'Lookup Tables'!A:A,0))),"Lookup",IF(OR(NOT(ISERROR(FIND("Numeric",K302))),NOT(ISERROR(FIND("Percentage",K302))),NOT(ISERROR(FIND("Date",K302)))),"Numeric",IF(NOT(ISERROR(FIND("lank",K302))),"Non-blank",IF(NOT(ISERROR(FIND("Not evaluated",K302))),"Skipped","Other"))))</f>
        <v>Non-blank</v>
      </c>
      <c r="U302" s="461">
        <f ca="1">IF(COLUMN()-COLUMN($U$55)+1&lt;=$Y302,IF(C302="",0,1),"")</f>
        <v>0</v>
      </c>
      <c r="V302" s="461">
        <f ca="1">IF(COLUMN()-COLUMN($U$55)+1&lt;=$Y302,IF(D302="",0,1),"")</f>
        <v>0</v>
      </c>
      <c r="W302" s="461">
        <f ca="1">IF(COLUMN()-COLUMN($U$55)+1&lt;=$Y302,IF(E302="",0,1),"")</f>
        <v>0</v>
      </c>
      <c r="X302" s="461" t="str">
        <f>IF(COLUMN()-COLUMN($U$55)+1&lt;=$Y302,IF(F302="",0,1),"")</f>
        <v/>
      </c>
      <c r="Y302" s="99">
        <f t="shared" si="89"/>
        <v>3</v>
      </c>
      <c r="Z302" s="99"/>
      <c r="AA302" s="99"/>
      <c r="AB302" s="99"/>
      <c r="AC302" s="159"/>
      <c r="AD302" s="107"/>
      <c r="AE302" s="99"/>
      <c r="AF302" s="159"/>
      <c r="AG302" s="248"/>
      <c r="AH302" s="99"/>
    </row>
    <row r="303" spans="1:34" ht="13.5" customHeight="1">
      <c r="B303" s="328" t="s">
        <v>1454</v>
      </c>
      <c r="C303" s="99" t="str">
        <f ca="1">IF(INDIRECT(C$30&amp;"!C"&amp;ROW()-ROW($C$298)+4)="","",INDIRECT(C$30&amp;"!C"&amp;ROW()-ROW($C$298)+4))</f>
        <v>Invited by my employer</v>
      </c>
      <c r="D303" s="99" t="str">
        <f ca="1">IF(INDIRECT(D$30&amp;"!C"&amp;ROW()-ROW($C$298)+4)="","",INDIRECT(D$30&amp;"!C"&amp;ROW()-ROW($C$298)+4))</f>
        <v>Invited by current DAO member</v>
      </c>
      <c r="E303" s="99" t="str">
        <f ca="1">IF(INDIRECT(E$30&amp;"!C"&amp;ROW()-ROW($C$298)+4)="","",INDIRECT(E$30&amp;"!C"&amp;ROW()-ROW($C$298)+4))</f>
        <v>Invited by Casper or ETA</v>
      </c>
      <c r="G303" s="99" t="str">
        <f ca="1">IF(INDIRECT(C$30&amp;"!D"&amp;ROW()-ROW($C$298)+4)="","",INDIRECT(C$30&amp;"!D"&amp;ROW()-ROW($C$298)+4))</f>
        <v/>
      </c>
      <c r="H303" s="99" t="str">
        <f ca="1">IF(INDIRECT(D$30&amp;"!D"&amp;ROW()-ROW($C$298)+4)="","",INDIRECT(D$30&amp;"!D"&amp;ROW()-ROW($C$298)+4))</f>
        <v/>
      </c>
      <c r="I303" s="99" t="str">
        <f ca="1">IF(INDIRECT(E$30&amp;"!D"&amp;ROW()-ROW($C$298)+4)="","",INDIRECT(E$30&amp;"!D"&amp;ROW()-ROW($C$298)+4))</f>
        <v/>
      </c>
      <c r="K303" s="99" t="str">
        <f ca="1">IF(INDIRECT(C$30&amp;"!E"&amp;ROW()-ROW($C$298)+4)="","",INDIRECT(C$30&amp;"!E"&amp;ROW()-ROW($C$298)+4))</f>
        <v>Invite_Source</v>
      </c>
      <c r="L303" s="99" t="b">
        <f ca="1">IF(INDIRECT(C$30&amp;"!F"&amp;ROW()-ROW($C$298)+4)="","",INDIRECT(C$30&amp;"!F"&amp;ROW()-ROW($C$298)+4))</f>
        <v>1</v>
      </c>
      <c r="M303" s="99" t="b">
        <f ca="1">IF(INDIRECT(D$30&amp;"!F"&amp;ROW()-ROW($C$298)+4)="","",INDIRECT(D$30&amp;"!F"&amp;ROW()-ROW($C$298)+4))</f>
        <v>1</v>
      </c>
      <c r="N303" s="99" t="b">
        <f ca="1">IF(INDIRECT(E$30&amp;"!F"&amp;ROW()-ROW($C$298)+4)="","",INDIRECT(E$30&amp;"!F"&amp;ROW()-ROW($C$298)+4))</f>
        <v>1</v>
      </c>
      <c r="O303" s="99"/>
      <c r="P303" s="99" t="b">
        <f ca="1">INDIRECT(C$30&amp;"!B"&amp;ROW()-ROW($C$298)+4)=$B303</f>
        <v>1</v>
      </c>
      <c r="Q303" s="99" t="b">
        <f ca="1">INDIRECT(D$30&amp;"!B"&amp;ROW()-ROW($C$298)+4)=$B303</f>
        <v>1</v>
      </c>
      <c r="R303" s="99" t="b">
        <f ca="1">INDIRECT(E$30&amp;"!B"&amp;ROW()-ROW($C$298)+4)=$B303</f>
        <v>1</v>
      </c>
      <c r="S303" s="99"/>
      <c r="T303" s="99" t="str">
        <f ca="1">IF(NOT(ISERROR(MATCH(K303,'Lookup Tables'!A:A,0))),"Lookup",IF(OR(NOT(ISERROR(FIND("Numeric",K303))),NOT(ISERROR(FIND("Percentage",K303))),NOT(ISERROR(FIND("Date",K303)))),"Numeric",IF(NOT(ISERROR(FIND("lank",K303))),"Non-blank",IF(NOT(ISERROR(FIND("Not evaluated",K303))),"Skipped","Other"))))</f>
        <v>Lookup</v>
      </c>
      <c r="U303" s="461">
        <f ca="1">IF(COLUMN()-COLUMN($U$55)+1&lt;=$Y303,INDEX(OFFSET(INDIRECT($K303),0,1),MATCH(C303,INDIRECT($K303),0)),"")</f>
        <v>1</v>
      </c>
      <c r="V303" s="461">
        <f ca="1">IF(COLUMN()-COLUMN($U$55)+1&lt;=$Y303,INDEX(OFFSET(INDIRECT($K303),0,1),MATCH(D303,INDIRECT($K303),0)),"")</f>
        <v>1</v>
      </c>
      <c r="W303" s="461">
        <f ca="1">IF(COLUMN()-COLUMN($U$55)+1&lt;=$Y303,INDEX(OFFSET(INDIRECT($K303),0,1),MATCH(E303,INDIRECT($K303),0)),"")</f>
        <v>1</v>
      </c>
      <c r="X303" s="461" t="str">
        <f ca="1">IF(COLUMN()-COLUMN($U$55)+1&lt;=$Y303,INDEX(OFFSET(INDIRECT($K303),0,1),MATCH(F303,INDIRECT($K303),0)),"")</f>
        <v/>
      </c>
      <c r="Y303" s="99">
        <f t="shared" si="89"/>
        <v>3</v>
      </c>
      <c r="Z303" s="99"/>
      <c r="AA303" s="99"/>
      <c r="AB303" s="99"/>
      <c r="AC303" s="159" t="s">
        <v>2230</v>
      </c>
      <c r="AD303" s="107">
        <f t="shared" ref="AD301:AD335" ca="1" si="91">SUM(U303*L303+V303*M303+W303*N303,IF($A$299=0,0,OFFSET($T303,0,$A$299)*OFFSET($O303,0,$A$299)))/(COUNTIF(L303:O303,TRUE)+IF(OFFSET(K303,0,$A$299)=TRUE,1,0))</f>
        <v>1</v>
      </c>
      <c r="AE303" s="99" t="b">
        <f t="shared" ca="1" si="90"/>
        <v>0</v>
      </c>
      <c r="AF303" s="159" t="s">
        <v>2428</v>
      </c>
      <c r="AG303" s="783">
        <f>COUNTIF('VA Detailed Scorecard Config'!D:D,AF303)</f>
        <v>1</v>
      </c>
      <c r="AH303" s="99"/>
    </row>
    <row r="304" spans="1:34" ht="13.5" customHeight="1">
      <c r="B304" s="328" t="s">
        <v>1408</v>
      </c>
      <c r="C304" s="99" t="str">
        <f ca="1">IF(INDIRECT(C$30&amp;"!C"&amp;ROW()-ROW($C$298)+4)="","",INDIRECT(C$30&amp;"!C"&amp;ROW()-ROW($C$298)+4))</f>
        <v>United States</v>
      </c>
      <c r="D304" s="99" t="str">
        <f ca="1">IF(INDIRECT(D$30&amp;"!C"&amp;ROW()-ROW($C$298)+4)="","",INDIRECT(D$30&amp;"!C"&amp;ROW()-ROW($C$298)+4))</f>
        <v>Belarus</v>
      </c>
      <c r="E304" s="99" t="str">
        <f ca="1">IF(INDIRECT(E$30&amp;"!C"&amp;ROW()-ROW($C$298)+4)="","",INDIRECT(E$30&amp;"!C"&amp;ROW()-ROW($C$298)+4))</f>
        <v>North Korea</v>
      </c>
      <c r="G304" s="99" t="str">
        <f ca="1">IF(INDIRECT(C$30&amp;"!D"&amp;ROW()-ROW($C$298)+4)="","",INDIRECT(C$30&amp;"!D"&amp;ROW()-ROW($C$298)+4))</f>
        <v/>
      </c>
      <c r="H304" s="99" t="str">
        <f ca="1">IF(INDIRECT(D$30&amp;"!D"&amp;ROW()-ROW($C$298)+4)="","",INDIRECT(D$30&amp;"!D"&amp;ROW()-ROW($C$298)+4))</f>
        <v/>
      </c>
      <c r="I304" s="99" t="str">
        <f ca="1">IF(INDIRECT(E$30&amp;"!D"&amp;ROW()-ROW($C$298)+4)="","",INDIRECT(E$30&amp;"!D"&amp;ROW()-ROW($C$298)+4))</f>
        <v/>
      </c>
      <c r="K304" s="99" t="str">
        <f ca="1">IF(INDIRECT(C$30&amp;"!E"&amp;ROW()-ROW($C$298)+4)="","",INDIRECT(C$30&amp;"!E"&amp;ROW()-ROW($C$298)+4))</f>
        <v>Countries</v>
      </c>
      <c r="L304" s="99" t="b">
        <f ca="1">IF(INDIRECT(C$30&amp;"!F"&amp;ROW()-ROW($C$298)+4)="","",INDIRECT(C$30&amp;"!F"&amp;ROW()-ROW($C$298)+4))</f>
        <v>1</v>
      </c>
      <c r="M304" s="99" t="b">
        <f ca="1">IF(INDIRECT(D$30&amp;"!F"&amp;ROW()-ROW($C$298)+4)="","",INDIRECT(D$30&amp;"!F"&amp;ROW()-ROW($C$298)+4))</f>
        <v>1</v>
      </c>
      <c r="N304" s="99" t="b">
        <f ca="1">IF(INDIRECT(E$30&amp;"!F"&amp;ROW()-ROW($C$298)+4)="","",INDIRECT(E$30&amp;"!F"&amp;ROW()-ROW($C$298)+4))</f>
        <v>1</v>
      </c>
      <c r="O304" s="99"/>
      <c r="P304" s="99" t="b">
        <f ca="1">INDIRECT(C$30&amp;"!B"&amp;ROW()-ROW($C$298)+4)=$B304</f>
        <v>1</v>
      </c>
      <c r="Q304" s="99" t="b">
        <f ca="1">INDIRECT(D$30&amp;"!B"&amp;ROW()-ROW($C$298)+4)=$B304</f>
        <v>1</v>
      </c>
      <c r="R304" s="99" t="b">
        <f ca="1">INDIRECT(E$30&amp;"!B"&amp;ROW()-ROW($C$298)+4)=$B304</f>
        <v>1</v>
      </c>
      <c r="S304" s="99"/>
      <c r="T304" s="99" t="str">
        <f ca="1">IF(NOT(ISERROR(MATCH(K304,'Lookup Tables'!A:A,0))),"Lookup",IF(OR(NOT(ISERROR(FIND("Numeric",K304))),NOT(ISERROR(FIND("Percentage",K304))),NOT(ISERROR(FIND("Date",K304)))),"Numeric",IF(NOT(ISERROR(FIND("lank",K304))),"Non-blank",IF(NOT(ISERROR(FIND("Not evaluated",K304))),"Skipped","Other"))))</f>
        <v>Lookup</v>
      </c>
      <c r="U304" s="461">
        <f ca="1">IF(COLUMN()-COLUMN($U$55)+1&lt;=$Y304,INDEX(OFFSET(INDIRECT($K304),0,1),MATCH(C304,INDIRECT($K304),0)),"")</f>
        <v>1</v>
      </c>
      <c r="V304" s="461">
        <f ca="1">IF(COLUMN()-COLUMN($U$55)+1&lt;=$Y304,INDEX(OFFSET(INDIRECT($K304),0,1),MATCH(D304,INDIRECT($K304),0)),"")</f>
        <v>0</v>
      </c>
      <c r="W304" s="461">
        <f ca="1">IF(COLUMN()-COLUMN($U$55)+1&lt;=$Y304,INDEX(OFFSET(INDIRECT($K304),0,1),MATCH(E304,INDIRECT($K304),0)),"")</f>
        <v>0</v>
      </c>
      <c r="X304" s="461" t="str">
        <f ca="1">IF(COLUMN()-COLUMN($U$55)+1&lt;=$Y304,INDEX(OFFSET(INDIRECT($K304),0,1),MATCH(F304,INDIRECT($K304),0)),"")</f>
        <v/>
      </c>
      <c r="Y304" s="99">
        <f t="shared" si="89"/>
        <v>3</v>
      </c>
      <c r="Z304" s="99"/>
      <c r="AA304" s="99"/>
      <c r="AB304" s="99"/>
      <c r="AC304" s="159" t="s">
        <v>2230</v>
      </c>
      <c r="AD304" s="107">
        <f t="shared" ca="1" si="91"/>
        <v>0.5</v>
      </c>
      <c r="AE304" s="99" t="b">
        <f t="shared" ca="1" si="90"/>
        <v>0</v>
      </c>
      <c r="AF304" s="159" t="s">
        <v>2429</v>
      </c>
      <c r="AG304" s="783">
        <f>COUNTIF('VA Detailed Scorecard Config'!D:D,AF304)</f>
        <v>0</v>
      </c>
      <c r="AH304" s="99"/>
    </row>
    <row r="305" spans="2:34" ht="13.5" customHeight="1">
      <c r="B305" s="328" t="s">
        <v>1412</v>
      </c>
      <c r="C305" s="99" t="str">
        <f ca="1">IF(INDIRECT(C$30&amp;"!C"&amp;ROW()-ROW($C$298)+4)="","",INDIRECT(C$30&amp;"!C"&amp;ROW()-ROW($C$298)+4))</f>
        <v>wakko@warners</v>
      </c>
      <c r="D305" s="99" t="str">
        <f ca="1">IF(INDIRECT(D$30&amp;"!C"&amp;ROW()-ROW($C$298)+4)="","",INDIRECT(D$30&amp;"!C"&amp;ROW()-ROW($C$298)+4))</f>
        <v>yakko@hotmail</v>
      </c>
      <c r="E305" s="99" t="str">
        <f ca="1">IF(INDIRECT(E$30&amp;"!C"&amp;ROW()-ROW($C$298)+4)="","",INDIRECT(E$30&amp;"!C"&amp;ROW()-ROW($C$298)+4))</f>
        <v>dotwarner@gmail</v>
      </c>
      <c r="G305" s="99" t="str">
        <f ca="1">IF(INDIRECT(C$30&amp;"!D"&amp;ROW()-ROW($C$298)+4)="","",INDIRECT(C$30&amp;"!D"&amp;ROW()-ROW($C$298)+4))</f>
        <v/>
      </c>
      <c r="H305" s="99" t="str">
        <f ca="1">IF(INDIRECT(D$30&amp;"!D"&amp;ROW()-ROW($C$298)+4)="","",INDIRECT(D$30&amp;"!D"&amp;ROW()-ROW($C$298)+4))</f>
        <v/>
      </c>
      <c r="I305" s="99" t="str">
        <f ca="1">IF(INDIRECT(E$30&amp;"!D"&amp;ROW()-ROW($C$298)+4)="","",INDIRECT(E$30&amp;"!D"&amp;ROW()-ROW($C$298)+4))</f>
        <v/>
      </c>
      <c r="K305" s="99" t="str">
        <f ca="1">IF(INDIRECT(C$30&amp;"!E"&amp;ROW()-ROW($C$298)+4)="","",INDIRECT(C$30&amp;"!E"&amp;ROW()-ROW($C$298)+4))</f>
        <v>Not evaluated</v>
      </c>
      <c r="L305" s="99" t="b">
        <f ca="1">IF(INDIRECT(C$30&amp;"!F"&amp;ROW()-ROW($C$298)+4)="","",INDIRECT(C$30&amp;"!F"&amp;ROW()-ROW($C$298)+4))</f>
        <v>1</v>
      </c>
      <c r="M305" s="99" t="b">
        <f ca="1">IF(INDIRECT(D$30&amp;"!F"&amp;ROW()-ROW($C$298)+4)="","",INDIRECT(D$30&amp;"!F"&amp;ROW()-ROW($C$298)+4))</f>
        <v>1</v>
      </c>
      <c r="N305" s="99" t="b">
        <f ca="1">IF(INDIRECT(E$30&amp;"!F"&amp;ROW()-ROW($C$298)+4)="","",INDIRECT(E$30&amp;"!F"&amp;ROW()-ROW($C$298)+4))</f>
        <v>1</v>
      </c>
      <c r="O305" s="99"/>
      <c r="P305" s="99" t="b">
        <f ca="1">INDIRECT(C$30&amp;"!B"&amp;ROW()-ROW($C$298)+4)=$B305</f>
        <v>1</v>
      </c>
      <c r="Q305" s="99" t="b">
        <f ca="1">INDIRECT(D$30&amp;"!B"&amp;ROW()-ROW($C$298)+4)=$B305</f>
        <v>1</v>
      </c>
      <c r="R305" s="99" t="b">
        <f ca="1">INDIRECT(E$30&amp;"!B"&amp;ROW()-ROW($C$298)+4)=$B305</f>
        <v>1</v>
      </c>
      <c r="S305" s="99"/>
      <c r="T305" s="99" t="str">
        <f ca="1">IF(NOT(ISERROR(MATCH(K305,'Lookup Tables'!A:A,0))),"Lookup",IF(OR(NOT(ISERROR(FIND("Numeric",K305))),NOT(ISERROR(FIND("Percentage",K305))),NOT(ISERROR(FIND("Date",K305)))),"Numeric",IF(NOT(ISERROR(FIND("lank",K305))),"Non-blank",IF(NOT(ISERROR(FIND("Not evaluated",K305))),"Skipped","Other"))))</f>
        <v>Skipped</v>
      </c>
      <c r="U305" s="99"/>
      <c r="V305" s="99"/>
      <c r="W305" s="99"/>
      <c r="X305" s="99"/>
      <c r="Y305" s="99">
        <f t="shared" si="89"/>
        <v>3</v>
      </c>
      <c r="Z305" s="99"/>
      <c r="AA305" s="99"/>
      <c r="AB305" s="99"/>
      <c r="AC305" s="159"/>
      <c r="AD305" s="107"/>
      <c r="AE305" s="99"/>
      <c r="AF305" s="159"/>
      <c r="AG305" s="248"/>
      <c r="AH305" s="99"/>
    </row>
    <row r="306" spans="2:34" ht="13.5" customHeight="1">
      <c r="B306" s="328" t="s">
        <v>1413</v>
      </c>
      <c r="C306" s="99" t="str">
        <f ca="1">IF(INDIRECT(C$30&amp;"!C"&amp;ROW()-ROW($C$298)+4)="","",INDIRECT(C$30&amp;"!C"&amp;ROW()-ROW($C$298)+4))</f>
        <v>617-000-0000</v>
      </c>
      <c r="D306" s="99" t="str">
        <f ca="1">IF(INDIRECT(D$30&amp;"!C"&amp;ROW()-ROW($C$298)+4)="","",INDIRECT(D$30&amp;"!C"&amp;ROW()-ROW($C$298)+4))</f>
        <v>212-000-0000</v>
      </c>
      <c r="E306" s="99" t="str">
        <f ca="1">IF(INDIRECT(E$30&amp;"!C"&amp;ROW()-ROW($C$298)+4)="","",INDIRECT(E$30&amp;"!C"&amp;ROW()-ROW($C$298)+4))</f>
        <v>718-000-0000</v>
      </c>
      <c r="G306" s="99" t="str">
        <f ca="1">IF(INDIRECT(C$30&amp;"!D"&amp;ROW()-ROW($C$298)+4)="","",INDIRECT(C$30&amp;"!D"&amp;ROW()-ROW($C$298)+4))</f>
        <v/>
      </c>
      <c r="H306" s="99" t="str">
        <f ca="1">IF(INDIRECT(D$30&amp;"!D"&amp;ROW()-ROW($C$298)+4)="","",INDIRECT(D$30&amp;"!D"&amp;ROW()-ROW($C$298)+4))</f>
        <v/>
      </c>
      <c r="I306" s="99" t="str">
        <f ca="1">IF(INDIRECT(E$30&amp;"!D"&amp;ROW()-ROW($C$298)+4)="","",INDIRECT(E$30&amp;"!D"&amp;ROW()-ROW($C$298)+4))</f>
        <v/>
      </c>
      <c r="K306" s="99" t="str">
        <f ca="1">IF(INDIRECT(C$30&amp;"!E"&amp;ROW()-ROW($C$298)+4)="","",INDIRECT(C$30&amp;"!E"&amp;ROW()-ROW($C$298)+4))</f>
        <v>Not evaluated</v>
      </c>
      <c r="L306" s="99" t="b">
        <f ca="1">IF(INDIRECT(C$30&amp;"!F"&amp;ROW()-ROW($C$298)+4)="","",INDIRECT(C$30&amp;"!F"&amp;ROW()-ROW($C$298)+4))</f>
        <v>1</v>
      </c>
      <c r="M306" s="99" t="b">
        <f ca="1">IF(INDIRECT(D$30&amp;"!F"&amp;ROW()-ROW($C$298)+4)="","",INDIRECT(D$30&amp;"!F"&amp;ROW()-ROW($C$298)+4))</f>
        <v>1</v>
      </c>
      <c r="N306" s="99" t="b">
        <f ca="1">IF(INDIRECT(E$30&amp;"!F"&amp;ROW()-ROW($C$298)+4)="","",INDIRECT(E$30&amp;"!F"&amp;ROW()-ROW($C$298)+4))</f>
        <v>1</v>
      </c>
      <c r="O306" s="99"/>
      <c r="P306" s="99" t="b">
        <f ca="1">INDIRECT(C$30&amp;"!B"&amp;ROW()-ROW($C$298)+4)=$B306</f>
        <v>1</v>
      </c>
      <c r="Q306" s="99" t="b">
        <f ca="1">INDIRECT(D$30&amp;"!B"&amp;ROW()-ROW($C$298)+4)=$B306</f>
        <v>1</v>
      </c>
      <c r="R306" s="99" t="b">
        <f ca="1">INDIRECT(E$30&amp;"!B"&amp;ROW()-ROW($C$298)+4)=$B306</f>
        <v>1</v>
      </c>
      <c r="S306" s="99"/>
      <c r="T306" s="99" t="str">
        <f ca="1">IF(NOT(ISERROR(MATCH(K306,'Lookup Tables'!A:A,0))),"Lookup",IF(OR(NOT(ISERROR(FIND("Numeric",K306))),NOT(ISERROR(FIND("Percentage",K306))),NOT(ISERROR(FIND("Date",K306)))),"Numeric",IF(NOT(ISERROR(FIND("lank",K306))),"Non-blank",IF(NOT(ISERROR(FIND("Not evaluated",K306))),"Skipped","Other"))))</f>
        <v>Skipped</v>
      </c>
      <c r="U306" s="99"/>
      <c r="V306" s="99"/>
      <c r="W306" s="99"/>
      <c r="X306" s="99"/>
      <c r="Y306" s="99">
        <f t="shared" si="89"/>
        <v>3</v>
      </c>
      <c r="Z306" s="99"/>
      <c r="AA306" s="99"/>
      <c r="AB306" s="99"/>
      <c r="AC306" s="159"/>
      <c r="AD306" s="107"/>
      <c r="AE306" s="99"/>
      <c r="AF306" s="99"/>
      <c r="AG306" s="248"/>
      <c r="AH306" s="99"/>
    </row>
    <row r="307" spans="2:34" ht="13.5" customHeight="1">
      <c r="B307" s="328" t="s">
        <v>1414</v>
      </c>
      <c r="C307" s="99" t="str">
        <f ca="1">IF(INDIRECT(C$30&amp;"!C"&amp;ROW()-ROW($C$298)+4)="","",INDIRECT(C$30&amp;"!C"&amp;ROW()-ROW($C$298)+4))</f>
        <v>wakko</v>
      </c>
      <c r="D307" s="99" t="str">
        <f ca="1">IF(INDIRECT(D$30&amp;"!C"&amp;ROW()-ROW($C$298)+4)="","",INDIRECT(D$30&amp;"!C"&amp;ROW()-ROW($C$298)+4))</f>
        <v>yakko</v>
      </c>
      <c r="E307" s="99" t="str">
        <f ca="1">IF(INDIRECT(E$30&amp;"!C"&amp;ROW()-ROW($C$298)+4)="","",INDIRECT(E$30&amp;"!C"&amp;ROW()-ROW($C$298)+4))</f>
        <v>dotwarner</v>
      </c>
      <c r="G307" s="99" t="str">
        <f ca="1">IF(INDIRECT(C$30&amp;"!D"&amp;ROW()-ROW($C$298)+4)="","",INDIRECT(C$30&amp;"!D"&amp;ROW()-ROW($C$298)+4))</f>
        <v/>
      </c>
      <c r="H307" s="99" t="str">
        <f ca="1">IF(INDIRECT(D$30&amp;"!D"&amp;ROW()-ROW($C$298)+4)="","",INDIRECT(D$30&amp;"!D"&amp;ROW()-ROW($C$298)+4))</f>
        <v/>
      </c>
      <c r="I307" s="99" t="str">
        <f ca="1">IF(INDIRECT(E$30&amp;"!D"&amp;ROW()-ROW($C$298)+4)="","",INDIRECT(E$30&amp;"!D"&amp;ROW()-ROW($C$298)+4))</f>
        <v/>
      </c>
      <c r="K307" s="99" t="str">
        <f ca="1">IF(INDIRECT(C$30&amp;"!E"&amp;ROW()-ROW($C$298)+4)="","",INDIRECT(C$30&amp;"!E"&amp;ROW()-ROW($C$298)+4))</f>
        <v>Non-blank is better</v>
      </c>
      <c r="L307" s="99" t="b">
        <f ca="1">IF(INDIRECT(C$30&amp;"!F"&amp;ROW()-ROW($C$298)+4)="","",INDIRECT(C$30&amp;"!F"&amp;ROW()-ROW($C$298)+4))</f>
        <v>1</v>
      </c>
      <c r="M307" s="99" t="b">
        <f ca="1">IF(INDIRECT(D$30&amp;"!F"&amp;ROW()-ROW($C$298)+4)="","",INDIRECT(D$30&amp;"!F"&amp;ROW()-ROW($C$298)+4))</f>
        <v>1</v>
      </c>
      <c r="N307" s="99" t="b">
        <f ca="1">IF(INDIRECT(E$30&amp;"!F"&amp;ROW()-ROW($C$298)+4)="","",INDIRECT(E$30&amp;"!F"&amp;ROW()-ROW($C$298)+4))</f>
        <v>1</v>
      </c>
      <c r="O307" s="99"/>
      <c r="P307" s="99" t="b">
        <f ca="1">INDIRECT(C$30&amp;"!B"&amp;ROW()-ROW($C$298)+4)=$B307</f>
        <v>1</v>
      </c>
      <c r="Q307" s="99" t="b">
        <f ca="1">INDIRECT(D$30&amp;"!B"&amp;ROW()-ROW($C$298)+4)=$B307</f>
        <v>1</v>
      </c>
      <c r="R307" s="99" t="b">
        <f ca="1">INDIRECT(E$30&amp;"!B"&amp;ROW()-ROW($C$298)+4)=$B307</f>
        <v>1</v>
      </c>
      <c r="S307" s="99"/>
      <c r="T307" s="99" t="str">
        <f ca="1">IF(NOT(ISERROR(MATCH(K307,'Lookup Tables'!A:A,0))),"Lookup",IF(OR(NOT(ISERROR(FIND("Numeric",K307))),NOT(ISERROR(FIND("Percentage",K307))),NOT(ISERROR(FIND("Date",K307)))),"Numeric",IF(NOT(ISERROR(FIND("lank",K307))),"Non-blank",IF(NOT(ISERROR(FIND("Not evaluated",K307))),"Skipped","Other"))))</f>
        <v>Non-blank</v>
      </c>
      <c r="U307" s="461">
        <f ca="1">IF(COLUMN()-COLUMN($U$55)+1&lt;=$Y307,IF(C307="",0,1),"")</f>
        <v>1</v>
      </c>
      <c r="V307" s="461">
        <f ca="1">IF(COLUMN()-COLUMN($U$55)+1&lt;=$Y307,IF(D307="",0,1),"")</f>
        <v>1</v>
      </c>
      <c r="W307" s="461">
        <f ca="1">IF(COLUMN()-COLUMN($U$55)+1&lt;=$Y307,IF(E307="",0,1),"")</f>
        <v>1</v>
      </c>
      <c r="X307" s="461" t="str">
        <f>IF(COLUMN()-COLUMN($U$55)+1&lt;=$Y307,IF(F307="",0,1),"")</f>
        <v/>
      </c>
      <c r="Y307" s="99">
        <f t="shared" si="89"/>
        <v>3</v>
      </c>
      <c r="Z307" s="99"/>
      <c r="AA307" s="99"/>
      <c r="AB307" s="99"/>
      <c r="AC307" s="159" t="s">
        <v>2230</v>
      </c>
      <c r="AD307" s="107">
        <f t="shared" ca="1" si="91"/>
        <v>1</v>
      </c>
      <c r="AE307" s="99" t="b">
        <f t="shared" ca="1" si="90"/>
        <v>0</v>
      </c>
      <c r="AF307" s="159" t="s">
        <v>2430</v>
      </c>
      <c r="AG307" s="783">
        <f>COUNTIF('VA Detailed Scorecard Config'!D:D,AF307)</f>
        <v>1</v>
      </c>
      <c r="AH307" s="99"/>
    </row>
    <row r="308" spans="2:34" ht="13.5" customHeight="1">
      <c r="B308" s="328" t="s">
        <v>1416</v>
      </c>
      <c r="C308" s="99" t="str">
        <f ca="1">IF(INDIRECT(C$30&amp;"!C"&amp;ROW()-ROW($C$298)+4)="","",INDIRECT(C$30&amp;"!C"&amp;ROW()-ROW($C$298)+4))</f>
        <v>Text</v>
      </c>
      <c r="D308" s="99" t="str">
        <f ca="1">IF(INDIRECT(D$30&amp;"!C"&amp;ROW()-ROW($C$298)+4)="","",INDIRECT(D$30&amp;"!C"&amp;ROW()-ROW($C$298)+4))</f>
        <v>Telegram</v>
      </c>
      <c r="E308" s="99" t="str">
        <f ca="1">IF(INDIRECT(E$30&amp;"!C"&amp;ROW()-ROW($C$298)+4)="","",INDIRECT(E$30&amp;"!C"&amp;ROW()-ROW($C$298)+4))</f>
        <v>Telegram</v>
      </c>
      <c r="G308" s="99" t="str">
        <f ca="1">IF(INDIRECT(C$30&amp;"!D"&amp;ROW()-ROW($C$298)+4)="","",INDIRECT(C$30&amp;"!D"&amp;ROW()-ROW($C$298)+4))</f>
        <v/>
      </c>
      <c r="H308" s="99" t="str">
        <f ca="1">IF(INDIRECT(D$30&amp;"!D"&amp;ROW()-ROW($C$298)+4)="","",INDIRECT(D$30&amp;"!D"&amp;ROW()-ROW($C$298)+4))</f>
        <v/>
      </c>
      <c r="I308" s="99" t="str">
        <f ca="1">IF(INDIRECT(E$30&amp;"!D"&amp;ROW()-ROW($C$298)+4)="","",INDIRECT(E$30&amp;"!D"&amp;ROW()-ROW($C$298)+4))</f>
        <v/>
      </c>
      <c r="K308" s="99" t="str">
        <f ca="1">IF(INDIRECT(C$30&amp;"!E"&amp;ROW()-ROW($C$298)+4)="","",INDIRECT(C$30&amp;"!E"&amp;ROW()-ROW($C$298)+4))</f>
        <v>Contact_Methods</v>
      </c>
      <c r="L308" s="99" t="b">
        <f ca="1">IF(INDIRECT(C$30&amp;"!F"&amp;ROW()-ROW($C$298)+4)="","",INDIRECT(C$30&amp;"!F"&amp;ROW()-ROW($C$298)+4))</f>
        <v>1</v>
      </c>
      <c r="M308" s="99" t="b">
        <f ca="1">IF(INDIRECT(D$30&amp;"!F"&amp;ROW()-ROW($C$298)+4)="","",INDIRECT(D$30&amp;"!F"&amp;ROW()-ROW($C$298)+4))</f>
        <v>1</v>
      </c>
      <c r="N308" s="99" t="b">
        <f ca="1">IF(INDIRECT(E$30&amp;"!F"&amp;ROW()-ROW($C$298)+4)="","",INDIRECT(E$30&amp;"!F"&amp;ROW()-ROW($C$298)+4))</f>
        <v>1</v>
      </c>
      <c r="O308" s="99"/>
      <c r="P308" s="99" t="b">
        <f ca="1">INDIRECT(C$30&amp;"!B"&amp;ROW()-ROW($C$298)+4)=$B308</f>
        <v>1</v>
      </c>
      <c r="Q308" s="99" t="b">
        <f ca="1">INDIRECT(D$30&amp;"!B"&amp;ROW()-ROW($C$298)+4)=$B308</f>
        <v>1</v>
      </c>
      <c r="R308" s="99" t="b">
        <f ca="1">INDIRECT(E$30&amp;"!B"&amp;ROW()-ROW($C$298)+4)=$B308</f>
        <v>1</v>
      </c>
      <c r="S308" s="99"/>
      <c r="T308" s="99" t="str">
        <f ca="1">IF(NOT(ISERROR(MATCH(K308,'Lookup Tables'!A:A,0))),"Lookup",IF(OR(NOT(ISERROR(FIND("Numeric",K308))),NOT(ISERROR(FIND("Percentage",K308))),NOT(ISERROR(FIND("Date",K308)))),"Numeric",IF(NOT(ISERROR(FIND("lank",K308))),"Non-blank",IF(NOT(ISERROR(FIND("Not evaluated",K308))),"Skipped","Other"))))</f>
        <v>Lookup</v>
      </c>
      <c r="U308" s="461">
        <f ca="1">IF(COLUMN()-COLUMN($U$55)+1&lt;=$Y308,INDEX(OFFSET(INDIRECT($K308),0,1),MATCH(C308,INDIRECT($K308),0)),"")</f>
        <v>0.5</v>
      </c>
      <c r="V308" s="461">
        <f ca="1">IF(COLUMN()-COLUMN($U$55)+1&lt;=$Y308,INDEX(OFFSET(INDIRECT($K308),0,1),MATCH(D308,INDIRECT($K308),0)),"")</f>
        <v>1</v>
      </c>
      <c r="W308" s="461">
        <f ca="1">IF(COLUMN()-COLUMN($U$55)+1&lt;=$Y308,INDEX(OFFSET(INDIRECT($K308),0,1),MATCH(E308,INDIRECT($K308),0)),"")</f>
        <v>1</v>
      </c>
      <c r="X308" s="461" t="str">
        <f ca="1">IF(COLUMN()-COLUMN($U$55)+1&lt;=$Y308,INDEX(OFFSET(INDIRECT($K308),0,1),MATCH(F308,INDIRECT($K308),0)),"")</f>
        <v/>
      </c>
      <c r="Y308" s="99">
        <f t="shared" si="89"/>
        <v>3</v>
      </c>
      <c r="Z308" s="99"/>
      <c r="AA308" s="99"/>
      <c r="AB308" s="99"/>
      <c r="AC308" s="159" t="s">
        <v>2230</v>
      </c>
      <c r="AD308" s="107">
        <f t="shared" ca="1" si="91"/>
        <v>0.75</v>
      </c>
      <c r="AE308" s="99" t="b">
        <f t="shared" ca="1" si="90"/>
        <v>0</v>
      </c>
      <c r="AF308" s="159" t="s">
        <v>2431</v>
      </c>
      <c r="AG308" s="783">
        <f>COUNTIF('VA Detailed Scorecard Config'!D:D,AF308)</f>
        <v>1</v>
      </c>
      <c r="AH308" s="99"/>
    </row>
    <row r="309" spans="2:34" ht="13.5" customHeight="1">
      <c r="B309" s="328" t="s">
        <v>1419</v>
      </c>
      <c r="C309" s="99" t="str">
        <f ca="1">IF(INDIRECT(C$30&amp;"!C"&amp;ROW()-ROW($C$298)+4)="","",INDIRECT(C$30&amp;"!C"&amp;ROW()-ROW($C$298)+4))</f>
        <v>CSO</v>
      </c>
      <c r="D309" s="99" t="str">
        <f ca="1">IF(INDIRECT(D$30&amp;"!C"&amp;ROW()-ROW($C$298)+4)="","",INDIRECT(D$30&amp;"!C"&amp;ROW()-ROW($C$298)+4))</f>
        <v>Troublemaker</v>
      </c>
      <c r="E309" s="99" t="str">
        <f ca="1">IF(INDIRECT(E$30&amp;"!C"&amp;ROW()-ROW($C$298)+4)="","",INDIRECT(E$30&amp;"!C"&amp;ROW()-ROW($C$298)+4))</f>
        <v>VP Excellence</v>
      </c>
      <c r="G309" s="99" t="str">
        <f ca="1">IF(INDIRECT(C$30&amp;"!D"&amp;ROW()-ROW($C$298)+4)="","",INDIRECT(C$30&amp;"!D"&amp;ROW()-ROW($C$298)+4))</f>
        <v/>
      </c>
      <c r="H309" s="99" t="str">
        <f ca="1">IF(INDIRECT(D$30&amp;"!D"&amp;ROW()-ROW($C$298)+4)="","",INDIRECT(D$30&amp;"!D"&amp;ROW()-ROW($C$298)+4))</f>
        <v/>
      </c>
      <c r="I309" s="99" t="str">
        <f ca="1">IF(INDIRECT(E$30&amp;"!D"&amp;ROW()-ROW($C$298)+4)="","",INDIRECT(E$30&amp;"!D"&amp;ROW()-ROW($C$298)+4))</f>
        <v/>
      </c>
      <c r="K309" s="99" t="str">
        <f ca="1">IF(INDIRECT(C$30&amp;"!E"&amp;ROW()-ROW($C$298)+4)="","",INDIRECT(C$30&amp;"!E"&amp;ROW()-ROW($C$298)+4))</f>
        <v>Non-blank is better</v>
      </c>
      <c r="L309" s="99" t="b">
        <f ca="1">IF(INDIRECT(C$30&amp;"!F"&amp;ROW()-ROW($C$298)+4)="","",INDIRECT(C$30&amp;"!F"&amp;ROW()-ROW($C$298)+4))</f>
        <v>1</v>
      </c>
      <c r="M309" s="99" t="b">
        <f ca="1">IF(INDIRECT(D$30&amp;"!F"&amp;ROW()-ROW($C$298)+4)="","",INDIRECT(D$30&amp;"!F"&amp;ROW()-ROW($C$298)+4))</f>
        <v>1</v>
      </c>
      <c r="N309" s="99" t="b">
        <f ca="1">IF(INDIRECT(E$30&amp;"!F"&amp;ROW()-ROW($C$298)+4)="","",INDIRECT(E$30&amp;"!F"&amp;ROW()-ROW($C$298)+4))</f>
        <v>1</v>
      </c>
      <c r="O309" s="99"/>
      <c r="P309" s="99" t="b">
        <f ca="1">INDIRECT(C$30&amp;"!B"&amp;ROW()-ROW($C$298)+4)=$B309</f>
        <v>1</v>
      </c>
      <c r="Q309" s="99" t="b">
        <f ca="1">INDIRECT(D$30&amp;"!B"&amp;ROW()-ROW($C$298)+4)=$B309</f>
        <v>1</v>
      </c>
      <c r="R309" s="99" t="b">
        <f ca="1">INDIRECT(E$30&amp;"!B"&amp;ROW()-ROW($C$298)+4)=$B309</f>
        <v>1</v>
      </c>
      <c r="S309" s="99"/>
      <c r="T309" s="99" t="str">
        <f ca="1">IF(NOT(ISERROR(MATCH(K309,'Lookup Tables'!A:A,0))),"Lookup",IF(OR(NOT(ISERROR(FIND("Numeric",K309))),NOT(ISERROR(FIND("Percentage",K309))),NOT(ISERROR(FIND("Date",K309)))),"Numeric",IF(NOT(ISERROR(FIND("lank",K309))),"Non-blank",IF(NOT(ISERROR(FIND("Not evaluated",K309))),"Skipped","Other"))))</f>
        <v>Non-blank</v>
      </c>
      <c r="U309" s="461">
        <f ca="1">IF(COLUMN()-COLUMN($U$55)+1&lt;=$Y309,IF(C309="",0,1),"")</f>
        <v>1</v>
      </c>
      <c r="V309" s="461">
        <f ca="1">IF(COLUMN()-COLUMN($U$55)+1&lt;=$Y309,IF(D309="",0,1),"")</f>
        <v>1</v>
      </c>
      <c r="W309" s="461">
        <f ca="1">IF(COLUMN()-COLUMN($U$55)+1&lt;=$Y309,IF(E309="",0,1),"")</f>
        <v>1</v>
      </c>
      <c r="X309" s="461" t="str">
        <f>IF(COLUMN()-COLUMN($U$55)+1&lt;=$Y309,IF(F309="",0,1),"")</f>
        <v/>
      </c>
      <c r="Y309" s="99">
        <f t="shared" si="89"/>
        <v>3</v>
      </c>
      <c r="Z309" s="99"/>
      <c r="AA309" s="99"/>
      <c r="AB309" s="99"/>
      <c r="AC309" s="159" t="s">
        <v>2230</v>
      </c>
      <c r="AD309" s="107">
        <f t="shared" ca="1" si="91"/>
        <v>1</v>
      </c>
      <c r="AE309" s="99" t="b">
        <f t="shared" ca="1" si="90"/>
        <v>0</v>
      </c>
      <c r="AF309" s="159" t="s">
        <v>2432</v>
      </c>
      <c r="AG309" s="783">
        <f>COUNTIF('VA Detailed Scorecard Config'!D:D,AF309)</f>
        <v>0</v>
      </c>
      <c r="AH309" s="99"/>
    </row>
    <row r="310" spans="2:34" ht="13.5" customHeight="1">
      <c r="B310" s="328" t="s">
        <v>1461</v>
      </c>
      <c r="C310" s="99" t="str">
        <f ca="1">IF(INDIRECT(C$30&amp;"!C"&amp;ROW()-ROW($C$298)+4)="","",INDIRECT(C$30&amp;"!C"&amp;ROW()-ROW($C$298)+4))</f>
        <v>Fan of DAOs</v>
      </c>
      <c r="D310" s="99" t="str">
        <f ca="1">IF(INDIRECT(D$30&amp;"!C"&amp;ROW()-ROW($C$298)+4)="","",INDIRECT(D$30&amp;"!C"&amp;ROW()-ROW($C$298)+4))</f>
        <v>Hanging out with Wulf and Tony</v>
      </c>
      <c r="E310" s="99" t="str">
        <f ca="1">IF(INDIRECT(E$30&amp;"!C"&amp;ROW()-ROW($C$298)+4)="","",INDIRECT(E$30&amp;"!C"&amp;ROW()-ROW($C$298)+4))</f>
        <v>I'm good enough, smart enough, and gosh darn it people like me</v>
      </c>
      <c r="G310" s="99" t="str">
        <f ca="1">IF(INDIRECT(C$30&amp;"!D"&amp;ROW()-ROW($C$298)+4)="","",INDIRECT(C$30&amp;"!D"&amp;ROW()-ROW($C$298)+4))</f>
        <v/>
      </c>
      <c r="H310" s="99" t="str">
        <f ca="1">IF(INDIRECT(D$30&amp;"!D"&amp;ROW()-ROW($C$298)+4)="","",INDIRECT(D$30&amp;"!D"&amp;ROW()-ROW($C$298)+4))</f>
        <v/>
      </c>
      <c r="I310" s="99" t="str">
        <f ca="1">IF(INDIRECT(E$30&amp;"!D"&amp;ROW()-ROW($C$298)+4)="","",INDIRECT(E$30&amp;"!D"&amp;ROW()-ROW($C$298)+4))</f>
        <v/>
      </c>
      <c r="K310" s="99" t="str">
        <f ca="1">IF(INDIRECT(C$30&amp;"!E"&amp;ROW()-ROW($C$298)+4)="","",INDIRECT(C$30&amp;"!E"&amp;ROW()-ROW($C$298)+4))</f>
        <v>Non-blank is better</v>
      </c>
      <c r="L310" s="99" t="b">
        <f ca="1">IF(INDIRECT(C$30&amp;"!F"&amp;ROW()-ROW($C$298)+4)="","",INDIRECT(C$30&amp;"!F"&amp;ROW()-ROW($C$298)+4))</f>
        <v>1</v>
      </c>
      <c r="M310" s="99" t="b">
        <f ca="1">IF(INDIRECT(D$30&amp;"!F"&amp;ROW()-ROW($C$298)+4)="","",INDIRECT(D$30&amp;"!F"&amp;ROW()-ROW($C$298)+4))</f>
        <v>1</v>
      </c>
      <c r="N310" s="99" t="b">
        <f ca="1">IF(INDIRECT(E$30&amp;"!F"&amp;ROW()-ROW($C$298)+4)="","",INDIRECT(E$30&amp;"!F"&amp;ROW()-ROW($C$298)+4))</f>
        <v>1</v>
      </c>
      <c r="O310" s="99"/>
      <c r="P310" s="99" t="b">
        <f ca="1">INDIRECT(C$30&amp;"!B"&amp;ROW()-ROW($C$298)+4)=$B310</f>
        <v>1</v>
      </c>
      <c r="Q310" s="99" t="b">
        <f ca="1">INDIRECT(D$30&amp;"!B"&amp;ROW()-ROW($C$298)+4)=$B310</f>
        <v>1</v>
      </c>
      <c r="R310" s="99" t="b">
        <f ca="1">INDIRECT(E$30&amp;"!B"&amp;ROW()-ROW($C$298)+4)=$B310</f>
        <v>1</v>
      </c>
      <c r="S310" s="99"/>
      <c r="T310" s="99" t="str">
        <f ca="1">IF(NOT(ISERROR(MATCH(K310,'Lookup Tables'!A:A,0))),"Lookup",IF(OR(NOT(ISERROR(FIND("Numeric",K310))),NOT(ISERROR(FIND("Percentage",K310))),NOT(ISERROR(FIND("Date",K310)))),"Numeric",IF(NOT(ISERROR(FIND("lank",K310))),"Non-blank",IF(NOT(ISERROR(FIND("Not evaluated",K310))),"Skipped","Other"))))</f>
        <v>Non-blank</v>
      </c>
      <c r="U310" s="461">
        <f ca="1">IF(COLUMN()-COLUMN($U$55)+1&lt;=$Y310,IF(C310="",0,1),"")</f>
        <v>1</v>
      </c>
      <c r="V310" s="461">
        <f ca="1">IF(COLUMN()-COLUMN($U$55)+1&lt;=$Y310,IF(D310="",0,1),"")</f>
        <v>1</v>
      </c>
      <c r="W310" s="461">
        <f ca="1">IF(COLUMN()-COLUMN($U$55)+1&lt;=$Y310,IF(E310="",0,1),"")</f>
        <v>1</v>
      </c>
      <c r="X310" s="461" t="str">
        <f>IF(COLUMN()-COLUMN($U$55)+1&lt;=$Y310,IF(F310="",0,1),"")</f>
        <v/>
      </c>
      <c r="Y310" s="99">
        <f t="shared" si="89"/>
        <v>3</v>
      </c>
      <c r="Z310" s="99"/>
      <c r="AA310" s="99"/>
      <c r="AB310" s="99"/>
      <c r="AC310" s="159" t="s">
        <v>2230</v>
      </c>
      <c r="AD310" s="107">
        <f t="shared" ca="1" si="91"/>
        <v>1</v>
      </c>
      <c r="AE310" s="99" t="b">
        <f t="shared" ca="1" si="90"/>
        <v>0</v>
      </c>
      <c r="AF310" s="159" t="s">
        <v>2433</v>
      </c>
      <c r="AG310" s="783">
        <f>COUNTIF('VA Detailed Scorecard Config'!D:D,AF310)</f>
        <v>0</v>
      </c>
      <c r="AH310" s="99"/>
    </row>
    <row r="311" spans="2:34" ht="13.5" customHeight="1">
      <c r="B311" s="328" t="s">
        <v>1462</v>
      </c>
      <c r="C311" s="99" t="str">
        <f ca="1">IF(INDIRECT(C$30&amp;"!C"&amp;ROW()-ROW($C$298)+4)="","",INDIRECT(C$30&amp;"!C"&amp;ROW()-ROW($C$298)+4))</f>
        <v>Maturity of business processes</v>
      </c>
      <c r="D311" s="99" t="str">
        <f ca="1">IF(INDIRECT(D$30&amp;"!C"&amp;ROW()-ROW($C$298)+4)="","",INDIRECT(D$30&amp;"!C"&amp;ROW()-ROW($C$298)+4))</f>
        <v>Disrupt</v>
      </c>
      <c r="E311" s="99" t="str">
        <f ca="1">IF(INDIRECT(E$30&amp;"!C"&amp;ROW()-ROW($C$298)+4)="","",INDIRECT(E$30&amp;"!C"&amp;ROW()-ROW($C$298)+4))</f>
        <v>Mediate conflicts</v>
      </c>
      <c r="G311" s="99" t="str">
        <f ca="1">IF(INDIRECT(C$30&amp;"!D"&amp;ROW()-ROW($C$298)+4)="","",INDIRECT(C$30&amp;"!D"&amp;ROW()-ROW($C$298)+4))</f>
        <v/>
      </c>
      <c r="H311" s="99" t="str">
        <f ca="1">IF(INDIRECT(D$30&amp;"!D"&amp;ROW()-ROW($C$298)+4)="","",INDIRECT(D$30&amp;"!D"&amp;ROW()-ROW($C$298)+4))</f>
        <v/>
      </c>
      <c r="I311" s="99" t="str">
        <f ca="1">IF(INDIRECT(E$30&amp;"!D"&amp;ROW()-ROW($C$298)+4)="","",INDIRECT(E$30&amp;"!D"&amp;ROW()-ROW($C$298)+4))</f>
        <v/>
      </c>
      <c r="K311" s="99" t="str">
        <f ca="1">IF(INDIRECT(C$30&amp;"!E"&amp;ROW()-ROW($C$298)+4)="","",INDIRECT(C$30&amp;"!E"&amp;ROW()-ROW($C$298)+4))</f>
        <v>Non-blank is better</v>
      </c>
      <c r="L311" s="99" t="b">
        <f ca="1">IF(INDIRECT(C$30&amp;"!F"&amp;ROW()-ROW($C$298)+4)="","",INDIRECT(C$30&amp;"!F"&amp;ROW()-ROW($C$298)+4))</f>
        <v>1</v>
      </c>
      <c r="M311" s="99" t="b">
        <f ca="1">IF(INDIRECT(D$30&amp;"!F"&amp;ROW()-ROW($C$298)+4)="","",INDIRECT(D$30&amp;"!F"&amp;ROW()-ROW($C$298)+4))</f>
        <v>1</v>
      </c>
      <c r="N311" s="99" t="b">
        <f ca="1">IF(INDIRECT(E$30&amp;"!F"&amp;ROW()-ROW($C$298)+4)="","",INDIRECT(E$30&amp;"!F"&amp;ROW()-ROW($C$298)+4))</f>
        <v>1</v>
      </c>
      <c r="O311" s="99"/>
      <c r="P311" s="99" t="b">
        <f ca="1">INDIRECT(C$30&amp;"!B"&amp;ROW()-ROW($C$298)+4)=$B311</f>
        <v>1</v>
      </c>
      <c r="Q311" s="99" t="b">
        <f ca="1">INDIRECT(D$30&amp;"!B"&amp;ROW()-ROW($C$298)+4)=$B311</f>
        <v>1</v>
      </c>
      <c r="R311" s="99" t="b">
        <f ca="1">INDIRECT(E$30&amp;"!B"&amp;ROW()-ROW($C$298)+4)=$B311</f>
        <v>1</v>
      </c>
      <c r="S311" s="99"/>
      <c r="T311" s="99" t="str">
        <f ca="1">IF(NOT(ISERROR(MATCH(K311,'Lookup Tables'!A:A,0))),"Lookup",IF(OR(NOT(ISERROR(FIND("Numeric",K311))),NOT(ISERROR(FIND("Percentage",K311))),NOT(ISERROR(FIND("Date",K311)))),"Numeric",IF(NOT(ISERROR(FIND("lank",K311))),"Non-blank",IF(NOT(ISERROR(FIND("Not evaluated",K311))),"Skipped","Other"))))</f>
        <v>Non-blank</v>
      </c>
      <c r="U311" s="461">
        <f ca="1">IF(COLUMN()-COLUMN($U$55)+1&lt;=$Y311,IF(C311="",0,1),"")</f>
        <v>1</v>
      </c>
      <c r="V311" s="461">
        <f ca="1">IF(COLUMN()-COLUMN($U$55)+1&lt;=$Y311,IF(D311="",0,1),"")</f>
        <v>1</v>
      </c>
      <c r="W311" s="461">
        <f ca="1">IF(COLUMN()-COLUMN($U$55)+1&lt;=$Y311,IF(E311="",0,1),"")</f>
        <v>1</v>
      </c>
      <c r="X311" s="461" t="str">
        <f>IF(COLUMN()-COLUMN($U$55)+1&lt;=$Y311,IF(F311="",0,1),"")</f>
        <v/>
      </c>
      <c r="Y311" s="99">
        <f t="shared" si="89"/>
        <v>3</v>
      </c>
      <c r="Z311" s="99"/>
      <c r="AA311" s="99"/>
      <c r="AB311" s="99"/>
      <c r="AC311" s="159" t="s">
        <v>2230</v>
      </c>
      <c r="AD311" s="107">
        <f t="shared" ca="1" si="91"/>
        <v>1</v>
      </c>
      <c r="AE311" s="99" t="b">
        <f t="shared" ca="1" si="90"/>
        <v>0</v>
      </c>
      <c r="AF311" s="159" t="s">
        <v>2434</v>
      </c>
      <c r="AG311" s="783">
        <f>COUNTIF('VA Detailed Scorecard Config'!D:D,AF311)</f>
        <v>0</v>
      </c>
      <c r="AH311" s="99"/>
    </row>
    <row r="312" spans="2:34" ht="13.5" customHeight="1">
      <c r="B312" s="416" t="s">
        <v>2034</v>
      </c>
      <c r="C312" s="99" t="str">
        <f ca="1">IF(INDIRECT(C$30&amp;"!C"&amp;ROW()-ROW($C$298)+4)="","",INDIRECT(C$30&amp;"!C"&amp;ROW()-ROW($C$298)+4))</f>
        <v>Writing: specs, grants, policies, etc.</v>
      </c>
      <c r="D312" s="99" t="str">
        <f ca="1">IF(INDIRECT(D$30&amp;"!C"&amp;ROW()-ROW($C$298)+4)="","",INDIRECT(D$30&amp;"!C"&amp;ROW()-ROW($C$298)+4))</f>
        <v>Coding</v>
      </c>
      <c r="E312" s="99" t="str">
        <f ca="1">IF(INDIRECT(E$30&amp;"!C"&amp;ROW()-ROW($C$298)+4)="","",INDIRECT(E$30&amp;"!C"&amp;ROW()-ROW($C$298)+4))</f>
        <v>Project management &amp; coordination</v>
      </c>
      <c r="G312" s="99" t="str">
        <f ca="1">IF(INDIRECT(C$30&amp;"!D"&amp;ROW()-ROW($C$298)+4)="","",INDIRECT(C$30&amp;"!D"&amp;ROW()-ROW($C$298)+4))</f>
        <v/>
      </c>
      <c r="H312" s="99" t="str">
        <f ca="1">IF(INDIRECT(D$30&amp;"!D"&amp;ROW()-ROW($C$298)+4)="","",INDIRECT(D$30&amp;"!D"&amp;ROW()-ROW($C$298)+4))</f>
        <v/>
      </c>
      <c r="I312" s="99" t="str">
        <f ca="1">IF(INDIRECT(E$30&amp;"!D"&amp;ROW()-ROW($C$298)+4)="","",INDIRECT(E$30&amp;"!D"&amp;ROW()-ROW($C$298)+4))</f>
        <v/>
      </c>
      <c r="K312" s="99" t="str">
        <f ca="1">IF(INDIRECT(C$30&amp;"!E"&amp;ROW()-ROW($C$298)+4)="","",INDIRECT(C$30&amp;"!E"&amp;ROW()-ROW($C$298)+4))</f>
        <v>Personal_Talent</v>
      </c>
      <c r="L312" s="99" t="b">
        <f ca="1">IF(INDIRECT(C$30&amp;"!F"&amp;ROW()-ROW($C$298)+4)="","",INDIRECT(C$30&amp;"!F"&amp;ROW()-ROW($C$298)+4))</f>
        <v>1</v>
      </c>
      <c r="M312" s="99" t="b">
        <f ca="1">IF(INDIRECT(D$30&amp;"!F"&amp;ROW()-ROW($C$298)+4)="","",INDIRECT(D$30&amp;"!F"&amp;ROW()-ROW($C$298)+4))</f>
        <v>1</v>
      </c>
      <c r="N312" s="99" t="b">
        <f ca="1">IF(INDIRECT(E$30&amp;"!F"&amp;ROW()-ROW($C$298)+4)="","",INDIRECT(E$30&amp;"!F"&amp;ROW()-ROW($C$298)+4))</f>
        <v>1</v>
      </c>
      <c r="O312" s="99"/>
      <c r="P312" s="99" t="b">
        <f ca="1">INDIRECT(C$30&amp;"!B"&amp;ROW()-ROW($C$298)+4)=$B312</f>
        <v>1</v>
      </c>
      <c r="Q312" s="99" t="b">
        <f ca="1">INDIRECT(D$30&amp;"!B"&amp;ROW()-ROW($C$298)+4)=$B312</f>
        <v>1</v>
      </c>
      <c r="R312" s="99" t="b">
        <f ca="1">INDIRECT(E$30&amp;"!B"&amp;ROW()-ROW($C$298)+4)=$B312</f>
        <v>1</v>
      </c>
      <c r="S312" s="99"/>
      <c r="T312" s="99" t="str">
        <f ca="1">IF(NOT(ISERROR(MATCH(K312,'Lookup Tables'!A:A,0))),"Lookup",IF(OR(NOT(ISERROR(FIND("Numeric",K312))),NOT(ISERROR(FIND("Percentage",K312))),NOT(ISERROR(FIND("Date",K312)))),"Numeric",IF(NOT(ISERROR(FIND("lank",K312))),"Non-blank",IF(NOT(ISERROR(FIND("Not evaluated",K312))),"Skipped","Other"))))</f>
        <v>Lookup</v>
      </c>
      <c r="U312" s="461">
        <f t="shared" ref="U312:U324" ca="1" si="92">IF(COLUMN()-COLUMN($U$55)+1&lt;=$Y312,INDEX(OFFSET(INDIRECT($K312),0,1),MATCH(C312,INDIRECT($K312),0)),"")</f>
        <v>0.25</v>
      </c>
      <c r="V312" s="461">
        <f t="shared" ref="V312:V324" ca="1" si="93">IF(COLUMN()-COLUMN($U$55)+1&lt;=$Y312,INDEX(OFFSET(INDIRECT($K312),0,1),MATCH(D312,INDIRECT($K312),0)),"")</f>
        <v>0</v>
      </c>
      <c r="W312" s="461">
        <f t="shared" ref="W312:W324" ca="1" si="94">IF(COLUMN()-COLUMN($U$55)+1&lt;=$Y312,INDEX(OFFSET(INDIRECT($K312),0,1),MATCH(E312,INDIRECT($K312),0)),"")</f>
        <v>0</v>
      </c>
      <c r="X312" s="461" t="str">
        <f t="shared" ref="X312:X324" ca="1" si="95">IF(COLUMN()-COLUMN($U$55)+1&lt;=$Y312,INDEX(OFFSET(INDIRECT($K312),0,1),MATCH(F312,INDIRECT($K312),0)),"")</f>
        <v/>
      </c>
      <c r="Y312" s="99">
        <f t="shared" si="89"/>
        <v>3</v>
      </c>
      <c r="Z312" s="99"/>
      <c r="AA312" s="99"/>
      <c r="AB312" s="99"/>
      <c r="AC312" s="159" t="s">
        <v>2436</v>
      </c>
      <c r="AD312" s="107">
        <f ca="1">MIN(1,SUM(U312*L312+V312*M312+W312*N312,IF($A$299=0,0,OFFSET($T312,0,$A$299)*OFFSET($O312,0,$A$299)))/(COUNTIF(L312:O312,TRUE)+IF(OFFSET(K312,0,$A$299)=TRUE,1,0))+SUM(U313*L313+V313*M313+W313*N313,IF($A$299=0,0,OFFSET($T313,0,$A$299)*OFFSET($O313,0,$A$299)))/(COUNTIF(L313:O313,TRUE)+IF(OFFSET(K313,0,$A$299)=TRUE,1,0))+SUM(U314*L314+V314*M314+W314*N314,IF($A$299=0,0,OFFSET($T314,0,$A$299)*OFFSET($O314,0,$A$299)))/(COUNTIF(L314:O314,TRUE)+IF(OFFSET(K314,0,$A$299)=TRUE,1,0)))</f>
        <v>0.5625</v>
      </c>
      <c r="AE312" s="99" t="b">
        <f t="shared" ca="1" si="90"/>
        <v>0</v>
      </c>
      <c r="AF312" s="159" t="s">
        <v>2435</v>
      </c>
      <c r="AG312" s="783">
        <f>COUNTIF('VA Detailed Scorecard Config'!D:D,AF312)</f>
        <v>1</v>
      </c>
      <c r="AH312" s="99"/>
    </row>
    <row r="313" spans="2:34" ht="13.5" customHeight="1">
      <c r="B313" s="415" t="s">
        <v>2035</v>
      </c>
      <c r="C313" s="99" t="str">
        <f ca="1">IF(INDIRECT(C$30&amp;"!C"&amp;ROW()-ROW($C$298)+4)="","",INDIRECT(C$30&amp;"!C"&amp;ROW()-ROW($C$298)+4))</f>
        <v>Research</v>
      </c>
      <c r="D313" s="99" t="str">
        <f ca="1">IF(INDIRECT(D$30&amp;"!C"&amp;ROW()-ROW($C$298)+4)="","",INDIRECT(D$30&amp;"!C"&amp;ROW()-ROW($C$298)+4))</f>
        <v/>
      </c>
      <c r="E313" s="99" t="str">
        <f ca="1">IF(INDIRECT(E$30&amp;"!C"&amp;ROW()-ROW($C$298)+4)="","",INDIRECT(E$30&amp;"!C"&amp;ROW()-ROW($C$298)+4))</f>
        <v>Organizational / DAO expertise</v>
      </c>
      <c r="G313" s="99" t="str">
        <f ca="1">IF(INDIRECT(C$30&amp;"!D"&amp;ROW()-ROW($C$298)+4)="","",INDIRECT(C$30&amp;"!D"&amp;ROW()-ROW($C$298)+4))</f>
        <v/>
      </c>
      <c r="H313" s="99" t="str">
        <f ca="1">IF(INDIRECT(D$30&amp;"!D"&amp;ROW()-ROW($C$298)+4)="","",INDIRECT(D$30&amp;"!D"&amp;ROW()-ROW($C$298)+4))</f>
        <v/>
      </c>
      <c r="I313" s="99" t="str">
        <f ca="1">IF(INDIRECT(E$30&amp;"!D"&amp;ROW()-ROW($C$298)+4)="","",INDIRECT(E$30&amp;"!D"&amp;ROW()-ROW($C$298)+4))</f>
        <v/>
      </c>
      <c r="K313" s="99" t="str">
        <f ca="1">IF(INDIRECT(C$30&amp;"!E"&amp;ROW()-ROW($C$298)+4)="","",INDIRECT(C$30&amp;"!E"&amp;ROW()-ROW($C$298)+4))</f>
        <v>Personal_Talent</v>
      </c>
      <c r="L313" s="99" t="b">
        <f ca="1">IF(INDIRECT(C$30&amp;"!F"&amp;ROW()-ROW($C$298)+4)="","",INDIRECT(C$30&amp;"!F"&amp;ROW()-ROW($C$298)+4))</f>
        <v>1</v>
      </c>
      <c r="M313" s="99" t="b">
        <f ca="1">IF(INDIRECT(D$30&amp;"!F"&amp;ROW()-ROW($C$298)+4)="","",INDIRECT(D$30&amp;"!F"&amp;ROW()-ROW($C$298)+4))</f>
        <v>1</v>
      </c>
      <c r="N313" s="99" t="b">
        <f ca="1">IF(INDIRECT(E$30&amp;"!F"&amp;ROW()-ROW($C$298)+4)="","",INDIRECT(E$30&amp;"!F"&amp;ROW()-ROW($C$298)+4))</f>
        <v>1</v>
      </c>
      <c r="O313" s="99"/>
      <c r="P313" s="99" t="b">
        <f ca="1">INDIRECT(C$30&amp;"!B"&amp;ROW()-ROW($C$298)+4)=$B313</f>
        <v>1</v>
      </c>
      <c r="Q313" s="99" t="b">
        <f ca="1">INDIRECT(D$30&amp;"!B"&amp;ROW()-ROW($C$298)+4)=$B313</f>
        <v>1</v>
      </c>
      <c r="R313" s="99" t="b">
        <f ca="1">INDIRECT(E$30&amp;"!B"&amp;ROW()-ROW($C$298)+4)=$B313</f>
        <v>1</v>
      </c>
      <c r="S313" s="99"/>
      <c r="T313" s="99" t="str">
        <f ca="1">IF(NOT(ISERROR(MATCH(K313,'Lookup Tables'!A:A,0))),"Lookup",IF(OR(NOT(ISERROR(FIND("Numeric",K313))),NOT(ISERROR(FIND("Percentage",K313))),NOT(ISERROR(FIND("Date",K313)))),"Numeric",IF(NOT(ISERROR(FIND("lank",K313))),"Non-blank",IF(NOT(ISERROR(FIND("Not evaluated",K313))),"Skipped","Other"))))</f>
        <v>Lookup</v>
      </c>
      <c r="U313" s="461">
        <f t="shared" ca="1" si="92"/>
        <v>0.25</v>
      </c>
      <c r="V313" s="461">
        <f t="shared" ca="1" si="93"/>
        <v>0</v>
      </c>
      <c r="W313" s="461">
        <f t="shared" ca="1" si="94"/>
        <v>0.5</v>
      </c>
      <c r="X313" s="461" t="str">
        <f t="shared" ca="1" si="95"/>
        <v/>
      </c>
      <c r="Y313" s="99">
        <f t="shared" si="89"/>
        <v>3</v>
      </c>
      <c r="Z313" s="99"/>
      <c r="AA313" s="99"/>
      <c r="AB313" s="99"/>
      <c r="AC313" s="159"/>
      <c r="AD313" s="107"/>
      <c r="AE313" s="99"/>
      <c r="AF313" s="99"/>
      <c r="AG313" s="248"/>
      <c r="AH313" s="99"/>
    </row>
    <row r="314" spans="2:34" ht="13.5" customHeight="1" thickBot="1">
      <c r="B314" s="424" t="s">
        <v>2036</v>
      </c>
      <c r="C314" s="99" t="str">
        <f ca="1">IF(INDIRECT(C$30&amp;"!C"&amp;ROW()-ROW($C$298)+4)="","",INDIRECT(C$30&amp;"!C"&amp;ROW()-ROW($C$298)+4))</f>
        <v>Marketing &amp; promotional</v>
      </c>
      <c r="D314" s="99" t="str">
        <f ca="1">IF(INDIRECT(D$30&amp;"!C"&amp;ROW()-ROW($C$298)+4)="","",INDIRECT(D$30&amp;"!C"&amp;ROW()-ROW($C$298)+4))</f>
        <v/>
      </c>
      <c r="E314" s="99" t="str">
        <f ca="1">IF(INDIRECT(E$30&amp;"!C"&amp;ROW()-ROW($C$298)+4)="","",INDIRECT(E$30&amp;"!C"&amp;ROW()-ROW($C$298)+4))</f>
        <v>Other (please specify)</v>
      </c>
      <c r="G314" s="99" t="str">
        <f ca="1">IF(INDIRECT(C$30&amp;"!D"&amp;ROW()-ROW($C$298)+4)="","",INDIRECT(C$30&amp;"!D"&amp;ROW()-ROW($C$298)+4))</f>
        <v/>
      </c>
      <c r="H314" s="99" t="str">
        <f ca="1">IF(INDIRECT(D$30&amp;"!D"&amp;ROW()-ROW($C$298)+4)="","",INDIRECT(D$30&amp;"!D"&amp;ROW()-ROW($C$298)+4))</f>
        <v/>
      </c>
      <c r="I314" s="99" t="str">
        <f ca="1">IF(INDIRECT(E$30&amp;"!D"&amp;ROW()-ROW($C$298)+4)="","",INDIRECT(E$30&amp;"!D"&amp;ROW()-ROW($C$298)+4))</f>
        <v>Networking</v>
      </c>
      <c r="K314" s="99" t="str">
        <f ca="1">IF(INDIRECT(C$30&amp;"!E"&amp;ROW()-ROW($C$298)+4)="","",INDIRECT(C$30&amp;"!E"&amp;ROW()-ROW($C$298)+4))</f>
        <v>Personal_Talent</v>
      </c>
      <c r="L314" s="99" t="b">
        <f ca="1">IF(INDIRECT(C$30&amp;"!F"&amp;ROW()-ROW($C$298)+4)="","",INDIRECT(C$30&amp;"!F"&amp;ROW()-ROW($C$298)+4))</f>
        <v>1</v>
      </c>
      <c r="M314" s="99" t="b">
        <f ca="1">IF(INDIRECT(D$30&amp;"!F"&amp;ROW()-ROW($C$298)+4)="","",INDIRECT(D$30&amp;"!F"&amp;ROW()-ROW($C$298)+4))</f>
        <v>1</v>
      </c>
      <c r="N314" s="99" t="b">
        <f ca="1">IF(INDIRECT(E$30&amp;"!F"&amp;ROW()-ROW($C$298)+4)="","",INDIRECT(E$30&amp;"!F"&amp;ROW()-ROW($C$298)+4))</f>
        <v>1</v>
      </c>
      <c r="O314" s="99"/>
      <c r="P314" s="99" t="b">
        <f ca="1">INDIRECT(C$30&amp;"!B"&amp;ROW()-ROW($C$298)+4)=$B314</f>
        <v>1</v>
      </c>
      <c r="Q314" s="99" t="b">
        <f ca="1">INDIRECT(D$30&amp;"!B"&amp;ROW()-ROW($C$298)+4)=$B314</f>
        <v>1</v>
      </c>
      <c r="R314" s="99" t="b">
        <f ca="1">INDIRECT(E$30&amp;"!B"&amp;ROW()-ROW($C$298)+4)=$B314</f>
        <v>1</v>
      </c>
      <c r="S314" s="99"/>
      <c r="T314" s="99" t="str">
        <f ca="1">IF(NOT(ISERROR(MATCH(K314,'Lookup Tables'!A:A,0))),"Lookup",IF(OR(NOT(ISERROR(FIND("Numeric",K314))),NOT(ISERROR(FIND("Percentage",K314))),NOT(ISERROR(FIND("Date",K314)))),"Numeric",IF(NOT(ISERROR(FIND("lank",K314))),"Non-blank",IF(NOT(ISERROR(FIND("Not evaluated",K314))),"Skipped","Other"))))</f>
        <v>Lookup</v>
      </c>
      <c r="U314" s="461">
        <f t="shared" ca="1" si="92"/>
        <v>0.25</v>
      </c>
      <c r="V314" s="461">
        <f t="shared" ca="1" si="93"/>
        <v>0</v>
      </c>
      <c r="W314" s="461">
        <f t="shared" ca="1" si="94"/>
        <v>0.25</v>
      </c>
      <c r="X314" s="461" t="str">
        <f t="shared" ca="1" si="95"/>
        <v/>
      </c>
      <c r="Y314" s="99">
        <f t="shared" si="89"/>
        <v>3</v>
      </c>
      <c r="Z314" s="99"/>
      <c r="AA314" s="99"/>
      <c r="AB314" s="99"/>
      <c r="AC314" s="159"/>
      <c r="AD314" s="107"/>
      <c r="AE314" s="99"/>
      <c r="AF314" s="99"/>
      <c r="AG314" s="248"/>
      <c r="AH314" s="99"/>
    </row>
    <row r="315" spans="2:34" ht="13.5" customHeight="1">
      <c r="B315" s="328" t="s">
        <v>1467</v>
      </c>
      <c r="C315" s="99" t="str">
        <f ca="1">IF(INDIRECT(C$30&amp;"!C"&amp;ROW()-ROW($C$298)+4)="","",INDIRECT(C$30&amp;"!C"&amp;ROW()-ROW($C$298)+4))</f>
        <v>Male</v>
      </c>
      <c r="D315" s="99" t="str">
        <f ca="1">IF(INDIRECT(D$30&amp;"!C"&amp;ROW()-ROW($C$298)+4)="","",INDIRECT(D$30&amp;"!C"&amp;ROW()-ROW($C$298)+4))</f>
        <v>Male</v>
      </c>
      <c r="E315" s="99" t="str">
        <f ca="1">IF(INDIRECT(E$30&amp;"!C"&amp;ROW()-ROW($C$298)+4)="","",INDIRECT(E$30&amp;"!C"&amp;ROW()-ROW($C$298)+4))</f>
        <v>Female</v>
      </c>
      <c r="G315" s="99" t="str">
        <f ca="1">IF(INDIRECT(C$30&amp;"!D"&amp;ROW()-ROW($C$298)+4)="","",INDIRECT(C$30&amp;"!D"&amp;ROW()-ROW($C$298)+4))</f>
        <v/>
      </c>
      <c r="H315" s="99" t="str">
        <f ca="1">IF(INDIRECT(D$30&amp;"!D"&amp;ROW()-ROW($C$298)+4)="","",INDIRECT(D$30&amp;"!D"&amp;ROW()-ROW($C$298)+4))</f>
        <v/>
      </c>
      <c r="I315" s="99" t="str">
        <f ca="1">IF(INDIRECT(E$30&amp;"!D"&amp;ROW()-ROW($C$298)+4)="","",INDIRECT(E$30&amp;"!D"&amp;ROW()-ROW($C$298)+4))</f>
        <v/>
      </c>
      <c r="K315" s="99" t="str">
        <f ca="1">IF(INDIRECT(C$30&amp;"!E"&amp;ROW()-ROW($C$298)+4)="","",INDIRECT(C$30&amp;"!E"&amp;ROW()-ROW($C$298)+4))</f>
        <v>Gender</v>
      </c>
      <c r="L315" s="99" t="b">
        <f ca="1">IF(INDIRECT(C$30&amp;"!F"&amp;ROW()-ROW($C$298)+4)="","",INDIRECT(C$30&amp;"!F"&amp;ROW()-ROW($C$298)+4))</f>
        <v>1</v>
      </c>
      <c r="M315" s="99" t="b">
        <f ca="1">IF(INDIRECT(D$30&amp;"!F"&amp;ROW()-ROW($C$298)+4)="","",INDIRECT(D$30&amp;"!F"&amp;ROW()-ROW($C$298)+4))</f>
        <v>1</v>
      </c>
      <c r="N315" s="99" t="b">
        <f ca="1">IF(INDIRECT(E$30&amp;"!F"&amp;ROW()-ROW($C$298)+4)="","",INDIRECT(E$30&amp;"!F"&amp;ROW()-ROW($C$298)+4))</f>
        <v>1</v>
      </c>
      <c r="O315" s="99"/>
      <c r="P315" s="99" t="b">
        <f ca="1">INDIRECT(C$30&amp;"!B"&amp;ROW()-ROW($C$298)+4)=$B315</f>
        <v>1</v>
      </c>
      <c r="Q315" s="99" t="b">
        <f ca="1">INDIRECT(D$30&amp;"!B"&amp;ROW()-ROW($C$298)+4)=$B315</f>
        <v>1</v>
      </c>
      <c r="R315" s="99" t="b">
        <f ca="1">INDIRECT(E$30&amp;"!B"&amp;ROW()-ROW($C$298)+4)=$B315</f>
        <v>1</v>
      </c>
      <c r="S315" s="99"/>
      <c r="T315" s="99" t="str">
        <f ca="1">IF(NOT(ISERROR(MATCH(K315,'Lookup Tables'!A:A,0))),"Lookup",IF(OR(NOT(ISERROR(FIND("Numeric",K315))),NOT(ISERROR(FIND("Percentage",K315))),NOT(ISERROR(FIND("Date",K315)))),"Numeric",IF(NOT(ISERROR(FIND("lank",K315))),"Non-blank",IF(NOT(ISERROR(FIND("Not evaluated",K315))),"Skipped","Other"))))</f>
        <v>Lookup</v>
      </c>
      <c r="U315" s="461">
        <f t="shared" ca="1" si="92"/>
        <v>1</v>
      </c>
      <c r="V315" s="461">
        <f t="shared" ca="1" si="93"/>
        <v>1</v>
      </c>
      <c r="W315" s="461">
        <f t="shared" ca="1" si="94"/>
        <v>1</v>
      </c>
      <c r="X315" s="461" t="str">
        <f t="shared" ca="1" si="95"/>
        <v/>
      </c>
      <c r="Y315" s="99">
        <f t="shared" si="89"/>
        <v>3</v>
      </c>
      <c r="Z315" s="99"/>
      <c r="AA315" s="99"/>
      <c r="AB315" s="99"/>
      <c r="AC315" s="159"/>
      <c r="AD315" s="107"/>
      <c r="AE315" s="99"/>
      <c r="AF315" s="99"/>
      <c r="AG315" s="248"/>
      <c r="AH315" s="778" t="s">
        <v>2521</v>
      </c>
    </row>
    <row r="316" spans="2:34" ht="13.5" customHeight="1">
      <c r="B316" s="328" t="s">
        <v>1474</v>
      </c>
      <c r="C316" s="99" t="str">
        <f ca="1">IF(INDIRECT(C$30&amp;"!C"&amp;ROW()-ROW($C$298)+4)="","",INDIRECT(C$30&amp;"!C"&amp;ROW()-ROW($C$298)+4))</f>
        <v>Yes</v>
      </c>
      <c r="D316" s="99" t="str">
        <f ca="1">IF(INDIRECT(D$30&amp;"!C"&amp;ROW()-ROW($C$298)+4)="","",INDIRECT(D$30&amp;"!C"&amp;ROW()-ROW($C$298)+4))</f>
        <v>No</v>
      </c>
      <c r="E316" s="99" t="str">
        <f ca="1">IF(INDIRECT(E$30&amp;"!C"&amp;ROW()-ROW($C$298)+4)="","",INDIRECT(E$30&amp;"!C"&amp;ROW()-ROW($C$298)+4))</f>
        <v>Prefer not to say</v>
      </c>
      <c r="G316" s="99" t="str">
        <f ca="1">IF(INDIRECT(C$30&amp;"!D"&amp;ROW()-ROW($C$298)+4)="","",INDIRECT(C$30&amp;"!D"&amp;ROW()-ROW($C$298)+4))</f>
        <v/>
      </c>
      <c r="H316" s="99" t="str">
        <f ca="1">IF(INDIRECT(D$30&amp;"!D"&amp;ROW()-ROW($C$298)+4)="","",INDIRECT(D$30&amp;"!D"&amp;ROW()-ROW($C$298)+4))</f>
        <v/>
      </c>
      <c r="I316" s="99" t="str">
        <f ca="1">IF(INDIRECT(E$30&amp;"!D"&amp;ROW()-ROW($C$298)+4)="","",INDIRECT(E$30&amp;"!D"&amp;ROW()-ROW($C$298)+4))</f>
        <v/>
      </c>
      <c r="K316" s="99" t="str">
        <f ca="1">IF(INDIRECT(C$30&amp;"!E"&amp;ROW()-ROW($C$298)+4)="","",INDIRECT(C$30&amp;"!E"&amp;ROW()-ROW($C$298)+4))</f>
        <v>Yes_No_OptOut</v>
      </c>
      <c r="L316" s="99" t="b">
        <f ca="1">IF(INDIRECT(C$30&amp;"!F"&amp;ROW()-ROW($C$298)+4)="","",INDIRECT(C$30&amp;"!F"&amp;ROW()-ROW($C$298)+4))</f>
        <v>1</v>
      </c>
      <c r="M316" s="99" t="b">
        <f ca="1">IF(INDIRECT(D$30&amp;"!F"&amp;ROW()-ROW($C$298)+4)="","",INDIRECT(D$30&amp;"!F"&amp;ROW()-ROW($C$298)+4))</f>
        <v>1</v>
      </c>
      <c r="N316" s="99" t="b">
        <f ca="1">IF(INDIRECT(E$30&amp;"!F"&amp;ROW()-ROW($C$298)+4)="","",INDIRECT(E$30&amp;"!F"&amp;ROW()-ROW($C$298)+4))</f>
        <v>1</v>
      </c>
      <c r="O316" s="99"/>
      <c r="P316" s="99" t="b">
        <f ca="1">INDIRECT(C$30&amp;"!B"&amp;ROW()-ROW($C$298)+4)=$B316</f>
        <v>1</v>
      </c>
      <c r="Q316" s="99" t="b">
        <f ca="1">INDIRECT(D$30&amp;"!B"&amp;ROW()-ROW($C$298)+4)=$B316</f>
        <v>1</v>
      </c>
      <c r="R316" s="99" t="b">
        <f ca="1">INDIRECT(E$30&amp;"!B"&amp;ROW()-ROW($C$298)+4)=$B316</f>
        <v>1</v>
      </c>
      <c r="S316" s="99"/>
      <c r="T316" s="99" t="str">
        <f ca="1">IF(NOT(ISERROR(MATCH(K316,'Lookup Tables'!A:A,0))),"Lookup",IF(OR(NOT(ISERROR(FIND("Numeric",K316))),NOT(ISERROR(FIND("Percentage",K316))),NOT(ISERROR(FIND("Date",K316)))),"Numeric",IF(NOT(ISERROR(FIND("lank",K316))),"Non-blank",IF(NOT(ISERROR(FIND("Not evaluated",K316))),"Skipped","Other"))))</f>
        <v>Lookup</v>
      </c>
      <c r="U316" s="461">
        <f t="shared" ca="1" si="92"/>
        <v>1</v>
      </c>
      <c r="V316" s="461">
        <f t="shared" ca="1" si="93"/>
        <v>1</v>
      </c>
      <c r="W316" s="461">
        <f t="shared" ca="1" si="94"/>
        <v>1</v>
      </c>
      <c r="X316" s="461" t="str">
        <f t="shared" ca="1" si="95"/>
        <v/>
      </c>
      <c r="Y316" s="99">
        <f t="shared" si="89"/>
        <v>3</v>
      </c>
      <c r="Z316" s="99"/>
      <c r="AA316" s="99"/>
      <c r="AB316" s="99"/>
      <c r="AC316" s="159"/>
      <c r="AD316" s="107"/>
      <c r="AE316" s="99"/>
      <c r="AF316" s="99"/>
      <c r="AG316" s="248"/>
      <c r="AH316" s="779"/>
    </row>
    <row r="317" spans="2:34" ht="13.5" customHeight="1">
      <c r="B317" s="328" t="s">
        <v>1473</v>
      </c>
      <c r="C317" s="99" t="str">
        <f ca="1">IF(INDIRECT(C$30&amp;"!C"&amp;ROW()-ROW($C$298)+4)="","",INDIRECT(C$30&amp;"!C"&amp;ROW()-ROW($C$298)+4))</f>
        <v>No</v>
      </c>
      <c r="D317" s="99" t="str">
        <f ca="1">IF(INDIRECT(D$30&amp;"!C"&amp;ROW()-ROW($C$298)+4)="","",INDIRECT(D$30&amp;"!C"&amp;ROW()-ROW($C$298)+4))</f>
        <v>No</v>
      </c>
      <c r="E317" s="99" t="str">
        <f ca="1">IF(INDIRECT(E$30&amp;"!C"&amp;ROW()-ROW($C$298)+4)="","",INDIRECT(E$30&amp;"!C"&amp;ROW()-ROW($C$298)+4))</f>
        <v>Prefer not to say</v>
      </c>
      <c r="G317" s="99" t="str">
        <f ca="1">IF(INDIRECT(C$30&amp;"!D"&amp;ROW()-ROW($C$298)+4)="","",INDIRECT(C$30&amp;"!D"&amp;ROW()-ROW($C$298)+4))</f>
        <v/>
      </c>
      <c r="H317" s="99" t="str">
        <f ca="1">IF(INDIRECT(D$30&amp;"!D"&amp;ROW()-ROW($C$298)+4)="","",INDIRECT(D$30&amp;"!D"&amp;ROW()-ROW($C$298)+4))</f>
        <v/>
      </c>
      <c r="I317" s="99" t="str">
        <f ca="1">IF(INDIRECT(E$30&amp;"!D"&amp;ROW()-ROW($C$298)+4)="","",INDIRECT(E$30&amp;"!D"&amp;ROW()-ROW($C$298)+4))</f>
        <v/>
      </c>
      <c r="K317" s="99" t="str">
        <f ca="1">IF(INDIRECT(C$30&amp;"!E"&amp;ROW()-ROW($C$298)+4)="","",INDIRECT(C$30&amp;"!E"&amp;ROW()-ROW($C$298)+4))</f>
        <v>Yes_No_OptOut</v>
      </c>
      <c r="L317" s="99" t="b">
        <f ca="1">IF(INDIRECT(C$30&amp;"!F"&amp;ROW()-ROW($C$298)+4)="","",INDIRECT(C$30&amp;"!F"&amp;ROW()-ROW($C$298)+4))</f>
        <v>1</v>
      </c>
      <c r="M317" s="99" t="b">
        <f ca="1">IF(INDIRECT(D$30&amp;"!F"&amp;ROW()-ROW($C$298)+4)="","",INDIRECT(D$30&amp;"!F"&amp;ROW()-ROW($C$298)+4))</f>
        <v>1</v>
      </c>
      <c r="N317" s="99" t="b">
        <f ca="1">IF(INDIRECT(E$30&amp;"!F"&amp;ROW()-ROW($C$298)+4)="","",INDIRECT(E$30&amp;"!F"&amp;ROW()-ROW($C$298)+4))</f>
        <v>1</v>
      </c>
      <c r="O317" s="99"/>
      <c r="P317" s="99" t="b">
        <f ca="1">INDIRECT(C$30&amp;"!B"&amp;ROW()-ROW($C$298)+4)=$B317</f>
        <v>1</v>
      </c>
      <c r="Q317" s="99" t="b">
        <f ca="1">INDIRECT(D$30&amp;"!B"&amp;ROW()-ROW($C$298)+4)=$B317</f>
        <v>1</v>
      </c>
      <c r="R317" s="99" t="b">
        <f ca="1">INDIRECT(E$30&amp;"!B"&amp;ROW()-ROW($C$298)+4)=$B317</f>
        <v>1</v>
      </c>
      <c r="S317" s="99"/>
      <c r="T317" s="99" t="str">
        <f ca="1">IF(NOT(ISERROR(MATCH(K317,'Lookup Tables'!A:A,0))),"Lookup",IF(OR(NOT(ISERROR(FIND("Numeric",K317))),NOT(ISERROR(FIND("Percentage",K317))),NOT(ISERROR(FIND("Date",K317)))),"Numeric",IF(NOT(ISERROR(FIND("lank",K317))),"Non-blank",IF(NOT(ISERROR(FIND("Not evaluated",K317))),"Skipped","Other"))))</f>
        <v>Lookup</v>
      </c>
      <c r="U317" s="461">
        <f t="shared" ca="1" si="92"/>
        <v>1</v>
      </c>
      <c r="V317" s="461">
        <f t="shared" ca="1" si="93"/>
        <v>1</v>
      </c>
      <c r="W317" s="461">
        <f t="shared" ca="1" si="94"/>
        <v>1</v>
      </c>
      <c r="X317" s="461" t="str">
        <f t="shared" ca="1" si="95"/>
        <v/>
      </c>
      <c r="Y317" s="99">
        <f t="shared" si="89"/>
        <v>3</v>
      </c>
      <c r="Z317" s="99"/>
      <c r="AA317" s="99"/>
      <c r="AB317" s="99"/>
      <c r="AC317" s="159"/>
      <c r="AD317" s="107"/>
      <c r="AE317" s="99"/>
      <c r="AF317" s="99"/>
      <c r="AG317" s="248"/>
      <c r="AH317" s="779"/>
    </row>
    <row r="318" spans="2:34" ht="13.5" customHeight="1">
      <c r="B318" s="328" t="s">
        <v>1470</v>
      </c>
      <c r="C318" s="99" t="str">
        <f ca="1">IF(INDIRECT(C$30&amp;"!C"&amp;ROW()-ROW($C$298)+4)="","",INDIRECT(C$30&amp;"!C"&amp;ROW()-ROW($C$298)+4))</f>
        <v>No</v>
      </c>
      <c r="D318" s="99" t="str">
        <f ca="1">IF(INDIRECT(D$30&amp;"!C"&amp;ROW()-ROW($C$298)+4)="","",INDIRECT(D$30&amp;"!C"&amp;ROW()-ROW($C$298)+4))</f>
        <v>Yes</v>
      </c>
      <c r="E318" s="99" t="str">
        <f ca="1">IF(INDIRECT(E$30&amp;"!C"&amp;ROW()-ROW($C$298)+4)="","",INDIRECT(E$30&amp;"!C"&amp;ROW()-ROW($C$298)+4))</f>
        <v>Prefer not to say</v>
      </c>
      <c r="G318" s="99" t="str">
        <f ca="1">IF(INDIRECT(C$30&amp;"!D"&amp;ROW()-ROW($C$298)+4)="","",INDIRECT(C$30&amp;"!D"&amp;ROW()-ROW($C$298)+4))</f>
        <v/>
      </c>
      <c r="H318" s="99" t="str">
        <f ca="1">IF(INDIRECT(D$30&amp;"!D"&amp;ROW()-ROW($C$298)+4)="","",INDIRECT(D$30&amp;"!D"&amp;ROW()-ROW($C$298)+4))</f>
        <v/>
      </c>
      <c r="I318" s="99" t="str">
        <f ca="1">IF(INDIRECT(E$30&amp;"!D"&amp;ROW()-ROW($C$298)+4)="","",INDIRECT(E$30&amp;"!D"&amp;ROW()-ROW($C$298)+4))</f>
        <v/>
      </c>
      <c r="K318" s="99" t="str">
        <f ca="1">IF(INDIRECT(C$30&amp;"!E"&amp;ROW()-ROW($C$298)+4)="","",INDIRECT(C$30&amp;"!E"&amp;ROW()-ROW($C$298)+4))</f>
        <v>Yes_No_OptOut</v>
      </c>
      <c r="L318" s="99" t="b">
        <f ca="1">IF(INDIRECT(C$30&amp;"!F"&amp;ROW()-ROW($C$298)+4)="","",INDIRECT(C$30&amp;"!F"&amp;ROW()-ROW($C$298)+4))</f>
        <v>1</v>
      </c>
      <c r="M318" s="99" t="b">
        <f ca="1">IF(INDIRECT(D$30&amp;"!F"&amp;ROW()-ROW($C$298)+4)="","",INDIRECT(D$30&amp;"!F"&amp;ROW()-ROW($C$298)+4))</f>
        <v>1</v>
      </c>
      <c r="N318" s="99" t="b">
        <f ca="1">IF(INDIRECT(E$30&amp;"!F"&amp;ROW()-ROW($C$298)+4)="","",INDIRECT(E$30&amp;"!F"&amp;ROW()-ROW($C$298)+4))</f>
        <v>1</v>
      </c>
      <c r="O318" s="99"/>
      <c r="P318" s="99" t="b">
        <f ca="1">INDIRECT(C$30&amp;"!B"&amp;ROW()-ROW($C$298)+4)=$B318</f>
        <v>1</v>
      </c>
      <c r="Q318" s="99" t="b">
        <f ca="1">INDIRECT(D$30&amp;"!B"&amp;ROW()-ROW($C$298)+4)=$B318</f>
        <v>1</v>
      </c>
      <c r="R318" s="99" t="b">
        <f ca="1">INDIRECT(E$30&amp;"!B"&amp;ROW()-ROW($C$298)+4)=$B318</f>
        <v>1</v>
      </c>
      <c r="S318" s="99"/>
      <c r="T318" s="99" t="str">
        <f ca="1">IF(NOT(ISERROR(MATCH(K318,'Lookup Tables'!A:A,0))),"Lookup",IF(OR(NOT(ISERROR(FIND("Numeric",K318))),NOT(ISERROR(FIND("Percentage",K318))),NOT(ISERROR(FIND("Date",K318)))),"Numeric",IF(NOT(ISERROR(FIND("lank",K318))),"Non-blank",IF(NOT(ISERROR(FIND("Not evaluated",K318))),"Skipped","Other"))))</f>
        <v>Lookup</v>
      </c>
      <c r="U318" s="461">
        <f t="shared" ca="1" si="92"/>
        <v>1</v>
      </c>
      <c r="V318" s="461">
        <f t="shared" ca="1" si="93"/>
        <v>1</v>
      </c>
      <c r="W318" s="461">
        <f t="shared" ca="1" si="94"/>
        <v>1</v>
      </c>
      <c r="X318" s="461" t="str">
        <f t="shared" ca="1" si="95"/>
        <v/>
      </c>
      <c r="Y318" s="99">
        <f t="shared" si="89"/>
        <v>3</v>
      </c>
      <c r="Z318" s="99"/>
      <c r="AA318" s="99"/>
      <c r="AB318" s="99"/>
      <c r="AC318" s="159"/>
      <c r="AD318" s="107"/>
      <c r="AE318" s="99"/>
      <c r="AF318" s="99"/>
      <c r="AG318" s="248"/>
      <c r="AH318" s="779"/>
    </row>
    <row r="319" spans="2:34" ht="13.5" customHeight="1">
      <c r="B319" s="328" t="s">
        <v>1471</v>
      </c>
      <c r="C319" s="99" t="str">
        <f ca="1">IF(INDIRECT(C$30&amp;"!C"&amp;ROW()-ROW($C$298)+4)="","",INDIRECT(C$30&amp;"!C"&amp;ROW()-ROW($C$298)+4))</f>
        <v>No</v>
      </c>
      <c r="D319" s="99" t="str">
        <f ca="1">IF(INDIRECT(D$30&amp;"!C"&amp;ROW()-ROW($C$298)+4)="","",INDIRECT(D$30&amp;"!C"&amp;ROW()-ROW($C$298)+4))</f>
        <v>No</v>
      </c>
      <c r="E319" s="99" t="str">
        <f ca="1">IF(INDIRECT(E$30&amp;"!C"&amp;ROW()-ROW($C$298)+4)="","",INDIRECT(E$30&amp;"!C"&amp;ROW()-ROW($C$298)+4))</f>
        <v>Prefer not to say</v>
      </c>
      <c r="G319" s="99" t="str">
        <f ca="1">IF(INDIRECT(C$30&amp;"!D"&amp;ROW()-ROW($C$298)+4)="","",INDIRECT(C$30&amp;"!D"&amp;ROW()-ROW($C$298)+4))</f>
        <v/>
      </c>
      <c r="H319" s="99" t="str">
        <f ca="1">IF(INDIRECT(D$30&amp;"!D"&amp;ROW()-ROW($C$298)+4)="","",INDIRECT(D$30&amp;"!D"&amp;ROW()-ROW($C$298)+4))</f>
        <v/>
      </c>
      <c r="I319" s="99" t="str">
        <f ca="1">IF(INDIRECT(E$30&amp;"!D"&amp;ROW()-ROW($C$298)+4)="","",INDIRECT(E$30&amp;"!D"&amp;ROW()-ROW($C$298)+4))</f>
        <v/>
      </c>
      <c r="K319" s="99" t="str">
        <f ca="1">IF(INDIRECT(C$30&amp;"!E"&amp;ROW()-ROW($C$298)+4)="","",INDIRECT(C$30&amp;"!E"&amp;ROW()-ROW($C$298)+4))</f>
        <v>Yes_No_OptOut</v>
      </c>
      <c r="L319" s="99" t="b">
        <f ca="1">IF(INDIRECT(C$30&amp;"!F"&amp;ROW()-ROW($C$298)+4)="","",INDIRECT(C$30&amp;"!F"&amp;ROW()-ROW($C$298)+4))</f>
        <v>1</v>
      </c>
      <c r="M319" s="99" t="b">
        <f ca="1">IF(INDIRECT(D$30&amp;"!F"&amp;ROW()-ROW($C$298)+4)="","",INDIRECT(D$30&amp;"!F"&amp;ROW()-ROW($C$298)+4))</f>
        <v>1</v>
      </c>
      <c r="N319" s="99" t="b">
        <f ca="1">IF(INDIRECT(E$30&amp;"!F"&amp;ROW()-ROW($C$298)+4)="","",INDIRECT(E$30&amp;"!F"&amp;ROW()-ROW($C$298)+4))</f>
        <v>1</v>
      </c>
      <c r="O319" s="99"/>
      <c r="P319" s="99" t="b">
        <f ca="1">INDIRECT(C$30&amp;"!B"&amp;ROW()-ROW($C$298)+4)=$B319</f>
        <v>1</v>
      </c>
      <c r="Q319" s="99" t="b">
        <f ca="1">INDIRECT(D$30&amp;"!B"&amp;ROW()-ROW($C$298)+4)=$B319</f>
        <v>1</v>
      </c>
      <c r="R319" s="99" t="b">
        <f ca="1">INDIRECT(E$30&amp;"!B"&amp;ROW()-ROW($C$298)+4)=$B319</f>
        <v>1</v>
      </c>
      <c r="S319" s="99"/>
      <c r="T319" s="99" t="str">
        <f ca="1">IF(NOT(ISERROR(MATCH(K319,'Lookup Tables'!A:A,0))),"Lookup",IF(OR(NOT(ISERROR(FIND("Numeric",K319))),NOT(ISERROR(FIND("Percentage",K319))),NOT(ISERROR(FIND("Date",K319)))),"Numeric",IF(NOT(ISERROR(FIND("lank",K319))),"Non-blank",IF(NOT(ISERROR(FIND("Not evaluated",K319))),"Skipped","Other"))))</f>
        <v>Lookup</v>
      </c>
      <c r="U319" s="461">
        <f t="shared" ca="1" si="92"/>
        <v>1</v>
      </c>
      <c r="V319" s="461">
        <f t="shared" ca="1" si="93"/>
        <v>1</v>
      </c>
      <c r="W319" s="461">
        <f t="shared" ca="1" si="94"/>
        <v>1</v>
      </c>
      <c r="X319" s="461" t="str">
        <f t="shared" ca="1" si="95"/>
        <v/>
      </c>
      <c r="Y319" s="99">
        <f t="shared" si="89"/>
        <v>3</v>
      </c>
      <c r="Z319" s="99"/>
      <c r="AA319" s="99"/>
      <c r="AB319" s="99"/>
      <c r="AC319" s="159"/>
      <c r="AD319" s="107"/>
      <c r="AE319" s="99"/>
      <c r="AF319" s="99"/>
      <c r="AG319" s="248"/>
      <c r="AH319" s="779"/>
    </row>
    <row r="320" spans="2:34" ht="13.5" customHeight="1">
      <c r="B320" s="328" t="s">
        <v>1472</v>
      </c>
      <c r="C320" s="99" t="str">
        <f ca="1">IF(INDIRECT(C$30&amp;"!C"&amp;ROW()-ROW($C$298)+4)="","",INDIRECT(C$30&amp;"!C"&amp;ROW()-ROW($C$298)+4))</f>
        <v>No</v>
      </c>
      <c r="D320" s="99" t="str">
        <f ca="1">IF(INDIRECT(D$30&amp;"!C"&amp;ROW()-ROW($C$298)+4)="","",INDIRECT(D$30&amp;"!C"&amp;ROW()-ROW($C$298)+4))</f>
        <v>No</v>
      </c>
      <c r="E320" s="99" t="str">
        <f ca="1">IF(INDIRECT(E$30&amp;"!C"&amp;ROW()-ROW($C$298)+4)="","",INDIRECT(E$30&amp;"!C"&amp;ROW()-ROW($C$298)+4))</f>
        <v>Prefer not to say</v>
      </c>
      <c r="G320" s="99" t="str">
        <f ca="1">IF(INDIRECT(C$30&amp;"!D"&amp;ROW()-ROW($C$298)+4)="","",INDIRECT(C$30&amp;"!D"&amp;ROW()-ROW($C$298)+4))</f>
        <v/>
      </c>
      <c r="H320" s="99" t="str">
        <f ca="1">IF(INDIRECT(D$30&amp;"!D"&amp;ROW()-ROW($C$298)+4)="","",INDIRECT(D$30&amp;"!D"&amp;ROW()-ROW($C$298)+4))</f>
        <v/>
      </c>
      <c r="I320" s="99" t="str">
        <f ca="1">IF(INDIRECT(E$30&amp;"!D"&amp;ROW()-ROW($C$298)+4)="","",INDIRECT(E$30&amp;"!D"&amp;ROW()-ROW($C$298)+4))</f>
        <v/>
      </c>
      <c r="K320" s="99" t="str">
        <f ca="1">IF(INDIRECT(C$30&amp;"!E"&amp;ROW()-ROW($C$298)+4)="","",INDIRECT(C$30&amp;"!E"&amp;ROW()-ROW($C$298)+4))</f>
        <v>Yes_No_OptOut</v>
      </c>
      <c r="L320" s="99" t="b">
        <f ca="1">IF(INDIRECT(C$30&amp;"!F"&amp;ROW()-ROW($C$298)+4)="","",INDIRECT(C$30&amp;"!F"&amp;ROW()-ROW($C$298)+4))</f>
        <v>1</v>
      </c>
      <c r="M320" s="99" t="b">
        <f ca="1">IF(INDIRECT(D$30&amp;"!F"&amp;ROW()-ROW($C$298)+4)="","",INDIRECT(D$30&amp;"!F"&amp;ROW()-ROW($C$298)+4))</f>
        <v>1</v>
      </c>
      <c r="N320" s="99" t="b">
        <f ca="1">IF(INDIRECT(E$30&amp;"!F"&amp;ROW()-ROW($C$298)+4)="","",INDIRECT(E$30&amp;"!F"&amp;ROW()-ROW($C$298)+4))</f>
        <v>1</v>
      </c>
      <c r="O320" s="99"/>
      <c r="P320" s="99" t="b">
        <f ca="1">INDIRECT(C$30&amp;"!B"&amp;ROW()-ROW($C$298)+4)=$B320</f>
        <v>1</v>
      </c>
      <c r="Q320" s="99" t="b">
        <f ca="1">INDIRECT(D$30&amp;"!B"&amp;ROW()-ROW($C$298)+4)=$B320</f>
        <v>1</v>
      </c>
      <c r="R320" s="99" t="b">
        <f ca="1">INDIRECT(E$30&amp;"!B"&amp;ROW()-ROW($C$298)+4)=$B320</f>
        <v>1</v>
      </c>
      <c r="S320" s="99"/>
      <c r="T320" s="99" t="str">
        <f ca="1">IF(NOT(ISERROR(MATCH(K320,'Lookup Tables'!A:A,0))),"Lookup",IF(OR(NOT(ISERROR(FIND("Numeric",K320))),NOT(ISERROR(FIND("Percentage",K320))),NOT(ISERROR(FIND("Date",K320)))),"Numeric",IF(NOT(ISERROR(FIND("lank",K320))),"Non-blank",IF(NOT(ISERROR(FIND("Not evaluated",K320))),"Skipped","Other"))))</f>
        <v>Lookup</v>
      </c>
      <c r="U320" s="461">
        <f t="shared" ca="1" si="92"/>
        <v>1</v>
      </c>
      <c r="V320" s="461">
        <f t="shared" ca="1" si="93"/>
        <v>1</v>
      </c>
      <c r="W320" s="461">
        <f t="shared" ca="1" si="94"/>
        <v>1</v>
      </c>
      <c r="X320" s="461" t="str">
        <f t="shared" ca="1" si="95"/>
        <v/>
      </c>
      <c r="Y320" s="99">
        <f t="shared" si="89"/>
        <v>3</v>
      </c>
      <c r="Z320" s="99"/>
      <c r="AA320" s="99"/>
      <c r="AB320" s="99"/>
      <c r="AC320" s="159"/>
      <c r="AD320" s="107"/>
      <c r="AE320" s="99"/>
      <c r="AF320" s="99"/>
      <c r="AG320" s="248"/>
      <c r="AH320" s="779"/>
    </row>
    <row r="321" spans="2:34" ht="13.5" customHeight="1">
      <c r="B321" s="328" t="s">
        <v>1475</v>
      </c>
      <c r="C321" s="99" t="str">
        <f ca="1">IF(INDIRECT(C$30&amp;"!C"&amp;ROW()-ROW($C$298)+4)="","",INDIRECT(C$30&amp;"!C"&amp;ROW()-ROW($C$298)+4))</f>
        <v>No</v>
      </c>
      <c r="D321" s="99" t="str">
        <f ca="1">IF(INDIRECT(D$30&amp;"!C"&amp;ROW()-ROW($C$298)+4)="","",INDIRECT(D$30&amp;"!C"&amp;ROW()-ROW($C$298)+4))</f>
        <v>No</v>
      </c>
      <c r="E321" s="99" t="str">
        <f ca="1">IF(INDIRECT(E$30&amp;"!C"&amp;ROW()-ROW($C$298)+4)="","",INDIRECT(E$30&amp;"!C"&amp;ROW()-ROW($C$298)+4))</f>
        <v>Prefer not to say</v>
      </c>
      <c r="G321" s="99" t="str">
        <f ca="1">IF(INDIRECT(C$30&amp;"!D"&amp;ROW()-ROW($C$298)+4)="","",INDIRECT(C$30&amp;"!D"&amp;ROW()-ROW($C$298)+4))</f>
        <v/>
      </c>
      <c r="H321" s="99" t="str">
        <f ca="1">IF(INDIRECT(D$30&amp;"!D"&amp;ROW()-ROW($C$298)+4)="","",INDIRECT(D$30&amp;"!D"&amp;ROW()-ROW($C$298)+4))</f>
        <v/>
      </c>
      <c r="I321" s="99" t="str">
        <f ca="1">IF(INDIRECT(E$30&amp;"!D"&amp;ROW()-ROW($C$298)+4)="","",INDIRECT(E$30&amp;"!D"&amp;ROW()-ROW($C$298)+4))</f>
        <v/>
      </c>
      <c r="K321" s="99" t="str">
        <f ca="1">IF(INDIRECT(C$30&amp;"!E"&amp;ROW()-ROW($C$298)+4)="","",INDIRECT(C$30&amp;"!E"&amp;ROW()-ROW($C$298)+4))</f>
        <v>Yes_No_OptOut</v>
      </c>
      <c r="L321" s="99" t="b">
        <f ca="1">IF(INDIRECT(C$30&amp;"!F"&amp;ROW()-ROW($C$298)+4)="","",INDIRECT(C$30&amp;"!F"&amp;ROW()-ROW($C$298)+4))</f>
        <v>1</v>
      </c>
      <c r="M321" s="99" t="b">
        <f ca="1">IF(INDIRECT(D$30&amp;"!F"&amp;ROW()-ROW($C$298)+4)="","",INDIRECT(D$30&amp;"!F"&amp;ROW()-ROW($C$298)+4))</f>
        <v>1</v>
      </c>
      <c r="N321" s="99" t="b">
        <f ca="1">IF(INDIRECT(E$30&amp;"!F"&amp;ROW()-ROW($C$298)+4)="","",INDIRECT(E$30&amp;"!F"&amp;ROW()-ROW($C$298)+4))</f>
        <v>1</v>
      </c>
      <c r="O321" s="99"/>
      <c r="P321" s="99" t="b">
        <f ca="1">INDIRECT(C$30&amp;"!B"&amp;ROW()-ROW($C$298)+4)=$B321</f>
        <v>1</v>
      </c>
      <c r="Q321" s="99" t="b">
        <f ca="1">INDIRECT(D$30&amp;"!B"&amp;ROW()-ROW($C$298)+4)=$B321</f>
        <v>1</v>
      </c>
      <c r="R321" s="99" t="b">
        <f ca="1">INDIRECT(E$30&amp;"!B"&amp;ROW()-ROW($C$298)+4)=$B321</f>
        <v>1</v>
      </c>
      <c r="S321" s="99"/>
      <c r="T321" s="99" t="str">
        <f ca="1">IF(NOT(ISERROR(MATCH(K321,'Lookup Tables'!A:A,0))),"Lookup",IF(OR(NOT(ISERROR(FIND("Numeric",K321))),NOT(ISERROR(FIND("Percentage",K321))),NOT(ISERROR(FIND("Date",K321)))),"Numeric",IF(NOT(ISERROR(FIND("lank",K321))),"Non-blank",IF(NOT(ISERROR(FIND("Not evaluated",K321))),"Skipped","Other"))))</f>
        <v>Lookup</v>
      </c>
      <c r="U321" s="461">
        <f t="shared" ca="1" si="92"/>
        <v>1</v>
      </c>
      <c r="V321" s="461">
        <f t="shared" ca="1" si="93"/>
        <v>1</v>
      </c>
      <c r="W321" s="461">
        <f t="shared" ca="1" si="94"/>
        <v>1</v>
      </c>
      <c r="X321" s="461" t="str">
        <f t="shared" ca="1" si="95"/>
        <v/>
      </c>
      <c r="Y321" s="99">
        <f t="shared" si="89"/>
        <v>3</v>
      </c>
      <c r="Z321" s="99"/>
      <c r="AA321" s="99"/>
      <c r="AB321" s="99"/>
      <c r="AC321" s="159"/>
      <c r="AD321" s="107"/>
      <c r="AE321" s="99"/>
      <c r="AF321" s="99"/>
      <c r="AG321" s="248"/>
      <c r="AH321" s="779"/>
    </row>
    <row r="322" spans="2:34" ht="13.5" customHeight="1">
      <c r="B322" s="328" t="s">
        <v>1476</v>
      </c>
      <c r="C322" s="99" t="str">
        <f ca="1">IF(INDIRECT(C$30&amp;"!C"&amp;ROW()-ROW($C$298)+4)="","",INDIRECT(C$30&amp;"!C"&amp;ROW()-ROW($C$298)+4))</f>
        <v>No</v>
      </c>
      <c r="D322" s="99" t="str">
        <f ca="1">IF(INDIRECT(D$30&amp;"!C"&amp;ROW()-ROW($C$298)+4)="","",INDIRECT(D$30&amp;"!C"&amp;ROW()-ROW($C$298)+4))</f>
        <v>No</v>
      </c>
      <c r="E322" s="99" t="str">
        <f ca="1">IF(INDIRECT(E$30&amp;"!C"&amp;ROW()-ROW($C$298)+4)="","",INDIRECT(E$30&amp;"!C"&amp;ROW()-ROW($C$298)+4))</f>
        <v>Prefer not to say</v>
      </c>
      <c r="G322" s="99" t="str">
        <f ca="1">IF(INDIRECT(C$30&amp;"!D"&amp;ROW()-ROW($C$298)+4)="","",INDIRECT(C$30&amp;"!D"&amp;ROW()-ROW($C$298)+4))</f>
        <v/>
      </c>
      <c r="H322" s="99" t="str">
        <f ca="1">IF(INDIRECT(D$30&amp;"!D"&amp;ROW()-ROW($C$298)+4)="","",INDIRECT(D$30&amp;"!D"&amp;ROW()-ROW($C$298)+4))</f>
        <v/>
      </c>
      <c r="I322" s="99" t="str">
        <f ca="1">IF(INDIRECT(E$30&amp;"!D"&amp;ROW()-ROW($C$298)+4)="","",INDIRECT(E$30&amp;"!D"&amp;ROW()-ROW($C$298)+4))</f>
        <v/>
      </c>
      <c r="K322" s="99" t="str">
        <f ca="1">IF(INDIRECT(C$30&amp;"!E"&amp;ROW()-ROW($C$298)+4)="","",INDIRECT(C$30&amp;"!E"&amp;ROW()-ROW($C$298)+4))</f>
        <v>Yes_No_OptOut</v>
      </c>
      <c r="L322" s="99" t="b">
        <f ca="1">IF(INDIRECT(C$30&amp;"!F"&amp;ROW()-ROW($C$298)+4)="","",INDIRECT(C$30&amp;"!F"&amp;ROW()-ROW($C$298)+4))</f>
        <v>1</v>
      </c>
      <c r="M322" s="99" t="b">
        <f ca="1">IF(INDIRECT(D$30&amp;"!F"&amp;ROW()-ROW($C$298)+4)="","",INDIRECT(D$30&amp;"!F"&amp;ROW()-ROW($C$298)+4))</f>
        <v>1</v>
      </c>
      <c r="N322" s="99" t="b">
        <f ca="1">IF(INDIRECT(E$30&amp;"!F"&amp;ROW()-ROW($C$298)+4)="","",INDIRECT(E$30&amp;"!F"&amp;ROW()-ROW($C$298)+4))</f>
        <v>1</v>
      </c>
      <c r="O322" s="99"/>
      <c r="P322" s="99" t="b">
        <f ca="1">INDIRECT(C$30&amp;"!B"&amp;ROW()-ROW($C$298)+4)=$B322</f>
        <v>1</v>
      </c>
      <c r="Q322" s="99" t="b">
        <f ca="1">INDIRECT(D$30&amp;"!B"&amp;ROW()-ROW($C$298)+4)=$B322</f>
        <v>1</v>
      </c>
      <c r="R322" s="99" t="b">
        <f ca="1">INDIRECT(E$30&amp;"!B"&amp;ROW()-ROW($C$298)+4)=$B322</f>
        <v>1</v>
      </c>
      <c r="S322" s="99"/>
      <c r="T322" s="99" t="str">
        <f ca="1">IF(NOT(ISERROR(MATCH(K322,'Lookup Tables'!A:A,0))),"Lookup",IF(OR(NOT(ISERROR(FIND("Numeric",K322))),NOT(ISERROR(FIND("Percentage",K322))),NOT(ISERROR(FIND("Date",K322)))),"Numeric",IF(NOT(ISERROR(FIND("lank",K322))),"Non-blank",IF(NOT(ISERROR(FIND("Not evaluated",K322))),"Skipped","Other"))))</f>
        <v>Lookup</v>
      </c>
      <c r="U322" s="461">
        <f t="shared" ca="1" si="92"/>
        <v>1</v>
      </c>
      <c r="V322" s="461">
        <f t="shared" ca="1" si="93"/>
        <v>1</v>
      </c>
      <c r="W322" s="461">
        <f t="shared" ca="1" si="94"/>
        <v>1</v>
      </c>
      <c r="X322" s="461" t="str">
        <f t="shared" ca="1" si="95"/>
        <v/>
      </c>
      <c r="Y322" s="99">
        <f t="shared" si="89"/>
        <v>3</v>
      </c>
      <c r="Z322" s="99"/>
      <c r="AA322" s="99"/>
      <c r="AB322" s="99"/>
      <c r="AC322" s="159"/>
      <c r="AD322" s="107"/>
      <c r="AE322" s="99"/>
      <c r="AF322" s="99"/>
      <c r="AG322" s="248"/>
      <c r="AH322" s="779"/>
    </row>
    <row r="323" spans="2:34" ht="13.5" customHeight="1">
      <c r="B323" s="328" t="s">
        <v>1477</v>
      </c>
      <c r="C323" s="99" t="str">
        <f ca="1">IF(INDIRECT(C$30&amp;"!C"&amp;ROW()-ROW($C$298)+4)="","",INDIRECT(C$30&amp;"!C"&amp;ROW()-ROW($C$298)+4))</f>
        <v>No</v>
      </c>
      <c r="D323" s="99" t="str">
        <f ca="1">IF(INDIRECT(D$30&amp;"!C"&amp;ROW()-ROW($C$298)+4)="","",INDIRECT(D$30&amp;"!C"&amp;ROW()-ROW($C$298)+4))</f>
        <v>No</v>
      </c>
      <c r="E323" s="99" t="str">
        <f ca="1">IF(INDIRECT(E$30&amp;"!C"&amp;ROW()-ROW($C$298)+4)="","",INDIRECT(E$30&amp;"!C"&amp;ROW()-ROW($C$298)+4))</f>
        <v>Prefer not to say</v>
      </c>
      <c r="G323" s="99" t="str">
        <f ca="1">IF(INDIRECT(C$30&amp;"!D"&amp;ROW()-ROW($C$298)+4)="","",INDIRECT(C$30&amp;"!D"&amp;ROW()-ROW($C$298)+4))</f>
        <v/>
      </c>
      <c r="H323" s="99" t="str">
        <f ca="1">IF(INDIRECT(D$30&amp;"!D"&amp;ROW()-ROW($C$298)+4)="","",INDIRECT(D$30&amp;"!D"&amp;ROW()-ROW($C$298)+4))</f>
        <v/>
      </c>
      <c r="I323" s="99" t="str">
        <f ca="1">IF(INDIRECT(E$30&amp;"!D"&amp;ROW()-ROW($C$298)+4)="","",INDIRECT(E$30&amp;"!D"&amp;ROW()-ROW($C$298)+4))</f>
        <v/>
      </c>
      <c r="K323" s="99" t="str">
        <f ca="1">IF(INDIRECT(C$30&amp;"!E"&amp;ROW()-ROW($C$298)+4)="","",INDIRECT(C$30&amp;"!E"&amp;ROW()-ROW($C$298)+4))</f>
        <v>Yes_No_OptOut</v>
      </c>
      <c r="L323" s="99" t="b">
        <f ca="1">IF(INDIRECT(C$30&amp;"!F"&amp;ROW()-ROW($C$298)+4)="","",INDIRECT(C$30&amp;"!F"&amp;ROW()-ROW($C$298)+4))</f>
        <v>1</v>
      </c>
      <c r="M323" s="99" t="b">
        <f ca="1">IF(INDIRECT(D$30&amp;"!F"&amp;ROW()-ROW($C$298)+4)="","",INDIRECT(D$30&amp;"!F"&amp;ROW()-ROW($C$298)+4))</f>
        <v>1</v>
      </c>
      <c r="N323" s="99" t="b">
        <f ca="1">IF(INDIRECT(E$30&amp;"!F"&amp;ROW()-ROW($C$298)+4)="","",INDIRECT(E$30&amp;"!F"&amp;ROW()-ROW($C$298)+4))</f>
        <v>1</v>
      </c>
      <c r="O323" s="99"/>
      <c r="P323" s="99" t="b">
        <f ca="1">INDIRECT(C$30&amp;"!B"&amp;ROW()-ROW($C$298)+4)=$B323</f>
        <v>1</v>
      </c>
      <c r="Q323" s="99" t="b">
        <f ca="1">INDIRECT(D$30&amp;"!B"&amp;ROW()-ROW($C$298)+4)=$B323</f>
        <v>1</v>
      </c>
      <c r="R323" s="99" t="b">
        <f ca="1">INDIRECT(E$30&amp;"!B"&amp;ROW()-ROW($C$298)+4)=$B323</f>
        <v>1</v>
      </c>
      <c r="S323" s="99"/>
      <c r="T323" s="99" t="str">
        <f ca="1">IF(NOT(ISERROR(MATCH(K323,'Lookup Tables'!A:A,0))),"Lookup",IF(OR(NOT(ISERROR(FIND("Numeric",K323))),NOT(ISERROR(FIND("Percentage",K323))),NOT(ISERROR(FIND("Date",K323)))),"Numeric",IF(NOT(ISERROR(FIND("lank",K323))),"Non-blank",IF(NOT(ISERROR(FIND("Not evaluated",K323))),"Skipped","Other"))))</f>
        <v>Lookup</v>
      </c>
      <c r="U323" s="461">
        <f t="shared" ca="1" si="92"/>
        <v>1</v>
      </c>
      <c r="V323" s="461">
        <f t="shared" ca="1" si="93"/>
        <v>1</v>
      </c>
      <c r="W323" s="461">
        <f t="shared" ca="1" si="94"/>
        <v>1</v>
      </c>
      <c r="X323" s="461" t="str">
        <f t="shared" ca="1" si="95"/>
        <v/>
      </c>
      <c r="Y323" s="99">
        <f t="shared" si="89"/>
        <v>3</v>
      </c>
      <c r="Z323" s="99"/>
      <c r="AA323" s="99"/>
      <c r="AB323" s="99"/>
      <c r="AC323" s="159"/>
      <c r="AD323" s="107"/>
      <c r="AE323" s="99"/>
      <c r="AF323" s="99"/>
      <c r="AG323" s="248"/>
      <c r="AH323" s="779"/>
    </row>
    <row r="324" spans="2:34" ht="13.5" customHeight="1">
      <c r="B324" s="328" t="s">
        <v>1478</v>
      </c>
      <c r="C324" s="99" t="str">
        <f ca="1">IF(INDIRECT(C$30&amp;"!C"&amp;ROW()-ROW($C$298)+4)="","",INDIRECT(C$30&amp;"!C"&amp;ROW()-ROW($C$298)+4))</f>
        <v>No</v>
      </c>
      <c r="D324" s="99" t="str">
        <f ca="1">IF(INDIRECT(D$30&amp;"!C"&amp;ROW()-ROW($C$298)+4)="","",INDIRECT(D$30&amp;"!C"&amp;ROW()-ROW($C$298)+4))</f>
        <v>No</v>
      </c>
      <c r="E324" s="99" t="str">
        <f ca="1">IF(INDIRECT(E$30&amp;"!C"&amp;ROW()-ROW($C$298)+4)="","",INDIRECT(E$30&amp;"!C"&amp;ROW()-ROW($C$298)+4))</f>
        <v>Prefer not to say</v>
      </c>
      <c r="G324" s="99" t="str">
        <f ca="1">IF(INDIRECT(C$30&amp;"!D"&amp;ROW()-ROW($C$298)+4)="","",INDIRECT(C$30&amp;"!D"&amp;ROW()-ROW($C$298)+4))</f>
        <v/>
      </c>
      <c r="H324" s="99" t="str">
        <f ca="1">IF(INDIRECT(D$30&amp;"!D"&amp;ROW()-ROW($C$298)+4)="","",INDIRECT(D$30&amp;"!D"&amp;ROW()-ROW($C$298)+4))</f>
        <v/>
      </c>
      <c r="I324" s="99" t="str">
        <f ca="1">IF(INDIRECT(E$30&amp;"!D"&amp;ROW()-ROW($C$298)+4)="","",INDIRECT(E$30&amp;"!D"&amp;ROW()-ROW($C$298)+4))</f>
        <v/>
      </c>
      <c r="K324" s="99" t="str">
        <f ca="1">IF(INDIRECT(C$30&amp;"!E"&amp;ROW()-ROW($C$298)+4)="","",INDIRECT(C$30&amp;"!E"&amp;ROW()-ROW($C$298)+4))</f>
        <v>Yes_No_OptOut</v>
      </c>
      <c r="L324" s="99" t="b">
        <f ca="1">IF(INDIRECT(C$30&amp;"!F"&amp;ROW()-ROW($C$298)+4)="","",INDIRECT(C$30&amp;"!F"&amp;ROW()-ROW($C$298)+4))</f>
        <v>1</v>
      </c>
      <c r="M324" s="99" t="b">
        <f ca="1">IF(INDIRECT(D$30&amp;"!F"&amp;ROW()-ROW($C$298)+4)="","",INDIRECT(D$30&amp;"!F"&amp;ROW()-ROW($C$298)+4))</f>
        <v>1</v>
      </c>
      <c r="N324" s="99" t="b">
        <f ca="1">IF(INDIRECT(E$30&amp;"!F"&amp;ROW()-ROW($C$298)+4)="","",INDIRECT(E$30&amp;"!F"&amp;ROW()-ROW($C$298)+4))</f>
        <v>1</v>
      </c>
      <c r="O324" s="99"/>
      <c r="P324" s="99" t="b">
        <f ca="1">INDIRECT(C$30&amp;"!B"&amp;ROW()-ROW($C$298)+4)=$B324</f>
        <v>1</v>
      </c>
      <c r="Q324" s="99" t="b">
        <f ca="1">INDIRECT(D$30&amp;"!B"&amp;ROW()-ROW($C$298)+4)=$B324</f>
        <v>1</v>
      </c>
      <c r="R324" s="99" t="b">
        <f ca="1">INDIRECT(E$30&amp;"!B"&amp;ROW()-ROW($C$298)+4)=$B324</f>
        <v>1</v>
      </c>
      <c r="S324" s="99"/>
      <c r="T324" s="99" t="str">
        <f ca="1">IF(NOT(ISERROR(MATCH(K324,'Lookup Tables'!A:A,0))),"Lookup",IF(OR(NOT(ISERROR(FIND("Numeric",K324))),NOT(ISERROR(FIND("Percentage",K324))),NOT(ISERROR(FIND("Date",K324)))),"Numeric",IF(NOT(ISERROR(FIND("lank",K324))),"Non-blank",IF(NOT(ISERROR(FIND("Not evaluated",K324))),"Skipped","Other"))))</f>
        <v>Lookup</v>
      </c>
      <c r="U324" s="461">
        <f t="shared" ca="1" si="92"/>
        <v>1</v>
      </c>
      <c r="V324" s="461">
        <f t="shared" ca="1" si="93"/>
        <v>1</v>
      </c>
      <c r="W324" s="461">
        <f t="shared" ca="1" si="94"/>
        <v>1</v>
      </c>
      <c r="X324" s="461" t="str">
        <f t="shared" ca="1" si="95"/>
        <v/>
      </c>
      <c r="Y324" s="99">
        <f t="shared" si="89"/>
        <v>3</v>
      </c>
      <c r="Z324" s="99"/>
      <c r="AA324" s="99"/>
      <c r="AB324" s="99"/>
      <c r="AC324" s="159"/>
      <c r="AD324" s="107"/>
      <c r="AE324" s="99"/>
      <c r="AF324" s="99"/>
      <c r="AG324" s="248"/>
      <c r="AH324" s="779"/>
    </row>
    <row r="325" spans="2:34" ht="13.5" customHeight="1">
      <c r="B325" s="328" t="s">
        <v>1468</v>
      </c>
      <c r="C325" s="99">
        <f ca="1">IF(INDIRECT(C$30&amp;"!C"&amp;ROW()-ROW($C$298)+4)="","",INDIRECT(C$30&amp;"!C"&amp;ROW()-ROW($C$298)+4))</f>
        <v>1978</v>
      </c>
      <c r="D325" s="99">
        <f ca="1">IF(INDIRECT(D$30&amp;"!C"&amp;ROW()-ROW($C$298)+4)="","",INDIRECT(D$30&amp;"!C"&amp;ROW()-ROW($C$298)+4))</f>
        <v>1923</v>
      </c>
      <c r="E325" s="99">
        <f ca="1">IF(INDIRECT(E$30&amp;"!C"&amp;ROW()-ROW($C$298)+4)="","",INDIRECT(E$30&amp;"!C"&amp;ROW()-ROW($C$298)+4))</f>
        <v>1925</v>
      </c>
      <c r="G325" s="99" t="str">
        <f ca="1">IF(INDIRECT(C$30&amp;"!D"&amp;ROW()-ROW($C$298)+4)="","",INDIRECT(C$30&amp;"!D"&amp;ROW()-ROW($C$298)+4))</f>
        <v/>
      </c>
      <c r="H325" s="99" t="str">
        <f ca="1">IF(INDIRECT(D$30&amp;"!D"&amp;ROW()-ROW($C$298)+4)="","",INDIRECT(D$30&amp;"!D"&amp;ROW()-ROW($C$298)+4))</f>
        <v/>
      </c>
      <c r="I325" s="99" t="str">
        <f ca="1">IF(INDIRECT(E$30&amp;"!D"&amp;ROW()-ROW($C$298)+4)="","",INDIRECT(E$30&amp;"!D"&amp;ROW()-ROW($C$298)+4))</f>
        <v/>
      </c>
      <c r="K325" s="99" t="str">
        <f ca="1">IF(INDIRECT(C$30&amp;"!E"&amp;ROW()-ROW($C$298)+4)="","",INDIRECT(C$30&amp;"!E"&amp;ROW()-ROW($C$298)+4))</f>
        <v>Not evaluated - demographic only</v>
      </c>
      <c r="L325" s="99" t="b">
        <f ca="1">IF(INDIRECT(C$30&amp;"!F"&amp;ROW()-ROW($C$298)+4)="","",INDIRECT(C$30&amp;"!F"&amp;ROW()-ROW($C$298)+4))</f>
        <v>1</v>
      </c>
      <c r="M325" s="99" t="b">
        <f ca="1">IF(INDIRECT(D$30&amp;"!F"&amp;ROW()-ROW($C$298)+4)="","",INDIRECT(D$30&amp;"!F"&amp;ROW()-ROW($C$298)+4))</f>
        <v>1</v>
      </c>
      <c r="N325" s="99" t="b">
        <f ca="1">IF(INDIRECT(E$30&amp;"!F"&amp;ROW()-ROW($C$298)+4)="","",INDIRECT(E$30&amp;"!F"&amp;ROW()-ROW($C$298)+4))</f>
        <v>1</v>
      </c>
      <c r="O325" s="99"/>
      <c r="P325" s="99" t="b">
        <f ca="1">INDIRECT(C$30&amp;"!B"&amp;ROW()-ROW($C$298)+4)=$B325</f>
        <v>1</v>
      </c>
      <c r="Q325" s="99" t="b">
        <f ca="1">INDIRECT(D$30&amp;"!B"&amp;ROW()-ROW($C$298)+4)=$B325</f>
        <v>1</v>
      </c>
      <c r="R325" s="99" t="b">
        <f ca="1">INDIRECT(E$30&amp;"!B"&amp;ROW()-ROW($C$298)+4)=$B325</f>
        <v>1</v>
      </c>
      <c r="S325" s="99"/>
      <c r="T325" s="99" t="str">
        <f ca="1">IF(NOT(ISERROR(MATCH(K325,'Lookup Tables'!A:A,0))),"Lookup",IF(OR(NOT(ISERROR(FIND("Numeric",K325))),NOT(ISERROR(FIND("Percentage",K325))),NOT(ISERROR(FIND("Date",K325)))),"Numeric",IF(NOT(ISERROR(FIND("lank",K325))),"Non-blank",IF(NOT(ISERROR(FIND("Not evaluated",K325))),"Skipped","Other"))))</f>
        <v>Skipped</v>
      </c>
      <c r="U325" s="99"/>
      <c r="V325" s="99"/>
      <c r="W325" s="99"/>
      <c r="X325" s="99"/>
      <c r="Y325" s="99">
        <f t="shared" si="89"/>
        <v>3</v>
      </c>
      <c r="Z325" s="99"/>
      <c r="AA325" s="99"/>
      <c r="AB325" s="99"/>
      <c r="AC325" s="159"/>
      <c r="AD325" s="107"/>
      <c r="AE325" s="99"/>
      <c r="AF325" s="99"/>
      <c r="AG325" s="248"/>
      <c r="AH325" s="780"/>
    </row>
    <row r="326" spans="2:34" ht="13.5" customHeight="1">
      <c r="B326" s="328" t="s">
        <v>1395</v>
      </c>
      <c r="C326" s="99" t="str">
        <f ca="1">IF(INDIRECT(C$30&amp;"!C"&amp;ROW()-ROW($C$298)+4)="","",INDIRECT(C$30&amp;"!C"&amp;ROW()-ROW($C$298)+4))</f>
        <v/>
      </c>
      <c r="D326" s="99" t="str">
        <f ca="1">IF(INDIRECT(D$30&amp;"!C"&amp;ROW()-ROW($C$298)+4)="","",INDIRECT(D$30&amp;"!C"&amp;ROW()-ROW($C$298)+4))</f>
        <v>github/yakko</v>
      </c>
      <c r="E326" s="99" t="str">
        <f ca="1">IF(INDIRECT(E$30&amp;"!C"&amp;ROW()-ROW($C$298)+4)="","",INDIRECT(E$30&amp;"!C"&amp;ROW()-ROW($C$298)+4))</f>
        <v/>
      </c>
      <c r="G326" s="99" t="str">
        <f ca="1">IF(INDIRECT(C$30&amp;"!D"&amp;ROW()-ROW($C$298)+4)="","",INDIRECT(C$30&amp;"!D"&amp;ROW()-ROW($C$298)+4))</f>
        <v/>
      </c>
      <c r="H326" s="99" t="str">
        <f ca="1">IF(INDIRECT(D$30&amp;"!D"&amp;ROW()-ROW($C$298)+4)="","",INDIRECT(D$30&amp;"!D"&amp;ROW()-ROW($C$298)+4))</f>
        <v/>
      </c>
      <c r="I326" s="99" t="str">
        <f ca="1">IF(INDIRECT(E$30&amp;"!D"&amp;ROW()-ROW($C$298)+4)="","",INDIRECT(E$30&amp;"!D"&amp;ROW()-ROW($C$298)+4))</f>
        <v/>
      </c>
      <c r="K326" s="99" t="str">
        <f ca="1">IF(INDIRECT(C$30&amp;"!E"&amp;ROW()-ROW($C$298)+4)="","",INDIRECT(C$30&amp;"!E"&amp;ROW()-ROW($C$298)+4))</f>
        <v>Non-blank is better</v>
      </c>
      <c r="L326" s="99" t="b">
        <f ca="1">IF(INDIRECT(C$30&amp;"!F"&amp;ROW()-ROW($C$298)+4)="","",INDIRECT(C$30&amp;"!F"&amp;ROW()-ROW($C$298)+4))</f>
        <v>0</v>
      </c>
      <c r="M326" s="99" t="b">
        <f ca="1">IF(INDIRECT(D$30&amp;"!F"&amp;ROW()-ROW($C$298)+4)="","",INDIRECT(D$30&amp;"!F"&amp;ROW()-ROW($C$298)+4))</f>
        <v>1</v>
      </c>
      <c r="N326" s="99" t="b">
        <f ca="1">IF(INDIRECT(E$30&amp;"!F"&amp;ROW()-ROW($C$298)+4)="","",INDIRECT(E$30&amp;"!F"&amp;ROW()-ROW($C$298)+4))</f>
        <v>0</v>
      </c>
      <c r="O326" s="99"/>
      <c r="P326" s="99" t="b">
        <f ca="1">INDIRECT(C$30&amp;"!B"&amp;ROW()-ROW($C$298)+4)=$B326</f>
        <v>1</v>
      </c>
      <c r="Q326" s="99" t="b">
        <f ca="1">INDIRECT(D$30&amp;"!B"&amp;ROW()-ROW($C$298)+4)=$B326</f>
        <v>1</v>
      </c>
      <c r="R326" s="99" t="b">
        <f ca="1">INDIRECT(E$30&amp;"!B"&amp;ROW()-ROW($C$298)+4)=$B326</f>
        <v>1</v>
      </c>
      <c r="S326" s="99"/>
      <c r="T326" s="99" t="str">
        <f ca="1">IF(NOT(ISERROR(MATCH(K326,'Lookup Tables'!A:A,0))),"Lookup",IF(OR(NOT(ISERROR(FIND("Numeric",K326))),NOT(ISERROR(FIND("Percentage",K326))),NOT(ISERROR(FIND("Date",K326)))),"Numeric",IF(NOT(ISERROR(FIND("lank",K326))),"Non-blank",IF(NOT(ISERROR(FIND("Not evaluated",K326))),"Skipped","Other"))))</f>
        <v>Non-blank</v>
      </c>
      <c r="U326" s="461">
        <f ca="1">IF(COLUMN()-COLUMN($U$55)+1&lt;=$Y326,IF(C326="",0,1),"")</f>
        <v>0</v>
      </c>
      <c r="V326" s="461">
        <f ca="1">IF(COLUMN()-COLUMN($U$55)+1&lt;=$Y326,IF(D326="",0,1),"")</f>
        <v>1</v>
      </c>
      <c r="W326" s="461">
        <f ca="1">IF(COLUMN()-COLUMN($U$55)+1&lt;=$Y326,IF(E326="",0,1),"")</f>
        <v>0</v>
      </c>
      <c r="X326" s="461" t="str">
        <f>IF(COLUMN()-COLUMN($U$55)+1&lt;=$Y326,IF(F326="",0,1),"")</f>
        <v/>
      </c>
      <c r="Y326" s="99">
        <f t="shared" si="89"/>
        <v>3</v>
      </c>
      <c r="Z326" s="99"/>
      <c r="AA326" s="99"/>
      <c r="AB326" s="99"/>
      <c r="AC326" s="159" t="s">
        <v>2230</v>
      </c>
      <c r="AD326" s="107">
        <f t="shared" ca="1" si="91"/>
        <v>1</v>
      </c>
      <c r="AE326" s="99" t="b">
        <f t="shared" ca="1" si="90"/>
        <v>0</v>
      </c>
      <c r="AF326" s="159" t="s">
        <v>2437</v>
      </c>
      <c r="AG326" s="783">
        <f>COUNTIF('VA Detailed Scorecard Config'!D:D,AF326)</f>
        <v>1</v>
      </c>
      <c r="AH326" s="99"/>
    </row>
    <row r="327" spans="2:34" ht="13.5" customHeight="1">
      <c r="B327" s="328" t="s">
        <v>1447</v>
      </c>
      <c r="C327" s="99" t="str">
        <f ca="1">IF(INDIRECT(C$30&amp;"!C"&amp;ROW()-ROW($C$298)+4)="","",INDIRECT(C$30&amp;"!C"&amp;ROW()-ROW($C$298)+4))</f>
        <v/>
      </c>
      <c r="D327" s="99" t="str">
        <f ca="1">IF(INDIRECT(D$30&amp;"!C"&amp;ROW()-ROW($C$298)+4)="","",INDIRECT(D$30&amp;"!C"&amp;ROW()-ROW($C$298)+4))</f>
        <v>github/yakko/paywallkiller</v>
      </c>
      <c r="E327" s="99" t="str">
        <f ca="1">IF(INDIRECT(E$30&amp;"!C"&amp;ROW()-ROW($C$298)+4)="","",INDIRECT(E$30&amp;"!C"&amp;ROW()-ROW($C$298)+4))</f>
        <v/>
      </c>
      <c r="G327" s="99" t="str">
        <f ca="1">IF(INDIRECT(C$30&amp;"!D"&amp;ROW()-ROW($C$298)+4)="","",INDIRECT(C$30&amp;"!D"&amp;ROW()-ROW($C$298)+4))</f>
        <v/>
      </c>
      <c r="H327" s="99" t="str">
        <f ca="1">IF(INDIRECT(D$30&amp;"!D"&amp;ROW()-ROW($C$298)+4)="","",INDIRECT(D$30&amp;"!D"&amp;ROW()-ROW($C$298)+4))</f>
        <v/>
      </c>
      <c r="I327" s="99" t="str">
        <f ca="1">IF(INDIRECT(E$30&amp;"!D"&amp;ROW()-ROW($C$298)+4)="","",INDIRECT(E$30&amp;"!D"&amp;ROW()-ROW($C$298)+4))</f>
        <v/>
      </c>
      <c r="K327" s="99" t="str">
        <f ca="1">IF(INDIRECT(C$30&amp;"!E"&amp;ROW()-ROW($C$298)+4)="","",INDIRECT(C$30&amp;"!E"&amp;ROW()-ROW($C$298)+4))</f>
        <v>Non-blank is better</v>
      </c>
      <c r="L327" s="99" t="b">
        <f ca="1">IF(INDIRECT(C$30&amp;"!F"&amp;ROW()-ROW($C$298)+4)="","",INDIRECT(C$30&amp;"!F"&amp;ROW()-ROW($C$298)+4))</f>
        <v>0</v>
      </c>
      <c r="M327" s="99" t="b">
        <f ca="1">IF(INDIRECT(D$30&amp;"!F"&amp;ROW()-ROW($C$298)+4)="","",INDIRECT(D$30&amp;"!F"&amp;ROW()-ROW($C$298)+4))</f>
        <v>1</v>
      </c>
      <c r="N327" s="99" t="b">
        <f ca="1">IF(INDIRECT(E$30&amp;"!F"&amp;ROW()-ROW($C$298)+4)="","",INDIRECT(E$30&amp;"!F"&amp;ROW()-ROW($C$298)+4))</f>
        <v>0</v>
      </c>
      <c r="O327" s="99"/>
      <c r="P327" s="99" t="b">
        <f ca="1">INDIRECT(C$30&amp;"!B"&amp;ROW()-ROW($C$298)+4)=$B327</f>
        <v>1</v>
      </c>
      <c r="Q327" s="99" t="b">
        <f ca="1">INDIRECT(D$30&amp;"!B"&amp;ROW()-ROW($C$298)+4)=$B327</f>
        <v>1</v>
      </c>
      <c r="R327" s="99" t="b">
        <f ca="1">INDIRECT(E$30&amp;"!B"&amp;ROW()-ROW($C$298)+4)=$B327</f>
        <v>1</v>
      </c>
      <c r="S327" s="99"/>
      <c r="T327" s="99" t="str">
        <f ca="1">IF(NOT(ISERROR(MATCH(K327,'Lookup Tables'!A:A,0))),"Lookup",IF(OR(NOT(ISERROR(FIND("Numeric",K327))),NOT(ISERROR(FIND("Percentage",K327))),NOT(ISERROR(FIND("Date",K327)))),"Numeric",IF(NOT(ISERROR(FIND("lank",K327))),"Non-blank",IF(NOT(ISERROR(FIND("Not evaluated",K327))),"Skipped","Other"))))</f>
        <v>Non-blank</v>
      </c>
      <c r="U327" s="461">
        <f ca="1">IF(COLUMN()-COLUMN($U$55)+1&lt;=$Y327,IF(C327="",0,1),"")</f>
        <v>0</v>
      </c>
      <c r="V327" s="461">
        <f ca="1">IF(COLUMN()-COLUMN($U$55)+1&lt;=$Y327,IF(D327="",0,1),"")</f>
        <v>1</v>
      </c>
      <c r="W327" s="461">
        <f ca="1">IF(COLUMN()-COLUMN($U$55)+1&lt;=$Y327,IF(E327="",0,1),"")</f>
        <v>0</v>
      </c>
      <c r="X327" s="461" t="str">
        <f>IF(COLUMN()-COLUMN($U$55)+1&lt;=$Y327,IF(F327="",0,1),"")</f>
        <v/>
      </c>
      <c r="Y327" s="99">
        <f t="shared" si="89"/>
        <v>3</v>
      </c>
      <c r="Z327" s="99"/>
      <c r="AA327" s="99"/>
      <c r="AB327" s="99"/>
      <c r="AC327" s="159" t="s">
        <v>2230</v>
      </c>
      <c r="AD327" s="107">
        <f t="shared" ca="1" si="91"/>
        <v>1</v>
      </c>
      <c r="AE327" s="99" t="b">
        <f t="shared" ca="1" si="90"/>
        <v>0</v>
      </c>
      <c r="AF327" s="159" t="s">
        <v>2439</v>
      </c>
      <c r="AG327" s="783">
        <f>COUNTIF('VA Detailed Scorecard Config'!D:D,AF327)</f>
        <v>1</v>
      </c>
      <c r="AH327" s="99"/>
    </row>
    <row r="328" spans="2:34" ht="13.5" customHeight="1">
      <c r="B328" s="328" t="s">
        <v>1448</v>
      </c>
      <c r="C328" s="99" t="str">
        <f ca="1">IF(INDIRECT(C$30&amp;"!C"&amp;ROW()-ROW($C$298)+4)="","",INDIRECT(C$30&amp;"!C"&amp;ROW()-ROW($C$298)+4))</f>
        <v/>
      </c>
      <c r="D328" s="99" t="str">
        <f ca="1">IF(INDIRECT(D$30&amp;"!C"&amp;ROW()-ROW($C$298)+4)="","",INDIRECT(D$30&amp;"!C"&amp;ROW()-ROW($C$298)+4))</f>
        <v>github/warnerstudio</v>
      </c>
      <c r="E328" s="99" t="str">
        <f ca="1">IF(INDIRECT(E$30&amp;"!C"&amp;ROW()-ROW($C$298)+4)="","",INDIRECT(E$30&amp;"!C"&amp;ROW()-ROW($C$298)+4))</f>
        <v/>
      </c>
      <c r="G328" s="99" t="str">
        <f ca="1">IF(INDIRECT(C$30&amp;"!D"&amp;ROW()-ROW($C$298)+4)="","",INDIRECT(C$30&amp;"!D"&amp;ROW()-ROW($C$298)+4))</f>
        <v/>
      </c>
      <c r="H328" s="99" t="str">
        <f ca="1">IF(INDIRECT(D$30&amp;"!D"&amp;ROW()-ROW($C$298)+4)="","",INDIRECT(D$30&amp;"!D"&amp;ROW()-ROW($C$298)+4))</f>
        <v/>
      </c>
      <c r="I328" s="99" t="str">
        <f ca="1">IF(INDIRECT(E$30&amp;"!D"&amp;ROW()-ROW($C$298)+4)="","",INDIRECT(E$30&amp;"!D"&amp;ROW()-ROW($C$298)+4))</f>
        <v/>
      </c>
      <c r="K328" s="99" t="str">
        <f ca="1">IF(INDIRECT(C$30&amp;"!E"&amp;ROW()-ROW($C$298)+4)="","",INDIRECT(C$30&amp;"!E"&amp;ROW()-ROW($C$298)+4))</f>
        <v>Non-blank is better</v>
      </c>
      <c r="L328" s="99" t="b">
        <f ca="1">IF(INDIRECT(C$30&amp;"!F"&amp;ROW()-ROW($C$298)+4)="","",INDIRECT(C$30&amp;"!F"&amp;ROW()-ROW($C$298)+4))</f>
        <v>0</v>
      </c>
      <c r="M328" s="99" t="b">
        <f ca="1">IF(INDIRECT(D$30&amp;"!F"&amp;ROW()-ROW($C$298)+4)="","",INDIRECT(D$30&amp;"!F"&amp;ROW()-ROW($C$298)+4))</f>
        <v>1</v>
      </c>
      <c r="N328" s="99" t="b">
        <f ca="1">IF(INDIRECT(E$30&amp;"!F"&amp;ROW()-ROW($C$298)+4)="","",INDIRECT(E$30&amp;"!F"&amp;ROW()-ROW($C$298)+4))</f>
        <v>0</v>
      </c>
      <c r="O328" s="99"/>
      <c r="P328" s="99" t="b">
        <f ca="1">INDIRECT(C$30&amp;"!B"&amp;ROW()-ROW($C$298)+4)=$B328</f>
        <v>1</v>
      </c>
      <c r="Q328" s="99" t="b">
        <f ca="1">INDIRECT(D$30&amp;"!B"&amp;ROW()-ROW($C$298)+4)=$B328</f>
        <v>1</v>
      </c>
      <c r="R328" s="99" t="b">
        <f ca="1">INDIRECT(E$30&amp;"!B"&amp;ROW()-ROW($C$298)+4)=$B328</f>
        <v>1</v>
      </c>
      <c r="S328" s="99"/>
      <c r="T328" s="99" t="str">
        <f ca="1">IF(NOT(ISERROR(MATCH(K328,'Lookup Tables'!A:A,0))),"Lookup",IF(OR(NOT(ISERROR(FIND("Numeric",K328))),NOT(ISERROR(FIND("Percentage",K328))),NOT(ISERROR(FIND("Date",K328)))),"Numeric",IF(NOT(ISERROR(FIND("lank",K328))),"Non-blank",IF(NOT(ISERROR(FIND("Not evaluated",K328))),"Skipped","Other"))))</f>
        <v>Non-blank</v>
      </c>
      <c r="U328" s="461">
        <f ca="1">IF(COLUMN()-COLUMN($U$55)+1&lt;=$Y328,IF(C328="",0,1),"")</f>
        <v>0</v>
      </c>
      <c r="V328" s="461">
        <f ca="1">IF(COLUMN()-COLUMN($U$55)+1&lt;=$Y328,IF(D328="",0,1),"")</f>
        <v>1</v>
      </c>
      <c r="W328" s="461">
        <f ca="1">IF(COLUMN()-COLUMN($U$55)+1&lt;=$Y328,IF(E328="",0,1),"")</f>
        <v>0</v>
      </c>
      <c r="X328" s="461" t="str">
        <f>IF(COLUMN()-COLUMN($U$55)+1&lt;=$Y328,IF(F328="",0,1),"")</f>
        <v/>
      </c>
      <c r="Y328" s="99">
        <f t="shared" si="89"/>
        <v>3</v>
      </c>
      <c r="Z328" s="99"/>
      <c r="AA328" s="99"/>
      <c r="AB328" s="99"/>
      <c r="AC328" s="159" t="s">
        <v>2230</v>
      </c>
      <c r="AD328" s="107">
        <f t="shared" ca="1" si="91"/>
        <v>1</v>
      </c>
      <c r="AE328" s="99" t="b">
        <f t="shared" ca="1" si="90"/>
        <v>0</v>
      </c>
      <c r="AF328" s="159" t="s">
        <v>2438</v>
      </c>
      <c r="AG328" s="783">
        <f>COUNTIF('VA Detailed Scorecard Config'!D:D,AF328)</f>
        <v>1</v>
      </c>
      <c r="AH328" s="99"/>
    </row>
    <row r="329" spans="2:34" ht="13.5" customHeight="1">
      <c r="B329" s="328" t="s">
        <v>1451</v>
      </c>
      <c r="C329" s="99" t="str">
        <f ca="1">IF(INDIRECT(C$30&amp;"!C"&amp;ROW()-ROW($C$298)+4)="","",INDIRECT(C$30&amp;"!C"&amp;ROW()-ROW($C$298)+4))</f>
        <v/>
      </c>
      <c r="D329" s="99" t="str">
        <f ca="1">IF(INDIRECT(D$30&amp;"!C"&amp;ROW()-ROW($C$298)+4)="","",INDIRECT(D$30&amp;"!C"&amp;ROW()-ROW($C$298)+4))</f>
        <v>Warner movie lot</v>
      </c>
      <c r="E329" s="99" t="str">
        <f ca="1">IF(INDIRECT(E$30&amp;"!C"&amp;ROW()-ROW($C$298)+4)="","",INDIRECT(E$30&amp;"!C"&amp;ROW()-ROW($C$298)+4))</f>
        <v/>
      </c>
      <c r="G329" s="99" t="str">
        <f ca="1">IF(INDIRECT(C$30&amp;"!D"&amp;ROW()-ROW($C$298)+4)="","",INDIRECT(C$30&amp;"!D"&amp;ROW()-ROW($C$298)+4))</f>
        <v/>
      </c>
      <c r="H329" s="99" t="str">
        <f ca="1">IF(INDIRECT(D$30&amp;"!D"&amp;ROW()-ROW($C$298)+4)="","",INDIRECT(D$30&amp;"!D"&amp;ROW()-ROW($C$298)+4))</f>
        <v/>
      </c>
      <c r="I329" s="99" t="str">
        <f ca="1">IF(INDIRECT(E$30&amp;"!D"&amp;ROW()-ROW($C$298)+4)="","",INDIRECT(E$30&amp;"!D"&amp;ROW()-ROW($C$298)+4))</f>
        <v/>
      </c>
      <c r="K329" s="99" t="str">
        <f ca="1">IF(INDIRECT(C$30&amp;"!E"&amp;ROW()-ROW($C$298)+4)="","",INDIRECT(C$30&amp;"!E"&amp;ROW()-ROW($C$298)+4))</f>
        <v>Non-blank is better</v>
      </c>
      <c r="L329" s="99" t="b">
        <f ca="1">IF(INDIRECT(C$30&amp;"!F"&amp;ROW()-ROW($C$298)+4)="","",INDIRECT(C$30&amp;"!F"&amp;ROW()-ROW($C$298)+4))</f>
        <v>0</v>
      </c>
      <c r="M329" s="99" t="b">
        <f ca="1">IF(INDIRECT(D$30&amp;"!F"&amp;ROW()-ROW($C$298)+4)="","",INDIRECT(D$30&amp;"!F"&amp;ROW()-ROW($C$298)+4))</f>
        <v>1</v>
      </c>
      <c r="N329" s="99" t="b">
        <f ca="1">IF(INDIRECT(E$30&amp;"!F"&amp;ROW()-ROW($C$298)+4)="","",INDIRECT(E$30&amp;"!F"&amp;ROW()-ROW($C$298)+4))</f>
        <v>0</v>
      </c>
      <c r="O329" s="99"/>
      <c r="P329" s="99" t="b">
        <f ca="1">INDIRECT(C$30&amp;"!B"&amp;ROW()-ROW($C$298)+4)=$B329</f>
        <v>1</v>
      </c>
      <c r="Q329" s="99" t="b">
        <f ca="1">INDIRECT(D$30&amp;"!B"&amp;ROW()-ROW($C$298)+4)=$B329</f>
        <v>1</v>
      </c>
      <c r="R329" s="99" t="b">
        <f ca="1">INDIRECT(E$30&amp;"!B"&amp;ROW()-ROW($C$298)+4)=$B329</f>
        <v>1</v>
      </c>
      <c r="S329" s="99"/>
      <c r="T329" s="99" t="str">
        <f ca="1">IF(NOT(ISERROR(MATCH(K329,'Lookup Tables'!A:A,0))),"Lookup",IF(OR(NOT(ISERROR(FIND("Numeric",K329))),NOT(ISERROR(FIND("Percentage",K329))),NOT(ISERROR(FIND("Date",K329)))),"Numeric",IF(NOT(ISERROR(FIND("lank",K329))),"Non-blank",IF(NOT(ISERROR(FIND("Not evaluated",K329))),"Skipped","Other"))))</f>
        <v>Non-blank</v>
      </c>
      <c r="U329" s="461">
        <f ca="1">IF(COLUMN()-COLUMN($U$55)+1&lt;=$Y329,IF(C329="",0,1),"")</f>
        <v>0</v>
      </c>
      <c r="V329" s="461">
        <f ca="1">IF(COLUMN()-COLUMN($U$55)+1&lt;=$Y329,IF(D329="",0,1),"")</f>
        <v>1</v>
      </c>
      <c r="W329" s="461">
        <f ca="1">IF(COLUMN()-COLUMN($U$55)+1&lt;=$Y329,IF(E329="",0,1),"")</f>
        <v>0</v>
      </c>
      <c r="X329" s="461" t="str">
        <f>IF(COLUMN()-COLUMN($U$55)+1&lt;=$Y329,IF(F329="",0,1),"")</f>
        <v/>
      </c>
      <c r="Y329" s="99">
        <f t="shared" si="89"/>
        <v>3</v>
      </c>
      <c r="Z329" s="99"/>
      <c r="AA329" s="99"/>
      <c r="AB329" s="99"/>
      <c r="AC329" s="159" t="s">
        <v>2230</v>
      </c>
      <c r="AD329" s="107">
        <f t="shared" ca="1" si="91"/>
        <v>1</v>
      </c>
      <c r="AE329" s="99" t="b">
        <f t="shared" ca="1" si="90"/>
        <v>0</v>
      </c>
      <c r="AF329" s="159" t="s">
        <v>2440</v>
      </c>
      <c r="AG329" s="783">
        <f>COUNTIF('VA Detailed Scorecard Config'!D:D,AF329)</f>
        <v>1</v>
      </c>
      <c r="AH329" s="99"/>
    </row>
    <row r="330" spans="2:34" ht="13.5" customHeight="1">
      <c r="B330" s="328" t="s">
        <v>1450</v>
      </c>
      <c r="C330" s="99" t="str">
        <f ca="1">IF(INDIRECT(C$30&amp;"!C"&amp;ROW()-ROW($C$298)+4)="","",INDIRECT(C$30&amp;"!C"&amp;ROW()-ROW($C$298)+4))</f>
        <v/>
      </c>
      <c r="D330" s="99" t="str">
        <f ca="1">IF(INDIRECT(D$30&amp;"!C"&amp;ROW()-ROW($C$298)+4)="","",INDIRECT(D$30&amp;"!C"&amp;ROW()-ROW($C$298)+4))</f>
        <v>7-10</v>
      </c>
      <c r="E330" s="99" t="str">
        <f ca="1">IF(INDIRECT(E$30&amp;"!C"&amp;ROW()-ROW($C$298)+4)="","",INDIRECT(E$30&amp;"!C"&amp;ROW()-ROW($C$298)+4))</f>
        <v/>
      </c>
      <c r="G330" s="99" t="str">
        <f ca="1">IF(INDIRECT(C$30&amp;"!D"&amp;ROW()-ROW($C$298)+4)="","",INDIRECT(C$30&amp;"!D"&amp;ROW()-ROW($C$298)+4))</f>
        <v/>
      </c>
      <c r="H330" s="99" t="str">
        <f ca="1">IF(INDIRECT(D$30&amp;"!D"&amp;ROW()-ROW($C$298)+4)="","",INDIRECT(D$30&amp;"!D"&amp;ROW()-ROW($C$298)+4))</f>
        <v/>
      </c>
      <c r="I330" s="99" t="str">
        <f ca="1">IF(INDIRECT(E$30&amp;"!D"&amp;ROW()-ROW($C$298)+4)="","",INDIRECT(E$30&amp;"!D"&amp;ROW()-ROW($C$298)+4))</f>
        <v/>
      </c>
      <c r="K330" s="99" t="str">
        <f ca="1">IF(INDIRECT(C$30&amp;"!E"&amp;ROW()-ROW($C$298)+4)="","",INDIRECT(C$30&amp;"!E"&amp;ROW()-ROW($C$298)+4))</f>
        <v>Years_Experience</v>
      </c>
      <c r="L330" s="99" t="b">
        <f ca="1">IF(INDIRECT(C$30&amp;"!F"&amp;ROW()-ROW($C$298)+4)="","",INDIRECT(C$30&amp;"!F"&amp;ROW()-ROW($C$298)+4))</f>
        <v>0</v>
      </c>
      <c r="M330" s="99" t="b">
        <f ca="1">IF(INDIRECT(D$30&amp;"!F"&amp;ROW()-ROW($C$298)+4)="","",INDIRECT(D$30&amp;"!F"&amp;ROW()-ROW($C$298)+4))</f>
        <v>1</v>
      </c>
      <c r="N330" s="99" t="b">
        <f ca="1">IF(INDIRECT(E$30&amp;"!F"&amp;ROW()-ROW($C$298)+4)="","",INDIRECT(E$30&amp;"!F"&amp;ROW()-ROW($C$298)+4))</f>
        <v>0</v>
      </c>
      <c r="O330" s="99"/>
      <c r="P330" s="99" t="b">
        <f ca="1">INDIRECT(C$30&amp;"!B"&amp;ROW()-ROW($C$298)+4)=$B330</f>
        <v>1</v>
      </c>
      <c r="Q330" s="99" t="b">
        <f ca="1">INDIRECT(D$30&amp;"!B"&amp;ROW()-ROW($C$298)+4)=$B330</f>
        <v>1</v>
      </c>
      <c r="R330" s="99" t="b">
        <f ca="1">INDIRECT(E$30&amp;"!B"&amp;ROW()-ROW($C$298)+4)=$B330</f>
        <v>1</v>
      </c>
      <c r="S330" s="99"/>
      <c r="T330" s="99" t="str">
        <f ca="1">IF(NOT(ISERROR(MATCH(K330,'Lookup Tables'!A:A,0))),"Lookup",IF(OR(NOT(ISERROR(FIND("Numeric",K330))),NOT(ISERROR(FIND("Percentage",K330))),NOT(ISERROR(FIND("Date",K330)))),"Numeric",IF(NOT(ISERROR(FIND("lank",K330))),"Non-blank",IF(NOT(ISERROR(FIND("Not evaluated",K330))),"Skipped","Other"))))</f>
        <v>Lookup</v>
      </c>
      <c r="U330" s="461">
        <f t="shared" ref="U330:U335" ca="1" si="96">IF(COLUMN()-COLUMN($U$55)+1&lt;=$Y330,INDEX(OFFSET(INDIRECT($K330),0,1),MATCH(C330,INDIRECT($K330),0)),"")</f>
        <v>0</v>
      </c>
      <c r="V330" s="461">
        <f t="shared" ref="V330:V335" ca="1" si="97">IF(COLUMN()-COLUMN($U$55)+1&lt;=$Y330,INDEX(OFFSET(INDIRECT($K330),0,1),MATCH(D330,INDIRECT($K330),0)),"")</f>
        <v>0.85</v>
      </c>
      <c r="W330" s="461">
        <f t="shared" ref="W330:W335" ca="1" si="98">IF(COLUMN()-COLUMN($U$55)+1&lt;=$Y330,INDEX(OFFSET(INDIRECT($K330),0,1),MATCH(E330,INDIRECT($K330),0)),"")</f>
        <v>0</v>
      </c>
      <c r="X330" s="461" t="str">
        <f t="shared" ref="X330:X335" ca="1" si="99">IF(COLUMN()-COLUMN($U$55)+1&lt;=$Y330,INDEX(OFFSET(INDIRECT($K330),0,1),MATCH(F330,INDIRECT($K330),0)),"")</f>
        <v/>
      </c>
      <c r="Y330" s="99">
        <f t="shared" si="89"/>
        <v>3</v>
      </c>
      <c r="Z330" s="99"/>
      <c r="AA330" s="99"/>
      <c r="AB330" s="99"/>
      <c r="AC330" s="159" t="s">
        <v>2230</v>
      </c>
      <c r="AD330" s="107">
        <f t="shared" ca="1" si="91"/>
        <v>0.85</v>
      </c>
      <c r="AE330" s="99" t="b">
        <f t="shared" ca="1" si="90"/>
        <v>0</v>
      </c>
      <c r="AF330" s="159" t="s">
        <v>2441</v>
      </c>
      <c r="AG330" s="783">
        <f>COUNTIF('VA Detailed Scorecard Config'!D:D,AF330)</f>
        <v>1</v>
      </c>
      <c r="AH330" s="99"/>
    </row>
    <row r="331" spans="2:34" ht="13.5" customHeight="1">
      <c r="B331" s="328" t="s">
        <v>1492</v>
      </c>
      <c r="C331" s="99" t="str">
        <f ca="1">IF(INDIRECT(C$30&amp;"!C"&amp;ROW()-ROW($C$298)+4)="","",INDIRECT(C$30&amp;"!C"&amp;ROW()-ROW($C$298)+4))</f>
        <v/>
      </c>
      <c r="D331" s="99" t="str">
        <f ca="1">IF(INDIRECT(D$30&amp;"!C"&amp;ROW()-ROW($C$298)+4)="","",INDIRECT(D$30&amp;"!C"&amp;ROW()-ROW($C$298)+4))</f>
        <v>1-3</v>
      </c>
      <c r="E331" s="99" t="str">
        <f ca="1">IF(INDIRECT(E$30&amp;"!C"&amp;ROW()-ROW($C$298)+4)="","",INDIRECT(E$30&amp;"!C"&amp;ROW()-ROW($C$298)+4))</f>
        <v/>
      </c>
      <c r="G331" s="99" t="str">
        <f ca="1">IF(INDIRECT(C$30&amp;"!D"&amp;ROW()-ROW($C$298)+4)="","",INDIRECT(C$30&amp;"!D"&amp;ROW()-ROW($C$298)+4))</f>
        <v/>
      </c>
      <c r="H331" s="99" t="str">
        <f ca="1">IF(INDIRECT(D$30&amp;"!D"&amp;ROW()-ROW($C$298)+4)="","",INDIRECT(D$30&amp;"!D"&amp;ROW()-ROW($C$298)+4))</f>
        <v/>
      </c>
      <c r="I331" s="99" t="str">
        <f ca="1">IF(INDIRECT(E$30&amp;"!D"&amp;ROW()-ROW($C$298)+4)="","",INDIRECT(E$30&amp;"!D"&amp;ROW()-ROW($C$298)+4))</f>
        <v/>
      </c>
      <c r="K331" s="99" t="str">
        <f ca="1">IF(INDIRECT(C$30&amp;"!E"&amp;ROW()-ROW($C$298)+4)="","",INDIRECT(C$30&amp;"!E"&amp;ROW()-ROW($C$298)+4))</f>
        <v>Years_Experience</v>
      </c>
      <c r="L331" s="99" t="b">
        <f ca="1">IF(INDIRECT(C$30&amp;"!F"&amp;ROW()-ROW($C$298)+4)="","",INDIRECT(C$30&amp;"!F"&amp;ROW()-ROW($C$298)+4))</f>
        <v>0</v>
      </c>
      <c r="M331" s="99" t="b">
        <f ca="1">IF(INDIRECT(D$30&amp;"!F"&amp;ROW()-ROW($C$298)+4)="","",INDIRECT(D$30&amp;"!F"&amp;ROW()-ROW($C$298)+4))</f>
        <v>1</v>
      </c>
      <c r="N331" s="99" t="b">
        <f ca="1">IF(INDIRECT(E$30&amp;"!F"&amp;ROW()-ROW($C$298)+4)="","",INDIRECT(E$30&amp;"!F"&amp;ROW()-ROW($C$298)+4))</f>
        <v>0</v>
      </c>
      <c r="O331" s="99"/>
      <c r="P331" s="99" t="b">
        <f ca="1">INDIRECT(C$30&amp;"!B"&amp;ROW()-ROW($C$298)+4)=$B331</f>
        <v>1</v>
      </c>
      <c r="Q331" s="99" t="b">
        <f ca="1">INDIRECT(D$30&amp;"!B"&amp;ROW()-ROW($C$298)+4)=$B331</f>
        <v>1</v>
      </c>
      <c r="R331" s="99" t="b">
        <f ca="1">INDIRECT(E$30&amp;"!B"&amp;ROW()-ROW($C$298)+4)=$B331</f>
        <v>1</v>
      </c>
      <c r="S331" s="99"/>
      <c r="T331" s="99" t="str">
        <f ca="1">IF(NOT(ISERROR(MATCH(K331,'Lookup Tables'!A:A,0))),"Lookup",IF(OR(NOT(ISERROR(FIND("Numeric",K331))),NOT(ISERROR(FIND("Percentage",K331))),NOT(ISERROR(FIND("Date",K331)))),"Numeric",IF(NOT(ISERROR(FIND("lank",K331))),"Non-blank",IF(NOT(ISERROR(FIND("Not evaluated",K331))),"Skipped","Other"))))</f>
        <v>Lookup</v>
      </c>
      <c r="U331" s="461">
        <f t="shared" ca="1" si="96"/>
        <v>0</v>
      </c>
      <c r="V331" s="461">
        <f t="shared" ca="1" si="97"/>
        <v>0.5</v>
      </c>
      <c r="W331" s="461">
        <f t="shared" ca="1" si="98"/>
        <v>0</v>
      </c>
      <c r="X331" s="461" t="str">
        <f t="shared" ca="1" si="99"/>
        <v/>
      </c>
      <c r="Y331" s="99">
        <f t="shared" si="89"/>
        <v>3</v>
      </c>
      <c r="Z331" s="99"/>
      <c r="AA331" s="99"/>
      <c r="AB331" s="99"/>
      <c r="AC331" s="159" t="s">
        <v>2230</v>
      </c>
      <c r="AD331" s="107">
        <f t="shared" ca="1" si="91"/>
        <v>0.5</v>
      </c>
      <c r="AE331" s="99" t="b">
        <f t="shared" ca="1" si="90"/>
        <v>0</v>
      </c>
      <c r="AF331" s="159" t="s">
        <v>2442</v>
      </c>
      <c r="AG331" s="783">
        <f>COUNTIF('VA Detailed Scorecard Config'!D:D,AF331)</f>
        <v>1</v>
      </c>
      <c r="AH331" s="99"/>
    </row>
    <row r="332" spans="2:34" ht="13.5" customHeight="1">
      <c r="B332" s="328" t="s">
        <v>1503</v>
      </c>
      <c r="C332" s="99" t="str">
        <f ca="1">IF(INDIRECT(C$30&amp;"!C"&amp;ROW()-ROW($C$298)+4)="","",INDIRECT(C$30&amp;"!C"&amp;ROW()-ROW($C$298)+4))</f>
        <v/>
      </c>
      <c r="D332" s="99" t="str">
        <f ca="1">IF(INDIRECT(D$30&amp;"!C"&amp;ROW()-ROW($C$298)+4)="","",INDIRECT(D$30&amp;"!C"&amp;ROW()-ROW($C$298)+4))</f>
        <v>CompSci bachelors or equivalent</v>
      </c>
      <c r="E332" s="99" t="str">
        <f ca="1">IF(INDIRECT(E$30&amp;"!C"&amp;ROW()-ROW($C$298)+4)="","",INDIRECT(E$30&amp;"!C"&amp;ROW()-ROW($C$298)+4))</f>
        <v/>
      </c>
      <c r="G332" s="99" t="str">
        <f ca="1">IF(INDIRECT(C$30&amp;"!D"&amp;ROW()-ROW($C$298)+4)="","",INDIRECT(C$30&amp;"!D"&amp;ROW()-ROW($C$298)+4))</f>
        <v/>
      </c>
      <c r="H332" s="99" t="str">
        <f ca="1">IF(INDIRECT(D$30&amp;"!D"&amp;ROW()-ROW($C$298)+4)="","",INDIRECT(D$30&amp;"!D"&amp;ROW()-ROW($C$298)+4))</f>
        <v/>
      </c>
      <c r="I332" s="99" t="str">
        <f ca="1">IF(INDIRECT(E$30&amp;"!D"&amp;ROW()-ROW($C$298)+4)="","",INDIRECT(E$30&amp;"!D"&amp;ROW()-ROW($C$298)+4))</f>
        <v/>
      </c>
      <c r="K332" s="99" t="str">
        <f ca="1">IF(INDIRECT(C$30&amp;"!E"&amp;ROW()-ROW($C$298)+4)="","",INDIRECT(C$30&amp;"!E"&amp;ROW()-ROW($C$298)+4))</f>
        <v>CompSci_Education</v>
      </c>
      <c r="L332" s="99" t="b">
        <f ca="1">IF(INDIRECT(C$30&amp;"!F"&amp;ROW()-ROW($C$298)+4)="","",INDIRECT(C$30&amp;"!F"&amp;ROW()-ROW($C$298)+4))</f>
        <v>0</v>
      </c>
      <c r="M332" s="99" t="b">
        <f ca="1">IF(INDIRECT(D$30&amp;"!F"&amp;ROW()-ROW($C$298)+4)="","",INDIRECT(D$30&amp;"!F"&amp;ROW()-ROW($C$298)+4))</f>
        <v>1</v>
      </c>
      <c r="N332" s="99" t="b">
        <f ca="1">IF(INDIRECT(E$30&amp;"!F"&amp;ROW()-ROW($C$298)+4)="","",INDIRECT(E$30&amp;"!F"&amp;ROW()-ROW($C$298)+4))</f>
        <v>0</v>
      </c>
      <c r="O332" s="99"/>
      <c r="P332" s="99" t="b">
        <f ca="1">INDIRECT(C$30&amp;"!B"&amp;ROW()-ROW($C$298)+4)=$B332</f>
        <v>1</v>
      </c>
      <c r="Q332" s="99" t="b">
        <f ca="1">INDIRECT(D$30&amp;"!B"&amp;ROW()-ROW($C$298)+4)=$B332</f>
        <v>1</v>
      </c>
      <c r="R332" s="99" t="b">
        <f ca="1">INDIRECT(E$30&amp;"!B"&amp;ROW()-ROW($C$298)+4)=$B332</f>
        <v>1</v>
      </c>
      <c r="S332" s="99"/>
      <c r="T332" s="99" t="str">
        <f ca="1">IF(NOT(ISERROR(MATCH(K332,'Lookup Tables'!A:A,0))),"Lookup",IF(OR(NOT(ISERROR(FIND("Numeric",K332))),NOT(ISERROR(FIND("Percentage",K332))),NOT(ISERROR(FIND("Date",K332)))),"Numeric",IF(NOT(ISERROR(FIND("lank",K332))),"Non-blank",IF(NOT(ISERROR(FIND("Not evaluated",K332))),"Skipped","Other"))))</f>
        <v>Lookup</v>
      </c>
      <c r="U332" s="461">
        <f t="shared" ca="1" si="96"/>
        <v>0</v>
      </c>
      <c r="V332" s="461">
        <f t="shared" ca="1" si="97"/>
        <v>0.8</v>
      </c>
      <c r="W332" s="461">
        <f t="shared" ca="1" si="98"/>
        <v>0</v>
      </c>
      <c r="X332" s="461" t="str">
        <f t="shared" ca="1" si="99"/>
        <v/>
      </c>
      <c r="Y332" s="99">
        <f t="shared" si="89"/>
        <v>3</v>
      </c>
      <c r="Z332" s="99"/>
      <c r="AA332" s="99"/>
      <c r="AB332" s="99"/>
      <c r="AC332" s="159" t="s">
        <v>2230</v>
      </c>
      <c r="AD332" s="107">
        <f t="shared" ca="1" si="91"/>
        <v>0.8</v>
      </c>
      <c r="AE332" s="99" t="b">
        <f t="shared" ca="1" si="90"/>
        <v>0</v>
      </c>
      <c r="AF332" s="159" t="s">
        <v>2443</v>
      </c>
      <c r="AG332" s="783">
        <f>COUNTIF('VA Detailed Scorecard Config'!D:D,AF332)</f>
        <v>1</v>
      </c>
      <c r="AH332" s="99"/>
    </row>
    <row r="333" spans="2:34" ht="13.5" customHeight="1">
      <c r="B333" s="328" t="s">
        <v>1931</v>
      </c>
      <c r="C333" s="99" t="str">
        <f ca="1">IF(INDIRECT(C$30&amp;"!C"&amp;ROW()-ROW($C$298)+4)="","",INDIRECT(C$30&amp;"!C"&amp;ROW()-ROW($C$298)+4))</f>
        <v>10+</v>
      </c>
      <c r="D333" s="99" t="str">
        <f ca="1">IF(INDIRECT(D$30&amp;"!C"&amp;ROW()-ROW($C$298)+4)="","",INDIRECT(D$30&amp;"!C"&amp;ROW()-ROW($C$298)+4))</f>
        <v>10+</v>
      </c>
      <c r="E333" s="99" t="str">
        <f ca="1">IF(INDIRECT(E$30&amp;"!C"&amp;ROW()-ROW($C$298)+4)="","",INDIRECT(E$30&amp;"!C"&amp;ROW()-ROW($C$298)+4))</f>
        <v>7-10</v>
      </c>
      <c r="G333" s="99" t="str">
        <f ca="1">IF(INDIRECT(C$30&amp;"!D"&amp;ROW()-ROW($C$298)+4)="","",INDIRECT(C$30&amp;"!D"&amp;ROW()-ROW($C$298)+4))</f>
        <v/>
      </c>
      <c r="H333" s="99" t="str">
        <f ca="1">IF(INDIRECT(D$30&amp;"!D"&amp;ROW()-ROW($C$298)+4)="","",INDIRECT(D$30&amp;"!D"&amp;ROW()-ROW($C$298)+4))</f>
        <v/>
      </c>
      <c r="I333" s="99" t="str">
        <f ca="1">IF(INDIRECT(E$30&amp;"!D"&amp;ROW()-ROW($C$298)+4)="","",INDIRECT(E$30&amp;"!D"&amp;ROW()-ROW($C$298)+4))</f>
        <v/>
      </c>
      <c r="K333" s="99" t="str">
        <f ca="1">IF(INDIRECT(C$30&amp;"!E"&amp;ROW()-ROW($C$298)+4)="","",INDIRECT(C$30&amp;"!E"&amp;ROW()-ROW($C$298)+4))</f>
        <v>Years_Experience</v>
      </c>
      <c r="L333" s="99" t="b">
        <f ca="1">IF(INDIRECT(C$30&amp;"!F"&amp;ROW()-ROW($C$298)+4)="","",INDIRECT(C$30&amp;"!F"&amp;ROW()-ROW($C$298)+4))</f>
        <v>1</v>
      </c>
      <c r="M333" s="99" t="b">
        <f ca="1">IF(INDIRECT(D$30&amp;"!F"&amp;ROW()-ROW($C$298)+4)="","",INDIRECT(D$30&amp;"!F"&amp;ROW()-ROW($C$298)+4))</f>
        <v>1</v>
      </c>
      <c r="N333" s="99" t="b">
        <f ca="1">IF(INDIRECT(E$30&amp;"!F"&amp;ROW()-ROW($C$298)+4)="","",INDIRECT(E$30&amp;"!F"&amp;ROW()-ROW($C$298)+4))</f>
        <v>1</v>
      </c>
      <c r="O333" s="99"/>
      <c r="P333" s="99" t="b">
        <f ca="1">INDIRECT(C$30&amp;"!B"&amp;ROW()-ROW($C$298)+4)=$B333</f>
        <v>1</v>
      </c>
      <c r="Q333" s="99" t="b">
        <f ca="1">INDIRECT(D$30&amp;"!B"&amp;ROW()-ROW($C$298)+4)=$B333</f>
        <v>1</v>
      </c>
      <c r="R333" s="99" t="b">
        <f ca="1">INDIRECT(E$30&amp;"!B"&amp;ROW()-ROW($C$298)+4)=$B333</f>
        <v>1</v>
      </c>
      <c r="S333" s="99"/>
      <c r="T333" s="99" t="str">
        <f ca="1">IF(NOT(ISERROR(MATCH(K333,'Lookup Tables'!A:A,0))),"Lookup",IF(OR(NOT(ISERROR(FIND("Numeric",K333))),NOT(ISERROR(FIND("Percentage",K333))),NOT(ISERROR(FIND("Date",K333)))),"Numeric",IF(NOT(ISERROR(FIND("lank",K333))),"Non-blank",IF(NOT(ISERROR(FIND("Not evaluated",K333))),"Skipped","Other"))))</f>
        <v>Lookup</v>
      </c>
      <c r="U333" s="461">
        <f t="shared" ca="1" si="96"/>
        <v>1</v>
      </c>
      <c r="V333" s="461">
        <f t="shared" ca="1" si="97"/>
        <v>1</v>
      </c>
      <c r="W333" s="461">
        <f t="shared" ca="1" si="98"/>
        <v>0.85</v>
      </c>
      <c r="X333" s="461" t="str">
        <f t="shared" ca="1" si="99"/>
        <v/>
      </c>
      <c r="Y333" s="99">
        <f t="shared" si="89"/>
        <v>3</v>
      </c>
      <c r="Z333" s="99"/>
      <c r="AA333" s="99"/>
      <c r="AB333" s="99"/>
      <c r="AC333" s="159" t="s">
        <v>2230</v>
      </c>
      <c r="AD333" s="107">
        <f t="shared" ca="1" si="91"/>
        <v>0.96250000000000002</v>
      </c>
      <c r="AE333" s="99" t="b">
        <f t="shared" ca="1" si="90"/>
        <v>0</v>
      </c>
      <c r="AF333" s="159" t="s">
        <v>2444</v>
      </c>
      <c r="AG333" s="783">
        <f>COUNTIF('VA Detailed Scorecard Config'!D:D,AF333)</f>
        <v>1</v>
      </c>
      <c r="AH333" s="99"/>
    </row>
    <row r="334" spans="2:34" ht="13.5" customHeight="1">
      <c r="B334" s="328" t="s">
        <v>1930</v>
      </c>
      <c r="C334" s="99" t="str">
        <f ca="1">IF(INDIRECT(C$30&amp;"!C"&amp;ROW()-ROW($C$298)+4)="","",INDIRECT(C$30&amp;"!C"&amp;ROW()-ROW($C$298)+4))</f>
        <v>Bachelors degree</v>
      </c>
      <c r="D334" s="99" t="str">
        <f ca="1">IF(INDIRECT(D$30&amp;"!C"&amp;ROW()-ROW($C$298)+4)="","",INDIRECT(D$30&amp;"!C"&amp;ROW()-ROW($C$298)+4))</f>
        <v>Masters degree</v>
      </c>
      <c r="E334" s="99" t="str">
        <f ca="1">IF(INDIRECT(E$30&amp;"!C"&amp;ROW()-ROW($C$298)+4)="","",INDIRECT(E$30&amp;"!C"&amp;ROW()-ROW($C$298)+4))</f>
        <v>Less than high school</v>
      </c>
      <c r="G334" s="99" t="str">
        <f ca="1">IF(INDIRECT(C$30&amp;"!D"&amp;ROW()-ROW($C$298)+4)="","",INDIRECT(C$30&amp;"!D"&amp;ROW()-ROW($C$298)+4))</f>
        <v/>
      </c>
      <c r="H334" s="99" t="str">
        <f ca="1">IF(INDIRECT(D$30&amp;"!D"&amp;ROW()-ROW($C$298)+4)="","",INDIRECT(D$30&amp;"!D"&amp;ROW()-ROW($C$298)+4))</f>
        <v/>
      </c>
      <c r="I334" s="99" t="str">
        <f ca="1">IF(INDIRECT(E$30&amp;"!D"&amp;ROW()-ROW($C$298)+4)="","",INDIRECT(E$30&amp;"!D"&amp;ROW()-ROW($C$298)+4))</f>
        <v/>
      </c>
      <c r="K334" s="99" t="str">
        <f ca="1">IF(INDIRECT(C$30&amp;"!E"&amp;ROW()-ROW($C$298)+4)="","",INDIRECT(C$30&amp;"!E"&amp;ROW()-ROW($C$298)+4))</f>
        <v>Education</v>
      </c>
      <c r="L334" s="99" t="b">
        <f ca="1">IF(INDIRECT(C$30&amp;"!F"&amp;ROW()-ROW($C$298)+4)="","",INDIRECT(C$30&amp;"!F"&amp;ROW()-ROW($C$298)+4))</f>
        <v>1</v>
      </c>
      <c r="M334" s="99" t="b">
        <f ca="1">IF(INDIRECT(D$30&amp;"!F"&amp;ROW()-ROW($C$298)+4)="","",INDIRECT(D$30&amp;"!F"&amp;ROW()-ROW($C$298)+4))</f>
        <v>1</v>
      </c>
      <c r="N334" s="99" t="b">
        <f ca="1">IF(INDIRECT(E$30&amp;"!F"&amp;ROW()-ROW($C$298)+4)="","",INDIRECT(E$30&amp;"!F"&amp;ROW()-ROW($C$298)+4))</f>
        <v>1</v>
      </c>
      <c r="O334" s="99"/>
      <c r="P334" s="99" t="b">
        <f ca="1">INDIRECT(C$30&amp;"!B"&amp;ROW()-ROW($C$298)+4)=$B334</f>
        <v>1</v>
      </c>
      <c r="Q334" s="99" t="b">
        <f ca="1">INDIRECT(D$30&amp;"!B"&amp;ROW()-ROW($C$298)+4)=$B334</f>
        <v>1</v>
      </c>
      <c r="R334" s="99" t="b">
        <f ca="1">INDIRECT(E$30&amp;"!B"&amp;ROW()-ROW($C$298)+4)=$B334</f>
        <v>1</v>
      </c>
      <c r="S334" s="99"/>
      <c r="T334" s="99" t="str">
        <f ca="1">IF(NOT(ISERROR(MATCH(K334,'Lookup Tables'!A:A,0))),"Lookup",IF(OR(NOT(ISERROR(FIND("Numeric",K334))),NOT(ISERROR(FIND("Percentage",K334))),NOT(ISERROR(FIND("Date",K334)))),"Numeric",IF(NOT(ISERROR(FIND("lank",K334))),"Non-blank",IF(NOT(ISERROR(FIND("Not evaluated",K334))),"Skipped","Other"))))</f>
        <v>Lookup</v>
      </c>
      <c r="U334" s="461">
        <f t="shared" ca="1" si="96"/>
        <v>0.5</v>
      </c>
      <c r="V334" s="461">
        <f t="shared" ca="1" si="97"/>
        <v>0.75</v>
      </c>
      <c r="W334" s="461">
        <f t="shared" ca="1" si="98"/>
        <v>0</v>
      </c>
      <c r="X334" s="461" t="str">
        <f t="shared" ca="1" si="99"/>
        <v/>
      </c>
      <c r="Y334" s="99">
        <f t="shared" si="89"/>
        <v>3</v>
      </c>
      <c r="Z334" s="99"/>
      <c r="AA334" s="99"/>
      <c r="AB334" s="99"/>
      <c r="AC334" s="159" t="s">
        <v>2230</v>
      </c>
      <c r="AD334" s="107">
        <f t="shared" ca="1" si="91"/>
        <v>0.4375</v>
      </c>
      <c r="AE334" s="99" t="b">
        <f t="shared" ca="1" si="90"/>
        <v>0</v>
      </c>
      <c r="AF334" s="159" t="s">
        <v>2445</v>
      </c>
      <c r="AG334" s="783">
        <f>COUNTIF('VA Detailed Scorecard Config'!D:D,AF334)</f>
        <v>1</v>
      </c>
      <c r="AH334" s="99"/>
    </row>
    <row r="335" spans="2:34" ht="13.5" customHeight="1">
      <c r="B335" s="328" t="s">
        <v>1933</v>
      </c>
      <c r="C335" s="99" t="str">
        <f ca="1">IF(INDIRECT(C$30&amp;"!C"&amp;ROW()-ROW($C$298)+4)="","",INDIRECT(C$30&amp;"!C"&amp;ROW()-ROW($C$298)+4))</f>
        <v>Yes</v>
      </c>
      <c r="D335" s="99" t="str">
        <f ca="1">IF(INDIRECT(D$30&amp;"!C"&amp;ROW()-ROW($C$298)+4)="","",INDIRECT(D$30&amp;"!C"&amp;ROW()-ROW($C$298)+4))</f>
        <v>Yes</v>
      </c>
      <c r="E335" s="99" t="str">
        <f ca="1">IF(INDIRECT(E$30&amp;"!C"&amp;ROW()-ROW($C$298)+4)="","",INDIRECT(E$30&amp;"!C"&amp;ROW()-ROW($C$298)+4))</f>
        <v>Yes</v>
      </c>
      <c r="G335" s="99" t="str">
        <f ca="1">IF(INDIRECT(C$30&amp;"!D"&amp;ROW()-ROW($C$298)+4)="","",INDIRECT(C$30&amp;"!D"&amp;ROW()-ROW($C$298)+4))</f>
        <v/>
      </c>
      <c r="H335" s="99" t="str">
        <f ca="1">IF(INDIRECT(D$30&amp;"!D"&amp;ROW()-ROW($C$298)+4)="","",INDIRECT(D$30&amp;"!D"&amp;ROW()-ROW($C$298)+4))</f>
        <v/>
      </c>
      <c r="I335" s="99" t="str">
        <f ca="1">IF(INDIRECT(E$30&amp;"!D"&amp;ROW()-ROW($C$298)+4)="","",INDIRECT(E$30&amp;"!D"&amp;ROW()-ROW($C$298)+4))</f>
        <v/>
      </c>
      <c r="K335" s="99" t="str">
        <f ca="1">IF(INDIRECT(C$30&amp;"!E"&amp;ROW()-ROW($C$298)+4)="","",INDIRECT(C$30&amp;"!E"&amp;ROW()-ROW($C$298)+4))</f>
        <v>YES_No</v>
      </c>
      <c r="L335" s="99" t="b">
        <f ca="1">IF(INDIRECT(C$30&amp;"!F"&amp;ROW()-ROW($C$298)+4)="","",INDIRECT(C$30&amp;"!F"&amp;ROW()-ROW($C$298)+4))</f>
        <v>1</v>
      </c>
      <c r="M335" s="99" t="b">
        <f ca="1">IF(INDIRECT(D$30&amp;"!F"&amp;ROW()-ROW($C$298)+4)="","",INDIRECT(D$30&amp;"!F"&amp;ROW()-ROW($C$298)+4))</f>
        <v>1</v>
      </c>
      <c r="N335" s="99" t="b">
        <f ca="1">IF(INDIRECT(E$30&amp;"!F"&amp;ROW()-ROW($C$298)+4)="","",INDIRECT(E$30&amp;"!F"&amp;ROW()-ROW($C$298)+4))</f>
        <v>1</v>
      </c>
      <c r="O335" s="99"/>
      <c r="P335" s="99" t="b">
        <f ca="1">INDIRECT(C$30&amp;"!B"&amp;ROW()-ROW($C$298)+4)=$B335</f>
        <v>1</v>
      </c>
      <c r="Q335" s="99" t="b">
        <f ca="1">INDIRECT(D$30&amp;"!B"&amp;ROW()-ROW($C$298)+4)=$B335</f>
        <v>1</v>
      </c>
      <c r="R335" s="99" t="b">
        <f ca="1">INDIRECT(E$30&amp;"!B"&amp;ROW()-ROW($C$298)+4)=$B335</f>
        <v>1</v>
      </c>
      <c r="S335" s="99"/>
      <c r="T335" s="99" t="str">
        <f ca="1">IF(NOT(ISERROR(MATCH(K335,'Lookup Tables'!A:A,0))),"Lookup",IF(OR(NOT(ISERROR(FIND("Numeric",K335))),NOT(ISERROR(FIND("Percentage",K335))),NOT(ISERROR(FIND("Date",K335)))),"Numeric",IF(NOT(ISERROR(FIND("lank",K335))),"Non-blank",IF(NOT(ISERROR(FIND("Not evaluated",K335))),"Skipped","Other"))))</f>
        <v>Lookup</v>
      </c>
      <c r="U335" s="461">
        <f t="shared" ca="1" si="96"/>
        <v>1</v>
      </c>
      <c r="V335" s="461">
        <f t="shared" ca="1" si="97"/>
        <v>1</v>
      </c>
      <c r="W335" s="461">
        <f t="shared" ca="1" si="98"/>
        <v>1</v>
      </c>
      <c r="X335" s="461" t="str">
        <f t="shared" ca="1" si="99"/>
        <v/>
      </c>
      <c r="Y335" s="99">
        <f t="shared" si="89"/>
        <v>3</v>
      </c>
      <c r="Z335" s="99"/>
      <c r="AA335" s="99"/>
      <c r="AB335" s="99"/>
      <c r="AC335" s="159" t="s">
        <v>2230</v>
      </c>
      <c r="AD335" s="107">
        <f t="shared" ca="1" si="91"/>
        <v>1</v>
      </c>
      <c r="AE335" s="99" t="b">
        <f t="shared" ca="1" si="90"/>
        <v>0</v>
      </c>
      <c r="AF335" s="159" t="s">
        <v>2446</v>
      </c>
      <c r="AG335" s="783">
        <f>COUNTIF('VA Detailed Scorecard Config'!D:D,AF335)</f>
        <v>0</v>
      </c>
      <c r="AH335" s="99"/>
    </row>
    <row r="336" spans="2:34" ht="13.5" customHeight="1">
      <c r="AF336" s="137"/>
      <c r="AG336" s="775"/>
    </row>
    <row r="337" spans="1:34" ht="13.5" customHeight="1">
      <c r="B337" s="707" t="s">
        <v>2007</v>
      </c>
      <c r="C337" s="708"/>
      <c r="D337" s="708"/>
      <c r="E337" s="708"/>
      <c r="F337" s="708"/>
      <c r="G337" s="708"/>
      <c r="H337" s="708"/>
      <c r="I337" s="708"/>
      <c r="J337" s="708"/>
      <c r="K337" s="708"/>
      <c r="L337" s="708"/>
      <c r="M337" s="708"/>
      <c r="N337" s="708"/>
      <c r="O337" s="709"/>
      <c r="P337" s="583" t="s">
        <v>1981</v>
      </c>
      <c r="Q337" s="583"/>
      <c r="R337" s="583"/>
      <c r="S337" s="726"/>
      <c r="T337" s="579" t="s">
        <v>2169</v>
      </c>
      <c r="U337" s="579" t="s">
        <v>2174</v>
      </c>
      <c r="V337" s="579"/>
      <c r="W337" s="579"/>
      <c r="X337" s="579"/>
      <c r="Y337" s="580" t="s">
        <v>2181</v>
      </c>
      <c r="Z337" s="582" t="s">
        <v>2182</v>
      </c>
      <c r="AA337" s="582"/>
      <c r="AB337" s="582"/>
      <c r="AC337" s="581" t="s">
        <v>2197</v>
      </c>
      <c r="AD337" s="581" t="s">
        <v>2225</v>
      </c>
      <c r="AE337" s="581" t="s">
        <v>2226</v>
      </c>
      <c r="AF337" s="767" t="s">
        <v>2246</v>
      </c>
      <c r="AG337" s="764" t="s">
        <v>2278</v>
      </c>
      <c r="AH337" s="767" t="s">
        <v>2277</v>
      </c>
    </row>
    <row r="338" spans="1:34" ht="13.5" customHeight="1">
      <c r="B338" s="421" t="s">
        <v>4</v>
      </c>
      <c r="C338" s="408" t="s">
        <v>1989</v>
      </c>
      <c r="D338" s="408" t="s">
        <v>1990</v>
      </c>
      <c r="E338" s="408" t="s">
        <v>2028</v>
      </c>
      <c r="F338" s="408" t="s">
        <v>2029</v>
      </c>
      <c r="G338" s="408" t="s">
        <v>1991</v>
      </c>
      <c r="H338" s="408" t="s">
        <v>1992</v>
      </c>
      <c r="I338" s="408" t="s">
        <v>2030</v>
      </c>
      <c r="J338" s="408" t="s">
        <v>2031</v>
      </c>
      <c r="K338" s="410" t="s">
        <v>1988</v>
      </c>
      <c r="L338" s="410" t="s">
        <v>2219</v>
      </c>
      <c r="M338" s="410" t="s">
        <v>2220</v>
      </c>
      <c r="N338" s="410" t="s">
        <v>2221</v>
      </c>
      <c r="O338" s="410" t="s">
        <v>2222</v>
      </c>
      <c r="P338" s="423" t="s">
        <v>1993</v>
      </c>
      <c r="Q338" s="423" t="s">
        <v>1994</v>
      </c>
      <c r="R338" s="423" t="s">
        <v>1995</v>
      </c>
      <c r="S338" s="727" t="s">
        <v>1996</v>
      </c>
      <c r="T338" s="579"/>
      <c r="U338" s="190" t="s">
        <v>1993</v>
      </c>
      <c r="V338" s="190" t="s">
        <v>1994</v>
      </c>
      <c r="W338" s="190" t="s">
        <v>1995</v>
      </c>
      <c r="X338" s="190" t="s">
        <v>1996</v>
      </c>
      <c r="Y338" s="581"/>
      <c r="Z338" s="381" t="s">
        <v>2183</v>
      </c>
      <c r="AA338" s="381" t="s">
        <v>2184</v>
      </c>
      <c r="AB338" s="381" t="s">
        <v>2185</v>
      </c>
      <c r="AC338" s="769"/>
      <c r="AD338" s="769"/>
      <c r="AE338" s="769"/>
      <c r="AF338" s="768"/>
      <c r="AG338" s="766"/>
      <c r="AH338" s="768"/>
    </row>
    <row r="339" spans="1:34" ht="13.5" customHeight="1">
      <c r="A339" s="102" t="s">
        <v>2231</v>
      </c>
      <c r="B339" s="159" t="s">
        <v>2218</v>
      </c>
      <c r="C339" s="99" t="str">
        <f ca="1">IF(INDIRECT(C$35&amp;"!C"&amp;ROW()-ROW($C$339)+4)="","",INDIRECT(C$35&amp;"!C"&amp;ROW()-ROW($C$339)+4))</f>
        <v>Wakko Warner</v>
      </c>
      <c r="D339" s="99" t="str">
        <f ca="1">IF(INDIRECT(D$35&amp;"!C"&amp;ROW()-ROW($C$339)+4)="","",INDIRECT(D$35&amp;"!C"&amp;ROW()-ROW($C$339)+4))</f>
        <v>Yakko Warner</v>
      </c>
      <c r="E339" s="99" t="str">
        <f ca="1">IF(INDIRECT(E$35&amp;"!C"&amp;ROW()-ROW($C$339)+4)="","",INDIRECT(E$35&amp;"!C"&amp;ROW()-ROW($C$339)+4))</f>
        <v>Dot Warner</v>
      </c>
      <c r="G339" s="99" t="str">
        <f ca="1">IF(INDIRECT(C$35&amp;"!D"&amp;ROW()-ROW($C$339)+4)="","",INDIRECT(C$35&amp;"!D"&amp;ROW()-ROW($C$339)+4))</f>
        <v/>
      </c>
      <c r="H339" s="99" t="str">
        <f ca="1">IF(INDIRECT(D$35&amp;"!D"&amp;ROW()-ROW($C$339)+4)="","",INDIRECT(D$35&amp;"!D"&amp;ROW()-ROW($C$339)+4))</f>
        <v/>
      </c>
      <c r="I339" s="99" t="str">
        <f ca="1">IF(INDIRECT(E$35&amp;"!D"&amp;ROW()-ROW($C$339)+4)="","",INDIRECT(E$35&amp;"!D"&amp;ROW()-ROW($C$339)+4))</f>
        <v/>
      </c>
      <c r="K339" s="99" t="str">
        <f ca="1">IF(INDIRECT(C$35&amp;"!E"&amp;ROW()-ROW($C$339)+4)="","",INDIRECT(C$35&amp;"!E"&amp;ROW()-ROW($C$339)+4))</f>
        <v>Not evaluated</v>
      </c>
      <c r="L339" s="99" t="b">
        <f ca="1">IF(INDIRECT(C$35&amp;"!F"&amp;ROW()-ROW($C$339)+4)="","",INDIRECT(C$35&amp;"!F"&amp;ROW()-ROW($C$339)+4))</f>
        <v>1</v>
      </c>
      <c r="M339" s="99" t="b">
        <f ca="1">IF(INDIRECT(D$35&amp;"!F"&amp;ROW()-ROW($C$339)+4)="","",INDIRECT(D$35&amp;"!F"&amp;ROW()-ROW($C$339)+4))</f>
        <v>1</v>
      </c>
      <c r="N339" s="99" t="b">
        <f ca="1">IF(INDIRECT(E$35&amp;"!F"&amp;ROW()-ROW($C$339)+4)="","",INDIRECT(E$35&amp;"!F"&amp;ROW()-ROW($C$339)+4))</f>
        <v>1</v>
      </c>
      <c r="O339" s="99"/>
      <c r="P339" s="99" t="b">
        <f ca="1">INDIRECT(C$35&amp;"!B"&amp;ROW()-ROW($C$339)+4)=$B339</f>
        <v>1</v>
      </c>
      <c r="Q339" s="99" t="b">
        <f ca="1">INDIRECT(D$35&amp;"!B"&amp;ROW()-ROW($C$339)+4)=$B339</f>
        <v>1</v>
      </c>
      <c r="R339" s="99" t="b">
        <f ca="1">INDIRECT(E$35&amp;"!B"&amp;ROW()-ROW($C$339)+4)=$B339</f>
        <v>1</v>
      </c>
      <c r="S339" s="137"/>
      <c r="T339" s="99" t="str">
        <f ca="1">IF(NOT(ISERROR(MATCH(K339,'Lookup Tables'!A:A,0))),"Lookup",IF(OR(NOT(ISERROR(FIND("Numeric",K339))),NOT(ISERROR(FIND("Percentage",K339))),NOT(ISERROR(FIND("Date",K339)))),"Numeric",IF(NOT(ISERROR(FIND("lank",K339))),"Non-blank",IF(NOT(ISERROR(FIND("Not evaluated",K339))),"Skipped","Other"))))</f>
        <v>Skipped</v>
      </c>
      <c r="U339" s="99"/>
      <c r="V339" s="99"/>
      <c r="W339" s="99"/>
      <c r="X339" s="99"/>
      <c r="Y339" s="99">
        <f>COUNTA($C$35:$F$35)</f>
        <v>3</v>
      </c>
      <c r="Z339" s="99"/>
      <c r="AA339" s="99"/>
      <c r="AB339" s="99"/>
      <c r="AC339" s="159"/>
      <c r="AD339" s="99"/>
      <c r="AE339" s="99"/>
      <c r="AF339" s="99"/>
      <c r="AG339" s="248"/>
      <c r="AH339" s="99"/>
    </row>
    <row r="340" spans="1:34" ht="13.5" customHeight="1">
      <c r="A340" s="102">
        <f ca="1">IFERROR(MATCH($C$149,$C$339:$E$339,0),0)</f>
        <v>1</v>
      </c>
      <c r="B340" s="159" t="s">
        <v>1441</v>
      </c>
      <c r="C340" s="99" t="str">
        <f ca="1">IF(INDIRECT(C$35&amp;"!C"&amp;ROW()-ROW($C$339)+4)="","",INDIRECT(C$35&amp;"!C"&amp;ROW()-ROW($C$339)+4))</f>
        <v>Yes</v>
      </c>
      <c r="D340" s="99" t="str">
        <f ca="1">IF(INDIRECT(D$35&amp;"!C"&amp;ROW()-ROW($C$339)+4)="","",INDIRECT(D$35&amp;"!C"&amp;ROW()-ROW($C$339)+4))</f>
        <v>Yes</v>
      </c>
      <c r="E340" s="99" t="str">
        <f ca="1">IF(INDIRECT(E$35&amp;"!C"&amp;ROW()-ROW($C$339)+4)="","",INDIRECT(E$35&amp;"!C"&amp;ROW()-ROW($C$339)+4))</f>
        <v>Yes</v>
      </c>
      <c r="G340" s="99"/>
      <c r="H340" s="99"/>
      <c r="I340" s="99"/>
      <c r="K340" s="99" t="str">
        <f ca="1">IF(INDIRECT(C$35&amp;"!E"&amp;ROW()-ROW($C$339)+4)="","",INDIRECT(C$35&amp;"!E"&amp;ROW()-ROW($C$339)+4))</f>
        <v>YES_No</v>
      </c>
      <c r="L340" s="99" t="b">
        <f ca="1">IF(INDIRECT(C$35&amp;"!F"&amp;ROW()-ROW($C$339)+4)="","",INDIRECT(C$35&amp;"!F"&amp;ROW()-ROW($C$339)+4))</f>
        <v>1</v>
      </c>
      <c r="M340" s="99" t="b">
        <f ca="1">IF(INDIRECT(D$35&amp;"!F"&amp;ROW()-ROW($C$339)+4)="","",INDIRECT(D$35&amp;"!F"&amp;ROW()-ROW($C$339)+4))</f>
        <v>1</v>
      </c>
      <c r="N340" s="99" t="b">
        <f ca="1">IF(INDIRECT(E$35&amp;"!F"&amp;ROW()-ROW($C$339)+4)="","",INDIRECT(E$35&amp;"!F"&amp;ROW()-ROW($C$339)+4))</f>
        <v>1</v>
      </c>
      <c r="O340" s="99"/>
      <c r="P340" s="99" t="b">
        <f ca="1">INDIRECT(C$35&amp;"!B"&amp;ROW()-ROW($C$339)+4)=$B340</f>
        <v>1</v>
      </c>
      <c r="Q340" s="99" t="b">
        <f ca="1">INDIRECT(D$35&amp;"!B"&amp;ROW()-ROW($C$339)+4)=$B340</f>
        <v>1</v>
      </c>
      <c r="R340" s="99" t="b">
        <f ca="1">INDIRECT(E$35&amp;"!B"&amp;ROW()-ROW($C$339)+4)=$B340</f>
        <v>1</v>
      </c>
      <c r="S340" s="137"/>
      <c r="T340" s="99" t="str">
        <f ca="1">IF(NOT(ISERROR(MATCH(K340,'Lookup Tables'!A:A,0))),"Lookup",IF(OR(NOT(ISERROR(FIND("Numeric",K340))),NOT(ISERROR(FIND("Percentage",K340))),NOT(ISERROR(FIND("Date",K340)))),"Numeric",IF(NOT(ISERROR(FIND("lank",K340))),"Non-blank",IF(NOT(ISERROR(FIND("Not evaluated",K340))),"Skipped","Other"))))</f>
        <v>Lookup</v>
      </c>
      <c r="U340" s="461">
        <f t="shared" ref="U340:U342" ca="1" si="100">IF(COLUMN()-COLUMN($U$55)+1&lt;=$Y340,INDEX(OFFSET(INDIRECT($K340),0,1),MATCH(C340,INDIRECT($K340),0)),"")</f>
        <v>1</v>
      </c>
      <c r="V340" s="461">
        <f t="shared" ref="V340:V342" ca="1" si="101">IF(COLUMN()-COLUMN($U$55)+1&lt;=$Y340,INDEX(OFFSET(INDIRECT($K340),0,1),MATCH(D340,INDIRECT($K340),0)),"")</f>
        <v>1</v>
      </c>
      <c r="W340" s="461">
        <f t="shared" ref="W340:W342" ca="1" si="102">IF(COLUMN()-COLUMN($U$55)+1&lt;=$Y340,INDEX(OFFSET(INDIRECT($K340),0,1),MATCH(E340,INDIRECT($K340),0)),"")</f>
        <v>1</v>
      </c>
      <c r="X340" s="461" t="str">
        <f t="shared" ref="X340:X342" ca="1" si="103">IF(COLUMN()-COLUMN($U$55)+1&lt;=$Y340,INDEX(OFFSET(INDIRECT($K340),0,1),MATCH(F340,INDIRECT($K340),0)),"")</f>
        <v/>
      </c>
      <c r="Y340" s="99">
        <f t="shared" ref="Y340:Y361" si="104">COUNTA($C$35:$F$35)</f>
        <v>3</v>
      </c>
      <c r="Z340" s="99"/>
      <c r="AA340" s="99"/>
      <c r="AB340" s="99"/>
      <c r="AC340" s="159" t="s">
        <v>2232</v>
      </c>
      <c r="AD340" s="107">
        <f t="shared" ref="AD340:AD344" ca="1" si="105">IFERROR((SUMPRODUCT(U340:X340,$C$362:$F$362)+IF($A$340&gt;0,OFFSET($B$362,0,$A$340)*OFFSET(T340,0,$A$340)*OFFSET(K340,0,$A$340),0))/(SUMIF(L340:O340,TRUE,$C$362:$E$362)+IF($A$340&gt;0,OFFSET($B$362,0,$A$340)*OFFSET(K340,0,$A$340))),AVERAGE(U340:X340))</f>
        <v>1</v>
      </c>
      <c r="AE340" s="99" t="b">
        <f t="shared" ref="AE340:AE344" ca="1" si="106">NOT(OR(L340:O340))</f>
        <v>0</v>
      </c>
      <c r="AF340" s="159" t="s">
        <v>2447</v>
      </c>
      <c r="AG340" s="783">
        <f>COUNTIF('VA Detailed Scorecard Config'!D:D,AF340)</f>
        <v>0</v>
      </c>
      <c r="AH340" s="159" t="s">
        <v>2236</v>
      </c>
    </row>
    <row r="341" spans="1:34" ht="13.5" customHeight="1">
      <c r="B341" s="159" t="s">
        <v>1442</v>
      </c>
      <c r="C341" s="99" t="str">
        <f ca="1">IF(INDIRECT(C$35&amp;"!C"&amp;ROW()-ROW($C$339)+4)="","",INDIRECT(C$35&amp;"!C"&amp;ROW()-ROW($C$339)+4))</f>
        <v>Yes</v>
      </c>
      <c r="D341" s="99" t="str">
        <f ca="1">IF(INDIRECT(D$35&amp;"!C"&amp;ROW()-ROW($C$339)+4)="","",INDIRECT(D$35&amp;"!C"&amp;ROW()-ROW($C$339)+4))</f>
        <v>Yes</v>
      </c>
      <c r="E341" s="99" t="str">
        <f ca="1">IF(INDIRECT(E$35&amp;"!C"&amp;ROW()-ROW($C$339)+4)="","",INDIRECT(E$35&amp;"!C"&amp;ROW()-ROW($C$339)+4))</f>
        <v>Yes</v>
      </c>
      <c r="G341" s="99" t="str">
        <f ca="1">IF(INDIRECT(C$35&amp;"!D"&amp;ROW()-ROW($C$339)+4)="","",INDIRECT(C$35&amp;"!D"&amp;ROW()-ROW($C$339)+4))</f>
        <v/>
      </c>
      <c r="H341" s="99" t="str">
        <f ca="1">IF(INDIRECT(D$35&amp;"!D"&amp;ROW()-ROW($C$339)+4)="","",INDIRECT(D$35&amp;"!D"&amp;ROW()-ROW($C$339)+4))</f>
        <v/>
      </c>
      <c r="I341" s="99" t="str">
        <f ca="1">IF(INDIRECT(E$35&amp;"!D"&amp;ROW()-ROW($C$339)+4)="","",INDIRECT(E$35&amp;"!D"&amp;ROW()-ROW($C$339)+4))</f>
        <v/>
      </c>
      <c r="K341" s="99" t="str">
        <f ca="1">IF(INDIRECT(C$35&amp;"!E"&amp;ROW()-ROW($C$339)+4)="","",INDIRECT(C$35&amp;"!E"&amp;ROW()-ROW($C$339)+4))</f>
        <v>YES_No</v>
      </c>
      <c r="L341" s="99" t="b">
        <f ca="1">IF(INDIRECT(C$35&amp;"!F"&amp;ROW()-ROW($C$339)+4)="","",INDIRECT(C$35&amp;"!F"&amp;ROW()-ROW($C$339)+4))</f>
        <v>1</v>
      </c>
      <c r="M341" s="99" t="b">
        <f ca="1">IF(INDIRECT(D$35&amp;"!F"&amp;ROW()-ROW($C$339)+4)="","",INDIRECT(D$35&amp;"!F"&amp;ROW()-ROW($C$339)+4))</f>
        <v>1</v>
      </c>
      <c r="N341" s="99" t="b">
        <f ca="1">IF(INDIRECT(E$35&amp;"!F"&amp;ROW()-ROW($C$339)+4)="","",INDIRECT(E$35&amp;"!F"&amp;ROW()-ROW($C$339)+4))</f>
        <v>1</v>
      </c>
      <c r="O341" s="99"/>
      <c r="P341" s="99" t="b">
        <f ca="1">INDIRECT(C$35&amp;"!B"&amp;ROW()-ROW($C$339)+4)=$B341</f>
        <v>1</v>
      </c>
      <c r="Q341" s="99" t="b">
        <f ca="1">INDIRECT(D$35&amp;"!B"&amp;ROW()-ROW($C$339)+4)=$B341</f>
        <v>1</v>
      </c>
      <c r="R341" s="99" t="b">
        <f ca="1">INDIRECT(E$35&amp;"!B"&amp;ROW()-ROW($C$339)+4)=$B341</f>
        <v>1</v>
      </c>
      <c r="S341" s="137"/>
      <c r="T341" s="99" t="str">
        <f ca="1">IF(NOT(ISERROR(MATCH(K341,'Lookup Tables'!A:A,0))),"Lookup",IF(OR(NOT(ISERROR(FIND("Numeric",K341))),NOT(ISERROR(FIND("Percentage",K341))),NOT(ISERROR(FIND("Date",K341)))),"Numeric",IF(NOT(ISERROR(FIND("lank",K341))),"Non-blank",IF(NOT(ISERROR(FIND("Not evaluated",K341))),"Skipped","Other"))))</f>
        <v>Lookup</v>
      </c>
      <c r="U341" s="461">
        <f t="shared" ca="1" si="100"/>
        <v>1</v>
      </c>
      <c r="V341" s="461">
        <f t="shared" ca="1" si="101"/>
        <v>1</v>
      </c>
      <c r="W341" s="461">
        <f t="shared" ca="1" si="102"/>
        <v>1</v>
      </c>
      <c r="X341" s="461" t="str">
        <f t="shared" ca="1" si="103"/>
        <v/>
      </c>
      <c r="Y341" s="99">
        <f t="shared" si="104"/>
        <v>3</v>
      </c>
      <c r="Z341" s="99"/>
      <c r="AA341" s="99"/>
      <c r="AB341" s="99"/>
      <c r="AC341" s="159" t="s">
        <v>2232</v>
      </c>
      <c r="AD341" s="107">
        <f t="shared" ca="1" si="105"/>
        <v>1</v>
      </c>
      <c r="AE341" s="99" t="b">
        <f t="shared" ca="1" si="106"/>
        <v>0</v>
      </c>
      <c r="AF341" s="159" t="s">
        <v>2448</v>
      </c>
      <c r="AG341" s="783">
        <f>COUNTIF('VA Detailed Scorecard Config'!D:D,AF341)</f>
        <v>0</v>
      </c>
      <c r="AH341" s="99"/>
    </row>
    <row r="342" spans="1:34" ht="13.5" customHeight="1">
      <c r="B342" s="159" t="s">
        <v>1443</v>
      </c>
      <c r="C342" s="99" t="str">
        <f ca="1">IF(INDIRECT(C$35&amp;"!C"&amp;ROW()-ROW($C$339)+4)="","",INDIRECT(C$35&amp;"!C"&amp;ROW()-ROW($C$339)+4))</f>
        <v>No</v>
      </c>
      <c r="D342" s="99" t="str">
        <f ca="1">IF(INDIRECT(D$35&amp;"!C"&amp;ROW()-ROW($C$339)+4)="","",INDIRECT(D$35&amp;"!C"&amp;ROW()-ROW($C$339)+4))</f>
        <v>Yes</v>
      </c>
      <c r="E342" s="99" t="str">
        <f ca="1">IF(INDIRECT(E$35&amp;"!C"&amp;ROW()-ROW($C$339)+4)="","",INDIRECT(E$35&amp;"!C"&amp;ROW()-ROW($C$339)+4))</f>
        <v>No</v>
      </c>
      <c r="G342" s="99" t="str">
        <f ca="1">IF(INDIRECT(C$35&amp;"!D"&amp;ROW()-ROW($C$339)+4)="","",INDIRECT(C$35&amp;"!D"&amp;ROW()-ROW($C$339)+4))</f>
        <v/>
      </c>
      <c r="H342" s="99" t="str">
        <f ca="1">IF(INDIRECT(D$35&amp;"!D"&amp;ROW()-ROW($C$339)+4)="","",INDIRECT(D$35&amp;"!D"&amp;ROW()-ROW($C$339)+4))</f>
        <v/>
      </c>
      <c r="I342" s="99" t="str">
        <f ca="1">IF(INDIRECT(E$35&amp;"!D"&amp;ROW()-ROW($C$339)+4)="","",INDIRECT(E$35&amp;"!D"&amp;ROW()-ROW($C$339)+4))</f>
        <v/>
      </c>
      <c r="K342" s="99" t="str">
        <f ca="1">IF(INDIRECT(C$35&amp;"!E"&amp;ROW()-ROW($C$339)+4)="","",INDIRECT(C$35&amp;"!E"&amp;ROW()-ROW($C$339)+4))</f>
        <v>YES_No</v>
      </c>
      <c r="L342" s="99" t="b">
        <f ca="1">IF(INDIRECT(C$35&amp;"!F"&amp;ROW()-ROW($C$339)+4)="","",INDIRECT(C$35&amp;"!F"&amp;ROW()-ROW($C$339)+4))</f>
        <v>1</v>
      </c>
      <c r="M342" s="99" t="b">
        <f ca="1">IF(INDIRECT(D$35&amp;"!F"&amp;ROW()-ROW($C$339)+4)="","",INDIRECT(D$35&amp;"!F"&amp;ROW()-ROW($C$339)+4))</f>
        <v>1</v>
      </c>
      <c r="N342" s="99" t="b">
        <f ca="1">IF(INDIRECT(E$35&amp;"!F"&amp;ROW()-ROW($C$339)+4)="","",INDIRECT(E$35&amp;"!F"&amp;ROW()-ROW($C$339)+4))</f>
        <v>1</v>
      </c>
      <c r="O342" s="99"/>
      <c r="P342" s="99" t="b">
        <f ca="1">INDIRECT(C$35&amp;"!B"&amp;ROW()-ROW($C$339)+4)=$B342</f>
        <v>1</v>
      </c>
      <c r="Q342" s="99" t="b">
        <f ca="1">INDIRECT(D$35&amp;"!B"&amp;ROW()-ROW($C$339)+4)=$B342</f>
        <v>1</v>
      </c>
      <c r="R342" s="99" t="b">
        <f ca="1">INDIRECT(E$35&amp;"!B"&amp;ROW()-ROW($C$339)+4)=$B342</f>
        <v>1</v>
      </c>
      <c r="S342" s="137"/>
      <c r="T342" s="99" t="str">
        <f ca="1">IF(NOT(ISERROR(MATCH(K342,'Lookup Tables'!A:A,0))),"Lookup",IF(OR(NOT(ISERROR(FIND("Numeric",K342))),NOT(ISERROR(FIND("Percentage",K342))),NOT(ISERROR(FIND("Date",K342)))),"Numeric",IF(NOT(ISERROR(FIND("lank",K342))),"Non-blank",IF(NOT(ISERROR(FIND("Not evaluated",K342))),"Skipped","Other"))))</f>
        <v>Lookup</v>
      </c>
      <c r="U342" s="461">
        <f t="shared" ca="1" si="100"/>
        <v>0</v>
      </c>
      <c r="V342" s="461">
        <f t="shared" ca="1" si="101"/>
        <v>1</v>
      </c>
      <c r="W342" s="461">
        <f t="shared" ca="1" si="102"/>
        <v>0</v>
      </c>
      <c r="X342" s="461" t="str">
        <f t="shared" ca="1" si="103"/>
        <v/>
      </c>
      <c r="Y342" s="99">
        <f t="shared" si="104"/>
        <v>3</v>
      </c>
      <c r="Z342" s="99"/>
      <c r="AA342" s="99"/>
      <c r="AB342" s="99"/>
      <c r="AC342" s="159" t="s">
        <v>2232</v>
      </c>
      <c r="AD342" s="107">
        <f t="shared" ca="1" si="105"/>
        <v>0.16666666666666666</v>
      </c>
      <c r="AE342" s="99" t="b">
        <f t="shared" ca="1" si="106"/>
        <v>0</v>
      </c>
      <c r="AF342" s="159" t="s">
        <v>2449</v>
      </c>
      <c r="AG342" s="783">
        <f>COUNTIF('VA Detailed Scorecard Config'!D:D,AF342)</f>
        <v>0</v>
      </c>
      <c r="AH342" s="99"/>
    </row>
    <row r="343" spans="1:34" ht="13.5" customHeight="1">
      <c r="B343" s="159" t="s">
        <v>1444</v>
      </c>
      <c r="C343" s="99" t="str">
        <f ca="1">IF(INDIRECT(C$35&amp;"!C"&amp;ROW()-ROW($C$339)+4)="","",INDIRECT(C$35&amp;"!C"&amp;ROW()-ROW($C$339)+4))</f>
        <v>Yes</v>
      </c>
      <c r="D343" s="99" t="str">
        <f ca="1">IF(INDIRECT(D$35&amp;"!C"&amp;ROW()-ROW($C$339)+4)="","",INDIRECT(D$35&amp;"!C"&amp;ROW()-ROW($C$339)+4))</f>
        <v>Yes</v>
      </c>
      <c r="E343" s="99" t="str">
        <f ca="1">IF(INDIRECT(E$35&amp;"!C"&amp;ROW()-ROW($C$339)+4)="","",INDIRECT(E$35&amp;"!C"&amp;ROW()-ROW($C$339)+4))</f>
        <v>Yes</v>
      </c>
      <c r="G343" s="99" t="str">
        <f ca="1">IF(INDIRECT(C$35&amp;"!D"&amp;ROW()-ROW($C$339)+4)="","",INDIRECT(C$35&amp;"!D"&amp;ROW()-ROW($C$339)+4))</f>
        <v/>
      </c>
      <c r="H343" s="99" t="str">
        <f ca="1">IF(INDIRECT(D$35&amp;"!D"&amp;ROW()-ROW($C$339)+4)="","",INDIRECT(D$35&amp;"!D"&amp;ROW()-ROW($C$339)+4))</f>
        <v/>
      </c>
      <c r="I343" s="99" t="str">
        <f ca="1">IF(INDIRECT(E$35&amp;"!D"&amp;ROW()-ROW($C$339)+4)="","",INDIRECT(E$35&amp;"!D"&amp;ROW()-ROW($C$339)+4))</f>
        <v/>
      </c>
      <c r="K343" s="99" t="str">
        <f ca="1">IF(INDIRECT(C$35&amp;"!E"&amp;ROW()-ROW($C$339)+4)="","",INDIRECT(C$35&amp;"!E"&amp;ROW()-ROW($C$339)+4))</f>
        <v>YES_No</v>
      </c>
      <c r="L343" s="99" t="b">
        <f ca="1">IF(INDIRECT(C$35&amp;"!F"&amp;ROW()-ROW($C$339)+4)="","",INDIRECT(C$35&amp;"!F"&amp;ROW()-ROW($C$339)+4))</f>
        <v>1</v>
      </c>
      <c r="M343" s="99" t="b">
        <f ca="1">IF(INDIRECT(D$35&amp;"!F"&amp;ROW()-ROW($C$339)+4)="","",INDIRECT(D$35&amp;"!F"&amp;ROW()-ROW($C$339)+4))</f>
        <v>1</v>
      </c>
      <c r="N343" s="99" t="b">
        <f ca="1">IF(INDIRECT(E$35&amp;"!F"&amp;ROW()-ROW($C$339)+4)="","",INDIRECT(E$35&amp;"!F"&amp;ROW()-ROW($C$339)+4))</f>
        <v>1</v>
      </c>
      <c r="O343" s="99"/>
      <c r="P343" s="99" t="b">
        <f ca="1">INDIRECT(C$35&amp;"!B"&amp;ROW()-ROW($C$339)+4)=$B343</f>
        <v>1</v>
      </c>
      <c r="Q343" s="99" t="b">
        <f ca="1">INDIRECT(D$35&amp;"!B"&amp;ROW()-ROW($C$339)+4)=$B343</f>
        <v>1</v>
      </c>
      <c r="R343" s="99" t="b">
        <f ca="1">INDIRECT(E$35&amp;"!B"&amp;ROW()-ROW($C$339)+4)=$B343</f>
        <v>1</v>
      </c>
      <c r="S343" s="137"/>
      <c r="T343" s="99" t="str">
        <f ca="1">IF(NOT(ISERROR(MATCH(K343,'Lookup Tables'!A:A,0))),"Lookup",IF(OR(NOT(ISERROR(FIND("Numeric",K343))),NOT(ISERROR(FIND("Percentage",K343))),NOT(ISERROR(FIND("Date",K343)))),"Numeric",IF(NOT(ISERROR(FIND("lank",K343))),"Non-blank",IF(NOT(ISERROR(FIND("Not evaluated",K343))),"Skipped","Other"))))</f>
        <v>Lookup</v>
      </c>
      <c r="U343" s="461">
        <f ca="1">IF(COLUMN()-COLUMN($U$55)+1&lt;=$Y343,INDEX(OFFSET(INDIRECT($K343),0,1),MATCH(C343,INDIRECT($K343),0)),"")</f>
        <v>1</v>
      </c>
      <c r="V343" s="461">
        <f ca="1">IF(COLUMN()-COLUMN($U$55)+1&lt;=$Y343,INDEX(OFFSET(INDIRECT($K343),0,1),MATCH(D343,INDIRECT($K343),0)),"")</f>
        <v>1</v>
      </c>
      <c r="W343" s="461">
        <f ca="1">IF(COLUMN()-COLUMN($U$55)+1&lt;=$Y343,INDEX(OFFSET(INDIRECT($K343),0,1),MATCH(E343,INDIRECT($K343),0)),"")</f>
        <v>1</v>
      </c>
      <c r="X343" s="461" t="str">
        <f ca="1">IF(COLUMN()-COLUMN($U$55)+1&lt;=$Y343,INDEX(OFFSET(INDIRECT($K343),0,1),MATCH(F343,INDIRECT($K343),0)),"")</f>
        <v/>
      </c>
      <c r="Y343" s="99">
        <f t="shared" si="104"/>
        <v>3</v>
      </c>
      <c r="Z343" s="99"/>
      <c r="AA343" s="99"/>
      <c r="AB343" s="99"/>
      <c r="AC343" s="159" t="s">
        <v>2232</v>
      </c>
      <c r="AD343" s="107">
        <f t="shared" ca="1" si="105"/>
        <v>1</v>
      </c>
      <c r="AE343" s="99" t="b">
        <f t="shared" ca="1" si="106"/>
        <v>0</v>
      </c>
      <c r="AF343" s="159" t="s">
        <v>2450</v>
      </c>
      <c r="AG343" s="783">
        <f>COUNTIF('VA Detailed Scorecard Config'!D:D,AF343)</f>
        <v>0</v>
      </c>
      <c r="AH343" s="99"/>
    </row>
    <row r="344" spans="1:34" ht="13.5" customHeight="1" thickBot="1">
      <c r="B344" s="339" t="s">
        <v>1504</v>
      </c>
      <c r="C344" s="99" t="str">
        <f ca="1">IF(INDIRECT(C$35&amp;"!C"&amp;ROW()-ROW($C$339)+4)="","",INDIRECT(C$35&amp;"!C"&amp;ROW()-ROW($C$339)+4))</f>
        <v>Yes</v>
      </c>
      <c r="D344" s="99" t="str">
        <f ca="1">IF(INDIRECT(D$35&amp;"!C"&amp;ROW()-ROW($C$339)+4)="","",INDIRECT(D$35&amp;"!C"&amp;ROW()-ROW($C$339)+4))</f>
        <v>Yes</v>
      </c>
      <c r="E344" s="99" t="str">
        <f ca="1">IF(INDIRECT(E$35&amp;"!C"&amp;ROW()-ROW($C$339)+4)="","",INDIRECT(E$35&amp;"!C"&amp;ROW()-ROW($C$339)+4))</f>
        <v>Yes</v>
      </c>
      <c r="G344" s="99" t="str">
        <f ca="1">IF(INDIRECT(C$35&amp;"!D"&amp;ROW()-ROW($C$339)+4)="","",INDIRECT(C$35&amp;"!D"&amp;ROW()-ROW($C$339)+4))</f>
        <v/>
      </c>
      <c r="H344" s="99" t="str">
        <f ca="1">IF(INDIRECT(D$35&amp;"!D"&amp;ROW()-ROW($C$339)+4)="","",INDIRECT(D$35&amp;"!D"&amp;ROW()-ROW($C$339)+4))</f>
        <v/>
      </c>
      <c r="I344" s="99" t="str">
        <f ca="1">IF(INDIRECT(E$35&amp;"!D"&amp;ROW()-ROW($C$339)+4)="","",INDIRECT(E$35&amp;"!D"&amp;ROW()-ROW($C$339)+4))</f>
        <v/>
      </c>
      <c r="K344" s="99" t="str">
        <f ca="1">IF(INDIRECT(C$35&amp;"!E"&amp;ROW()-ROW($C$339)+4)="","",INDIRECT(C$35&amp;"!E"&amp;ROW()-ROW($C$339)+4))</f>
        <v>YES_No</v>
      </c>
      <c r="L344" s="99" t="b">
        <f ca="1">IF(INDIRECT(C$35&amp;"!F"&amp;ROW()-ROW($C$339)+4)="","",INDIRECT(C$35&amp;"!F"&amp;ROW()-ROW($C$339)+4))</f>
        <v>1</v>
      </c>
      <c r="M344" s="99" t="b">
        <f ca="1">IF(INDIRECT(D$35&amp;"!F"&amp;ROW()-ROW($C$339)+4)="","",INDIRECT(D$35&amp;"!F"&amp;ROW()-ROW($C$339)+4))</f>
        <v>1</v>
      </c>
      <c r="N344" s="99" t="b">
        <f ca="1">IF(INDIRECT(E$35&amp;"!F"&amp;ROW()-ROW($C$339)+4)="","",INDIRECT(E$35&amp;"!F"&amp;ROW()-ROW($C$339)+4))</f>
        <v>1</v>
      </c>
      <c r="O344" s="99"/>
      <c r="P344" s="99" t="b">
        <f ca="1">INDIRECT(C$35&amp;"!B"&amp;ROW()-ROW($C$339)+4)=$B344</f>
        <v>1</v>
      </c>
      <c r="Q344" s="99" t="b">
        <f ca="1">INDIRECT(D$35&amp;"!B"&amp;ROW()-ROW($C$339)+4)=$B344</f>
        <v>1</v>
      </c>
      <c r="R344" s="99" t="b">
        <f ca="1">INDIRECT(E$35&amp;"!B"&amp;ROW()-ROW($C$339)+4)=$B344</f>
        <v>1</v>
      </c>
      <c r="S344" s="137"/>
      <c r="T344" s="99" t="str">
        <f ca="1">IF(NOT(ISERROR(MATCH(K344,'Lookup Tables'!A:A,0))),"Lookup",IF(OR(NOT(ISERROR(FIND("Numeric",K344))),NOT(ISERROR(FIND("Percentage",K344))),NOT(ISERROR(FIND("Date",K344)))),"Numeric",IF(NOT(ISERROR(FIND("lank",K344))),"Non-blank",IF(NOT(ISERROR(FIND("Not evaluated",K344))),"Skipped","Other"))))</f>
        <v>Lookup</v>
      </c>
      <c r="U344" s="461">
        <f ca="1">IF(COLUMN()-COLUMN($U$55)+1&lt;=$Y344,INDEX(OFFSET(INDIRECT($K344),0,1),MATCH(C344,INDIRECT($K344),0)),"")</f>
        <v>1</v>
      </c>
      <c r="V344" s="461">
        <f ca="1">IF(COLUMN()-COLUMN($U$55)+1&lt;=$Y344,INDEX(OFFSET(INDIRECT($K344),0,1),MATCH(D344,INDIRECT($K344),0)),"")</f>
        <v>1</v>
      </c>
      <c r="W344" s="461">
        <f ca="1">IF(COLUMN()-COLUMN($U$55)+1&lt;=$Y344,INDEX(OFFSET(INDIRECT($K344),0,1),MATCH(E344,INDIRECT($K344),0)),"")</f>
        <v>1</v>
      </c>
      <c r="X344" s="461" t="str">
        <f ca="1">IF(COLUMN()-COLUMN($U$55)+1&lt;=$Y344,INDEX(OFFSET(INDIRECT($K344),0,1),MATCH(F344,INDIRECT($K344),0)),"")</f>
        <v/>
      </c>
      <c r="Y344" s="99">
        <f t="shared" si="104"/>
        <v>3</v>
      </c>
      <c r="Z344" s="99"/>
      <c r="AA344" s="99"/>
      <c r="AB344" s="99"/>
      <c r="AC344" s="159" t="s">
        <v>2232</v>
      </c>
      <c r="AD344" s="107">
        <f t="shared" ca="1" si="105"/>
        <v>1</v>
      </c>
      <c r="AE344" s="99" t="b">
        <f t="shared" ca="1" si="106"/>
        <v>0</v>
      </c>
      <c r="AF344" s="159" t="s">
        <v>2451</v>
      </c>
      <c r="AG344" s="783">
        <f>COUNTIF('VA Detailed Scorecard Config'!D:D,AF344)</f>
        <v>0</v>
      </c>
      <c r="AH344" s="99"/>
    </row>
    <row r="345" spans="1:34" ht="13.5" customHeight="1">
      <c r="B345" s="165" t="s">
        <v>1439</v>
      </c>
      <c r="C345" s="99" t="str">
        <f ca="1">IF(INDIRECT(C$35&amp;"!C"&amp;ROW()-ROW($C$339)+4)="","",INDIRECT(C$35&amp;"!C"&amp;ROW()-ROW($C$339)+4))</f>
        <v>MickeyMouse</v>
      </c>
      <c r="D345" s="99" t="str">
        <f ca="1">IF(INDIRECT(D$35&amp;"!C"&amp;ROW()-ROW($C$339)+4)="","",INDIRECT(D$35&amp;"!C"&amp;ROW()-ROW($C$339)+4))</f>
        <v>GoofyDog</v>
      </c>
      <c r="E345" s="99" t="str">
        <f ca="1">IF(INDIRECT(E$35&amp;"!C"&amp;ROW()-ROW($C$339)+4)="","",INDIRECT(E$35&amp;"!C"&amp;ROW()-ROW($C$339)+4))</f>
        <v>DonaldDuck</v>
      </c>
      <c r="G345" s="99" t="str">
        <f ca="1">IF(INDIRECT(C$35&amp;"!D"&amp;ROW()-ROW($C$339)+4)="","",INDIRECT(C$35&amp;"!D"&amp;ROW()-ROW($C$339)+4))</f>
        <v/>
      </c>
      <c r="H345" s="99" t="str">
        <f ca="1">IF(INDIRECT(D$35&amp;"!D"&amp;ROW()-ROW($C$339)+4)="","",INDIRECT(D$35&amp;"!D"&amp;ROW()-ROW($C$339)+4))</f>
        <v/>
      </c>
      <c r="I345" s="99" t="str">
        <f ca="1">IF(INDIRECT(E$35&amp;"!D"&amp;ROW()-ROW($C$339)+4)="","",INDIRECT(E$35&amp;"!D"&amp;ROW()-ROW($C$339)+4))</f>
        <v/>
      </c>
      <c r="K345" s="99" t="str">
        <f ca="1">IF(INDIRECT(C$35&amp;"!E"&amp;ROW()-ROW($C$339)+4)="","",INDIRECT(C$35&amp;"!E"&amp;ROW()-ROW($C$339)+4))</f>
        <v>Not evaluated</v>
      </c>
      <c r="L345" s="99" t="b">
        <f ca="1">IF(INDIRECT(C$35&amp;"!F"&amp;ROW()-ROW($C$339)+4)="","",INDIRECT(C$35&amp;"!F"&amp;ROW()-ROW($C$339)+4))</f>
        <v>1</v>
      </c>
      <c r="M345" s="99" t="b">
        <f ca="1">IF(INDIRECT(D$35&amp;"!F"&amp;ROW()-ROW($C$339)+4)="","",INDIRECT(D$35&amp;"!F"&amp;ROW()-ROW($C$339)+4))</f>
        <v>1</v>
      </c>
      <c r="N345" s="99" t="b">
        <f ca="1">IF(INDIRECT(E$35&amp;"!F"&amp;ROW()-ROW($C$339)+4)="","",INDIRECT(E$35&amp;"!F"&amp;ROW()-ROW($C$339)+4))</f>
        <v>1</v>
      </c>
      <c r="O345" s="99"/>
      <c r="P345" s="99" t="b">
        <f ca="1">INDIRECT(C$35&amp;"!B"&amp;ROW()-ROW($C$339)+4)=$B345</f>
        <v>1</v>
      </c>
      <c r="Q345" s="99" t="b">
        <f ca="1">INDIRECT(D$35&amp;"!B"&amp;ROW()-ROW($C$339)+4)=$B345</f>
        <v>1</v>
      </c>
      <c r="R345" s="99" t="b">
        <f ca="1">INDIRECT(E$35&amp;"!B"&amp;ROW()-ROW($C$339)+4)=$B345</f>
        <v>1</v>
      </c>
      <c r="S345" s="137"/>
      <c r="T345" s="99" t="str">
        <f ca="1">IF(NOT(ISERROR(MATCH(K345,'Lookup Tables'!A:A,0))),"Lookup",IF(OR(NOT(ISERROR(FIND("Numeric",K345))),NOT(ISERROR(FIND("Percentage",K345))),NOT(ISERROR(FIND("Date",K345)))),"Numeric",IF(NOT(ISERROR(FIND("lank",K345))),"Non-blank",IF(NOT(ISERROR(FIND("Not evaluated",K345))),"Skipped","Other"))))</f>
        <v>Skipped</v>
      </c>
      <c r="U345" s="99"/>
      <c r="V345" s="99"/>
      <c r="W345" s="99"/>
      <c r="X345" s="99"/>
      <c r="Y345" s="99">
        <f t="shared" si="104"/>
        <v>3</v>
      </c>
      <c r="Z345" s="99"/>
      <c r="AA345" s="99"/>
      <c r="AB345" s="99"/>
      <c r="AC345" s="159"/>
      <c r="AD345" s="107"/>
      <c r="AE345" s="99"/>
      <c r="AF345" s="99"/>
      <c r="AG345" s="248"/>
      <c r="AH345" s="99"/>
    </row>
    <row r="346" spans="1:34" ht="13.5" customHeight="1">
      <c r="B346" s="240" t="s">
        <v>1538</v>
      </c>
      <c r="C346" s="99" t="str">
        <f ca="1">IF(INDIRECT(C$35&amp;"!C"&amp;ROW()-ROW($C$339)+4)="","",INDIRECT(C$35&amp;"!C"&amp;ROW()-ROW($C$339)+4))</f>
        <v>Yes</v>
      </c>
      <c r="D346" s="99" t="str">
        <f ca="1">IF(INDIRECT(D$35&amp;"!C"&amp;ROW()-ROW($C$339)+4)="","",INDIRECT(D$35&amp;"!C"&amp;ROW()-ROW($C$339)+4))</f>
        <v>Yes</v>
      </c>
      <c r="E346" s="99" t="str">
        <f ca="1">IF(INDIRECT(E$35&amp;"!C"&amp;ROW()-ROW($C$339)+4)="","",INDIRECT(E$35&amp;"!C"&amp;ROW()-ROW($C$339)+4))</f>
        <v>Yes</v>
      </c>
      <c r="G346" s="99" t="str">
        <f ca="1">IF(INDIRECT(C$35&amp;"!D"&amp;ROW()-ROW($C$339)+4)="","",INDIRECT(C$35&amp;"!D"&amp;ROW()-ROW($C$339)+4))</f>
        <v/>
      </c>
      <c r="H346" s="99" t="str">
        <f ca="1">IF(INDIRECT(D$35&amp;"!D"&amp;ROW()-ROW($C$339)+4)="","",INDIRECT(D$35&amp;"!D"&amp;ROW()-ROW($C$339)+4))</f>
        <v/>
      </c>
      <c r="I346" s="99" t="str">
        <f ca="1">IF(INDIRECT(E$35&amp;"!D"&amp;ROW()-ROW($C$339)+4)="","",INDIRECT(E$35&amp;"!D"&amp;ROW()-ROW($C$339)+4))</f>
        <v/>
      </c>
      <c r="K346" s="99" t="str">
        <f ca="1">IF(INDIRECT(C$35&amp;"!E"&amp;ROW()-ROW($C$339)+4)="","",INDIRECT(C$35&amp;"!E"&amp;ROW()-ROW($C$339)+4))</f>
        <v>YES_No</v>
      </c>
      <c r="L346" s="99" t="b">
        <f ca="1">IF(INDIRECT(C$35&amp;"!F"&amp;ROW()-ROW($C$339)+4)="","",INDIRECT(C$35&amp;"!F"&amp;ROW()-ROW($C$339)+4))</f>
        <v>1</v>
      </c>
      <c r="M346" s="99" t="b">
        <f ca="1">IF(INDIRECT(D$35&amp;"!F"&amp;ROW()-ROW($C$339)+4)="","",INDIRECT(D$35&amp;"!F"&amp;ROW()-ROW($C$339)+4))</f>
        <v>1</v>
      </c>
      <c r="N346" s="99" t="b">
        <f ca="1">IF(INDIRECT(E$35&amp;"!F"&amp;ROW()-ROW($C$339)+4)="","",INDIRECT(E$35&amp;"!F"&amp;ROW()-ROW($C$339)+4))</f>
        <v>1</v>
      </c>
      <c r="O346" s="99"/>
      <c r="P346" s="99" t="b">
        <f ca="1">INDIRECT(C$35&amp;"!B"&amp;ROW()-ROW($C$339)+4)=$B346</f>
        <v>1</v>
      </c>
      <c r="Q346" s="99" t="b">
        <f ca="1">INDIRECT(D$35&amp;"!B"&amp;ROW()-ROW($C$339)+4)=$B346</f>
        <v>1</v>
      </c>
      <c r="R346" s="99" t="b">
        <f ca="1">INDIRECT(E$35&amp;"!B"&amp;ROW()-ROW($C$339)+4)=$B346</f>
        <v>1</v>
      </c>
      <c r="S346" s="137"/>
      <c r="T346" s="99" t="str">
        <f ca="1">IF(NOT(ISERROR(MATCH(K346,'Lookup Tables'!A:A,0))),"Lookup",IF(OR(NOT(ISERROR(FIND("Numeric",K346))),NOT(ISERROR(FIND("Percentage",K346))),NOT(ISERROR(FIND("Date",K346)))),"Numeric",IF(NOT(ISERROR(FIND("lank",K346))),"Non-blank",IF(NOT(ISERROR(FIND("Not evaluated",K346))),"Skipped","Other"))))</f>
        <v>Lookup</v>
      </c>
      <c r="U346" s="461">
        <f ca="1">IF(COLUMN()-COLUMN($U$55)+1&lt;=$Y346,INDEX(OFFSET(INDIRECT($K346),0,1),MATCH(C346,INDIRECT($K346),0)),"")</f>
        <v>1</v>
      </c>
      <c r="V346" s="461">
        <f ca="1">IF(COLUMN()-COLUMN($U$55)+1&lt;=$Y346,INDEX(OFFSET(INDIRECT($K346),0,1),MATCH(D346,INDIRECT($K346),0)),"")</f>
        <v>1</v>
      </c>
      <c r="W346" s="461">
        <f ca="1">IF(COLUMN()-COLUMN($U$55)+1&lt;=$Y346,INDEX(OFFSET(INDIRECT($K346),0,1),MATCH(E346,INDIRECT($K346),0)),"")</f>
        <v>1</v>
      </c>
      <c r="X346" s="461" t="str">
        <f ca="1">IF(COLUMN()-COLUMN($U$55)+1&lt;=$Y346,INDEX(OFFSET(INDIRECT($K346),0,1),MATCH(F346,INDIRECT($K346),0)),"")</f>
        <v/>
      </c>
      <c r="Y346" s="99">
        <f t="shared" si="104"/>
        <v>3</v>
      </c>
      <c r="Z346" s="99"/>
      <c r="AA346" s="99"/>
      <c r="AB346" s="99"/>
      <c r="AC346" s="159" t="s">
        <v>2232</v>
      </c>
      <c r="AD346" s="107">
        <f t="shared" ref="AD346:AD354" ca="1" si="107">IFERROR((SUMPRODUCT(U346:X346,$C$362:$F$362)+IF($A$340&gt;0,OFFSET($B$362,0,$A$340)*OFFSET(T346,0,$A$340)*OFFSET(K346,0,$A$340),0))/(SUMIF(L346:O346,TRUE,$C$362:$E$362)+IF($A$340&gt;0,OFFSET($B$362,0,$A$340)*OFFSET(K346,0,$A$340))),AVERAGE(U346:X346))</f>
        <v>1</v>
      </c>
      <c r="AE346" s="99" t="b">
        <f t="shared" ref="AE346:AE354" ca="1" si="108">NOT(OR(L346:O346))</f>
        <v>0</v>
      </c>
      <c r="AF346" s="159" t="s">
        <v>2452</v>
      </c>
      <c r="AG346" s="783">
        <f>COUNTIF('VA Detailed Scorecard Config'!D:D,AF346)</f>
        <v>0</v>
      </c>
      <c r="AH346" s="99"/>
    </row>
    <row r="347" spans="1:34" ht="13.5" customHeight="1" thickBot="1">
      <c r="B347" s="339" t="s">
        <v>1539</v>
      </c>
      <c r="C347" s="99" t="str">
        <f ca="1">IF(INDIRECT(C$35&amp;"!C"&amp;ROW()-ROW($C$339)+4)="","",INDIRECT(C$35&amp;"!C"&amp;ROW()-ROW($C$339)+4))</f>
        <v/>
      </c>
      <c r="D347" s="99" t="str">
        <f ca="1">IF(INDIRECT(D$35&amp;"!C"&amp;ROW()-ROW($C$339)+4)="","",INDIRECT(D$35&amp;"!C"&amp;ROW()-ROW($C$339)+4))</f>
        <v/>
      </c>
      <c r="E347" s="99" t="str">
        <f ca="1">IF(INDIRECT(E$35&amp;"!C"&amp;ROW()-ROW($C$339)+4)="","",INDIRECT(E$35&amp;"!C"&amp;ROW()-ROW($C$339)+4))</f>
        <v/>
      </c>
      <c r="G347" s="99" t="str">
        <f ca="1">IF(INDIRECT(C$35&amp;"!D"&amp;ROW()-ROW($C$339)+4)="","",INDIRECT(C$35&amp;"!D"&amp;ROW()-ROW($C$339)+4))</f>
        <v/>
      </c>
      <c r="H347" s="99" t="str">
        <f ca="1">IF(INDIRECT(D$35&amp;"!D"&amp;ROW()-ROW($C$339)+4)="","",INDIRECT(D$35&amp;"!D"&amp;ROW()-ROW($C$339)+4))</f>
        <v/>
      </c>
      <c r="I347" s="99" t="str">
        <f ca="1">IF(INDIRECT(E$35&amp;"!D"&amp;ROW()-ROW($C$339)+4)="","",INDIRECT(E$35&amp;"!D"&amp;ROW()-ROW($C$339)+4))</f>
        <v/>
      </c>
      <c r="K347" s="99" t="str">
        <f ca="1">IF(INDIRECT(C$35&amp;"!E"&amp;ROW()-ROW($C$339)+4)="","",INDIRECT(C$35&amp;"!E"&amp;ROW()-ROW($C$339)+4))</f>
        <v>Non-blank is better</v>
      </c>
      <c r="L347" s="99" t="b">
        <f ca="1">IF(INDIRECT(C$35&amp;"!F"&amp;ROW()-ROW($C$339)+4)="","",INDIRECT(C$35&amp;"!F"&amp;ROW()-ROW($C$339)+4))</f>
        <v>0</v>
      </c>
      <c r="M347" s="99" t="b">
        <f ca="1">IF(INDIRECT(D$35&amp;"!F"&amp;ROW()-ROW($C$339)+4)="","",INDIRECT(D$35&amp;"!F"&amp;ROW()-ROW($C$339)+4))</f>
        <v>0</v>
      </c>
      <c r="N347" s="99" t="b">
        <f ca="1">IF(INDIRECT(E$35&amp;"!F"&amp;ROW()-ROW($C$339)+4)="","",INDIRECT(E$35&amp;"!F"&amp;ROW()-ROW($C$339)+4))</f>
        <v>0</v>
      </c>
      <c r="O347" s="99"/>
      <c r="P347" s="99" t="b">
        <f ca="1">INDIRECT(C$35&amp;"!B"&amp;ROW()-ROW($C$339)+4)=$B347</f>
        <v>1</v>
      </c>
      <c r="Q347" s="99" t="b">
        <f ca="1">INDIRECT(D$35&amp;"!B"&amp;ROW()-ROW($C$339)+4)=$B347</f>
        <v>1</v>
      </c>
      <c r="R347" s="99" t="b">
        <f ca="1">INDIRECT(E$35&amp;"!B"&amp;ROW()-ROW($C$339)+4)=$B347</f>
        <v>1</v>
      </c>
      <c r="S347" s="137"/>
      <c r="T347" s="99" t="str">
        <f ca="1">IF(NOT(ISERROR(MATCH(K347,'Lookup Tables'!A:A,0))),"Lookup",IF(OR(NOT(ISERROR(FIND("Numeric",K347))),NOT(ISERROR(FIND("Percentage",K347))),NOT(ISERROR(FIND("Date",K347)))),"Numeric",IF(NOT(ISERROR(FIND("lank",K347))),"Non-blank",IF(NOT(ISERROR(FIND("Not evaluated",K347))),"Skipped","Other"))))</f>
        <v>Non-blank</v>
      </c>
      <c r="U347" s="461">
        <f ca="1">IF(COLUMN()-COLUMN($U$55)+1&lt;=$Y347,IF(C347="",0,1),"")</f>
        <v>0</v>
      </c>
      <c r="V347" s="461">
        <f ca="1">IF(COLUMN()-COLUMN($U$55)+1&lt;=$Y347,IF(D347="",0,1),"")</f>
        <v>0</v>
      </c>
      <c r="W347" s="461">
        <f ca="1">IF(COLUMN()-COLUMN($U$55)+1&lt;=$Y347,IF(E347="",0,1),"")</f>
        <v>0</v>
      </c>
      <c r="X347" s="461" t="str">
        <f>IF(COLUMN()-COLUMN($U$55)+1&lt;=$Y347,IF(F347="",0,1),"")</f>
        <v/>
      </c>
      <c r="Y347" s="99">
        <f t="shared" si="104"/>
        <v>3</v>
      </c>
      <c r="Z347" s="99"/>
      <c r="AA347" s="99"/>
      <c r="AB347" s="99"/>
      <c r="AC347" s="159" t="s">
        <v>2232</v>
      </c>
      <c r="AD347" s="107">
        <f ca="1">IFERROR((SUMPRODUCT(U347:X347,$C$362:$F$362)+IF($A$340&gt;0,OFFSET($B$362,0,$A$340)*OFFSET(T347,0,$A$340)*OFFSET(K347,0,$A$340),0))/(SUMIF(L347:O347,TRUE,$C$362:$E$362)+IF($A$340&gt;0,OFFSET($B$362,0,$A$340)*OFFSET(K347,0,$A$340))),AVERAGE(U347:X347))</f>
        <v>0</v>
      </c>
      <c r="AE347" s="99" t="b">
        <f t="shared" ca="1" si="108"/>
        <v>1</v>
      </c>
      <c r="AF347" s="159" t="s">
        <v>2453</v>
      </c>
      <c r="AG347" s="783">
        <f>COUNTIF('VA Detailed Scorecard Config'!D:D,AF347)</f>
        <v>0</v>
      </c>
      <c r="AH347" s="99"/>
    </row>
    <row r="348" spans="1:34" ht="13.5" customHeight="1" thickBot="1">
      <c r="B348" s="354" t="s">
        <v>2234</v>
      </c>
      <c r="C348" s="99" t="str">
        <f ca="1">IF(INDIRECT(C$35&amp;"!C"&amp;ROW()-ROW($C$339)+4)="","",INDIRECT(C$35&amp;"!C"&amp;ROW()-ROW($C$339)+4))</f>
        <v>No</v>
      </c>
      <c r="D348" s="99" t="str">
        <f ca="1">IF(INDIRECT(D$35&amp;"!C"&amp;ROW()-ROW($C$339)+4)="","",INDIRECT(D$35&amp;"!C"&amp;ROW()-ROW($C$339)+4))</f>
        <v>Yes</v>
      </c>
      <c r="E348" s="99" t="str">
        <f ca="1">IF(INDIRECT(E$35&amp;"!C"&amp;ROW()-ROW($C$339)+4)="","",INDIRECT(E$35&amp;"!C"&amp;ROW()-ROW($C$339)+4))</f>
        <v>Yes</v>
      </c>
      <c r="G348" s="99"/>
      <c r="H348" s="99"/>
      <c r="I348" s="99"/>
      <c r="K348" s="99" t="str">
        <f ca="1">IF(INDIRECT(C$35&amp;"!E"&amp;ROW()-ROW($C$339)+4)="","",INDIRECT(C$35&amp;"!E"&amp;ROW()-ROW($C$339)+4))</f>
        <v>YES_No</v>
      </c>
      <c r="L348" s="99" t="b">
        <f ca="1">IF(INDIRECT(C$35&amp;"!F"&amp;ROW()-ROW($C$339)+4)="","",INDIRECT(C$35&amp;"!F"&amp;ROW()-ROW($C$339)+4))</f>
        <v>1</v>
      </c>
      <c r="M348" s="99" t="b">
        <f ca="1">IF(INDIRECT(D$35&amp;"!F"&amp;ROW()-ROW($C$339)+4)="","",INDIRECT(D$35&amp;"!F"&amp;ROW()-ROW($C$339)+4))</f>
        <v>1</v>
      </c>
      <c r="N348" s="99" t="b">
        <f ca="1">IF(INDIRECT(E$35&amp;"!F"&amp;ROW()-ROW($C$339)+4)="","",INDIRECT(E$35&amp;"!F"&amp;ROW()-ROW($C$339)+4))</f>
        <v>1</v>
      </c>
      <c r="O348" s="99"/>
      <c r="P348" s="99" t="b">
        <f ca="1">INDIRECT(C$35&amp;"!B"&amp;ROW()-ROW($C$339)+4)=$B348</f>
        <v>1</v>
      </c>
      <c r="Q348" s="99" t="b">
        <f ca="1">INDIRECT(D$35&amp;"!B"&amp;ROW()-ROW($C$339)+4)=$B348</f>
        <v>1</v>
      </c>
      <c r="R348" s="99" t="b">
        <f ca="1">INDIRECT(E$35&amp;"!B"&amp;ROW()-ROW($C$339)+4)=$B348</f>
        <v>1</v>
      </c>
      <c r="S348" s="137"/>
      <c r="T348" s="99" t="str">
        <f ca="1">IF(NOT(ISERROR(MATCH(K348,'Lookup Tables'!A:A,0))),"Lookup",IF(OR(NOT(ISERROR(FIND("Numeric",K348))),NOT(ISERROR(FIND("Percentage",K348))),NOT(ISERROR(FIND("Date",K348)))),"Numeric",IF(NOT(ISERROR(FIND("lank",K348))),"Non-blank",IF(NOT(ISERROR(FIND("Not evaluated",K348))),"Skipped","Other"))))</f>
        <v>Lookup</v>
      </c>
      <c r="U348" s="461">
        <f ca="1">IF(COLUMN()-COLUMN($U$55)+1&lt;=$Y348,INDEX(OFFSET(INDIRECT($K348),0,1),MATCH(C348,INDIRECT($K348),0)),"")</f>
        <v>0</v>
      </c>
      <c r="V348" s="461">
        <f ca="1">IF(COLUMN()-COLUMN($U$55)+1&lt;=$Y348,INDEX(OFFSET(INDIRECT($K348),0,1),MATCH(D348,INDIRECT($K348),0)),"")</f>
        <v>1</v>
      </c>
      <c r="W348" s="461">
        <f ca="1">IF(COLUMN()-COLUMN($U$55)+1&lt;=$Y348,INDEX(OFFSET(INDIRECT($K348),0,1),MATCH(E348,INDIRECT($K348),0)),"")</f>
        <v>1</v>
      </c>
      <c r="X348" s="461" t="str">
        <f ca="1">IF(COLUMN()-COLUMN($U$55)+1&lt;=$Y348,INDEX(OFFSET(INDIRECT($K348),0,1),MATCH(F348,INDIRECT($K348),0)),"")</f>
        <v/>
      </c>
      <c r="Y348" s="99">
        <f t="shared" si="104"/>
        <v>3</v>
      </c>
      <c r="Z348" s="99"/>
      <c r="AA348" s="99"/>
      <c r="AB348" s="99"/>
      <c r="AC348" s="159" t="s">
        <v>2232</v>
      </c>
      <c r="AD348" s="107">
        <f t="shared" ref="AD348:AD354" ca="1" si="109">IFERROR((SUMPRODUCT(U348:X348,$C$362:$F$362)+IF($A$340&gt;0,OFFSET($B$362,0,$A$340)*OFFSET(T348,0,$A$340)*OFFSET(K348,0,$A$340),0))/(SUMIF(L348:O348,TRUE,$C$362:$E$362)+IF($A$340&gt;0,OFFSET($B$362,0,$A$340)*OFFSET(K348,0,$A$340))),AVERAGE(U348:X348))</f>
        <v>0.52380952380952384</v>
      </c>
      <c r="AE348" s="99" t="b">
        <f t="shared" ca="1" si="108"/>
        <v>0</v>
      </c>
      <c r="AF348" s="159" t="s">
        <v>2509</v>
      </c>
      <c r="AG348" s="783">
        <f>COUNTIF('VA Detailed Scorecard Config'!D:D,AF348)</f>
        <v>2</v>
      </c>
      <c r="AH348" s="99"/>
    </row>
    <row r="349" spans="1:34" ht="13.5" customHeight="1">
      <c r="B349" s="239" t="s">
        <v>1706</v>
      </c>
      <c r="C349" s="459" t="str">
        <f ca="1">IF(INDIRECT(C$35&amp;"!C"&amp;ROW()-ROW($C$339)+4)="","",INDIRECT(C$35&amp;"!C"&amp;ROW()-ROW($C$339)+4))</f>
        <v/>
      </c>
      <c r="D349" s="459">
        <f ca="1">IF(INDIRECT(D$35&amp;"!C"&amp;ROW()-ROW($C$339)+4)="","",INDIRECT(D$35&amp;"!C"&amp;ROW()-ROW($C$339)+4))</f>
        <v>44957</v>
      </c>
      <c r="E349" s="459">
        <f ca="1">IF(INDIRECT(E$35&amp;"!C"&amp;ROW()-ROW($C$339)+4)="","",INDIRECT(E$35&amp;"!C"&amp;ROW()-ROW($C$339)+4))</f>
        <v>44957</v>
      </c>
      <c r="G349" s="99" t="str">
        <f ca="1">IF(INDIRECT(C$35&amp;"!D"&amp;ROW()-ROW($C$339)+4)="","",INDIRECT(C$35&amp;"!D"&amp;ROW()-ROW($C$339)+4))</f>
        <v/>
      </c>
      <c r="H349" s="99" t="str">
        <f ca="1">IF(INDIRECT(D$35&amp;"!D"&amp;ROW()-ROW($C$339)+4)="","",INDIRECT(D$35&amp;"!D"&amp;ROW()-ROW($C$339)+4))</f>
        <v/>
      </c>
      <c r="I349" s="99" t="str">
        <f ca="1">IF(INDIRECT(E$35&amp;"!D"&amp;ROW()-ROW($C$339)+4)="","",INDIRECT(E$35&amp;"!D"&amp;ROW()-ROW($C$339)+4))</f>
        <v/>
      </c>
      <c r="K349" s="99" t="str">
        <f ca="1">IF(INDIRECT(C$35&amp;"!E"&amp;ROW()-ROW($C$339)+4)="","",INDIRECT(C$35&amp;"!E"&amp;ROW()-ROW($C$339)+4))</f>
        <v>Numerical (Date)</v>
      </c>
      <c r="L349" s="99" t="b">
        <f ca="1">IF(INDIRECT(C$35&amp;"!F"&amp;ROW()-ROW($C$339)+4)="","",INDIRECT(C$35&amp;"!F"&amp;ROW()-ROW($C$339)+4))</f>
        <v>0</v>
      </c>
      <c r="M349" s="99" t="b">
        <f ca="1">IF(INDIRECT(D$35&amp;"!F"&amp;ROW()-ROW($C$339)+4)="","",INDIRECT(D$35&amp;"!F"&amp;ROW()-ROW($C$339)+4))</f>
        <v>1</v>
      </c>
      <c r="N349" s="99" t="b">
        <f ca="1">IF(INDIRECT(E$35&amp;"!F"&amp;ROW()-ROW($C$339)+4)="","",INDIRECT(E$35&amp;"!F"&amp;ROW()-ROW($C$339)+4))</f>
        <v>1</v>
      </c>
      <c r="O349" s="99"/>
      <c r="P349" s="99" t="b">
        <f ca="1">INDIRECT(C$35&amp;"!B"&amp;ROW()-ROW($C$339)+4)=$B349</f>
        <v>1</v>
      </c>
      <c r="Q349" s="99" t="b">
        <f ca="1">INDIRECT(D$35&amp;"!B"&amp;ROW()-ROW($C$339)+4)=$B349</f>
        <v>1</v>
      </c>
      <c r="R349" s="99" t="b">
        <f ca="1">INDIRECT(E$35&amp;"!B"&amp;ROW()-ROW($C$339)+4)=$B349</f>
        <v>1</v>
      </c>
      <c r="S349" s="137"/>
      <c r="T349" s="99" t="str">
        <f ca="1">IF(NOT(ISERROR(MATCH(K349,'Lookup Tables'!A:A,0))),"Lookup",IF(OR(NOT(ISERROR(FIND("Numeric",K349))),NOT(ISERROR(FIND("Percentage",K349))),NOT(ISERROR(FIND("Date",K349)))),"Numeric",IF(NOT(ISERROR(FIND("lank",K349))),"Non-blank",IF(NOT(ISERROR(FIND("Not evaluated",K349))),"Skipped","Other"))))</f>
        <v>Numeric</v>
      </c>
      <c r="U349" s="101">
        <f ca="1">IF(C349="",0,IF(AND(C349&lt;&gt;"",COLUMN()-COLUMN($U$55)+1&lt;=$Y347),(LOG(C349+1)-LOG(MIN($C349:$F349,$Z349:$AA349)+1))/(LOG(MAX($AA349,$C349:$F349)+1)-LOG(MIN($C349:$F349,$Z349:$AA349)+1)),""))</f>
        <v>0</v>
      </c>
      <c r="V349" s="101">
        <f t="shared" ref="V349:W349" ca="1" si="110">IF(D349="",0,IF(AND(D349&lt;&gt;"",COLUMN()-COLUMN($U$55)+1&lt;=$Y347),(LOG(D349+1)-LOG(MIN($C349:$F349,$Z349:$AA349)+1))/(LOG(MAX($AA349,$C349:$F349)+1)-LOG(MIN($C349:$F349,$Z349:$AA349)+1)),""))</f>
        <v>1</v>
      </c>
      <c r="W349" s="101">
        <f t="shared" ca="1" si="110"/>
        <v>1</v>
      </c>
      <c r="X349" s="101" t="str">
        <f>IF(AND(F349&lt;&gt;"",COLUMN()-COLUMN($U$55)+1&lt;=$Y347),(LOG(F349+1)-LOG(MIN($C349:$F349,$Z349:$AA349)+1))/(LOG(MAX($AA349,$C349:$F349)+1)-LOG(MIN($C349:$F349,$Z349:$AA349)+1)),"")</f>
        <v/>
      </c>
      <c r="Y349" s="99">
        <f t="shared" si="104"/>
        <v>3</v>
      </c>
      <c r="Z349" s="459">
        <v>43831</v>
      </c>
      <c r="AA349" s="459">
        <f ca="1">TODAY()</f>
        <v>44957</v>
      </c>
      <c r="AB349" s="159" t="s">
        <v>2189</v>
      </c>
      <c r="AC349" s="159" t="s">
        <v>2232</v>
      </c>
      <c r="AD349" s="107">
        <f t="shared" ca="1" si="109"/>
        <v>1</v>
      </c>
      <c r="AE349" s="99" t="b">
        <f t="shared" ca="1" si="108"/>
        <v>0</v>
      </c>
      <c r="AF349" s="159" t="s">
        <v>2511</v>
      </c>
      <c r="AG349" s="783">
        <f>COUNTIF('VA Detailed Scorecard Config'!D:D,AF349)</f>
        <v>0</v>
      </c>
      <c r="AH349" s="99"/>
    </row>
    <row r="350" spans="1:34" ht="13.5" customHeight="1">
      <c r="B350" s="239" t="s">
        <v>1485</v>
      </c>
      <c r="C350" s="99" t="str">
        <f ca="1">IF(INDIRECT(C$35&amp;"!C"&amp;ROW()-ROW($C$339)+4)="","",INDIRECT(C$35&amp;"!C"&amp;ROW()-ROW($C$339)+4))</f>
        <v/>
      </c>
      <c r="D350" s="99" t="str">
        <f ca="1">IF(INDIRECT(D$35&amp;"!C"&amp;ROW()-ROW($C$339)+4)="","",INDIRECT(D$35&amp;"!C"&amp;ROW()-ROW($C$339)+4))</f>
        <v>Yes</v>
      </c>
      <c r="E350" s="99" t="str">
        <f ca="1">IF(INDIRECT(E$35&amp;"!C"&amp;ROW()-ROW($C$339)+4)="","",INDIRECT(E$35&amp;"!C"&amp;ROW()-ROW($C$339)+4))</f>
        <v>N/A</v>
      </c>
      <c r="G350" s="99" t="str">
        <f ca="1">IF(INDIRECT(C$35&amp;"!D"&amp;ROW()-ROW($C$339)+4)="","",INDIRECT(C$35&amp;"!D"&amp;ROW()-ROW($C$339)+4))</f>
        <v/>
      </c>
      <c r="H350" s="99" t="str">
        <f ca="1">IF(INDIRECT(D$35&amp;"!D"&amp;ROW()-ROW($C$339)+4)="","",INDIRECT(D$35&amp;"!D"&amp;ROW()-ROW($C$339)+4))</f>
        <v/>
      </c>
      <c r="I350" s="99" t="str">
        <f ca="1">IF(INDIRECT(E$35&amp;"!D"&amp;ROW()-ROW($C$339)+4)="","",INDIRECT(E$35&amp;"!D"&amp;ROW()-ROW($C$339)+4))</f>
        <v/>
      </c>
      <c r="K350" s="99" t="str">
        <f ca="1">IF(INDIRECT(C$35&amp;"!E"&amp;ROW()-ROW($C$339)+4)="","",INDIRECT(C$35&amp;"!E"&amp;ROW()-ROW($C$339)+4))</f>
        <v>YES_No_NA</v>
      </c>
      <c r="L350" s="99" t="b">
        <f ca="1">IF(INDIRECT(C$35&amp;"!F"&amp;ROW()-ROW($C$339)+4)="","",INDIRECT(C$35&amp;"!F"&amp;ROW()-ROW($C$339)+4))</f>
        <v>0</v>
      </c>
      <c r="M350" s="99" t="b">
        <f ca="1">IF(INDIRECT(D$35&amp;"!F"&amp;ROW()-ROW($C$339)+4)="","",INDIRECT(D$35&amp;"!F"&amp;ROW()-ROW($C$339)+4))</f>
        <v>1</v>
      </c>
      <c r="N350" s="99" t="b">
        <f ca="1">IF(INDIRECT(E$35&amp;"!F"&amp;ROW()-ROW($C$339)+4)="","",INDIRECT(E$35&amp;"!F"&amp;ROW()-ROW($C$339)+4))</f>
        <v>1</v>
      </c>
      <c r="O350" s="99"/>
      <c r="P350" s="99" t="b">
        <f ca="1">INDIRECT(C$35&amp;"!B"&amp;ROW()-ROW($C$339)+4)=$B350</f>
        <v>1</v>
      </c>
      <c r="Q350" s="99" t="b">
        <f ca="1">INDIRECT(D$35&amp;"!B"&amp;ROW()-ROW($C$339)+4)=$B350</f>
        <v>1</v>
      </c>
      <c r="R350" s="99" t="b">
        <f ca="1">INDIRECT(E$35&amp;"!B"&amp;ROW()-ROW($C$339)+4)=$B350</f>
        <v>1</v>
      </c>
      <c r="S350" s="137"/>
      <c r="T350" s="99" t="str">
        <f ca="1">IF(NOT(ISERROR(MATCH(K350,'Lookup Tables'!A:A,0))),"Lookup",IF(OR(NOT(ISERROR(FIND("Numeric",K350))),NOT(ISERROR(FIND("Percentage",K350))),NOT(ISERROR(FIND("Date",K350)))),"Numeric",IF(NOT(ISERROR(FIND("lank",K350))),"Non-blank",IF(NOT(ISERROR(FIND("Not evaluated",K350))),"Skipped","Other"))))</f>
        <v>Lookup</v>
      </c>
      <c r="U350" s="461">
        <f ca="1">IF(COLUMN()-COLUMN($U$55)+1&lt;=$Y350,INDEX(OFFSET(INDIRECT($K350),0,1),MATCH(C350,INDIRECT($K350),0)),"")</f>
        <v>0</v>
      </c>
      <c r="V350" s="461">
        <f ca="1">IF(COLUMN()-COLUMN($U$55)+1&lt;=$Y350,INDEX(OFFSET(INDIRECT($K350),0,1),MATCH(D350,INDIRECT($K350),0)),"")</f>
        <v>1</v>
      </c>
      <c r="W350" s="461">
        <f ca="1">IF(COLUMN()-COLUMN($U$55)+1&lt;=$Y350,INDEX(OFFSET(INDIRECT($K350),0,1),MATCH(E350,INDIRECT($K350),0)),"")</f>
        <v>1</v>
      </c>
      <c r="X350" s="461" t="str">
        <f ca="1">IF(COLUMN()-COLUMN($U$55)+1&lt;=$Y350,INDEX(OFFSET(INDIRECT($K350),0,1),MATCH(F350,INDIRECT($K350),0)),"")</f>
        <v/>
      </c>
      <c r="Y350" s="99">
        <f t="shared" si="104"/>
        <v>3</v>
      </c>
      <c r="Z350" s="99"/>
      <c r="AA350" s="99"/>
      <c r="AB350" s="99"/>
      <c r="AC350" s="159" t="s">
        <v>2232</v>
      </c>
      <c r="AD350" s="107">
        <f t="shared" ca="1" si="109"/>
        <v>1</v>
      </c>
      <c r="AE350" s="99" t="b">
        <f t="shared" ca="1" si="108"/>
        <v>0</v>
      </c>
      <c r="AF350" s="159" t="s">
        <v>2510</v>
      </c>
      <c r="AG350" s="783">
        <f>COUNTIF('VA Detailed Scorecard Config'!D:D,AF350)</f>
        <v>1</v>
      </c>
      <c r="AH350" s="99"/>
    </row>
    <row r="351" spans="1:34" ht="13.5" customHeight="1">
      <c r="B351" s="159" t="s">
        <v>1486</v>
      </c>
      <c r="C351" s="99" t="str">
        <f ca="1">IF(INDIRECT(C$35&amp;"!C"&amp;ROW()-ROW($C$339)+4)="","",INDIRECT(C$35&amp;"!C"&amp;ROW()-ROW($C$339)+4))</f>
        <v/>
      </c>
      <c r="D351" s="99" t="str">
        <f ca="1">IF(INDIRECT(D$35&amp;"!C"&amp;ROW()-ROW($C$339)+4)="","",INDIRECT(D$35&amp;"!C"&amp;ROW()-ROW($C$339)+4))</f>
        <v>Yes</v>
      </c>
      <c r="E351" s="99" t="str">
        <f ca="1">IF(INDIRECT(E$35&amp;"!C"&amp;ROW()-ROW($C$339)+4)="","",INDIRECT(E$35&amp;"!C"&amp;ROW()-ROW($C$339)+4))</f>
        <v>N/A</v>
      </c>
      <c r="G351" s="99" t="str">
        <f ca="1">IF(INDIRECT(C$35&amp;"!D"&amp;ROW()-ROW($C$339)+4)="","",INDIRECT(C$35&amp;"!D"&amp;ROW()-ROW($C$339)+4))</f>
        <v/>
      </c>
      <c r="H351" s="99" t="str">
        <f ca="1">IF(INDIRECT(D$35&amp;"!D"&amp;ROW()-ROW($C$339)+4)="","",INDIRECT(D$35&amp;"!D"&amp;ROW()-ROW($C$339)+4))</f>
        <v/>
      </c>
      <c r="I351" s="99" t="str">
        <f ca="1">IF(INDIRECT(E$35&amp;"!D"&amp;ROW()-ROW($C$339)+4)="","",INDIRECT(E$35&amp;"!D"&amp;ROW()-ROW($C$339)+4))</f>
        <v/>
      </c>
      <c r="K351" s="99" t="str">
        <f ca="1">IF(INDIRECT(C$35&amp;"!E"&amp;ROW()-ROW($C$339)+4)="","",INDIRECT(C$35&amp;"!E"&amp;ROW()-ROW($C$339)+4))</f>
        <v>YES_No_NA</v>
      </c>
      <c r="L351" s="99" t="b">
        <f ca="1">IF(INDIRECT(C$35&amp;"!F"&amp;ROW()-ROW($C$339)+4)="","",INDIRECT(C$35&amp;"!F"&amp;ROW()-ROW($C$339)+4))</f>
        <v>0</v>
      </c>
      <c r="M351" s="99" t="b">
        <f ca="1">IF(INDIRECT(D$35&amp;"!F"&amp;ROW()-ROW($C$339)+4)="","",INDIRECT(D$35&amp;"!F"&amp;ROW()-ROW($C$339)+4))</f>
        <v>1</v>
      </c>
      <c r="N351" s="99" t="b">
        <f ca="1">IF(INDIRECT(E$35&amp;"!F"&amp;ROW()-ROW($C$339)+4)="","",INDIRECT(E$35&amp;"!F"&amp;ROW()-ROW($C$339)+4))</f>
        <v>1</v>
      </c>
      <c r="O351" s="99"/>
      <c r="P351" s="99" t="b">
        <f ca="1">INDIRECT(C$35&amp;"!B"&amp;ROW()-ROW($C$339)+4)=$B351</f>
        <v>1</v>
      </c>
      <c r="Q351" s="99" t="b">
        <f ca="1">INDIRECT(D$35&amp;"!B"&amp;ROW()-ROW($C$339)+4)=$B351</f>
        <v>1</v>
      </c>
      <c r="R351" s="99" t="b">
        <f ca="1">INDIRECT(E$35&amp;"!B"&amp;ROW()-ROW($C$339)+4)=$B351</f>
        <v>1</v>
      </c>
      <c r="S351" s="137"/>
      <c r="T351" s="99" t="str">
        <f ca="1">IF(NOT(ISERROR(MATCH(K351,'Lookup Tables'!A:A,0))),"Lookup",IF(OR(NOT(ISERROR(FIND("Numeric",K351))),NOT(ISERROR(FIND("Percentage",K351))),NOT(ISERROR(FIND("Date",K351)))),"Numeric",IF(NOT(ISERROR(FIND("lank",K351))),"Non-blank",IF(NOT(ISERROR(FIND("Not evaluated",K351))),"Skipped","Other"))))</f>
        <v>Lookup</v>
      </c>
      <c r="U351" s="461">
        <f ca="1">IF(COLUMN()-COLUMN($U$55)+1&lt;=$Y351,INDEX(OFFSET(INDIRECT($K351),0,1),MATCH(C351,INDIRECT($K351),0)),"")</f>
        <v>0</v>
      </c>
      <c r="V351" s="461">
        <f ca="1">IF(COLUMN()-COLUMN($U$55)+1&lt;=$Y351,INDEX(OFFSET(INDIRECT($K351),0,1),MATCH(D351,INDIRECT($K351),0)),"")</f>
        <v>1</v>
      </c>
      <c r="W351" s="461">
        <f ca="1">IF(COLUMN()-COLUMN($U$55)+1&lt;=$Y351,INDEX(OFFSET(INDIRECT($K351),0,1),MATCH(E351,INDIRECT($K351),0)),"")</f>
        <v>1</v>
      </c>
      <c r="X351" s="461" t="str">
        <f ca="1">IF(COLUMN()-COLUMN($U$55)+1&lt;=$Y351,INDEX(OFFSET(INDIRECT($K351),0,1),MATCH(F351,INDIRECT($K351),0)),"")</f>
        <v/>
      </c>
      <c r="Y351" s="99">
        <f t="shared" si="104"/>
        <v>3</v>
      </c>
      <c r="Z351" s="99"/>
      <c r="AA351" s="99"/>
      <c r="AB351" s="99"/>
      <c r="AC351" s="159" t="s">
        <v>2232</v>
      </c>
      <c r="AD351" s="107">
        <f t="shared" ca="1" si="109"/>
        <v>1</v>
      </c>
      <c r="AE351" s="99" t="b">
        <f t="shared" ca="1" si="108"/>
        <v>0</v>
      </c>
      <c r="AF351" s="159" t="s">
        <v>2512</v>
      </c>
      <c r="AG351" s="783">
        <f>COUNTIF('VA Detailed Scorecard Config'!D:D,AF351)</f>
        <v>1</v>
      </c>
      <c r="AH351" s="99"/>
    </row>
    <row r="352" spans="1:34" ht="13.5" customHeight="1">
      <c r="B352" s="159" t="s">
        <v>1487</v>
      </c>
      <c r="C352" s="99" t="str">
        <f ca="1">IF(INDIRECT(C$35&amp;"!C"&amp;ROW()-ROW($C$339)+4)="","",INDIRECT(C$35&amp;"!C"&amp;ROW()-ROW($C$339)+4))</f>
        <v/>
      </c>
      <c r="D352" s="99" t="str">
        <f ca="1">IF(INDIRECT(D$35&amp;"!C"&amp;ROW()-ROW($C$339)+4)="","",INDIRECT(D$35&amp;"!C"&amp;ROW()-ROW($C$339)+4))</f>
        <v>4 - Top-3 role</v>
      </c>
      <c r="E352" s="99" t="str">
        <f ca="1">IF(INDIRECT(E$35&amp;"!C"&amp;ROW()-ROW($C$339)+4)="","",INDIRECT(E$35&amp;"!C"&amp;ROW()-ROW($C$339)+4))</f>
        <v>Not applicable</v>
      </c>
      <c r="G352" s="99" t="str">
        <f ca="1">IF(INDIRECT(C$35&amp;"!D"&amp;ROW()-ROW($C$339)+4)="","",INDIRECT(C$35&amp;"!D"&amp;ROW()-ROW($C$339)+4))</f>
        <v/>
      </c>
      <c r="H352" s="99" t="str">
        <f ca="1">IF(INDIRECT(D$35&amp;"!D"&amp;ROW()-ROW($C$339)+4)="","",INDIRECT(D$35&amp;"!D"&amp;ROW()-ROW($C$339)+4))</f>
        <v/>
      </c>
      <c r="I352" s="99" t="str">
        <f ca="1">IF(INDIRECT(E$35&amp;"!D"&amp;ROW()-ROW($C$339)+4)="","",INDIRECT(E$35&amp;"!D"&amp;ROW()-ROW($C$339)+4))</f>
        <v/>
      </c>
      <c r="K352" s="99" t="str">
        <f ca="1">IF(INDIRECT(C$35&amp;"!E"&amp;ROW()-ROW($C$339)+4)="","",INDIRECT(C$35&amp;"!E"&amp;ROW()-ROW($C$339)+4))</f>
        <v>Contribution_Level</v>
      </c>
      <c r="L352" s="99" t="b">
        <f ca="1">IF(INDIRECT(C$35&amp;"!F"&amp;ROW()-ROW($C$339)+4)="","",INDIRECT(C$35&amp;"!F"&amp;ROW()-ROW($C$339)+4))</f>
        <v>0</v>
      </c>
      <c r="M352" s="99" t="b">
        <f ca="1">IF(INDIRECT(D$35&amp;"!F"&amp;ROW()-ROW($C$339)+4)="","",INDIRECT(D$35&amp;"!F"&amp;ROW()-ROW($C$339)+4))</f>
        <v>1</v>
      </c>
      <c r="N352" s="99" t="b">
        <f ca="1">IF(INDIRECT(E$35&amp;"!F"&amp;ROW()-ROW($C$339)+4)="","",INDIRECT(E$35&amp;"!F"&amp;ROW()-ROW($C$339)+4))</f>
        <v>1</v>
      </c>
      <c r="O352" s="99"/>
      <c r="P352" s="99" t="b">
        <f ca="1">INDIRECT(C$35&amp;"!B"&amp;ROW()-ROW($C$339)+4)=$B352</f>
        <v>1</v>
      </c>
      <c r="Q352" s="99" t="b">
        <f ca="1">INDIRECT(D$35&amp;"!B"&amp;ROW()-ROW($C$339)+4)=$B352</f>
        <v>1</v>
      </c>
      <c r="R352" s="99" t="b">
        <f ca="1">INDIRECT(E$35&amp;"!B"&amp;ROW()-ROW($C$339)+4)=$B352</f>
        <v>1</v>
      </c>
      <c r="S352" s="137"/>
      <c r="T352" s="99" t="str">
        <f ca="1">IF(NOT(ISERROR(MATCH(K352,'Lookup Tables'!A:A,0))),"Lookup",IF(OR(NOT(ISERROR(FIND("Numeric",K352))),NOT(ISERROR(FIND("Percentage",K352))),NOT(ISERROR(FIND("Date",K352)))),"Numeric",IF(NOT(ISERROR(FIND("lank",K352))),"Non-blank",IF(NOT(ISERROR(FIND("Not evaluated",K352))),"Skipped","Other"))))</f>
        <v>Lookup</v>
      </c>
      <c r="U352" s="461">
        <f ca="1">IF(COLUMN()-COLUMN($U$55)+1&lt;=$Y352,INDEX(OFFSET(INDIRECT($K352),0,1),MATCH(C352,INDIRECT($K352),0)),"")</f>
        <v>0</v>
      </c>
      <c r="V352" s="461">
        <f ca="1">IF(COLUMN()-COLUMN($U$55)+1&lt;=$Y352,INDEX(OFFSET(INDIRECT($K352),0,1),MATCH(D352,INDIRECT($K352),0)),"")</f>
        <v>0.75</v>
      </c>
      <c r="W352" s="461">
        <f ca="1">IF(COLUMN()-COLUMN($U$55)+1&lt;=$Y352,INDEX(OFFSET(INDIRECT($K352),0,1),MATCH(E352,INDIRECT($K352),0)),"")</f>
        <v>0</v>
      </c>
      <c r="X352" s="461" t="str">
        <f ca="1">IF(COLUMN()-COLUMN($U$55)+1&lt;=$Y352,INDEX(OFFSET(INDIRECT($K352),0,1),MATCH(F352,INDIRECT($K352),0)),"")</f>
        <v/>
      </c>
      <c r="Y352" s="99">
        <f t="shared" si="104"/>
        <v>3</v>
      </c>
      <c r="Z352" s="99"/>
      <c r="AA352" s="99"/>
      <c r="AB352" s="99"/>
      <c r="AC352" s="159" t="s">
        <v>2232</v>
      </c>
      <c r="AD352" s="107">
        <f t="shared" ca="1" si="109"/>
        <v>0.23863636363636365</v>
      </c>
      <c r="AE352" s="99" t="b">
        <f t="shared" ca="1" si="108"/>
        <v>0</v>
      </c>
      <c r="AF352" s="159" t="s">
        <v>2513</v>
      </c>
      <c r="AG352" s="783">
        <f>COUNTIF('VA Detailed Scorecard Config'!D:D,AF352)</f>
        <v>1</v>
      </c>
      <c r="AH352" s="99"/>
    </row>
    <row r="353" spans="2:34" ht="13.5" customHeight="1">
      <c r="B353" s="159" t="s">
        <v>1488</v>
      </c>
      <c r="C353" s="99" t="str">
        <f ca="1">IF(INDIRECT(C$35&amp;"!C"&amp;ROW()-ROW($C$339)+4)="","",INDIRECT(C$35&amp;"!C"&amp;ROW()-ROW($C$339)+4))</f>
        <v/>
      </c>
      <c r="D353" s="99">
        <f ca="1">IF(INDIRECT(D$35&amp;"!C"&amp;ROW()-ROW($C$339)+4)="","",INDIRECT(D$35&amp;"!C"&amp;ROW()-ROW($C$339)+4))</f>
        <v>4</v>
      </c>
      <c r="E353" s="99" t="str">
        <f ca="1">IF(INDIRECT(E$35&amp;"!C"&amp;ROW()-ROW($C$339)+4)="","",INDIRECT(E$35&amp;"!C"&amp;ROW()-ROW($C$339)+4))</f>
        <v>Not applicable</v>
      </c>
      <c r="G353" s="99" t="str">
        <f ca="1">IF(INDIRECT(C$35&amp;"!D"&amp;ROW()-ROW($C$339)+4)="","",INDIRECT(C$35&amp;"!D"&amp;ROW()-ROW($C$339)+4))</f>
        <v/>
      </c>
      <c r="H353" s="99" t="str">
        <f ca="1">IF(INDIRECT(D$35&amp;"!D"&amp;ROW()-ROW($C$339)+4)="","",INDIRECT(D$35&amp;"!D"&amp;ROW()-ROW($C$339)+4))</f>
        <v/>
      </c>
      <c r="I353" s="99" t="str">
        <f ca="1">IF(INDIRECT(E$35&amp;"!D"&amp;ROW()-ROW($C$339)+4)="","",INDIRECT(E$35&amp;"!D"&amp;ROW()-ROW($C$339)+4))</f>
        <v/>
      </c>
      <c r="K353" s="99" t="str">
        <f ca="1">IF(INDIRECT(C$35&amp;"!E"&amp;ROW()-ROW($C$339)+4)="","",INDIRECT(C$35&amp;"!E"&amp;ROW()-ROW($C$339)+4))</f>
        <v>Generic_1_5</v>
      </c>
      <c r="L353" s="99" t="b">
        <f ca="1">IF(INDIRECT(C$35&amp;"!F"&amp;ROW()-ROW($C$339)+4)="","",INDIRECT(C$35&amp;"!F"&amp;ROW()-ROW($C$339)+4))</f>
        <v>0</v>
      </c>
      <c r="M353" s="99" t="b">
        <f ca="1">IF(INDIRECT(D$35&amp;"!F"&amp;ROW()-ROW($C$339)+4)="","",INDIRECT(D$35&amp;"!F"&amp;ROW()-ROW($C$339)+4))</f>
        <v>1</v>
      </c>
      <c r="N353" s="99" t="b">
        <f ca="1">IF(INDIRECT(E$35&amp;"!F"&amp;ROW()-ROW($C$339)+4)="","",INDIRECT(E$35&amp;"!F"&amp;ROW()-ROW($C$339)+4))</f>
        <v>1</v>
      </c>
      <c r="O353" s="99"/>
      <c r="P353" s="99" t="b">
        <f ca="1">INDIRECT(C$35&amp;"!B"&amp;ROW()-ROW($C$339)+4)=$B353</f>
        <v>1</v>
      </c>
      <c r="Q353" s="99" t="b">
        <f ca="1">INDIRECT(D$35&amp;"!B"&amp;ROW()-ROW($C$339)+4)=$B353</f>
        <v>1</v>
      </c>
      <c r="R353" s="99" t="b">
        <f ca="1">INDIRECT(E$35&amp;"!B"&amp;ROW()-ROW($C$339)+4)=$B353</f>
        <v>1</v>
      </c>
      <c r="S353" s="137"/>
      <c r="T353" s="99" t="str">
        <f ca="1">IF(NOT(ISERROR(MATCH(K353,'Lookup Tables'!A:A,0))),"Lookup",IF(OR(NOT(ISERROR(FIND("Numeric",K353))),NOT(ISERROR(FIND("Percentage",K353))),NOT(ISERROR(FIND("Date",K353)))),"Numeric",IF(NOT(ISERROR(FIND("lank",K353))),"Non-blank",IF(NOT(ISERROR(FIND("Not evaluated",K353))),"Skipped","Other"))))</f>
        <v>Lookup</v>
      </c>
      <c r="U353" s="461">
        <f ca="1">IF(COLUMN()-COLUMN($U$55)+1&lt;=$Y353,INDEX(OFFSET(INDIRECT($K353),0,1),MATCH(C353,INDIRECT($K353),0)),"")</f>
        <v>0</v>
      </c>
      <c r="V353" s="461">
        <f ca="1">IF(COLUMN()-COLUMN($U$55)+1&lt;=$Y353,INDEX(OFFSET(INDIRECT($K353),0,1),MATCH(D353,INDIRECT($K353),0)),"")</f>
        <v>0.75</v>
      </c>
      <c r="W353" s="461">
        <f ca="1">IF(COLUMN()-COLUMN($U$55)+1&lt;=$Y353,INDEX(OFFSET(INDIRECT($K353),0,1),MATCH(E353,INDIRECT($K353),0)),"")</f>
        <v>0</v>
      </c>
      <c r="X353" s="461" t="str">
        <f ca="1">IF(COLUMN()-COLUMN($U$55)+1&lt;=$Y353,INDEX(OFFSET(INDIRECT($K353),0,1),MATCH(F353,INDIRECT($K353),0)),"")</f>
        <v/>
      </c>
      <c r="Y353" s="99">
        <f t="shared" si="104"/>
        <v>3</v>
      </c>
      <c r="Z353" s="99"/>
      <c r="AA353" s="99"/>
      <c r="AB353" s="99"/>
      <c r="AC353" s="159" t="s">
        <v>2232</v>
      </c>
      <c r="AD353" s="107">
        <f t="shared" ca="1" si="109"/>
        <v>0.23863636363636365</v>
      </c>
      <c r="AE353" s="99" t="b">
        <f t="shared" ca="1" si="108"/>
        <v>0</v>
      </c>
      <c r="AF353" s="159" t="s">
        <v>2514</v>
      </c>
      <c r="AG353" s="783">
        <f>COUNTIF('VA Detailed Scorecard Config'!D:D,AF353)</f>
        <v>1</v>
      </c>
      <c r="AH353" s="99"/>
    </row>
    <row r="354" spans="2:34" ht="13.5" customHeight="1">
      <c r="B354" s="159" t="s">
        <v>1489</v>
      </c>
      <c r="C354" s="99" t="str">
        <f ca="1">IF(INDIRECT(C$35&amp;"!C"&amp;ROW()-ROW($C$339)+4)="","",INDIRECT(C$35&amp;"!C"&amp;ROW()-ROW($C$339)+4))</f>
        <v/>
      </c>
      <c r="D354" s="99" t="str">
        <f ca="1">IF(INDIRECT(D$35&amp;"!C"&amp;ROW()-ROW($C$339)+4)="","",INDIRECT(D$35&amp;"!C"&amp;ROW()-ROW($C$339)+4))</f>
        <v>Yes</v>
      </c>
      <c r="E354" s="99" t="str">
        <f ca="1">IF(INDIRECT(E$35&amp;"!C"&amp;ROW()-ROW($C$339)+4)="","",INDIRECT(E$35&amp;"!C"&amp;ROW()-ROW($C$339)+4))</f>
        <v>Yes</v>
      </c>
      <c r="G354" s="99" t="str">
        <f ca="1">IF(INDIRECT(C$35&amp;"!D"&amp;ROW()-ROW($C$339)+4)="","",INDIRECT(C$35&amp;"!D"&amp;ROW()-ROW($C$339)+4))</f>
        <v/>
      </c>
      <c r="H354" s="99" t="str">
        <f ca="1">IF(INDIRECT(D$35&amp;"!D"&amp;ROW()-ROW($C$339)+4)="","",INDIRECT(D$35&amp;"!D"&amp;ROW()-ROW($C$339)+4))</f>
        <v/>
      </c>
      <c r="I354" s="99" t="str">
        <f ca="1">IF(INDIRECT(E$35&amp;"!D"&amp;ROW()-ROW($C$339)+4)="","",INDIRECT(E$35&amp;"!D"&amp;ROW()-ROW($C$339)+4))</f>
        <v/>
      </c>
      <c r="K354" s="99" t="str">
        <f ca="1">IF(INDIRECT(C$35&amp;"!E"&amp;ROW()-ROW($C$339)+4)="","",INDIRECT(C$35&amp;"!E"&amp;ROW()-ROW($C$339)+4))</f>
        <v>YES_No</v>
      </c>
      <c r="L354" s="99" t="b">
        <f ca="1">IF(INDIRECT(C$35&amp;"!F"&amp;ROW()-ROW($C$339)+4)="","",INDIRECT(C$35&amp;"!F"&amp;ROW()-ROW($C$339)+4))</f>
        <v>0</v>
      </c>
      <c r="M354" s="99" t="b">
        <f ca="1">IF(INDIRECT(D$35&amp;"!F"&amp;ROW()-ROW($C$339)+4)="","",INDIRECT(D$35&amp;"!F"&amp;ROW()-ROW($C$339)+4))</f>
        <v>1</v>
      </c>
      <c r="N354" s="99" t="b">
        <f ca="1">IF(INDIRECT(E$35&amp;"!F"&amp;ROW()-ROW($C$339)+4)="","",INDIRECT(E$35&amp;"!F"&amp;ROW()-ROW($C$339)+4))</f>
        <v>1</v>
      </c>
      <c r="O354" s="99"/>
      <c r="P354" s="99" t="b">
        <f ca="1">INDIRECT(C$35&amp;"!B"&amp;ROW()-ROW($C$339)+4)=$B354</f>
        <v>1</v>
      </c>
      <c r="Q354" s="99" t="b">
        <f ca="1">INDIRECT(D$35&amp;"!B"&amp;ROW()-ROW($C$339)+4)=$B354</f>
        <v>1</v>
      </c>
      <c r="R354" s="99" t="b">
        <f ca="1">INDIRECT(E$35&amp;"!B"&amp;ROW()-ROW($C$339)+4)=$B354</f>
        <v>1</v>
      </c>
      <c r="S354" s="137"/>
      <c r="T354" s="99" t="str">
        <f ca="1">IF(NOT(ISERROR(MATCH(K354,'Lookup Tables'!A:A,0))),"Lookup",IF(OR(NOT(ISERROR(FIND("Numeric",K354))),NOT(ISERROR(FIND("Percentage",K354))),NOT(ISERROR(FIND("Date",K354)))),"Numeric",IF(NOT(ISERROR(FIND("lank",K354))),"Non-blank",IF(NOT(ISERROR(FIND("Not evaluated",K354))),"Skipped","Other"))))</f>
        <v>Lookup</v>
      </c>
      <c r="U354" s="461">
        <f ca="1">IF(COLUMN()-COLUMN($U$55)+1&lt;=$Y354,INDEX(OFFSET(INDIRECT($K354),0,1),MATCH(C354,INDIRECT($K354),0)),"")</f>
        <v>0</v>
      </c>
      <c r="V354" s="461">
        <f ca="1">IF(COLUMN()-COLUMN($U$55)+1&lt;=$Y354,INDEX(OFFSET(INDIRECT($K354),0,1),MATCH(D354,INDIRECT($K354),0)),"")</f>
        <v>1</v>
      </c>
      <c r="W354" s="461">
        <f ca="1">IF(COLUMN()-COLUMN($U$55)+1&lt;=$Y354,INDEX(OFFSET(INDIRECT($K354),0,1),MATCH(E354,INDIRECT($K354),0)),"")</f>
        <v>1</v>
      </c>
      <c r="X354" s="461" t="str">
        <f ca="1">IF(COLUMN()-COLUMN($U$55)+1&lt;=$Y354,INDEX(OFFSET(INDIRECT($K354),0,1),MATCH(F354,INDIRECT($K354),0)),"")</f>
        <v/>
      </c>
      <c r="Y354" s="99">
        <f t="shared" si="104"/>
        <v>3</v>
      </c>
      <c r="Z354" s="99"/>
      <c r="AA354" s="99"/>
      <c r="AB354" s="99"/>
      <c r="AC354" s="159" t="s">
        <v>2232</v>
      </c>
      <c r="AD354" s="107">
        <f t="shared" ca="1" si="109"/>
        <v>1</v>
      </c>
      <c r="AE354" s="99" t="b">
        <f t="shared" ca="1" si="108"/>
        <v>0</v>
      </c>
      <c r="AF354" s="159" t="s">
        <v>2515</v>
      </c>
      <c r="AG354" s="783">
        <f>COUNTIF('VA Detailed Scorecard Config'!D:D,AF354)</f>
        <v>1</v>
      </c>
      <c r="AH354" s="99"/>
    </row>
    <row r="355" spans="2:34" ht="13.5" customHeight="1" thickBot="1">
      <c r="B355" s="339" t="s">
        <v>1541</v>
      </c>
      <c r="C355" s="99" t="str">
        <f ca="1">IF(INDIRECT(C$35&amp;"!C"&amp;ROW()-ROW($C$339)+4)="","",INDIRECT(C$35&amp;"!C"&amp;ROW()-ROW($C$339)+4))</f>
        <v/>
      </c>
      <c r="D355" s="99" t="str">
        <f ca="1">IF(INDIRECT(D$35&amp;"!C"&amp;ROW()-ROW($C$339)+4)="","",INDIRECT(D$35&amp;"!C"&amp;ROW()-ROW($C$339)+4))</f>
        <v/>
      </c>
      <c r="E355" s="99" t="str">
        <f ca="1">IF(INDIRECT(E$35&amp;"!C"&amp;ROW()-ROW($C$339)+4)="","",INDIRECT(E$35&amp;"!C"&amp;ROW()-ROW($C$339)+4))</f>
        <v/>
      </c>
      <c r="G355" s="99" t="str">
        <f ca="1">IF(INDIRECT(C$35&amp;"!D"&amp;ROW()-ROW($C$339)+4)="","",INDIRECT(C$35&amp;"!D"&amp;ROW()-ROW($C$339)+4))</f>
        <v/>
      </c>
      <c r="H355" s="99" t="str">
        <f ca="1">IF(INDIRECT(D$35&amp;"!D"&amp;ROW()-ROW($C$339)+4)="","",INDIRECT(D$35&amp;"!D"&amp;ROW()-ROW($C$339)+4))</f>
        <v/>
      </c>
      <c r="I355" s="99" t="str">
        <f ca="1">IF(INDIRECT(E$35&amp;"!D"&amp;ROW()-ROW($C$339)+4)="","",INDIRECT(E$35&amp;"!D"&amp;ROW()-ROW($C$339)+4))</f>
        <v/>
      </c>
      <c r="K355" s="99" t="str">
        <f ca="1">IF(INDIRECT(C$35&amp;"!E"&amp;ROW()-ROW($C$339)+4)="","",INDIRECT(C$35&amp;"!E"&amp;ROW()-ROW($C$339)+4))</f>
        <v>Not evaluated</v>
      </c>
      <c r="L355" s="99" t="b">
        <f ca="1">IF(INDIRECT(C$35&amp;"!F"&amp;ROW()-ROW($C$339)+4)="","",INDIRECT(C$35&amp;"!F"&amp;ROW()-ROW($C$339)+4))</f>
        <v>0</v>
      </c>
      <c r="M355" s="99" t="b">
        <f ca="1">IF(INDIRECT(D$35&amp;"!F"&amp;ROW()-ROW($C$339)+4)="","",INDIRECT(D$35&amp;"!F"&amp;ROW()-ROW($C$339)+4))</f>
        <v>1</v>
      </c>
      <c r="N355" s="99" t="b">
        <f ca="1">IF(INDIRECT(E$35&amp;"!F"&amp;ROW()-ROW($C$339)+4)="","",INDIRECT(E$35&amp;"!F"&amp;ROW()-ROW($C$339)+4))</f>
        <v>1</v>
      </c>
      <c r="O355" s="99"/>
      <c r="P355" s="99" t="b">
        <f ca="1">INDIRECT(C$35&amp;"!B"&amp;ROW()-ROW($C$339)+4)=$B355</f>
        <v>1</v>
      </c>
      <c r="Q355" s="99" t="b">
        <f ca="1">INDIRECT(D$35&amp;"!B"&amp;ROW()-ROW($C$339)+4)=$B355</f>
        <v>1</v>
      </c>
      <c r="R355" s="99" t="b">
        <f ca="1">INDIRECT(E$35&amp;"!B"&amp;ROW()-ROW($C$339)+4)=$B355</f>
        <v>1</v>
      </c>
      <c r="S355" s="137"/>
      <c r="T355" s="99" t="str">
        <f ca="1">IF(NOT(ISERROR(MATCH(K355,'Lookup Tables'!A:A,0))),"Lookup",IF(OR(NOT(ISERROR(FIND("Numeric",K355))),NOT(ISERROR(FIND("Percentage",K355))),NOT(ISERROR(FIND("Date",K355)))),"Numeric",IF(NOT(ISERROR(FIND("lank",K355))),"Non-blank",IF(NOT(ISERROR(FIND("Not evaluated",K355))),"Skipped","Other"))))</f>
        <v>Skipped</v>
      </c>
      <c r="U355" s="99"/>
      <c r="V355" s="99"/>
      <c r="W355" s="99"/>
      <c r="X355" s="99"/>
      <c r="Y355" s="99">
        <f t="shared" si="104"/>
        <v>3</v>
      </c>
      <c r="Z355" s="99"/>
      <c r="AA355" s="99"/>
      <c r="AB355" s="99"/>
      <c r="AC355" s="159"/>
      <c r="AD355" s="107"/>
      <c r="AE355" s="99"/>
      <c r="AF355" s="99"/>
      <c r="AG355" s="248"/>
      <c r="AH355" s="99"/>
    </row>
    <row r="356" spans="2:34" ht="13.5" customHeight="1">
      <c r="B356" s="165" t="s">
        <v>1921</v>
      </c>
      <c r="C356" s="99">
        <f ca="1">IF(INDIRECT(C$35&amp;"!C"&amp;ROW()-ROW($C$339)+4)="","",INDIRECT(C$35&amp;"!C"&amp;ROW()-ROW($C$339)+4))</f>
        <v>4</v>
      </c>
      <c r="D356" s="99" t="str">
        <f ca="1">IF(INDIRECT(D$35&amp;"!C"&amp;ROW()-ROW($C$339)+4)="","",INDIRECT(D$35&amp;"!C"&amp;ROW()-ROW($C$339)+4))</f>
        <v/>
      </c>
      <c r="E356" s="99">
        <f ca="1">IF(INDIRECT(E$35&amp;"!C"&amp;ROW()-ROW($C$339)+4)="","",INDIRECT(E$35&amp;"!C"&amp;ROW()-ROW($C$339)+4))</f>
        <v>3</v>
      </c>
      <c r="G356" s="99" t="str">
        <f ca="1">IF(INDIRECT(C$35&amp;"!D"&amp;ROW()-ROW($C$339)+4)="","",INDIRECT(C$35&amp;"!D"&amp;ROW()-ROW($C$339)+4))</f>
        <v/>
      </c>
      <c r="H356" s="99" t="str">
        <f ca="1">IF(INDIRECT(D$35&amp;"!D"&amp;ROW()-ROW($C$339)+4)="","",INDIRECT(D$35&amp;"!D"&amp;ROW()-ROW($C$339)+4))</f>
        <v/>
      </c>
      <c r="I356" s="99" t="str">
        <f ca="1">IF(INDIRECT(E$35&amp;"!D"&amp;ROW()-ROW($C$339)+4)="","",INDIRECT(E$35&amp;"!D"&amp;ROW()-ROW($C$339)+4))</f>
        <v/>
      </c>
      <c r="K356" s="99" t="str">
        <f ca="1">IF(INDIRECT(C$35&amp;"!E"&amp;ROW()-ROW($C$339)+4)="","",INDIRECT(C$35&amp;"!E"&amp;ROW()-ROW($C$339)+4))</f>
        <v>Disagree_Agree_1_5</v>
      </c>
      <c r="L356" s="99" t="b">
        <f ca="1">IF(INDIRECT(C$35&amp;"!F"&amp;ROW()-ROW($C$339)+4)="","",INDIRECT(C$35&amp;"!F"&amp;ROW()-ROW($C$339)+4))</f>
        <v>1</v>
      </c>
      <c r="M356" s="99" t="b">
        <f ca="1">IF(INDIRECT(D$35&amp;"!F"&amp;ROW()-ROW($C$339)+4)="","",INDIRECT(D$35&amp;"!F"&amp;ROW()-ROW($C$339)+4))</f>
        <v>1</v>
      </c>
      <c r="N356" s="99" t="b">
        <f ca="1">IF(INDIRECT(E$35&amp;"!F"&amp;ROW()-ROW($C$339)+4)="","",INDIRECT(E$35&amp;"!F"&amp;ROW()-ROW($C$339)+4))</f>
        <v>1</v>
      </c>
      <c r="O356" s="99"/>
      <c r="P356" s="99" t="b">
        <f ca="1">INDIRECT(C$35&amp;"!B"&amp;ROW()-ROW($C$339)+4)=$B356</f>
        <v>1</v>
      </c>
      <c r="Q356" s="99" t="b">
        <f ca="1">INDIRECT(D$35&amp;"!B"&amp;ROW()-ROW($C$339)+4)=$B356</f>
        <v>1</v>
      </c>
      <c r="R356" s="99" t="b">
        <f ca="1">INDIRECT(E$35&amp;"!B"&amp;ROW()-ROW($C$339)+4)=$B356</f>
        <v>1</v>
      </c>
      <c r="S356" s="137"/>
      <c r="T356" s="99" t="str">
        <f ca="1">IF(NOT(ISERROR(MATCH(K356,'Lookup Tables'!A:A,0))),"Lookup",IF(OR(NOT(ISERROR(FIND("Numeric",K356))),NOT(ISERROR(FIND("Percentage",K356))),NOT(ISERROR(FIND("Date",K356)))),"Numeric",IF(NOT(ISERROR(FIND("lank",K356))),"Non-blank",IF(NOT(ISERROR(FIND("Not evaluated",K356))),"Skipped","Other"))))</f>
        <v>Lookup</v>
      </c>
      <c r="U356" s="461">
        <f ca="1">IF(COLUMN()-COLUMN($U$55)+1&lt;=$Y356,INDEX(OFFSET(INDIRECT($K356),0,1),MATCH(C356,INDIRECT($K356),0)),"")</f>
        <v>0.75</v>
      </c>
      <c r="V356" s="461">
        <f ca="1">IF(COLUMN()-COLUMN($U$55)+1&lt;=$Y356,INDEX(OFFSET(INDIRECT($K356),0,1),MATCH(D356,INDIRECT($K356),0)),"")</f>
        <v>0</v>
      </c>
      <c r="W356" s="461">
        <f ca="1">IF(COLUMN()-COLUMN($U$55)+1&lt;=$Y356,INDEX(OFFSET(INDIRECT($K356),0,1),MATCH(E356,INDIRECT($K356),0)),"")</f>
        <v>0.5</v>
      </c>
      <c r="X356" s="461" t="str">
        <f ca="1">IF(COLUMN()-COLUMN($U$55)+1&lt;=$Y356,INDEX(OFFSET(INDIRECT($K356),0,1),MATCH(F356,INDIRECT($K356),0)),"")</f>
        <v/>
      </c>
      <c r="Y356" s="99">
        <f t="shared" si="104"/>
        <v>3</v>
      </c>
      <c r="Z356" s="99"/>
      <c r="AA356" s="99"/>
      <c r="AB356" s="99"/>
      <c r="AC356" s="159" t="s">
        <v>2232</v>
      </c>
      <c r="AD356" s="107">
        <f t="shared" ref="AD356:AD359" ca="1" si="111">IFERROR((SUMPRODUCT(U356:X356,$C$362:$F$362)+IF($A$340&gt;0,OFFSET($B$362,0,$A$340)*OFFSET(T356,0,$A$340)*OFFSET(K356,0,$A$340),0))/(SUMIF(L356:O356,TRUE,$C$362:$E$362)+IF($A$340&gt;0,OFFSET($B$362,0,$A$340)*OFFSET(K356,0,$A$340))),AVERAGE(U356:X356))</f>
        <v>0.5357142857142857</v>
      </c>
      <c r="AE356" s="99" t="b">
        <f t="shared" ref="AE356:AE359" ca="1" si="112">NOT(OR(L356:O356))</f>
        <v>0</v>
      </c>
      <c r="AF356" s="159" t="s">
        <v>2516</v>
      </c>
      <c r="AG356" s="783">
        <f>COUNTIF('VA Detailed Scorecard Config'!D:D,AF356)</f>
        <v>1</v>
      </c>
      <c r="AH356" s="99"/>
    </row>
    <row r="357" spans="2:34" ht="13.5" customHeight="1">
      <c r="B357" s="159" t="s">
        <v>1922</v>
      </c>
      <c r="C357" s="99" t="str">
        <f ca="1">IF(INDIRECT(C$35&amp;"!C"&amp;ROW()-ROW($C$339)+4)="","",INDIRECT(C$35&amp;"!C"&amp;ROW()-ROW($C$339)+4))</f>
        <v>5 - Completely Agree</v>
      </c>
      <c r="D357" s="99" t="str">
        <f ca="1">IF(INDIRECT(D$35&amp;"!C"&amp;ROW()-ROW($C$339)+4)="","",INDIRECT(D$35&amp;"!C"&amp;ROW()-ROW($C$339)+4))</f>
        <v/>
      </c>
      <c r="E357" s="99">
        <f ca="1">IF(INDIRECT(E$35&amp;"!C"&amp;ROW()-ROW($C$339)+4)="","",INDIRECT(E$35&amp;"!C"&amp;ROW()-ROW($C$339)+4))</f>
        <v>4</v>
      </c>
      <c r="G357" s="99" t="str">
        <f ca="1">IF(INDIRECT(C$35&amp;"!D"&amp;ROW()-ROW($C$339)+4)="","",INDIRECT(C$35&amp;"!D"&amp;ROW()-ROW($C$339)+4))</f>
        <v/>
      </c>
      <c r="H357" s="99" t="str">
        <f ca="1">IF(INDIRECT(D$35&amp;"!D"&amp;ROW()-ROW($C$339)+4)="","",INDIRECT(D$35&amp;"!D"&amp;ROW()-ROW($C$339)+4))</f>
        <v/>
      </c>
      <c r="I357" s="99" t="str">
        <f ca="1">IF(INDIRECT(E$35&amp;"!D"&amp;ROW()-ROW($C$339)+4)="","",INDIRECT(E$35&amp;"!D"&amp;ROW()-ROW($C$339)+4))</f>
        <v/>
      </c>
      <c r="K357" s="99" t="str">
        <f ca="1">IF(INDIRECT(C$35&amp;"!E"&amp;ROW()-ROW($C$339)+4)="","",INDIRECT(C$35&amp;"!E"&amp;ROW()-ROW($C$339)+4))</f>
        <v>Disagree_Agree_1_5</v>
      </c>
      <c r="L357" s="99" t="b">
        <f ca="1">IF(INDIRECT(C$35&amp;"!F"&amp;ROW()-ROW($C$339)+4)="","",INDIRECT(C$35&amp;"!F"&amp;ROW()-ROW($C$339)+4))</f>
        <v>1</v>
      </c>
      <c r="M357" s="99" t="b">
        <f ca="1">IF(INDIRECT(D$35&amp;"!F"&amp;ROW()-ROW($C$339)+4)="","",INDIRECT(D$35&amp;"!F"&amp;ROW()-ROW($C$339)+4))</f>
        <v>1</v>
      </c>
      <c r="N357" s="99" t="b">
        <f ca="1">IF(INDIRECT(E$35&amp;"!F"&amp;ROW()-ROW($C$339)+4)="","",INDIRECT(E$35&amp;"!F"&amp;ROW()-ROW($C$339)+4))</f>
        <v>1</v>
      </c>
      <c r="O357" s="99"/>
      <c r="P357" s="99" t="b">
        <f ca="1">INDIRECT(C$35&amp;"!B"&amp;ROW()-ROW($C$339)+4)=$B357</f>
        <v>1</v>
      </c>
      <c r="Q357" s="99" t="b">
        <f ca="1">INDIRECT(D$35&amp;"!B"&amp;ROW()-ROW($C$339)+4)=$B357</f>
        <v>1</v>
      </c>
      <c r="R357" s="99" t="b">
        <f ca="1">INDIRECT(E$35&amp;"!B"&amp;ROW()-ROW($C$339)+4)=$B357</f>
        <v>1</v>
      </c>
      <c r="S357" s="137"/>
      <c r="T357" s="99" t="str">
        <f ca="1">IF(NOT(ISERROR(MATCH(K357,'Lookup Tables'!A:A,0))),"Lookup",IF(OR(NOT(ISERROR(FIND("Numeric",K357))),NOT(ISERROR(FIND("Percentage",K357))),NOT(ISERROR(FIND("Date",K357)))),"Numeric",IF(NOT(ISERROR(FIND("lank",K357))),"Non-blank",IF(NOT(ISERROR(FIND("Not evaluated",K357))),"Skipped","Other"))))</f>
        <v>Lookup</v>
      </c>
      <c r="U357" s="461">
        <f ca="1">IF(COLUMN()-COLUMN($U$55)+1&lt;=$Y357,INDEX(OFFSET(INDIRECT($K357),0,1),MATCH(C357,INDIRECT($K357),0)),"")</f>
        <v>1</v>
      </c>
      <c r="V357" s="461">
        <f ca="1">IF(COLUMN()-COLUMN($U$55)+1&lt;=$Y357,INDEX(OFFSET(INDIRECT($K357),0,1),MATCH(D357,INDIRECT($K357),0)),"")</f>
        <v>0</v>
      </c>
      <c r="W357" s="461">
        <f ca="1">IF(COLUMN()-COLUMN($U$55)+1&lt;=$Y357,INDEX(OFFSET(INDIRECT($K357),0,1),MATCH(E357,INDIRECT($K357),0)),"")</f>
        <v>0.75</v>
      </c>
      <c r="X357" s="461" t="str">
        <f ca="1">IF(COLUMN()-COLUMN($U$55)+1&lt;=$Y357,INDEX(OFFSET(INDIRECT($K357),0,1),MATCH(F357,INDIRECT($K357),0)),"")</f>
        <v/>
      </c>
      <c r="Y357" s="99">
        <f t="shared" si="104"/>
        <v>3</v>
      </c>
      <c r="Z357" s="99"/>
      <c r="AA357" s="99"/>
      <c r="AB357" s="99"/>
      <c r="AC357" s="159" t="s">
        <v>2232</v>
      </c>
      <c r="AD357" s="107">
        <f t="shared" ca="1" si="111"/>
        <v>0.74404761904761907</v>
      </c>
      <c r="AE357" s="99" t="b">
        <f t="shared" ca="1" si="112"/>
        <v>0</v>
      </c>
      <c r="AF357" s="159" t="s">
        <v>2517</v>
      </c>
      <c r="AG357" s="783">
        <f>COUNTIF('VA Detailed Scorecard Config'!D:D,AF357)</f>
        <v>1</v>
      </c>
      <c r="AH357" s="99"/>
    </row>
    <row r="358" spans="2:34" ht="13.5" customHeight="1" thickBot="1">
      <c r="B358" s="172" t="s">
        <v>1932</v>
      </c>
      <c r="C358" s="99" t="str">
        <f ca="1">IF(INDIRECT(C$35&amp;"!C"&amp;ROW()-ROW($C$339)+4)="","",INDIRECT(C$35&amp;"!C"&amp;ROW()-ROW($C$339)+4))</f>
        <v>5 - Completely Agree</v>
      </c>
      <c r="D358" s="99" t="str">
        <f ca="1">IF(INDIRECT(D$35&amp;"!C"&amp;ROW()-ROW($C$339)+4)="","",INDIRECT(D$35&amp;"!C"&amp;ROW()-ROW($C$339)+4))</f>
        <v/>
      </c>
      <c r="E358" s="99" t="str">
        <f ca="1">IF(INDIRECT(E$35&amp;"!C"&amp;ROW()-ROW($C$339)+4)="","",INDIRECT(E$35&amp;"!C"&amp;ROW()-ROW($C$339)+4))</f>
        <v>5 - Completely Agree</v>
      </c>
      <c r="G358" s="99" t="str">
        <f ca="1">IF(INDIRECT(C$35&amp;"!D"&amp;ROW()-ROW($C$339)+4)="","",INDIRECT(C$35&amp;"!D"&amp;ROW()-ROW($C$339)+4))</f>
        <v/>
      </c>
      <c r="H358" s="99" t="str">
        <f ca="1">IF(INDIRECT(D$35&amp;"!D"&amp;ROW()-ROW($C$339)+4)="","",INDIRECT(D$35&amp;"!D"&amp;ROW()-ROW($C$339)+4))</f>
        <v/>
      </c>
      <c r="I358" s="99" t="str">
        <f ca="1">IF(INDIRECT(E$35&amp;"!D"&amp;ROW()-ROW($C$339)+4)="","",INDIRECT(E$35&amp;"!D"&amp;ROW()-ROW($C$339)+4))</f>
        <v/>
      </c>
      <c r="K358" s="99" t="str">
        <f ca="1">IF(INDIRECT(C$35&amp;"!E"&amp;ROW()-ROW($C$339)+4)="","",INDIRECT(C$35&amp;"!E"&amp;ROW()-ROW($C$339)+4))</f>
        <v>Disagree_Agree_1_5</v>
      </c>
      <c r="L358" s="99" t="b">
        <f ca="1">IF(INDIRECT(C$35&amp;"!F"&amp;ROW()-ROW($C$339)+4)="","",INDIRECT(C$35&amp;"!F"&amp;ROW()-ROW($C$339)+4))</f>
        <v>1</v>
      </c>
      <c r="M358" s="99" t="b">
        <f ca="1">IF(INDIRECT(D$35&amp;"!F"&amp;ROW()-ROW($C$339)+4)="","",INDIRECT(D$35&amp;"!F"&amp;ROW()-ROW($C$339)+4))</f>
        <v>1</v>
      </c>
      <c r="N358" s="99" t="b">
        <f ca="1">IF(INDIRECT(E$35&amp;"!F"&amp;ROW()-ROW($C$339)+4)="","",INDIRECT(E$35&amp;"!F"&amp;ROW()-ROW($C$339)+4))</f>
        <v>1</v>
      </c>
      <c r="O358" s="99"/>
      <c r="P358" s="99" t="b">
        <f ca="1">INDIRECT(C$35&amp;"!B"&amp;ROW()-ROW($C$339)+4)=$B358</f>
        <v>1</v>
      </c>
      <c r="Q358" s="99" t="b">
        <f ca="1">INDIRECT(D$35&amp;"!B"&amp;ROW()-ROW($C$339)+4)=$B358</f>
        <v>1</v>
      </c>
      <c r="R358" s="99" t="b">
        <f ca="1">INDIRECT(E$35&amp;"!B"&amp;ROW()-ROW($C$339)+4)=$B358</f>
        <v>1</v>
      </c>
      <c r="S358" s="137"/>
      <c r="T358" s="99" t="str">
        <f ca="1">IF(NOT(ISERROR(MATCH(K358,'Lookup Tables'!A:A,0))),"Lookup",IF(OR(NOT(ISERROR(FIND("Numeric",K358))),NOT(ISERROR(FIND("Percentage",K358))),NOT(ISERROR(FIND("Date",K358)))),"Numeric",IF(NOT(ISERROR(FIND("lank",K358))),"Non-blank",IF(NOT(ISERROR(FIND("Not evaluated",K358))),"Skipped","Other"))))</f>
        <v>Lookup</v>
      </c>
      <c r="U358" s="461">
        <f ca="1">IF(COLUMN()-COLUMN($U$55)+1&lt;=$Y358,INDEX(OFFSET(INDIRECT($K358),0,1),MATCH(C358,INDIRECT($K358),0)),"")</f>
        <v>1</v>
      </c>
      <c r="V358" s="461">
        <f ca="1">IF(COLUMN()-COLUMN($U$55)+1&lt;=$Y358,INDEX(OFFSET(INDIRECT($K358),0,1),MATCH(D358,INDIRECT($K358),0)),"")</f>
        <v>0</v>
      </c>
      <c r="W358" s="461">
        <f ca="1">IF(COLUMN()-COLUMN($U$55)+1&lt;=$Y358,INDEX(OFFSET(INDIRECT($K358),0,1),MATCH(E358,INDIRECT($K358),0)),"")</f>
        <v>1</v>
      </c>
      <c r="X358" s="461" t="str">
        <f ca="1">IF(COLUMN()-COLUMN($U$55)+1&lt;=$Y358,INDEX(OFFSET(INDIRECT($K358),0,1),MATCH(F358,INDIRECT($K358),0)),"")</f>
        <v/>
      </c>
      <c r="Y358" s="99">
        <f t="shared" si="104"/>
        <v>3</v>
      </c>
      <c r="Z358" s="99"/>
      <c r="AA358" s="99"/>
      <c r="AB358" s="99"/>
      <c r="AC358" s="159" t="s">
        <v>2232</v>
      </c>
      <c r="AD358" s="107">
        <f t="shared" ca="1" si="111"/>
        <v>0.83333333333333337</v>
      </c>
      <c r="AE358" s="99" t="b">
        <f t="shared" ca="1" si="112"/>
        <v>0</v>
      </c>
      <c r="AF358" s="159" t="s">
        <v>2518</v>
      </c>
      <c r="AG358" s="783">
        <f>COUNTIF('VA Detailed Scorecard Config'!D:D,AF358)</f>
        <v>1</v>
      </c>
      <c r="AH358" s="99"/>
    </row>
    <row r="359" spans="2:34" ht="13.5" customHeight="1" thickBot="1">
      <c r="B359" s="356" t="s">
        <v>1901</v>
      </c>
      <c r="C359" s="99" t="str">
        <f ca="1">IF(INDIRECT(C$35&amp;"!C"&amp;ROW()-ROW($C$339)+4)="","",INDIRECT(C$35&amp;"!C"&amp;ROW()-ROW($C$339)+4))</f>
        <v>Yes</v>
      </c>
      <c r="D359" s="99" t="str">
        <f ca="1">IF(INDIRECT(D$35&amp;"!C"&amp;ROW()-ROW($C$339)+4)="","",INDIRECT(D$35&amp;"!C"&amp;ROW()-ROW($C$339)+4))</f>
        <v>Yes</v>
      </c>
      <c r="E359" s="99" t="str">
        <f ca="1">IF(INDIRECT(E$35&amp;"!C"&amp;ROW()-ROW($C$339)+4)="","",INDIRECT(E$35&amp;"!C"&amp;ROW()-ROW($C$339)+4))</f>
        <v>Yes</v>
      </c>
      <c r="G359" s="99" t="str">
        <f ca="1">IF(INDIRECT(C$35&amp;"!D"&amp;ROW()-ROW($C$339)+4)="","",INDIRECT(C$35&amp;"!D"&amp;ROW()-ROW($C$339)+4))</f>
        <v/>
      </c>
      <c r="H359" s="99" t="str">
        <f ca="1">IF(INDIRECT(D$35&amp;"!D"&amp;ROW()-ROW($C$339)+4)="","",INDIRECT(D$35&amp;"!D"&amp;ROW()-ROW($C$339)+4))</f>
        <v/>
      </c>
      <c r="I359" s="99" t="str">
        <f ca="1">IF(INDIRECT(E$35&amp;"!D"&amp;ROW()-ROW($C$339)+4)="","",INDIRECT(E$35&amp;"!D"&amp;ROW()-ROW($C$339)+4))</f>
        <v/>
      </c>
      <c r="K359" s="99" t="str">
        <f ca="1">IF(INDIRECT(C$35&amp;"!E"&amp;ROW()-ROW($C$339)+4)="","",INDIRECT(C$35&amp;"!E"&amp;ROW()-ROW($C$339)+4))</f>
        <v>YES_No</v>
      </c>
      <c r="L359" s="99" t="b">
        <f ca="1">IF(INDIRECT(C$35&amp;"!F"&amp;ROW()-ROW($C$339)+4)="","",INDIRECT(C$35&amp;"!F"&amp;ROW()-ROW($C$339)+4))</f>
        <v>1</v>
      </c>
      <c r="M359" s="99" t="b">
        <f ca="1">IF(INDIRECT(D$35&amp;"!F"&amp;ROW()-ROW($C$339)+4)="","",INDIRECT(D$35&amp;"!F"&amp;ROW()-ROW($C$339)+4))</f>
        <v>1</v>
      </c>
      <c r="N359" s="99" t="b">
        <f ca="1">IF(INDIRECT(E$35&amp;"!F"&amp;ROW()-ROW($C$339)+4)="","",INDIRECT(E$35&amp;"!F"&amp;ROW()-ROW($C$339)+4))</f>
        <v>1</v>
      </c>
      <c r="O359" s="99"/>
      <c r="P359" s="99" t="b">
        <f ca="1">INDIRECT(C$35&amp;"!B"&amp;ROW()-ROW($C$339)+4)=$B359</f>
        <v>1</v>
      </c>
      <c r="Q359" s="99" t="b">
        <f ca="1">INDIRECT(D$35&amp;"!B"&amp;ROW()-ROW($C$339)+4)=$B359</f>
        <v>1</v>
      </c>
      <c r="R359" s="99" t="b">
        <f ca="1">INDIRECT(E$35&amp;"!B"&amp;ROW()-ROW($C$339)+4)=$B359</f>
        <v>1</v>
      </c>
      <c r="S359" s="137"/>
      <c r="T359" s="99" t="str">
        <f ca="1">IF(NOT(ISERROR(MATCH(K359,'Lookup Tables'!A:A,0))),"Lookup",IF(OR(NOT(ISERROR(FIND("Numeric",K359))),NOT(ISERROR(FIND("Percentage",K359))),NOT(ISERROR(FIND("Date",K359)))),"Numeric",IF(NOT(ISERROR(FIND("lank",K359))),"Non-blank",IF(NOT(ISERROR(FIND("Not evaluated",K359))),"Skipped","Other"))))</f>
        <v>Lookup</v>
      </c>
      <c r="U359" s="461">
        <f ca="1">IF(COLUMN()-COLUMN($U$55)+1&lt;=$Y359,INDEX(OFFSET(INDIRECT($K359),0,1),MATCH(C359,INDIRECT($K359),0)),"")</f>
        <v>1</v>
      </c>
      <c r="V359" s="461">
        <f ca="1">IF(COLUMN()-COLUMN($U$55)+1&lt;=$Y359,INDEX(OFFSET(INDIRECT($K359),0,1),MATCH(D359,INDIRECT($K359),0)),"")</f>
        <v>1</v>
      </c>
      <c r="W359" s="461">
        <f ca="1">IF(COLUMN()-COLUMN($U$55)+1&lt;=$Y359,INDEX(OFFSET(INDIRECT($K359),0,1),MATCH(E359,INDIRECT($K359),0)),"")</f>
        <v>1</v>
      </c>
      <c r="X359" s="461" t="str">
        <f ca="1">IF(COLUMN()-COLUMN($U$55)+1&lt;=$Y359,INDEX(OFFSET(INDIRECT($K359),0,1),MATCH(F359,INDIRECT($K359),0)),"")</f>
        <v/>
      </c>
      <c r="Y359" s="99">
        <f t="shared" si="104"/>
        <v>3</v>
      </c>
      <c r="Z359" s="99"/>
      <c r="AA359" s="99"/>
      <c r="AB359" s="99"/>
      <c r="AC359" s="159" t="s">
        <v>2232</v>
      </c>
      <c r="AD359" s="107">
        <f t="shared" ca="1" si="111"/>
        <v>1</v>
      </c>
      <c r="AE359" s="99" t="b">
        <f t="shared" ca="1" si="112"/>
        <v>0</v>
      </c>
      <c r="AF359" s="159" t="s">
        <v>2519</v>
      </c>
      <c r="AG359" s="783">
        <f>COUNTIF('VA Detailed Scorecard Config'!D:D,AF359)</f>
        <v>0</v>
      </c>
      <c r="AH359" s="99"/>
    </row>
    <row r="360" spans="2:34" ht="13.5" customHeight="1">
      <c r="B360" s="421" t="s">
        <v>1974</v>
      </c>
      <c r="C360" s="408" t="s">
        <v>1989</v>
      </c>
      <c r="D360" s="408" t="s">
        <v>1990</v>
      </c>
      <c r="E360" s="408" t="s">
        <v>2028</v>
      </c>
      <c r="K360" s="410" t="s">
        <v>1988</v>
      </c>
      <c r="L360" s="410" t="s">
        <v>2219</v>
      </c>
      <c r="M360" s="410" t="s">
        <v>2220</v>
      </c>
      <c r="N360" s="410" t="s">
        <v>2221</v>
      </c>
      <c r="O360" s="410" t="s">
        <v>2222</v>
      </c>
      <c r="P360" s="423" t="s">
        <v>1993</v>
      </c>
      <c r="Q360" s="423" t="s">
        <v>1994</v>
      </c>
      <c r="R360" s="423" t="s">
        <v>1995</v>
      </c>
      <c r="S360" s="423" t="s">
        <v>1996</v>
      </c>
      <c r="AF360" s="137"/>
      <c r="AG360" s="775"/>
    </row>
    <row r="361" spans="2:34" ht="13.5" customHeight="1">
      <c r="B361" s="327" t="s">
        <v>1985</v>
      </c>
      <c r="C361" s="99" t="str">
        <f ca="1">IF(INDIRECT(C$35&amp;"!C"&amp;ROW()-ROW($C$339)+7)="","",INDIRECT(C$35&amp;"!C"&amp;ROW()-ROW($C$339)+7))</f>
        <v>Yes</v>
      </c>
      <c r="D361" s="99" t="str">
        <f ca="1">IF(INDIRECT(D$35&amp;"!C"&amp;ROW()-ROW($C$339)+7)="","",INDIRECT(D$35&amp;"!C"&amp;ROW()-ROW($C$339)+7))</f>
        <v>Yes</v>
      </c>
      <c r="E361" s="99" t="str">
        <f ca="1">IF(INDIRECT(E$35&amp;"!C"&amp;ROW()-ROW($C$339)+7)="","",INDIRECT(E$35&amp;"!C"&amp;ROW()-ROW($C$339)+7))</f>
        <v>Yes</v>
      </c>
      <c r="K361" s="99" t="str">
        <f ca="1">IF(INDIRECT(C$35&amp;"!E"&amp;ROW()-ROW($C$339)+7)="","",INDIRECT(C$35&amp;"!E"&amp;ROW()-ROW($C$339)+7))</f>
        <v>YES_No</v>
      </c>
      <c r="L361" s="99" t="b">
        <f ca="1">IF(INDIRECT(C$35&amp;"!F"&amp;ROW()-ROW($C$339)+7)="","",INDIRECT(C$35&amp;"!F"&amp;ROW()-ROW($C$339)+7))</f>
        <v>1</v>
      </c>
      <c r="M361" s="99" t="b">
        <f ca="1">IF(INDIRECT(D$35&amp;"!F"&amp;ROW()-ROW($C$339)+7)="","",INDIRECT(D$35&amp;"!F"&amp;ROW()-ROW($C$339)+7))</f>
        <v>1</v>
      </c>
      <c r="N361" s="99" t="b">
        <f ca="1">IF(INDIRECT(E$35&amp;"!F"&amp;ROW()-ROW($C$339)+7)="","",INDIRECT(E$35&amp;"!F"&amp;ROW()-ROW($C$339)+7))</f>
        <v>1</v>
      </c>
      <c r="O361" s="99"/>
      <c r="P361" s="99" t="b">
        <f ca="1">INDIRECT(C$35&amp;"!B"&amp;ROW()-ROW($C$339)+7)=$B361</f>
        <v>1</v>
      </c>
      <c r="Q361" s="99" t="b">
        <f ca="1">INDIRECT(D$35&amp;"!B"&amp;ROW()-ROW($C$339)+7)=$B361</f>
        <v>1</v>
      </c>
      <c r="R361" s="99" t="b">
        <f ca="1">INDIRECT(E$35&amp;"!B"&amp;ROW()-ROW($C$339)+7)=$B361</f>
        <v>1</v>
      </c>
      <c r="T361" s="37" t="s">
        <v>2191</v>
      </c>
      <c r="U361" s="461"/>
      <c r="V361" s="461"/>
      <c r="W361" s="461"/>
      <c r="X361" s="461"/>
      <c r="Y361" s="99">
        <f t="shared" si="104"/>
        <v>3</v>
      </c>
      <c r="Z361" s="99"/>
      <c r="AA361" s="99"/>
      <c r="AB361" s="99"/>
      <c r="AC361" s="99"/>
      <c r="AD361" s="99"/>
      <c r="AE361" s="99"/>
      <c r="AF361" s="99"/>
      <c r="AG361" s="248"/>
    </row>
    <row r="362" spans="2:34" ht="13.5" customHeight="1">
      <c r="B362" s="327" t="s">
        <v>1984</v>
      </c>
      <c r="C362" s="99">
        <f ca="1">IF(INDIRECT(C$35&amp;"!C"&amp;ROW()-ROW($C$339)+7)="","",INDIRECT(C$35&amp;"!C"&amp;ROW()-ROW($C$339)+7))</f>
        <v>1000</v>
      </c>
      <c r="D362" s="99">
        <f ca="1">IF(INDIRECT(D$35&amp;"!C"&amp;ROW()-ROW($C$339)+7)="","",INDIRECT(D$35&amp;"!C"&amp;ROW()-ROW($C$339)+7))</f>
        <v>700</v>
      </c>
      <c r="E362" s="99">
        <f ca="1">IF(INDIRECT(E$35&amp;"!C"&amp;ROW()-ROW($C$339)+7)="","",INDIRECT(E$35&amp;"!C"&amp;ROW()-ROW($C$339)+7))</f>
        <v>1500</v>
      </c>
      <c r="K362" s="99" t="str">
        <f ca="1">IF(INDIRECT(C$35&amp;"!E"&amp;ROW()-ROW($C$339)+7)="","",INDIRECT(C$35&amp;"!E"&amp;ROW()-ROW($C$339)+7))</f>
        <v>Numerical (Larger is better, linear scale)</v>
      </c>
      <c r="L362" s="99" t="b">
        <f ca="1">IF(INDIRECT(C$35&amp;"!F"&amp;ROW()-ROW($C$339)+7)="","",INDIRECT(C$35&amp;"!F"&amp;ROW()-ROW($C$339)+7))</f>
        <v>1</v>
      </c>
      <c r="M362" s="99" t="b">
        <f ca="1">IF(INDIRECT(D$35&amp;"!F"&amp;ROW()-ROW($C$339)+7)="","",INDIRECT(D$35&amp;"!F"&amp;ROW()-ROW($C$339)+7))</f>
        <v>1</v>
      </c>
      <c r="N362" s="99" t="b">
        <f ca="1">IF(INDIRECT(E$35&amp;"!F"&amp;ROW()-ROW($C$339)+7)="","",INDIRECT(E$35&amp;"!F"&amp;ROW()-ROW($C$339)+7))</f>
        <v>1</v>
      </c>
      <c r="O362" s="99"/>
      <c r="P362" s="99" t="b">
        <f ca="1">INDIRECT(C$35&amp;"!B"&amp;ROW()-ROW($C$339)+7)=$B362</f>
        <v>1</v>
      </c>
      <c r="Q362" s="99" t="b">
        <f ca="1">INDIRECT(D$35&amp;"!B"&amp;ROW()-ROW($C$339)+7)=$B362</f>
        <v>1</v>
      </c>
      <c r="R362" s="99" t="b">
        <f ca="1">INDIRECT(E$35&amp;"!B"&amp;ROW()-ROW($C$339)+7)=$B362</f>
        <v>1</v>
      </c>
      <c r="T362" s="99" t="str">
        <f ca="1">IF(NOT(ISERROR(MATCH(K362,'Lookup Tables'!A:A,0))),"Lookup",IF(OR(NOT(ISERROR(FIND("Numeric",K362))),NOT(ISERROR(FIND("Percentage",K362))),NOT(ISERROR(FIND("Date",K362)))),"Numeric",IF(NOT(ISERROR(FIND("lank",K362))),"Non-blank",IF(NOT(ISERROR(FIND("Not evaluated",K362))),"Skipped","Other"))))</f>
        <v>Numeric</v>
      </c>
      <c r="U362" s="101">
        <f ca="1">IF(COLUMN()-COLUMN($U$55)+1&lt;=$Y361,(C362-MIN($C362:$F362,$Z362:$AA362))/(MAX($AA362,$C362:$F362)-MIN($C362:$F362,$Z362:$AA362)),"")</f>
        <v>0.66666666666666663</v>
      </c>
      <c r="V362" s="101">
        <f ca="1">IF(COLUMN()-COLUMN($U$55)+1&lt;=$Y361,(D362-MIN($C362:$F362,$Z362:$AA362))/(MAX($AA362,$C362:$F362)-MIN($C362:$F362,$Z362:$AA362)),"")</f>
        <v>0.46666666666666667</v>
      </c>
      <c r="W362" s="101">
        <f ca="1">IF(COLUMN()-COLUMN($U$55)+1&lt;=$Y361,(E362-MIN($C362:$F362,$Z362:$AA362))/(MAX($AA362,$C362:$F362)-MIN($C362:$F362,$Z362:$AA362)),"")</f>
        <v>1</v>
      </c>
      <c r="X362" s="101" t="str">
        <f>IF(COLUMN()-COLUMN($U$55)+1&lt;=$Y361,(F362-MIN($C362:$F362,$Z362:$AA362))/(MAX($AA362,$C362:$F362)-MIN($C362:$F362,$Z362:$AA362)),"")</f>
        <v/>
      </c>
      <c r="Y362" s="99">
        <f>COUNTA($C$8:$F$8)</f>
        <v>2</v>
      </c>
      <c r="Z362" s="99">
        <v>0</v>
      </c>
      <c r="AA362" s="99">
        <v>1000</v>
      </c>
      <c r="AB362" s="159" t="s">
        <v>2190</v>
      </c>
      <c r="AC362" s="159" t="s">
        <v>2229</v>
      </c>
      <c r="AD362" s="107">
        <f ca="1">MEDIAN(U362:X362)</f>
        <v>0.66666666666666663</v>
      </c>
      <c r="AE362" s="99" t="b">
        <f t="shared" ref="AE362" ca="1" si="113">IF(AD362="","",NOT(P362))</f>
        <v>0</v>
      </c>
      <c r="AF362" s="159" t="s">
        <v>2520</v>
      </c>
      <c r="AG362" s="783">
        <f>COUNTIF('VA Detailed Scorecard Config'!D:D,AF362)</f>
        <v>1</v>
      </c>
      <c r="AH362" s="99"/>
    </row>
    <row r="363" spans="2:34" ht="13.5" customHeight="1">
      <c r="AF363" s="137"/>
      <c r="AG363" s="775"/>
    </row>
    <row r="364" spans="2:34" ht="13.5" customHeight="1">
      <c r="B364" s="704" t="s">
        <v>2037</v>
      </c>
      <c r="C364" s="705"/>
      <c r="D364" s="705"/>
      <c r="E364" s="705"/>
      <c r="F364" s="705"/>
      <c r="G364" s="705"/>
      <c r="H364" s="705"/>
      <c r="I364" s="705"/>
      <c r="J364" s="705"/>
      <c r="K364" s="705"/>
      <c r="L364" s="705"/>
      <c r="M364" s="705"/>
      <c r="N364" s="705"/>
      <c r="O364" s="706"/>
      <c r="P364" s="579" t="s">
        <v>1981</v>
      </c>
      <c r="Q364" s="579"/>
      <c r="R364" s="579"/>
      <c r="S364" s="579"/>
      <c r="T364" s="578" t="s">
        <v>2169</v>
      </c>
      <c r="U364" s="578" t="s">
        <v>2174</v>
      </c>
      <c r="V364" s="578"/>
      <c r="W364" s="578"/>
      <c r="X364" s="578"/>
      <c r="Y364" s="580" t="s">
        <v>2181</v>
      </c>
      <c r="Z364" s="582" t="s">
        <v>2182</v>
      </c>
      <c r="AA364" s="582"/>
      <c r="AB364" s="582"/>
      <c r="AC364" s="581" t="s">
        <v>2197</v>
      </c>
      <c r="AD364" s="581" t="s">
        <v>2225</v>
      </c>
      <c r="AE364" s="581" t="s">
        <v>2226</v>
      </c>
      <c r="AF364" s="767" t="s">
        <v>2246</v>
      </c>
      <c r="AG364" s="764" t="s">
        <v>2278</v>
      </c>
      <c r="AH364" s="767" t="s">
        <v>2277</v>
      </c>
    </row>
    <row r="365" spans="2:34" ht="13.5" customHeight="1">
      <c r="B365" s="417" t="s">
        <v>4</v>
      </c>
      <c r="C365" s="405" t="s">
        <v>1989</v>
      </c>
      <c r="D365" s="405" t="s">
        <v>1990</v>
      </c>
      <c r="E365" s="405" t="s">
        <v>2028</v>
      </c>
      <c r="F365" s="405" t="s">
        <v>2029</v>
      </c>
      <c r="G365" s="404" t="s">
        <v>1991</v>
      </c>
      <c r="H365" s="404" t="s">
        <v>1992</v>
      </c>
      <c r="I365" s="404" t="s">
        <v>2030</v>
      </c>
      <c r="J365" s="404" t="s">
        <v>2031</v>
      </c>
      <c r="K365" s="404" t="s">
        <v>1988</v>
      </c>
      <c r="L365" s="404" t="s">
        <v>2219</v>
      </c>
      <c r="M365" s="698" t="s">
        <v>2220</v>
      </c>
      <c r="N365" s="698" t="s">
        <v>2221</v>
      </c>
      <c r="O365" s="698" t="s">
        <v>2222</v>
      </c>
      <c r="P365" s="407" t="s">
        <v>1993</v>
      </c>
      <c r="Q365" s="407" t="s">
        <v>1994</v>
      </c>
      <c r="R365" s="407" t="s">
        <v>1995</v>
      </c>
      <c r="S365" s="407" t="s">
        <v>1996</v>
      </c>
      <c r="T365" s="579"/>
      <c r="U365" s="190" t="s">
        <v>1993</v>
      </c>
      <c r="V365" s="190" t="s">
        <v>1994</v>
      </c>
      <c r="W365" s="190" t="s">
        <v>1995</v>
      </c>
      <c r="X365" s="190" t="s">
        <v>1996</v>
      </c>
      <c r="Y365" s="581"/>
      <c r="Z365" s="381" t="s">
        <v>2183</v>
      </c>
      <c r="AA365" s="381" t="s">
        <v>2184</v>
      </c>
      <c r="AB365" s="381" t="s">
        <v>2185</v>
      </c>
      <c r="AC365" s="769"/>
      <c r="AD365" s="769"/>
      <c r="AE365" s="769"/>
      <c r="AF365" s="768"/>
      <c r="AG365" s="766"/>
      <c r="AH365" s="768"/>
    </row>
    <row r="366" spans="2:34" ht="13.5" customHeight="1">
      <c r="B366" s="327" t="s">
        <v>1432</v>
      </c>
      <c r="C366" s="99" t="str">
        <f ca="1">IF(INDIRECT(C$41&amp;"!C"&amp;ROW()-ROW($C$366)+4)="","",INDIRECT(C$41&amp;"!C"&amp;ROW()-ROW($C$366)+4))</f>
        <v>SampleCo</v>
      </c>
      <c r="D366" s="99" t="str">
        <f ca="1">IF(INDIRECT(D$41&amp;"!C"&amp;ROW()-ROW($C$366)+4)="","",INDIRECT(D$41&amp;"!C"&amp;ROW()-ROW($C$366)+4))</f>
        <v>SampleCo</v>
      </c>
      <c r="E366" s="99" t="str">
        <f ca="1">IF(INDIRECT(E$41&amp;"!C"&amp;ROW()-ROW($C$366)+4)="","",INDIRECT(E$41&amp;"!C"&amp;ROW()-ROW($C$366)+4))</f>
        <v>SampleCo</v>
      </c>
      <c r="G366" s="99" t="str">
        <f ca="1">IF(INDIRECT(C$41&amp;"!D"&amp;ROW()-ROW($C$366)+4)="","",INDIRECT(C$41&amp;"!D"&amp;ROW()-ROW($C$366)+4))</f>
        <v/>
      </c>
      <c r="H366" s="99" t="str">
        <f ca="1">IF(INDIRECT(D$41&amp;"!D"&amp;ROW()-ROW($C$366)+4)="","",INDIRECT(D$41&amp;"!D"&amp;ROW()-ROW($C$366)+4))</f>
        <v/>
      </c>
      <c r="I366" s="99" t="str">
        <f ca="1">IF(INDIRECT(E$41&amp;"!D"&amp;ROW()-ROW($C$366)+4)="","",INDIRECT(E$41&amp;"!D"&amp;ROW()-ROW($C$366)+4))</f>
        <v/>
      </c>
      <c r="K366" s="99" t="str">
        <f ca="1">IF(INDIRECT(C$41&amp;"!E"&amp;ROW()-ROW($C$366)+4)="","",INDIRECT(C$41&amp;"!E"&amp;ROW()-ROW($C$366)+4))</f>
        <v>Need to have existing org profile</v>
      </c>
      <c r="L366" s="99" t="b">
        <f ca="1">IF(INDIRECT(C$41&amp;"!F"&amp;ROW()-ROW($C$366)+4)="","",INDIRECT(C$41&amp;"!F"&amp;ROW()-ROW($C$366)+4))</f>
        <v>1</v>
      </c>
      <c r="M366" s="99" t="b">
        <f ca="1">IF(INDIRECT(D$41&amp;"!F"&amp;ROW()-ROW($C$366)+4)="","",INDIRECT(D$41&amp;"!F"&amp;ROW()-ROW($C$366)+4))</f>
        <v>1</v>
      </c>
      <c r="N366" s="99" t="b">
        <f ca="1">IF(INDIRECT(E$41&amp;"!F"&amp;ROW()-ROW($C$366)+4)="","",INDIRECT(E$41&amp;"!F"&amp;ROW()-ROW($C$366)+4))</f>
        <v>1</v>
      </c>
      <c r="O366" s="99"/>
      <c r="P366" s="99" t="b">
        <f ca="1">INDIRECT(C$41&amp;"!B"&amp;ROW()-ROW($C$366)+4)=$B366</f>
        <v>1</v>
      </c>
      <c r="Q366" s="99" t="b">
        <f ca="1">INDIRECT(D$41&amp;"!B"&amp;ROW()-ROW($C$366)+4)=$B366</f>
        <v>1</v>
      </c>
      <c r="R366" s="99" t="b">
        <f ca="1">INDIRECT(E$41&amp;"!B"&amp;ROW()-ROW($C$366)+4)=$B366</f>
        <v>1</v>
      </c>
      <c r="T366" s="37" t="s">
        <v>2191</v>
      </c>
      <c r="X366" s="137"/>
      <c r="Y366" s="99">
        <f>COUNTA($C$41:$F$41)</f>
        <v>3</v>
      </c>
      <c r="Z366" s="99"/>
      <c r="AA366" s="99"/>
      <c r="AB366" s="99"/>
      <c r="AC366" s="99"/>
      <c r="AD366" s="99"/>
      <c r="AE366" s="99"/>
      <c r="AF366" s="99"/>
      <c r="AG366" s="248"/>
      <c r="AH366" s="99"/>
    </row>
    <row r="367" spans="2:34" ht="13.5" customHeight="1">
      <c r="B367" s="327" t="s">
        <v>1518</v>
      </c>
      <c r="C367" s="99" t="str">
        <f ca="1">IF(INDIRECT(C$41&amp;"!C"&amp;ROW()-ROW($C$366)+4)="","",INDIRECT(C$41&amp;"!C"&amp;ROW()-ROW($C$366)+4))</f>
        <v>YakkoWarner, DotWarner</v>
      </c>
      <c r="D367" s="99" t="str">
        <f ca="1">IF(INDIRECT(D$41&amp;"!C"&amp;ROW()-ROW($C$366)+4)="","",INDIRECT(D$41&amp;"!C"&amp;ROW()-ROW($C$366)+4))</f>
        <v>Alex</v>
      </c>
      <c r="E367" s="99" t="str">
        <f ca="1">IF(INDIRECT(E$41&amp;"!C"&amp;ROW()-ROW($C$366)+4)="","",INDIRECT(E$41&amp;"!C"&amp;ROW()-ROW($C$366)+4))</f>
        <v>Alex</v>
      </c>
      <c r="G367" s="99" t="str">
        <f ca="1">IF(INDIRECT(C$41&amp;"!D"&amp;ROW()-ROW($C$366)+4)="","",INDIRECT(C$41&amp;"!D"&amp;ROW()-ROW($C$366)+4))</f>
        <v/>
      </c>
      <c r="H367" s="99" t="str">
        <f ca="1">IF(INDIRECT(D$41&amp;"!D"&amp;ROW()-ROW($C$366)+4)="","",INDIRECT(D$41&amp;"!D"&amp;ROW()-ROW($C$366)+4))</f>
        <v/>
      </c>
      <c r="I367" s="99" t="str">
        <f ca="1">IF(INDIRECT(E$41&amp;"!D"&amp;ROW()-ROW($C$366)+4)="","",INDIRECT(E$41&amp;"!D"&amp;ROW()-ROW($C$366)+4))</f>
        <v/>
      </c>
      <c r="K367" s="99" t="str">
        <f ca="1">IF(INDIRECT(C$41&amp;"!E"&amp;ROW()-ROW($C$366)+4)="","",INDIRECT(C$41&amp;"!E"&amp;ROW()-ROW($C$366)+4))</f>
        <v>Add any number of existing individual profiles that are members of this org</v>
      </c>
      <c r="L367" s="99" t="b">
        <f ca="1">IF(INDIRECT(C$41&amp;"!F"&amp;ROW()-ROW($C$366)+4)="","",INDIRECT(C$41&amp;"!F"&amp;ROW()-ROW($C$366)+4))</f>
        <v>1</v>
      </c>
      <c r="M367" s="99" t="b">
        <f ca="1">IF(INDIRECT(D$41&amp;"!F"&amp;ROW()-ROW($C$366)+4)="","",INDIRECT(D$41&amp;"!F"&amp;ROW()-ROW($C$366)+4))</f>
        <v>1</v>
      </c>
      <c r="N367" s="99" t="b">
        <f ca="1">IF(INDIRECT(E$41&amp;"!F"&amp;ROW()-ROW($C$366)+4)="","",INDIRECT(E$41&amp;"!F"&amp;ROW()-ROW($C$366)+4))</f>
        <v>1</v>
      </c>
      <c r="O367" s="99"/>
      <c r="P367" s="99" t="b">
        <f ca="1">INDIRECT(C$41&amp;"!B"&amp;ROW()-ROW($C$366)+4)=$B367</f>
        <v>1</v>
      </c>
      <c r="Q367" s="99" t="b">
        <f ca="1">INDIRECT(D$41&amp;"!B"&amp;ROW()-ROW($C$366)+4)=$B367</f>
        <v>1</v>
      </c>
      <c r="R367" s="99" t="b">
        <f ca="1">INDIRECT(E$41&amp;"!B"&amp;ROW()-ROW($C$366)+4)=$B367</f>
        <v>1</v>
      </c>
      <c r="T367" s="37" t="s">
        <v>2191</v>
      </c>
      <c r="X367" s="137"/>
      <c r="Y367" s="99">
        <f t="shared" ref="Y367:Y392" si="114">COUNTA($C$41:$F$41)</f>
        <v>3</v>
      </c>
      <c r="Z367" s="99"/>
      <c r="AA367" s="99"/>
      <c r="AB367" s="99"/>
      <c r="AC367" s="99"/>
      <c r="AD367" s="99"/>
      <c r="AE367" s="99"/>
      <c r="AF367" s="99"/>
      <c r="AG367" s="248"/>
      <c r="AH367" s="99"/>
    </row>
    <row r="368" spans="2:34" ht="13.5" customHeight="1">
      <c r="B368" s="327" t="s">
        <v>1405</v>
      </c>
      <c r="C368" s="99" t="str">
        <f ca="1">IF(INDIRECT(C$41&amp;"!C"&amp;ROW()-ROW($C$366)+4)="","",INDIRECT(C$41&amp;"!C"&amp;ROW()-ROW($C$366)+4))</f>
        <v>Xprize impact assessment</v>
      </c>
      <c r="D368" s="99" t="str">
        <f ca="1">IF(INDIRECT(D$41&amp;"!C"&amp;ROW()-ROW($C$366)+4)="","",INDIRECT(D$41&amp;"!C"&amp;ROW()-ROW($C$366)+4))</f>
        <v>CouponCo sourcing</v>
      </c>
      <c r="E368" s="99" t="str">
        <f ca="1">IF(INDIRECT(E$41&amp;"!C"&amp;ROW()-ROW($C$366)+4)="","",INDIRECT(E$41&amp;"!C"&amp;ROW()-ROW($C$366)+4))</f>
        <v>RouteForCarbon</v>
      </c>
      <c r="G368" s="99" t="str">
        <f ca="1">IF(INDIRECT(C$41&amp;"!D"&amp;ROW()-ROW($C$366)+4)="","",INDIRECT(C$41&amp;"!D"&amp;ROW()-ROW($C$366)+4))</f>
        <v/>
      </c>
      <c r="H368" s="99" t="str">
        <f ca="1">IF(INDIRECT(D$41&amp;"!D"&amp;ROW()-ROW($C$366)+4)="","",INDIRECT(D$41&amp;"!D"&amp;ROW()-ROW($C$366)+4))</f>
        <v/>
      </c>
      <c r="I368" s="99" t="str">
        <f ca="1">IF(INDIRECT(E$41&amp;"!D"&amp;ROW()-ROW($C$366)+4)="","",INDIRECT(E$41&amp;"!D"&amp;ROW()-ROW($C$366)+4))</f>
        <v/>
      </c>
      <c r="K368" s="99" t="str">
        <f ca="1">IF(INDIRECT(C$41&amp;"!E"&amp;ROW()-ROW($C$366)+4)="","",INDIRECT(C$41&amp;"!E"&amp;ROW()-ROW($C$366)+4))</f>
        <v>Not evaluated</v>
      </c>
      <c r="L368" s="99" t="b">
        <f ca="1">IF(INDIRECT(C$41&amp;"!F"&amp;ROW()-ROW($C$366)+4)="","",INDIRECT(C$41&amp;"!F"&amp;ROW()-ROW($C$366)+4))</f>
        <v>1</v>
      </c>
      <c r="M368" s="99" t="b">
        <f ca="1">IF(INDIRECT(D$41&amp;"!F"&amp;ROW()-ROW($C$366)+4)="","",INDIRECT(D$41&amp;"!F"&amp;ROW()-ROW($C$366)+4))</f>
        <v>1</v>
      </c>
      <c r="N368" s="99" t="b">
        <f ca="1">IF(INDIRECT(E$41&amp;"!F"&amp;ROW()-ROW($C$366)+4)="","",INDIRECT(E$41&amp;"!F"&amp;ROW()-ROW($C$366)+4))</f>
        <v>1</v>
      </c>
      <c r="O368" s="99"/>
      <c r="P368" s="99" t="b">
        <f ca="1">INDIRECT(C$41&amp;"!B"&amp;ROW()-ROW($C$366)+4)=$B368</f>
        <v>1</v>
      </c>
      <c r="Q368" s="99" t="b">
        <f ca="1">INDIRECT(D$41&amp;"!B"&amp;ROW()-ROW($C$366)+4)=$B368</f>
        <v>1</v>
      </c>
      <c r="R368" s="99" t="b">
        <f ca="1">INDIRECT(E$41&amp;"!B"&amp;ROW()-ROW($C$366)+4)=$B368</f>
        <v>1</v>
      </c>
      <c r="T368" s="37" t="str">
        <f ca="1">IF(NOT(ISERROR(MATCH(K368,'Lookup Tables'!A:A,0))),"Lookup",IF(OR(NOT(ISERROR(FIND("Numeric",K368))),NOT(ISERROR(FIND("Percentage",K368))),NOT(ISERROR(FIND("Date",K368)))),"Numeric",IF(NOT(ISERROR(FIND("lank",K368))),"Non-blank",IF(NOT(ISERROR(FIND("Not evaluated",K368))),"Skipped","Other"))))</f>
        <v>Skipped</v>
      </c>
      <c r="X368" s="137"/>
      <c r="Y368" s="99">
        <f t="shared" si="114"/>
        <v>3</v>
      </c>
      <c r="Z368" s="99"/>
      <c r="AA368" s="99"/>
      <c r="AB368" s="99"/>
      <c r="AC368" s="99"/>
      <c r="AD368" s="99"/>
      <c r="AE368" s="99"/>
      <c r="AF368" s="99"/>
      <c r="AG368" s="248"/>
      <c r="AH368" s="99"/>
    </row>
    <row r="369" spans="2:34" ht="13.5" customHeight="1">
      <c r="B369" s="327" t="s">
        <v>1431</v>
      </c>
      <c r="C369" s="99" t="str">
        <f ca="1">IF(INDIRECT(C$41&amp;"!C"&amp;ROW()-ROW($C$366)+4)="","",INDIRECT(C$41&amp;"!C"&amp;ROW()-ROW($C$366)+4))</f>
        <v>We figured out why XPRIZE's model works better than investing directly in, say, tree planting</v>
      </c>
      <c r="D369" s="99" t="str">
        <f ca="1">IF(INDIRECT(D$41&amp;"!C"&amp;ROW()-ROW($C$366)+4)="","",INDIRECT(D$41&amp;"!C"&amp;ROW()-ROW($C$366)+4))</f>
        <v>RFP for outsourced IT department of a F1000 coupon company</v>
      </c>
      <c r="E369" s="99" t="str">
        <f ca="1">IF(INDIRECT(E$41&amp;"!C"&amp;ROW()-ROW($C$366)+4)="","",INDIRECT(E$41&amp;"!C"&amp;ROW()-ROW($C$366)+4))</f>
        <v>Built a network routing tool for carbon</v>
      </c>
      <c r="G369" s="99" t="str">
        <f ca="1">IF(INDIRECT(C$41&amp;"!D"&amp;ROW()-ROW($C$366)+4)="","",INDIRECT(C$41&amp;"!D"&amp;ROW()-ROW($C$366)+4))</f>
        <v/>
      </c>
      <c r="H369" s="99" t="str">
        <f ca="1">IF(INDIRECT(D$41&amp;"!D"&amp;ROW()-ROW($C$366)+4)="","",INDIRECT(D$41&amp;"!D"&amp;ROW()-ROW($C$366)+4))</f>
        <v/>
      </c>
      <c r="I369" s="99" t="str">
        <f ca="1">IF(INDIRECT(E$41&amp;"!D"&amp;ROW()-ROW($C$366)+4)="","",INDIRECT(E$41&amp;"!D"&amp;ROW()-ROW($C$366)+4))</f>
        <v/>
      </c>
      <c r="K369" s="99" t="str">
        <f ca="1">IF(INDIRECT(C$41&amp;"!E"&amp;ROW()-ROW($C$366)+4)="","",INDIRECT(C$41&amp;"!E"&amp;ROW()-ROW($C$366)+4))</f>
        <v>Non-blank is better</v>
      </c>
      <c r="L369" s="99" t="b">
        <f ca="1">IF(INDIRECT(C$41&amp;"!F"&amp;ROW()-ROW($C$366)+4)="","",INDIRECT(C$41&amp;"!F"&amp;ROW()-ROW($C$366)+4))</f>
        <v>1</v>
      </c>
      <c r="M369" s="99" t="b">
        <f ca="1">IF(INDIRECT(D$41&amp;"!F"&amp;ROW()-ROW($C$366)+4)="","",INDIRECT(D$41&amp;"!F"&amp;ROW()-ROW($C$366)+4))</f>
        <v>1</v>
      </c>
      <c r="N369" s="99" t="b">
        <f ca="1">IF(INDIRECT(E$41&amp;"!F"&amp;ROW()-ROW($C$366)+4)="","",INDIRECT(E$41&amp;"!F"&amp;ROW()-ROW($C$366)+4))</f>
        <v>1</v>
      </c>
      <c r="O369" s="99"/>
      <c r="P369" s="99" t="b">
        <f ca="1">INDIRECT(C$41&amp;"!B"&amp;ROW()-ROW($C$366)+4)=$B369</f>
        <v>1</v>
      </c>
      <c r="Q369" s="99" t="b">
        <f ca="1">INDIRECT(D$41&amp;"!B"&amp;ROW()-ROW($C$366)+4)=$B369</f>
        <v>1</v>
      </c>
      <c r="R369" s="99" t="b">
        <f ca="1">INDIRECT(E$41&amp;"!B"&amp;ROW()-ROW($C$366)+4)=$B369</f>
        <v>1</v>
      </c>
      <c r="T369" s="99" t="str">
        <f ca="1">IF(NOT(ISERROR(MATCH(K369,'Lookup Tables'!A:A,0))),"Lookup",IF(OR(NOT(ISERROR(FIND("Numeric",K369))),NOT(ISERROR(FIND("Percentage",K369))),NOT(ISERROR(FIND("Date",K369)))),"Numeric",IF(NOT(ISERROR(FIND("lank",K369))),"Non-blank",IF(NOT(ISERROR(FIND("Not evaluated",K369))),"Skipped","Other"))))</f>
        <v>Non-blank</v>
      </c>
      <c r="U369" s="461">
        <f ca="1">IF(COLUMN()-COLUMN($U$55)+1&lt;=$Y369,IF(C369="",0,1),"")</f>
        <v>1</v>
      </c>
      <c r="V369" s="461">
        <f ca="1">IF(COLUMN()-COLUMN($U$55)+1&lt;=$Y369,IF(D369="",0,1),"")</f>
        <v>1</v>
      </c>
      <c r="W369" s="461">
        <f ca="1">IF(COLUMN()-COLUMN($U$55)+1&lt;=$Y369,IF(E369="",0,1),"")</f>
        <v>1</v>
      </c>
      <c r="X369" s="465" t="str">
        <f>IF(COLUMN()-COLUMN($U$55)+1&lt;=$Y369,IF(F369="",0,1),"")</f>
        <v/>
      </c>
      <c r="Y369" s="99">
        <f t="shared" si="114"/>
        <v>3</v>
      </c>
      <c r="Z369" s="99"/>
      <c r="AA369" s="99"/>
      <c r="AB369" s="99"/>
      <c r="AC369" s="159" t="s">
        <v>2237</v>
      </c>
      <c r="AD369" s="101">
        <f t="shared" ref="AD369:AD376" ca="1" si="115">IFERROR(AVERAGEIF(L369:O369,TRUE,U369:X369),AVERAGE(U369:X369))</f>
        <v>1</v>
      </c>
      <c r="AE369" s="99" t="b">
        <f t="shared" ref="AE369:AE376" ca="1" si="116">NOT(OR(L369:O369))</f>
        <v>0</v>
      </c>
      <c r="AF369" s="159" t="s">
        <v>2454</v>
      </c>
      <c r="AG369" s="783">
        <f>COUNTIF('VA Detailed Scorecard Config'!D:D,AF369)</f>
        <v>0</v>
      </c>
      <c r="AH369" s="99"/>
    </row>
    <row r="370" spans="2:34" ht="13.5" customHeight="1">
      <c r="B370" s="327" t="s">
        <v>1566</v>
      </c>
      <c r="C370" s="99" t="str">
        <f ca="1">IF(INDIRECT(C$41&amp;"!C"&amp;ROW()-ROW($C$366)+4)="","",INDIRECT(C$41&amp;"!C"&amp;ROW()-ROW($C$366)+4))</f>
        <v>Research</v>
      </c>
      <c r="D370" s="99" t="str">
        <f ca="1">IF(INDIRECT(D$41&amp;"!C"&amp;ROW()-ROW($C$366)+4)="","",INDIRECT(D$41&amp;"!C"&amp;ROW()-ROW($C$366)+4))</f>
        <v>Other (please specify)</v>
      </c>
      <c r="E370" s="99" t="str">
        <f ca="1">IF(INDIRECT(E$41&amp;"!C"&amp;ROW()-ROW($C$366)+4)="","",INDIRECT(E$41&amp;"!C"&amp;ROW()-ROW($C$366)+4))</f>
        <v>Open source code</v>
      </c>
      <c r="G370" s="99" t="str">
        <f ca="1">IF(INDIRECT(C$41&amp;"!D"&amp;ROW()-ROW($C$366)+4)="","",INDIRECT(C$41&amp;"!D"&amp;ROW()-ROW($C$366)+4))</f>
        <v/>
      </c>
      <c r="H370" s="99" t="str">
        <f ca="1">IF(INDIRECT(D$41&amp;"!D"&amp;ROW()-ROW($C$366)+4)="","",INDIRECT(D$41&amp;"!D"&amp;ROW()-ROW($C$366)+4))</f>
        <v>Sourcing</v>
      </c>
      <c r="I370" s="99" t="str">
        <f ca="1">IF(INDIRECT(E$41&amp;"!D"&amp;ROW()-ROW($C$366)+4)="","",INDIRECT(E$41&amp;"!D"&amp;ROW()-ROW($C$366)+4))</f>
        <v/>
      </c>
      <c r="K370" s="99" t="str">
        <f ca="1">IF(INDIRECT(C$41&amp;"!E"&amp;ROW()-ROW($C$366)+4)="","",INDIRECT(C$41&amp;"!E"&amp;ROW()-ROW($C$366)+4))</f>
        <v>Project_Type</v>
      </c>
      <c r="L370" s="99" t="b">
        <f ca="1">IF(INDIRECT(C$41&amp;"!F"&amp;ROW()-ROW($C$366)+4)="","",INDIRECT(C$41&amp;"!F"&amp;ROW()-ROW($C$366)+4))</f>
        <v>1</v>
      </c>
      <c r="M370" s="99" t="b">
        <f ca="1">IF(INDIRECT(D$41&amp;"!F"&amp;ROW()-ROW($C$366)+4)="","",INDIRECT(D$41&amp;"!F"&amp;ROW()-ROW($C$366)+4))</f>
        <v>1</v>
      </c>
      <c r="N370" s="99" t="b">
        <f ca="1">IF(INDIRECT(E$41&amp;"!F"&amp;ROW()-ROW($C$366)+4)="","",INDIRECT(E$41&amp;"!F"&amp;ROW()-ROW($C$366)+4))</f>
        <v>1</v>
      </c>
      <c r="O370" s="99"/>
      <c r="P370" s="99" t="b">
        <f ca="1">INDIRECT(C$41&amp;"!B"&amp;ROW()-ROW($C$366)+4)=$B370</f>
        <v>1</v>
      </c>
      <c r="Q370" s="99" t="b">
        <f ca="1">INDIRECT(D$41&amp;"!B"&amp;ROW()-ROW($C$366)+4)=$B370</f>
        <v>1</v>
      </c>
      <c r="R370" s="99" t="b">
        <f ca="1">INDIRECT(E$41&amp;"!B"&amp;ROW()-ROW($C$366)+4)=$B370</f>
        <v>1</v>
      </c>
      <c r="T370" s="37" t="str">
        <f ca="1">IF(NOT(ISERROR(MATCH(K370,'Lookup Tables'!A:A,0))),"Lookup",IF(OR(NOT(ISERROR(FIND("Numeric",K370))),NOT(ISERROR(FIND("Percentage",K370))),NOT(ISERROR(FIND("Date",K370)))),"Numeric",IF(NOT(ISERROR(FIND("lank",K370))),"Non-blank",IF(NOT(ISERROR(FIND("Not evaluated",K370))),"Skipped","Other"))))</f>
        <v>Lookup</v>
      </c>
      <c r="U370" s="461">
        <f ca="1">IF(COLUMN()-COLUMN($U$55)+1&lt;=$Y370,INDEX(OFFSET(INDIRECT($K370),0,1),MATCH(C370,INDIRECT($K370),0)),"")</f>
        <v>0.25</v>
      </c>
      <c r="V370" s="461">
        <f ca="1">IF(COLUMN()-COLUMN($U$55)+1&lt;=$Y370,INDEX(OFFSET(INDIRECT($K370),0,1),MATCH(D370,INDIRECT($K370),0)),"")</f>
        <v>0.25</v>
      </c>
      <c r="W370" s="461">
        <f ca="1">IF(COLUMN()-COLUMN($U$55)+1&lt;=$Y370,INDEX(OFFSET(INDIRECT($K370),0,1),MATCH(E370,INDIRECT($K370),0)),"")</f>
        <v>1</v>
      </c>
      <c r="X370" s="465" t="str">
        <f ca="1">IF(COLUMN()-COLUMN($U$55)+1&lt;=$Y370,INDEX(OFFSET(INDIRECT($K370),0,1),MATCH(F370,INDIRECT($K370),0)),"")</f>
        <v/>
      </c>
      <c r="Y370" s="99">
        <f t="shared" si="114"/>
        <v>3</v>
      </c>
      <c r="Z370" s="99"/>
      <c r="AA370" s="99"/>
      <c r="AB370" s="99"/>
      <c r="AC370" s="159" t="s">
        <v>2237</v>
      </c>
      <c r="AD370" s="101">
        <f t="shared" ca="1" si="115"/>
        <v>0.5</v>
      </c>
      <c r="AE370" s="99" t="b">
        <f t="shared" ca="1" si="116"/>
        <v>0</v>
      </c>
      <c r="AF370" s="159" t="s">
        <v>2455</v>
      </c>
      <c r="AG370" s="783">
        <f>COUNTIF('VA Detailed Scorecard Config'!D:D,AF370)</f>
        <v>2</v>
      </c>
      <c r="AH370" s="99"/>
    </row>
    <row r="371" spans="2:34" ht="13.5" customHeight="1">
      <c r="B371" s="327" t="s">
        <v>2238</v>
      </c>
      <c r="C371" s="99" t="str">
        <f ca="1">IF(INDIRECT(C$41&amp;"!C"&amp;ROW()-ROW($C$366)+4)="","",INDIRECT(C$41&amp;"!C"&amp;ROW()-ROW($C$366)+4))</f>
        <v>Yes</v>
      </c>
      <c r="D371" s="99" t="str">
        <f ca="1">IF(INDIRECT(D$41&amp;"!C"&amp;ROW()-ROW($C$366)+4)="","",INDIRECT(D$41&amp;"!C"&amp;ROW()-ROW($C$366)+4))</f>
        <v>Yes</v>
      </c>
      <c r="E371" s="99" t="str">
        <f ca="1">IF(INDIRECT(E$41&amp;"!C"&amp;ROW()-ROW($C$366)+4)="","",INDIRECT(E$41&amp;"!C"&amp;ROW()-ROW($C$366)+4))</f>
        <v>No</v>
      </c>
      <c r="G371" s="99" t="str">
        <f ca="1">IF(INDIRECT(C$41&amp;"!D"&amp;ROW()-ROW($C$366)+4)="","",INDIRECT(C$41&amp;"!D"&amp;ROW()-ROW($C$366)+4))</f>
        <v/>
      </c>
      <c r="H371" s="99" t="str">
        <f ca="1">IF(INDIRECT(D$41&amp;"!D"&amp;ROW()-ROW($C$366)+4)="","",INDIRECT(D$41&amp;"!D"&amp;ROW()-ROW($C$366)+4))</f>
        <v/>
      </c>
      <c r="I371" s="99" t="str">
        <f ca="1">IF(INDIRECT(E$41&amp;"!D"&amp;ROW()-ROW($C$366)+4)="","",INDIRECT(E$41&amp;"!D"&amp;ROW()-ROW($C$366)+4))</f>
        <v/>
      </c>
      <c r="K371" s="99" t="str">
        <f ca="1">IF(INDIRECT(C$41&amp;"!E"&amp;ROW()-ROW($C$366)+4)="","",INDIRECT(C$41&amp;"!E"&amp;ROW()-ROW($C$366)+4))</f>
        <v>YES_No</v>
      </c>
      <c r="L371" s="99" t="b">
        <f ca="1">IF(INDIRECT(C$41&amp;"!F"&amp;ROW()-ROW($C$366)+4)="","",INDIRECT(C$41&amp;"!F"&amp;ROW()-ROW($C$366)+4))</f>
        <v>1</v>
      </c>
      <c r="M371" s="99" t="b">
        <f ca="1">IF(INDIRECT(D$41&amp;"!F"&amp;ROW()-ROW($C$366)+4)="","",INDIRECT(D$41&amp;"!F"&amp;ROW()-ROW($C$366)+4))</f>
        <v>1</v>
      </c>
      <c r="N371" s="99" t="b">
        <f ca="1">IF(INDIRECT(E$41&amp;"!F"&amp;ROW()-ROW($C$366)+4)="","",INDIRECT(E$41&amp;"!F"&amp;ROW()-ROW($C$366)+4))</f>
        <v>1</v>
      </c>
      <c r="O371" s="99"/>
      <c r="P371" s="99" t="b">
        <f ca="1">INDIRECT(C$41&amp;"!B"&amp;ROW()-ROW($C$366)+4)=$B371</f>
        <v>1</v>
      </c>
      <c r="Q371" s="99" t="b">
        <f ca="1">INDIRECT(D$41&amp;"!B"&amp;ROW()-ROW($C$366)+4)=$B371</f>
        <v>1</v>
      </c>
      <c r="R371" s="99" t="b">
        <f ca="1">INDIRECT(E$41&amp;"!B"&amp;ROW()-ROW($C$366)+4)=$B371</f>
        <v>1</v>
      </c>
      <c r="T371" s="37" t="str">
        <f ca="1">IF(NOT(ISERROR(MATCH(K371,'Lookup Tables'!A:A,0))),"Lookup",IF(OR(NOT(ISERROR(FIND("Numeric",K371))),NOT(ISERROR(FIND("Percentage",K371))),NOT(ISERROR(FIND("Date",K371)))),"Numeric",IF(NOT(ISERROR(FIND("lank",K371))),"Non-blank",IF(NOT(ISERROR(FIND("Not evaluated",K371))),"Skipped","Other"))))</f>
        <v>Lookup</v>
      </c>
      <c r="U371" s="461">
        <f ca="1">IF(COLUMN()-COLUMN($U$55)+1&lt;=$Y371,INDEX(OFFSET(INDIRECT($K371),0,1),MATCH(C371,INDIRECT($K371),0)),"")</f>
        <v>1</v>
      </c>
      <c r="V371" s="461">
        <f ca="1">IF(COLUMN()-COLUMN($U$55)+1&lt;=$Y371,INDEX(OFFSET(INDIRECT($K371),0,1),MATCH(D371,INDIRECT($K371),0)),"")</f>
        <v>1</v>
      </c>
      <c r="W371" s="461">
        <f ca="1">IF(COLUMN()-COLUMN($U$55)+1&lt;=$Y371,INDEX(OFFSET(INDIRECT($K371),0,1),MATCH(E371,INDIRECT($K371),0)),"")</f>
        <v>0</v>
      </c>
      <c r="X371" s="465" t="str">
        <f ca="1">IF(COLUMN()-COLUMN($U$55)+1&lt;=$Y371,INDEX(OFFSET(INDIRECT($K371),0,1),MATCH(F371,INDIRECT($K371),0)),"")</f>
        <v/>
      </c>
      <c r="Y371" s="99">
        <f t="shared" si="114"/>
        <v>3</v>
      </c>
      <c r="Z371" s="99"/>
      <c r="AA371" s="99"/>
      <c r="AB371" s="99"/>
      <c r="AC371" s="159" t="s">
        <v>2237</v>
      </c>
      <c r="AD371" s="101">
        <f t="shared" ca="1" si="115"/>
        <v>0.66666666666666663</v>
      </c>
      <c r="AE371" s="99" t="b">
        <f t="shared" ca="1" si="116"/>
        <v>0</v>
      </c>
      <c r="AF371" s="159" t="s">
        <v>2456</v>
      </c>
      <c r="AG371" s="783">
        <f>COUNTIF('VA Detailed Scorecard Config'!D:D,AF371)</f>
        <v>0</v>
      </c>
      <c r="AH371" s="99"/>
    </row>
    <row r="372" spans="2:34" ht="13.5" customHeight="1">
      <c r="B372" s="327" t="s">
        <v>1516</v>
      </c>
      <c r="C372" s="99" t="str">
        <f ca="1">IF(INDIRECT(C$41&amp;"!C"&amp;ROW()-ROW($C$366)+4)="","",INDIRECT(C$41&amp;"!C"&amp;ROW()-ROW($C$366)+4))</f>
        <v/>
      </c>
      <c r="D372" s="99" t="str">
        <f ca="1">IF(INDIRECT(D$41&amp;"!C"&amp;ROW()-ROW($C$366)+4)="","",INDIRECT(D$41&amp;"!C"&amp;ROW()-ROW($C$366)+4))</f>
        <v/>
      </c>
      <c r="E372" s="99" t="str">
        <f ca="1">IF(INDIRECT(E$41&amp;"!C"&amp;ROW()-ROW($C$366)+4)="","",INDIRECT(E$41&amp;"!C"&amp;ROW()-ROW($C$366)+4))</f>
        <v>Founder</v>
      </c>
      <c r="G372" s="99" t="str">
        <f ca="1">IF(INDIRECT(C$41&amp;"!D"&amp;ROW()-ROW($C$366)+4)="","",INDIRECT(C$41&amp;"!D"&amp;ROW()-ROW($C$366)+4))</f>
        <v/>
      </c>
      <c r="H372" s="99" t="str">
        <f ca="1">IF(INDIRECT(D$41&amp;"!D"&amp;ROW()-ROW($C$366)+4)="","",INDIRECT(D$41&amp;"!D"&amp;ROW()-ROW($C$366)+4))</f>
        <v/>
      </c>
      <c r="I372" s="99" t="str">
        <f ca="1">IF(INDIRECT(E$41&amp;"!D"&amp;ROW()-ROW($C$366)+4)="","",INDIRECT(E$41&amp;"!D"&amp;ROW()-ROW($C$366)+4))</f>
        <v/>
      </c>
      <c r="K372" s="99" t="str">
        <f ca="1">IF(INDIRECT(C$41&amp;"!E"&amp;ROW()-ROW($C$366)+4)="","",INDIRECT(C$41&amp;"!E"&amp;ROW()-ROW($C$366)+4))</f>
        <v>Org_Role</v>
      </c>
      <c r="L372" s="99" t="b">
        <f ca="1">IF(INDIRECT(C$41&amp;"!F"&amp;ROW()-ROW($C$366)+4)="","",INDIRECT(C$41&amp;"!F"&amp;ROW()-ROW($C$366)+4))</f>
        <v>0</v>
      </c>
      <c r="M372" s="99" t="b">
        <f ca="1">IF(INDIRECT(D$41&amp;"!F"&amp;ROW()-ROW($C$366)+4)="","",INDIRECT(D$41&amp;"!F"&amp;ROW()-ROW($C$366)+4))</f>
        <v>0</v>
      </c>
      <c r="N372" s="99" t="b">
        <f ca="1">IF(INDIRECT(E$41&amp;"!F"&amp;ROW()-ROW($C$366)+4)="","",INDIRECT(E$41&amp;"!F"&amp;ROW()-ROW($C$366)+4))</f>
        <v>1</v>
      </c>
      <c r="O372" s="99"/>
      <c r="P372" s="99" t="b">
        <f ca="1">INDIRECT(C$41&amp;"!B"&amp;ROW()-ROW($C$366)+4)=$B372</f>
        <v>1</v>
      </c>
      <c r="Q372" s="99" t="b">
        <f ca="1">INDIRECT(D$41&amp;"!B"&amp;ROW()-ROW($C$366)+4)=$B372</f>
        <v>1</v>
      </c>
      <c r="R372" s="99" t="b">
        <f ca="1">INDIRECT(E$41&amp;"!B"&amp;ROW()-ROW($C$366)+4)=$B372</f>
        <v>1</v>
      </c>
      <c r="T372" s="37" t="str">
        <f ca="1">IF(NOT(ISERROR(MATCH(K372,'Lookup Tables'!A:A,0))),"Lookup",IF(OR(NOT(ISERROR(FIND("Numeric",K372))),NOT(ISERROR(FIND("Percentage",K372))),NOT(ISERROR(FIND("Date",K372)))),"Numeric",IF(NOT(ISERROR(FIND("lank",K372))),"Non-blank",IF(NOT(ISERROR(FIND("Not evaluated",K372))),"Skipped","Other"))))</f>
        <v>Lookup</v>
      </c>
      <c r="U372" s="461">
        <f ca="1">IF(COLUMN()-COLUMN($U$55)+1&lt;=$Y372,INDEX(OFFSET(INDIRECT($K372),0,1),MATCH(C372,INDIRECT($K372),0)),"")</f>
        <v>0</v>
      </c>
      <c r="V372" s="461">
        <f ca="1">IF(COLUMN()-COLUMN($U$55)+1&lt;=$Y372,INDEX(OFFSET(INDIRECT($K372),0,1),MATCH(D372,INDIRECT($K372),0)),"")</f>
        <v>0</v>
      </c>
      <c r="W372" s="461">
        <f ca="1">IF(COLUMN()-COLUMN($U$55)+1&lt;=$Y372,INDEX(OFFSET(INDIRECT($K372),0,1),MATCH(E372,INDIRECT($K372),0)),"")</f>
        <v>1</v>
      </c>
      <c r="X372" s="465" t="str">
        <f ca="1">IF(COLUMN()-COLUMN($U$55)+1&lt;=$Y372,INDEX(OFFSET(INDIRECT($K372),0,1),MATCH(F372,INDIRECT($K372),0)),"")</f>
        <v/>
      </c>
      <c r="Y372" s="99">
        <f t="shared" si="114"/>
        <v>3</v>
      </c>
      <c r="Z372" s="99"/>
      <c r="AA372" s="99"/>
      <c r="AB372" s="99"/>
      <c r="AC372" s="159" t="s">
        <v>2237</v>
      </c>
      <c r="AD372" s="101">
        <f t="shared" ca="1" si="115"/>
        <v>1</v>
      </c>
      <c r="AE372" s="99" t="b">
        <f t="shared" ca="1" si="116"/>
        <v>0</v>
      </c>
      <c r="AF372" s="159" t="s">
        <v>2457</v>
      </c>
      <c r="AG372" s="783">
        <f>COUNTIF('VA Detailed Scorecard Config'!D:D,AF372)</f>
        <v>1</v>
      </c>
      <c r="AH372" s="99"/>
    </row>
    <row r="373" spans="2:34" ht="13.5" customHeight="1">
      <c r="B373" s="327" t="s">
        <v>1589</v>
      </c>
      <c r="C373" s="99" t="str">
        <f ca="1">IF(INDIRECT(C$41&amp;"!C"&amp;ROW()-ROW($C$366)+4)="","",INDIRECT(C$41&amp;"!C"&amp;ROW()-ROW($C$366)+4))</f>
        <v/>
      </c>
      <c r="D373" s="99" t="str">
        <f ca="1">IF(INDIRECT(D$41&amp;"!C"&amp;ROW()-ROW($C$366)+4)="","",INDIRECT(D$41&amp;"!C"&amp;ROW()-ROW($C$366)+4))</f>
        <v/>
      </c>
      <c r="E373" s="99" t="str">
        <f ca="1">IF(INDIRECT(E$41&amp;"!C"&amp;ROW()-ROW($C$366)+4)="","",INDIRECT(E$41&amp;"!C"&amp;ROW()-ROW($C$366)+4))</f>
        <v>Layer 2 (e.g. ERC20)</v>
      </c>
      <c r="G373" s="99" t="str">
        <f ca="1">IF(INDIRECT(C$41&amp;"!D"&amp;ROW()-ROW($C$366)+4)="","",INDIRECT(C$41&amp;"!D"&amp;ROW()-ROW($C$366)+4))</f>
        <v/>
      </c>
      <c r="H373" s="99" t="str">
        <f ca="1">IF(INDIRECT(D$41&amp;"!D"&amp;ROW()-ROW($C$366)+4)="","",INDIRECT(D$41&amp;"!D"&amp;ROW()-ROW($C$366)+4))</f>
        <v/>
      </c>
      <c r="I373" s="99" t="str">
        <f ca="1">IF(INDIRECT(E$41&amp;"!D"&amp;ROW()-ROW($C$366)+4)="","",INDIRECT(E$41&amp;"!D"&amp;ROW()-ROW($C$366)+4))</f>
        <v/>
      </c>
      <c r="K373" s="99" t="str">
        <f ca="1">IF(INDIRECT(C$41&amp;"!E"&amp;ROW()-ROW($C$366)+4)="","",INDIRECT(C$41&amp;"!E"&amp;ROW()-ROW($C$366)+4))</f>
        <v>Layer_1</v>
      </c>
      <c r="L373" s="99" t="b">
        <f ca="1">IF(INDIRECT(C$41&amp;"!F"&amp;ROW()-ROW($C$366)+4)="","",INDIRECT(C$41&amp;"!F"&amp;ROW()-ROW($C$366)+4))</f>
        <v>0</v>
      </c>
      <c r="M373" s="99" t="b">
        <f ca="1">IF(INDIRECT(D$41&amp;"!F"&amp;ROW()-ROW($C$366)+4)="","",INDIRECT(D$41&amp;"!F"&amp;ROW()-ROW($C$366)+4))</f>
        <v>0</v>
      </c>
      <c r="N373" s="99" t="b">
        <f ca="1">IF(INDIRECT(E$41&amp;"!F"&amp;ROW()-ROW($C$366)+4)="","",INDIRECT(E$41&amp;"!F"&amp;ROW()-ROW($C$366)+4))</f>
        <v>1</v>
      </c>
      <c r="O373" s="99"/>
      <c r="P373" s="99" t="b">
        <f ca="1">INDIRECT(C$41&amp;"!B"&amp;ROW()-ROW($C$366)+4)=$B373</f>
        <v>1</v>
      </c>
      <c r="Q373" s="99" t="b">
        <f ca="1">INDIRECT(D$41&amp;"!B"&amp;ROW()-ROW($C$366)+4)=$B373</f>
        <v>1</v>
      </c>
      <c r="R373" s="99" t="b">
        <f ca="1">INDIRECT(E$41&amp;"!B"&amp;ROW()-ROW($C$366)+4)=$B373</f>
        <v>1</v>
      </c>
      <c r="T373" s="37" t="str">
        <f ca="1">IF(NOT(ISERROR(MATCH(K373,'Lookup Tables'!A:A,0))),"Lookup",IF(OR(NOT(ISERROR(FIND("Numeric",K373))),NOT(ISERROR(FIND("Percentage",K373))),NOT(ISERROR(FIND("Date",K373)))),"Numeric",IF(NOT(ISERROR(FIND("lank",K373))),"Non-blank",IF(NOT(ISERROR(FIND("Not evaluated",K373))),"Skipped","Other"))))</f>
        <v>Lookup</v>
      </c>
      <c r="U373" s="461">
        <f ca="1">IF(COLUMN()-COLUMN($U$55)+1&lt;=$Y373,INDEX(OFFSET(INDIRECT($K373),0,1),MATCH(C373,INDIRECT($K373),0)),"")</f>
        <v>0</v>
      </c>
      <c r="V373" s="461">
        <f ca="1">IF(COLUMN()-COLUMN($U$55)+1&lt;=$Y373,INDEX(OFFSET(INDIRECT($K373),0,1),MATCH(D373,INDIRECT($K373),0)),"")</f>
        <v>0</v>
      </c>
      <c r="W373" s="461">
        <f ca="1">IF(COLUMN()-COLUMN($U$55)+1&lt;=$Y373,INDEX(OFFSET(INDIRECT($K373),0,1),MATCH(E373,INDIRECT($K373),0)),"")</f>
        <v>0.75</v>
      </c>
      <c r="X373" s="465" t="str">
        <f ca="1">IF(COLUMN()-COLUMN($U$55)+1&lt;=$Y373,INDEX(OFFSET(INDIRECT($K373),0,1),MATCH(F373,INDIRECT($K373),0)),"")</f>
        <v/>
      </c>
      <c r="Y373" s="99">
        <f t="shared" si="114"/>
        <v>3</v>
      </c>
      <c r="Z373" s="99"/>
      <c r="AA373" s="99"/>
      <c r="AB373" s="99"/>
      <c r="AC373" s="159" t="s">
        <v>2237</v>
      </c>
      <c r="AD373" s="101">
        <f t="shared" ca="1" si="115"/>
        <v>0.75</v>
      </c>
      <c r="AE373" s="99" t="b">
        <f t="shared" ca="1" si="116"/>
        <v>0</v>
      </c>
      <c r="AF373" s="159" t="s">
        <v>2458</v>
      </c>
      <c r="AG373" s="783">
        <f>COUNTIF('VA Detailed Scorecard Config'!D:D,AF373)</f>
        <v>2</v>
      </c>
      <c r="AH373" s="99"/>
    </row>
    <row r="374" spans="2:34" ht="13.5" customHeight="1">
      <c r="B374" s="327" t="s">
        <v>1520</v>
      </c>
      <c r="C374" s="99" t="str">
        <f ca="1">IF(INDIRECT(C$41&amp;"!C"&amp;ROW()-ROW($C$366)+4)="","",INDIRECT(C$41&amp;"!C"&amp;ROW()-ROW($C$366)+4))</f>
        <v/>
      </c>
      <c r="D374" s="99" t="str">
        <f ca="1">IF(INDIRECT(D$41&amp;"!C"&amp;ROW()-ROW($C$366)+4)="","",INDIRECT(D$41&amp;"!C"&amp;ROW()-ROW($C$366)+4))</f>
        <v/>
      </c>
      <c r="E374" s="99" t="str">
        <f ca="1">IF(INDIRECT(E$41&amp;"!C"&amp;ROW()-ROW($C$366)+4)="","",INDIRECT(E$41&amp;"!C"&amp;ROW()-ROW($C$366)+4))</f>
        <v>github/routeforcarbon</v>
      </c>
      <c r="G374" s="99" t="str">
        <f ca="1">IF(INDIRECT(C$41&amp;"!D"&amp;ROW()-ROW($C$366)+4)="","",INDIRECT(C$41&amp;"!D"&amp;ROW()-ROW($C$366)+4))</f>
        <v/>
      </c>
      <c r="H374" s="99" t="str">
        <f ca="1">IF(INDIRECT(D$41&amp;"!D"&amp;ROW()-ROW($C$366)+4)="","",INDIRECT(D$41&amp;"!D"&amp;ROW()-ROW($C$366)+4))</f>
        <v/>
      </c>
      <c r="I374" s="99" t="str">
        <f ca="1">IF(INDIRECT(E$41&amp;"!D"&amp;ROW()-ROW($C$366)+4)="","",INDIRECT(E$41&amp;"!D"&amp;ROW()-ROW($C$366)+4))</f>
        <v/>
      </c>
      <c r="K374" s="99" t="str">
        <f ca="1">IF(INDIRECT(C$41&amp;"!E"&amp;ROW()-ROW($C$366)+4)="","",INDIRECT(C$41&amp;"!E"&amp;ROW()-ROW($C$366)+4))</f>
        <v>Non-blank is better</v>
      </c>
      <c r="L374" s="99" t="b">
        <f ca="1">IF(INDIRECT(C$41&amp;"!F"&amp;ROW()-ROW($C$366)+4)="","",INDIRECT(C$41&amp;"!F"&amp;ROW()-ROW($C$366)+4))</f>
        <v>0</v>
      </c>
      <c r="M374" s="99" t="b">
        <f ca="1">IF(INDIRECT(D$41&amp;"!F"&amp;ROW()-ROW($C$366)+4)="","",INDIRECT(D$41&amp;"!F"&amp;ROW()-ROW($C$366)+4))</f>
        <v>0</v>
      </c>
      <c r="N374" s="99" t="b">
        <f ca="1">IF(INDIRECT(E$41&amp;"!F"&amp;ROW()-ROW($C$366)+4)="","",INDIRECT(E$41&amp;"!F"&amp;ROW()-ROW($C$366)+4))</f>
        <v>1</v>
      </c>
      <c r="O374" s="99"/>
      <c r="P374" s="99" t="b">
        <f ca="1">INDIRECT(C$41&amp;"!B"&amp;ROW()-ROW($C$366)+4)=$B374</f>
        <v>1</v>
      </c>
      <c r="Q374" s="99" t="b">
        <f ca="1">INDIRECT(D$41&amp;"!B"&amp;ROW()-ROW($C$366)+4)=$B374</f>
        <v>1</v>
      </c>
      <c r="R374" s="99" t="b">
        <f ca="1">INDIRECT(E$41&amp;"!B"&amp;ROW()-ROW($C$366)+4)=$B374</f>
        <v>1</v>
      </c>
      <c r="T374" s="99" t="str">
        <f ca="1">IF(NOT(ISERROR(MATCH(K374,'Lookup Tables'!A:A,0))),"Lookup",IF(OR(NOT(ISERROR(FIND("Numeric",K374))),NOT(ISERROR(FIND("Percentage",K374))),NOT(ISERROR(FIND("Date",K374)))),"Numeric",IF(NOT(ISERROR(FIND("lank",K374))),"Non-blank",IF(NOT(ISERROR(FIND("Not evaluated",K374))),"Skipped","Other"))))</f>
        <v>Non-blank</v>
      </c>
      <c r="U374" s="461">
        <f ca="1">IF(COLUMN()-COLUMN($U$55)+1&lt;=$Y374,IF(C374="",0,1),"")</f>
        <v>0</v>
      </c>
      <c r="V374" s="461">
        <f ca="1">IF(COLUMN()-COLUMN($U$55)+1&lt;=$Y374,IF(D374="",0,1),"")</f>
        <v>0</v>
      </c>
      <c r="W374" s="461">
        <f ca="1">IF(COLUMN()-COLUMN($U$55)+1&lt;=$Y374,IF(E374="",0,1),"")</f>
        <v>1</v>
      </c>
      <c r="X374" s="465" t="str">
        <f>IF(COLUMN()-COLUMN($U$55)+1&lt;=$Y374,IF(F374="",0,1),"")</f>
        <v/>
      </c>
      <c r="Y374" s="99">
        <f t="shared" si="114"/>
        <v>3</v>
      </c>
      <c r="Z374" s="99"/>
      <c r="AA374" s="99"/>
      <c r="AB374" s="99"/>
      <c r="AC374" s="159" t="s">
        <v>2237</v>
      </c>
      <c r="AD374" s="101">
        <f t="shared" ca="1" si="115"/>
        <v>1</v>
      </c>
      <c r="AE374" s="99" t="b">
        <f t="shared" ca="1" si="116"/>
        <v>0</v>
      </c>
      <c r="AF374" s="159" t="s">
        <v>2459</v>
      </c>
      <c r="AG374" s="783">
        <f>COUNTIF('VA Detailed Scorecard Config'!D:D,AF374)</f>
        <v>1</v>
      </c>
      <c r="AH374" s="99"/>
    </row>
    <row r="375" spans="2:34" ht="13.5" customHeight="1">
      <c r="B375" s="327" t="s">
        <v>1604</v>
      </c>
      <c r="C375" s="99" t="str">
        <f ca="1">IF(INDIRECT(C$41&amp;"!C"&amp;ROW()-ROW($C$366)+4)="","",INDIRECT(C$41&amp;"!C"&amp;ROW()-ROW($C$366)+4))</f>
        <v/>
      </c>
      <c r="D375" s="99" t="str">
        <f ca="1">IF(INDIRECT(D$41&amp;"!C"&amp;ROW()-ROW($C$366)+4)="","",INDIRECT(D$41&amp;"!C"&amp;ROW()-ROW($C$366)+4))</f>
        <v/>
      </c>
      <c r="E375" s="99" t="str">
        <f ca="1">IF(INDIRECT(E$41&amp;"!C"&amp;ROW()-ROW($C$366)+4)="","",INDIRECT(E$41&amp;"!C"&amp;ROW()-ROW($C$366)+4))</f>
        <v>aveytsel</v>
      </c>
      <c r="G375" s="99" t="str">
        <f ca="1">IF(INDIRECT(C$41&amp;"!D"&amp;ROW()-ROW($C$366)+4)="","",INDIRECT(C$41&amp;"!D"&amp;ROW()-ROW($C$366)+4))</f>
        <v/>
      </c>
      <c r="H375" s="99" t="str">
        <f ca="1">IF(INDIRECT(D$41&amp;"!D"&amp;ROW()-ROW($C$366)+4)="","",INDIRECT(D$41&amp;"!D"&amp;ROW()-ROW($C$366)+4))</f>
        <v/>
      </c>
      <c r="I375" s="99" t="str">
        <f ca="1">IF(INDIRECT(E$41&amp;"!D"&amp;ROW()-ROW($C$366)+4)="","",INDIRECT(E$41&amp;"!D"&amp;ROW()-ROW($C$366)+4))</f>
        <v/>
      </c>
      <c r="K375" s="99" t="str">
        <f ca="1">IF(INDIRECT(C$41&amp;"!E"&amp;ROW()-ROW($C$366)+4)="","",INDIRECT(C$41&amp;"!E"&amp;ROW()-ROW($C$366)+4))</f>
        <v>Non-blank is better</v>
      </c>
      <c r="L375" s="99" t="b">
        <f ca="1">IF(INDIRECT(C$41&amp;"!F"&amp;ROW()-ROW($C$366)+4)="","",INDIRECT(C$41&amp;"!F"&amp;ROW()-ROW($C$366)+4))</f>
        <v>0</v>
      </c>
      <c r="M375" s="99" t="b">
        <f ca="1">IF(INDIRECT(D$41&amp;"!F"&amp;ROW()-ROW($C$366)+4)="","",INDIRECT(D$41&amp;"!F"&amp;ROW()-ROW($C$366)+4))</f>
        <v>0</v>
      </c>
      <c r="N375" s="99" t="b">
        <f ca="1">IF(INDIRECT(E$41&amp;"!F"&amp;ROW()-ROW($C$366)+4)="","",INDIRECT(E$41&amp;"!F"&amp;ROW()-ROW($C$366)+4))</f>
        <v>1</v>
      </c>
      <c r="O375" s="99"/>
      <c r="P375" s="99" t="b">
        <f ca="1">INDIRECT(C$41&amp;"!B"&amp;ROW()-ROW($C$366)+4)=$B375</f>
        <v>1</v>
      </c>
      <c r="Q375" s="99" t="b">
        <f ca="1">INDIRECT(D$41&amp;"!B"&amp;ROW()-ROW($C$366)+4)=$B375</f>
        <v>1</v>
      </c>
      <c r="R375" s="99" t="b">
        <f ca="1">INDIRECT(E$41&amp;"!B"&amp;ROW()-ROW($C$366)+4)=$B375</f>
        <v>1</v>
      </c>
      <c r="T375" s="99" t="str">
        <f ca="1">IF(NOT(ISERROR(MATCH(K375,'Lookup Tables'!A:A,0))),"Lookup",IF(OR(NOT(ISERROR(FIND("Numeric",K375))),NOT(ISERROR(FIND("Percentage",K375))),NOT(ISERROR(FIND("Date",K375)))),"Numeric",IF(NOT(ISERROR(FIND("lank",K375))),"Non-blank",IF(NOT(ISERROR(FIND("Not evaluated",K375))),"Skipped","Other"))))</f>
        <v>Non-blank</v>
      </c>
      <c r="U375" s="461">
        <f ca="1">IF(COLUMN()-COLUMN($U$55)+1&lt;=$Y375,IF(C375="",0,1),"")</f>
        <v>0</v>
      </c>
      <c r="V375" s="461">
        <f ca="1">IF(COLUMN()-COLUMN($U$55)+1&lt;=$Y375,IF(D375="",0,1),"")</f>
        <v>0</v>
      </c>
      <c r="W375" s="461">
        <f ca="1">IF(COLUMN()-COLUMN($U$55)+1&lt;=$Y375,IF(E375="",0,1),"")</f>
        <v>1</v>
      </c>
      <c r="X375" s="465" t="str">
        <f>IF(COLUMN()-COLUMN($U$55)+1&lt;=$Y375,IF(F375="",0,1),"")</f>
        <v/>
      </c>
      <c r="Y375" s="99">
        <f t="shared" si="114"/>
        <v>3</v>
      </c>
      <c r="Z375" s="99"/>
      <c r="AA375" s="99"/>
      <c r="AB375" s="99"/>
      <c r="AC375" s="159" t="s">
        <v>2237</v>
      </c>
      <c r="AD375" s="101">
        <f t="shared" ca="1" si="115"/>
        <v>1</v>
      </c>
      <c r="AE375" s="99" t="b">
        <f t="shared" ca="1" si="116"/>
        <v>0</v>
      </c>
      <c r="AF375" s="159" t="s">
        <v>2460</v>
      </c>
      <c r="AG375" s="783">
        <f>COUNTIF('VA Detailed Scorecard Config'!D:D,AF375)</f>
        <v>1</v>
      </c>
      <c r="AH375" s="99"/>
    </row>
    <row r="376" spans="2:34" ht="13.5" customHeight="1">
      <c r="B376" s="327" t="s">
        <v>1605</v>
      </c>
      <c r="C376" s="99" t="str">
        <f ca="1">IF(INDIRECT(C$41&amp;"!C"&amp;ROW()-ROW($C$366)+4)="","",INDIRECT(C$41&amp;"!C"&amp;ROW()-ROW($C$366)+4))</f>
        <v/>
      </c>
      <c r="D376" s="99" t="str">
        <f ca="1">IF(INDIRECT(D$41&amp;"!C"&amp;ROW()-ROW($C$366)+4)="","",INDIRECT(D$41&amp;"!C"&amp;ROW()-ROW($C$366)+4))</f>
        <v/>
      </c>
      <c r="E376" s="99" t="str">
        <f ca="1">IF(INDIRECT(E$41&amp;"!C"&amp;ROW()-ROW($C$366)+4)="","",INDIRECT(E$41&amp;"!C"&amp;ROW()-ROW($C$366)+4))</f>
        <v>routeforcarbon.com</v>
      </c>
      <c r="G376" s="99" t="str">
        <f ca="1">IF(INDIRECT(C$41&amp;"!D"&amp;ROW()-ROW($C$366)+4)="","",INDIRECT(C$41&amp;"!D"&amp;ROW()-ROW($C$366)+4))</f>
        <v/>
      </c>
      <c r="H376" s="99" t="str">
        <f ca="1">IF(INDIRECT(D$41&amp;"!D"&amp;ROW()-ROW($C$366)+4)="","",INDIRECT(D$41&amp;"!D"&amp;ROW()-ROW($C$366)+4))</f>
        <v/>
      </c>
      <c r="I376" s="99" t="str">
        <f ca="1">IF(INDIRECT(E$41&amp;"!D"&amp;ROW()-ROW($C$366)+4)="","",INDIRECT(E$41&amp;"!D"&amp;ROW()-ROW($C$366)+4))</f>
        <v/>
      </c>
      <c r="K376" s="99" t="str">
        <f ca="1">IF(INDIRECT(C$41&amp;"!E"&amp;ROW()-ROW($C$366)+4)="","",INDIRECT(C$41&amp;"!E"&amp;ROW()-ROW($C$366)+4))</f>
        <v>Non-blank is better</v>
      </c>
      <c r="L376" s="99" t="b">
        <f ca="1">IF(INDIRECT(C$41&amp;"!F"&amp;ROW()-ROW($C$366)+4)="","",INDIRECT(C$41&amp;"!F"&amp;ROW()-ROW($C$366)+4))</f>
        <v>0</v>
      </c>
      <c r="M376" s="99" t="b">
        <f ca="1">IF(INDIRECT(D$41&amp;"!F"&amp;ROW()-ROW($C$366)+4)="","",INDIRECT(D$41&amp;"!F"&amp;ROW()-ROW($C$366)+4))</f>
        <v>0</v>
      </c>
      <c r="N376" s="99" t="b">
        <f ca="1">IF(INDIRECT(E$41&amp;"!F"&amp;ROW()-ROW($C$366)+4)="","",INDIRECT(E$41&amp;"!F"&amp;ROW()-ROW($C$366)+4))</f>
        <v>1</v>
      </c>
      <c r="O376" s="99"/>
      <c r="P376" s="99" t="b">
        <f ca="1">INDIRECT(C$41&amp;"!B"&amp;ROW()-ROW($C$366)+4)=$B376</f>
        <v>1</v>
      </c>
      <c r="Q376" s="99" t="b">
        <f ca="1">INDIRECT(D$41&amp;"!B"&amp;ROW()-ROW($C$366)+4)=$B376</f>
        <v>1</v>
      </c>
      <c r="R376" s="99" t="b">
        <f ca="1">INDIRECT(E$41&amp;"!B"&amp;ROW()-ROW($C$366)+4)=$B376</f>
        <v>1</v>
      </c>
      <c r="T376" s="99" t="str">
        <f ca="1">IF(NOT(ISERROR(MATCH(K376,'Lookup Tables'!A:A,0))),"Lookup",IF(OR(NOT(ISERROR(FIND("Numeric",K376))),NOT(ISERROR(FIND("Percentage",K376))),NOT(ISERROR(FIND("Date",K376)))),"Numeric",IF(NOT(ISERROR(FIND("lank",K376))),"Non-blank",IF(NOT(ISERROR(FIND("Not evaluated",K376))),"Skipped","Other"))))</f>
        <v>Non-blank</v>
      </c>
      <c r="U376" s="461">
        <f ca="1">IF(COLUMN()-COLUMN($U$55)+1&lt;=$Y376,IF(C376="",0,1),"")</f>
        <v>0</v>
      </c>
      <c r="V376" s="461">
        <f ca="1">IF(COLUMN()-COLUMN($U$55)+1&lt;=$Y376,IF(D376="",0,1),"")</f>
        <v>0</v>
      </c>
      <c r="W376" s="461">
        <f ca="1">IF(COLUMN()-COLUMN($U$55)+1&lt;=$Y376,IF(E376="",0,1),"")</f>
        <v>1</v>
      </c>
      <c r="X376" s="465" t="str">
        <f>IF(COLUMN()-COLUMN($U$55)+1&lt;=$Y376,IF(F376="",0,1),"")</f>
        <v/>
      </c>
      <c r="Y376" s="99">
        <f t="shared" si="114"/>
        <v>3</v>
      </c>
      <c r="Z376" s="99"/>
      <c r="AA376" s="99"/>
      <c r="AB376" s="99"/>
      <c r="AC376" s="159" t="s">
        <v>2237</v>
      </c>
      <c r="AD376" s="101">
        <f t="shared" ca="1" si="115"/>
        <v>1</v>
      </c>
      <c r="AE376" s="99" t="b">
        <f t="shared" ca="1" si="116"/>
        <v>0</v>
      </c>
      <c r="AF376" s="159" t="s">
        <v>2461</v>
      </c>
      <c r="AG376" s="783">
        <f>COUNTIF('VA Detailed Scorecard Config'!D:D,AF376)</f>
        <v>1</v>
      </c>
      <c r="AH376" s="99"/>
    </row>
    <row r="377" spans="2:34" ht="13.5" customHeight="1">
      <c r="B377" s="327" t="s">
        <v>1536</v>
      </c>
      <c r="C377" s="99" t="str">
        <f ca="1">IF(INDIRECT(C$41&amp;"!C"&amp;ROW()-ROW($C$366)+4)="","",INDIRECT(C$41&amp;"!C"&amp;ROW()-ROW($C$366)+4))</f>
        <v/>
      </c>
      <c r="D377" s="99" t="str">
        <f ca="1">IF(INDIRECT(D$41&amp;"!C"&amp;ROW()-ROW($C$366)+4)="","",INDIRECT(D$41&amp;"!C"&amp;ROW()-ROW($C$366)+4))</f>
        <v/>
      </c>
      <c r="E377" s="99" t="str">
        <f ca="1">IF(INDIRECT(E$41&amp;"!C"&amp;ROW()-ROW($C$366)+4)="","",INDIRECT(E$41&amp;"!C"&amp;ROW()-ROW($C$366)+4))</f>
        <v>demo / login</v>
      </c>
      <c r="G377" s="99" t="str">
        <f ca="1">IF(INDIRECT(C$41&amp;"!D"&amp;ROW()-ROW($C$366)+4)="","",INDIRECT(C$41&amp;"!D"&amp;ROW()-ROW($C$366)+4))</f>
        <v/>
      </c>
      <c r="H377" s="99" t="str">
        <f ca="1">IF(INDIRECT(D$41&amp;"!D"&amp;ROW()-ROW($C$366)+4)="","",INDIRECT(D$41&amp;"!D"&amp;ROW()-ROW($C$366)+4))</f>
        <v/>
      </c>
      <c r="I377" s="99" t="str">
        <f ca="1">IF(INDIRECT(E$41&amp;"!D"&amp;ROW()-ROW($C$366)+4)="","",INDIRECT(E$41&amp;"!D"&amp;ROW()-ROW($C$366)+4))</f>
        <v/>
      </c>
      <c r="K377" s="99" t="str">
        <f ca="1">IF(INDIRECT(C$41&amp;"!E"&amp;ROW()-ROW($C$366)+4)="","",INDIRECT(C$41&amp;"!E"&amp;ROW()-ROW($C$366)+4))</f>
        <v>Not evaluated</v>
      </c>
      <c r="L377" s="99" t="b">
        <f ca="1">IF(INDIRECT(C$41&amp;"!F"&amp;ROW()-ROW($C$366)+4)="","",INDIRECT(C$41&amp;"!F"&amp;ROW()-ROW($C$366)+4))</f>
        <v>0</v>
      </c>
      <c r="M377" s="99" t="b">
        <f ca="1">IF(INDIRECT(D$41&amp;"!F"&amp;ROW()-ROW($C$366)+4)="","",INDIRECT(D$41&amp;"!F"&amp;ROW()-ROW($C$366)+4))</f>
        <v>0</v>
      </c>
      <c r="N377" s="99" t="b">
        <f ca="1">IF(INDIRECT(E$41&amp;"!F"&amp;ROW()-ROW($C$366)+4)="","",INDIRECT(E$41&amp;"!F"&amp;ROW()-ROW($C$366)+4))</f>
        <v>1</v>
      </c>
      <c r="O377" s="99"/>
      <c r="P377" s="99" t="b">
        <f ca="1">INDIRECT(C$41&amp;"!B"&amp;ROW()-ROW($C$366)+4)=$B377</f>
        <v>1</v>
      </c>
      <c r="Q377" s="99" t="b">
        <f ca="1">INDIRECT(D$41&amp;"!B"&amp;ROW()-ROW($C$366)+4)=$B377</f>
        <v>1</v>
      </c>
      <c r="R377" s="99" t="b">
        <f ca="1">INDIRECT(E$41&amp;"!B"&amp;ROW()-ROW($C$366)+4)=$B377</f>
        <v>1</v>
      </c>
      <c r="T377" s="37" t="str">
        <f ca="1">IF(NOT(ISERROR(MATCH(K377,'Lookup Tables'!A:A,0))),"Lookup",IF(OR(NOT(ISERROR(FIND("Numeric",K377))),NOT(ISERROR(FIND("Percentage",K377))),NOT(ISERROR(FIND("Date",K377)))),"Numeric",IF(NOT(ISERROR(FIND("lank",K377))),"Non-blank",IF(NOT(ISERROR(FIND("Not evaluated",K377))),"Skipped","Other"))))</f>
        <v>Skipped</v>
      </c>
      <c r="X377" s="137"/>
      <c r="Y377" s="99">
        <f t="shared" si="114"/>
        <v>3</v>
      </c>
      <c r="Z377" s="99"/>
      <c r="AA377" s="99"/>
      <c r="AB377" s="99"/>
      <c r="AC377" s="99"/>
      <c r="AD377" s="99"/>
      <c r="AE377" s="99"/>
      <c r="AF377" s="159"/>
      <c r="AG377" s="248"/>
      <c r="AH377" s="99"/>
    </row>
    <row r="378" spans="2:34" ht="13.5" customHeight="1">
      <c r="B378" s="327" t="s">
        <v>1600</v>
      </c>
      <c r="C378" s="99" t="str">
        <f ca="1">IF(INDIRECT(C$41&amp;"!C"&amp;ROW()-ROW($C$366)+4)="","",INDIRECT(C$41&amp;"!C"&amp;ROW()-ROW($C$366)+4))</f>
        <v/>
      </c>
      <c r="D378" s="99" t="str">
        <f ca="1">IF(INDIRECT(D$41&amp;"!C"&amp;ROW()-ROW($C$366)+4)="","",INDIRECT(D$41&amp;"!C"&amp;ROW()-ROW($C$366)+4))</f>
        <v/>
      </c>
      <c r="E378" s="99">
        <f ca="1">IF(INDIRECT(E$41&amp;"!C"&amp;ROW()-ROW($C$366)+4)="","",INDIRECT(E$41&amp;"!C"&amp;ROW()-ROW($C$366)+4))</f>
        <v>1</v>
      </c>
      <c r="G378" s="99" t="str">
        <f ca="1">IF(INDIRECT(C$41&amp;"!D"&amp;ROW()-ROW($C$366)+4)="","",INDIRECT(C$41&amp;"!D"&amp;ROW()-ROW($C$366)+4))</f>
        <v/>
      </c>
      <c r="H378" s="99" t="str">
        <f ca="1">IF(INDIRECT(D$41&amp;"!D"&amp;ROW()-ROW($C$366)+4)="","",INDIRECT(D$41&amp;"!D"&amp;ROW()-ROW($C$366)+4))</f>
        <v/>
      </c>
      <c r="I378" s="99" t="str">
        <f ca="1">IF(INDIRECT(E$41&amp;"!D"&amp;ROW()-ROW($C$366)+4)="","",INDIRECT(E$41&amp;"!D"&amp;ROW()-ROW($C$366)+4))</f>
        <v/>
      </c>
      <c r="K378" s="99" t="str">
        <f ca="1">IF(INDIRECT(C$41&amp;"!E"&amp;ROW()-ROW($C$366)+4)="","",INDIRECT(C$41&amp;"!E"&amp;ROW()-ROW($C$366)+4))</f>
        <v>Numerical (Larger is better, log scale)</v>
      </c>
      <c r="L378" s="99" t="b">
        <f ca="1">IF(INDIRECT(C$41&amp;"!F"&amp;ROW()-ROW($C$366)+4)="","",INDIRECT(C$41&amp;"!F"&amp;ROW()-ROW($C$366)+4))</f>
        <v>0</v>
      </c>
      <c r="M378" s="99" t="b">
        <f ca="1">IF(INDIRECT(D$41&amp;"!F"&amp;ROW()-ROW($C$366)+4)="","",INDIRECT(D$41&amp;"!F"&amp;ROW()-ROW($C$366)+4))</f>
        <v>0</v>
      </c>
      <c r="N378" s="99" t="b">
        <f ca="1">IF(INDIRECT(E$41&amp;"!F"&amp;ROW()-ROW($C$366)+4)="","",INDIRECT(E$41&amp;"!F"&amp;ROW()-ROW($C$366)+4))</f>
        <v>1</v>
      </c>
      <c r="O378" s="99"/>
      <c r="P378" s="99" t="b">
        <f ca="1">INDIRECT(C$41&amp;"!B"&amp;ROW()-ROW($C$366)+4)=$B378</f>
        <v>1</v>
      </c>
      <c r="Q378" s="99" t="b">
        <f ca="1">INDIRECT(D$41&amp;"!B"&amp;ROW()-ROW($C$366)+4)=$B378</f>
        <v>1</v>
      </c>
      <c r="R378" s="99" t="b">
        <f ca="1">INDIRECT(E$41&amp;"!B"&amp;ROW()-ROW($C$366)+4)=$B378</f>
        <v>1</v>
      </c>
      <c r="T378" s="99" t="str">
        <f ca="1">IF(NOT(ISERROR(MATCH(K378,'Lookup Tables'!A:A,0))),"Lookup",IF(OR(NOT(ISERROR(FIND("Numeric",K378))),NOT(ISERROR(FIND("Percentage",K378))),NOT(ISERROR(FIND("Date",K378)))),"Numeric",IF(NOT(ISERROR(FIND("lank",K378))),"Non-blank",IF(NOT(ISERROR(FIND("Not evaluated",K378))),"Skipped","Other"))))</f>
        <v>Numeric</v>
      </c>
      <c r="U378" s="101" t="str">
        <f ca="1">IF(AND(C378&lt;&gt;"",COLUMN()-COLUMN($U$55)+1&lt;=$Y377),(LOG(C378+1)-LOG(MIN($C378:$F378,$Z378:$AA378)+1))/(LOG(MAX($AA378,$C378:$F378)+1)-LOG(MIN($C378:$F378,$Z378:$AA378)+1)),"")</f>
        <v/>
      </c>
      <c r="V378" s="101" t="str">
        <f ca="1">IF(AND(D378&lt;&gt;"",COLUMN()-COLUMN($U$55)+1&lt;=$Y377),(LOG(D378+1)-LOG(MIN($C378:$F378,$Z378:$AA378)+1))/(LOG(MAX($AA378,$C378:$F378)+1)-LOG(MIN($C378:$F378,$Z378:$AA378)+1)),"")</f>
        <v/>
      </c>
      <c r="W378" s="101">
        <f ca="1">IF(AND(E378&lt;&gt;"",COLUMN()-COLUMN($U$55)+1&lt;=$Y377),(LOG(E378+1)-LOG(MIN($C378:$F378,$Z378:$AA378)+1))/(LOG(MAX($AA378,$C378:$F378)+1)-LOG(MIN($C378:$F378,$Z378:$AA378)+1)),"")</f>
        <v>0.22767024869695299</v>
      </c>
      <c r="X378" s="466" t="str">
        <f>IF(AND(F378&lt;&gt;"",COLUMN()-COLUMN($U$55)+1&lt;=$Y377),(LOG(F378+1)-LOG(MIN($C378:$F378,$Z378:$AA378)+1))/(LOG(MAX($AA378,$C378:$F378)+1)-LOG(MIN($C378:$F378,$Z378:$AA378)+1)),"")</f>
        <v/>
      </c>
      <c r="Y378" s="99">
        <f t="shared" si="114"/>
        <v>3</v>
      </c>
      <c r="Z378" s="99">
        <v>0</v>
      </c>
      <c r="AA378" s="99">
        <v>20</v>
      </c>
      <c r="AB378" s="159" t="s">
        <v>2186</v>
      </c>
      <c r="AC378" s="159" t="s">
        <v>2237</v>
      </c>
      <c r="AD378" s="101">
        <f t="shared" ref="AD378:AD388" ca="1" si="117">IFERROR(AVERAGEIF(L378:O378,TRUE,U378:X378),AVERAGE(U378:X378))</f>
        <v>0.22767024869695299</v>
      </c>
      <c r="AE378" s="99" t="b">
        <f t="shared" ref="AE378:AE388" ca="1" si="118">NOT(OR(L378:O378))</f>
        <v>0</v>
      </c>
      <c r="AF378" s="159" t="s">
        <v>2462</v>
      </c>
      <c r="AG378" s="783">
        <f>COUNTIF('VA Detailed Scorecard Config'!D:D,AF378)</f>
        <v>1</v>
      </c>
      <c r="AH378" s="99"/>
    </row>
    <row r="379" spans="2:34" ht="13.5" customHeight="1">
      <c r="B379" s="327" t="s">
        <v>1606</v>
      </c>
      <c r="C379" s="99" t="str">
        <f ca="1">IF(INDIRECT(C$41&amp;"!C"&amp;ROW()-ROW($C$366)+4)="","",INDIRECT(C$41&amp;"!C"&amp;ROW()-ROW($C$366)+4))</f>
        <v/>
      </c>
      <c r="D379" s="99" t="str">
        <f ca="1">IF(INDIRECT(D$41&amp;"!C"&amp;ROW()-ROW($C$366)+4)="","",INDIRECT(D$41&amp;"!C"&amp;ROW()-ROW($C$366)+4))</f>
        <v/>
      </c>
      <c r="E379" s="99" t="str">
        <f ca="1">IF(INDIRECT(E$41&amp;"!C"&amp;ROW()-ROW($C$366)+4)="","",INDIRECT(E$41&amp;"!C"&amp;ROW()-ROW($C$366)+4))</f>
        <v>No</v>
      </c>
      <c r="G379" s="99" t="str">
        <f ca="1">IF(INDIRECT(C$41&amp;"!D"&amp;ROW()-ROW($C$366)+4)="","",INDIRECT(C$41&amp;"!D"&amp;ROW()-ROW($C$366)+4))</f>
        <v/>
      </c>
      <c r="H379" s="99" t="str">
        <f ca="1">IF(INDIRECT(D$41&amp;"!D"&amp;ROW()-ROW($C$366)+4)="","",INDIRECT(D$41&amp;"!D"&amp;ROW()-ROW($C$366)+4))</f>
        <v/>
      </c>
      <c r="I379" s="99" t="str">
        <f ca="1">IF(INDIRECT(E$41&amp;"!D"&amp;ROW()-ROW($C$366)+4)="","",INDIRECT(E$41&amp;"!D"&amp;ROW()-ROW($C$366)+4))</f>
        <v/>
      </c>
      <c r="K379" s="99" t="str">
        <f ca="1">IF(INDIRECT(C$41&amp;"!E"&amp;ROW()-ROW($C$366)+4)="","",INDIRECT(C$41&amp;"!E"&amp;ROW()-ROW($C$366)+4))</f>
        <v>YES_No</v>
      </c>
      <c r="L379" s="99" t="b">
        <f ca="1">IF(INDIRECT(C$41&amp;"!F"&amp;ROW()-ROW($C$366)+4)="","",INDIRECT(C$41&amp;"!F"&amp;ROW()-ROW($C$366)+4))</f>
        <v>0</v>
      </c>
      <c r="M379" s="99" t="b">
        <f ca="1">IF(INDIRECT(D$41&amp;"!F"&amp;ROW()-ROW($C$366)+4)="","",INDIRECT(D$41&amp;"!F"&amp;ROW()-ROW($C$366)+4))</f>
        <v>0</v>
      </c>
      <c r="N379" s="99" t="b">
        <f ca="1">IF(INDIRECT(E$41&amp;"!F"&amp;ROW()-ROW($C$366)+4)="","",INDIRECT(E$41&amp;"!F"&amp;ROW()-ROW($C$366)+4))</f>
        <v>1</v>
      </c>
      <c r="O379" s="99"/>
      <c r="P379" s="99" t="b">
        <f ca="1">INDIRECT(C$41&amp;"!B"&amp;ROW()-ROW($C$366)+4)=$B379</f>
        <v>1</v>
      </c>
      <c r="Q379" s="99" t="b">
        <f ca="1">INDIRECT(D$41&amp;"!B"&amp;ROW()-ROW($C$366)+4)=$B379</f>
        <v>1</v>
      </c>
      <c r="R379" s="99" t="b">
        <f ca="1">INDIRECT(E$41&amp;"!B"&amp;ROW()-ROW($C$366)+4)=$B379</f>
        <v>1</v>
      </c>
      <c r="T379" s="37" t="str">
        <f ca="1">IF(NOT(ISERROR(MATCH(K379,'Lookup Tables'!A:A,0))),"Lookup",IF(OR(NOT(ISERROR(FIND("Numeric",K379))),NOT(ISERROR(FIND("Percentage",K379))),NOT(ISERROR(FIND("Date",K379)))),"Numeric",IF(NOT(ISERROR(FIND("lank",K379))),"Non-blank",IF(NOT(ISERROR(FIND("Not evaluated",K379))),"Skipped","Other"))))</f>
        <v>Lookup</v>
      </c>
      <c r="U379" s="461">
        <f ca="1">IF(COLUMN()-COLUMN($U$55)+1&lt;=$Y379,INDEX(OFFSET(INDIRECT($K379),0,1),MATCH(C379,INDIRECT($K379),0)),"")</f>
        <v>0</v>
      </c>
      <c r="V379" s="461">
        <f ca="1">IF(COLUMN()-COLUMN($U$55)+1&lt;=$Y379,INDEX(OFFSET(INDIRECT($K379),0,1),MATCH(D379,INDIRECT($K379),0)),"")</f>
        <v>0</v>
      </c>
      <c r="W379" s="461">
        <f ca="1">IF(COLUMN()-COLUMN($U$55)+1&lt;=$Y379,INDEX(OFFSET(INDIRECT($K379),0,1),MATCH(E379,INDIRECT($K379),0)),"")</f>
        <v>0</v>
      </c>
      <c r="X379" s="465" t="str">
        <f ca="1">IF(COLUMN()-COLUMN($U$55)+1&lt;=$Y379,INDEX(OFFSET(INDIRECT($K379),0,1),MATCH(F379,INDIRECT($K379),0)),"")</f>
        <v/>
      </c>
      <c r="Y379" s="99">
        <f t="shared" si="114"/>
        <v>3</v>
      </c>
      <c r="Z379" s="99"/>
      <c r="AA379" s="99"/>
      <c r="AB379" s="99"/>
      <c r="AC379" s="159" t="s">
        <v>2237</v>
      </c>
      <c r="AD379" s="101">
        <f t="shared" ca="1" si="117"/>
        <v>0</v>
      </c>
      <c r="AE379" s="99" t="b">
        <f t="shared" ca="1" si="118"/>
        <v>0</v>
      </c>
      <c r="AF379" s="159" t="s">
        <v>2463</v>
      </c>
      <c r="AG379" s="783">
        <f>COUNTIF('VA Detailed Scorecard Config'!D:D,AF379)</f>
        <v>1</v>
      </c>
      <c r="AH379" s="99"/>
    </row>
    <row r="380" spans="2:34" ht="13.5" customHeight="1">
      <c r="B380" s="327" t="s">
        <v>1607</v>
      </c>
      <c r="C380" s="99" t="str">
        <f ca="1">IF(INDIRECT(C$41&amp;"!C"&amp;ROW()-ROW($C$366)+4)="","",INDIRECT(C$41&amp;"!C"&amp;ROW()-ROW($C$366)+4))</f>
        <v/>
      </c>
      <c r="D380" s="99" t="str">
        <f ca="1">IF(INDIRECT(D$41&amp;"!C"&amp;ROW()-ROW($C$366)+4)="","",INDIRECT(D$41&amp;"!C"&amp;ROW()-ROW($C$366)+4))</f>
        <v/>
      </c>
      <c r="E380" s="99" t="str">
        <f ca="1">IF(INDIRECT(E$41&amp;"!C"&amp;ROW()-ROW($C$366)+4)="","",INDIRECT(E$41&amp;"!C"&amp;ROW()-ROW($C$366)+4))</f>
        <v>N/A - never set up CVSS process</v>
      </c>
      <c r="G380" s="99" t="str">
        <f ca="1">IF(INDIRECT(C$41&amp;"!D"&amp;ROW()-ROW($C$366)+4)="","",INDIRECT(C$41&amp;"!D"&amp;ROW()-ROW($C$366)+4))</f>
        <v/>
      </c>
      <c r="H380" s="99" t="str">
        <f ca="1">IF(INDIRECT(D$41&amp;"!D"&amp;ROW()-ROW($C$366)+4)="","",INDIRECT(D$41&amp;"!D"&amp;ROW()-ROW($C$366)+4))</f>
        <v/>
      </c>
      <c r="I380" s="99" t="str">
        <f ca="1">IF(INDIRECT(E$41&amp;"!D"&amp;ROW()-ROW($C$366)+4)="","",INDIRECT(E$41&amp;"!D"&amp;ROW()-ROW($C$366)+4))</f>
        <v/>
      </c>
      <c r="K380" s="99" t="str">
        <f ca="1">IF(INDIRECT(C$41&amp;"!E"&amp;ROW()-ROW($C$366)+4)="","",INDIRECT(C$41&amp;"!E"&amp;ROW()-ROW($C$366)+4))</f>
        <v>Vulnerability_Repair</v>
      </c>
      <c r="L380" s="99" t="b">
        <f ca="1">IF(INDIRECT(C$41&amp;"!F"&amp;ROW()-ROW($C$366)+4)="","",INDIRECT(C$41&amp;"!F"&amp;ROW()-ROW($C$366)+4))</f>
        <v>0</v>
      </c>
      <c r="M380" s="99" t="b">
        <f ca="1">IF(INDIRECT(D$41&amp;"!F"&amp;ROW()-ROW($C$366)+4)="","",INDIRECT(D$41&amp;"!F"&amp;ROW()-ROW($C$366)+4))</f>
        <v>0</v>
      </c>
      <c r="N380" s="99" t="b">
        <f ca="1">IF(INDIRECT(E$41&amp;"!F"&amp;ROW()-ROW($C$366)+4)="","",INDIRECT(E$41&amp;"!F"&amp;ROW()-ROW($C$366)+4))</f>
        <v>1</v>
      </c>
      <c r="O380" s="99"/>
      <c r="P380" s="99" t="b">
        <f ca="1">INDIRECT(C$41&amp;"!B"&amp;ROW()-ROW($C$366)+4)=$B380</f>
        <v>1</v>
      </c>
      <c r="Q380" s="99" t="b">
        <f ca="1">INDIRECT(D$41&amp;"!B"&amp;ROW()-ROW($C$366)+4)=$B380</f>
        <v>1</v>
      </c>
      <c r="R380" s="99" t="b">
        <f ca="1">INDIRECT(E$41&amp;"!B"&amp;ROW()-ROW($C$366)+4)=$B380</f>
        <v>1</v>
      </c>
      <c r="T380" s="37" t="str">
        <f ca="1">IF(NOT(ISERROR(MATCH(K380,'Lookup Tables'!A:A,0))),"Lookup",IF(OR(NOT(ISERROR(FIND("Numeric",K380))),NOT(ISERROR(FIND("Percentage",K380))),NOT(ISERROR(FIND("Date",K380)))),"Numeric",IF(NOT(ISERROR(FIND("lank",K380))),"Non-blank",IF(NOT(ISERROR(FIND("Not evaluated",K380))),"Skipped","Other"))))</f>
        <v>Lookup</v>
      </c>
      <c r="U380" s="461">
        <f ca="1">IF(COLUMN()-COLUMN($U$55)+1&lt;=$Y380,INDEX(OFFSET(INDIRECT($K380),0,1),MATCH(C380,INDIRECT($K380),0)),"")</f>
        <v>0</v>
      </c>
      <c r="V380" s="461">
        <f ca="1">IF(COLUMN()-COLUMN($U$55)+1&lt;=$Y380,INDEX(OFFSET(INDIRECT($K380),0,1),MATCH(D380,INDIRECT($K380),0)),"")</f>
        <v>0</v>
      </c>
      <c r="W380" s="461">
        <f ca="1">IF(COLUMN()-COLUMN($U$55)+1&lt;=$Y380,INDEX(OFFSET(INDIRECT($K380),0,1),MATCH(E380,INDIRECT($K380),0)),"")</f>
        <v>0</v>
      </c>
      <c r="X380" s="465" t="str">
        <f ca="1">IF(COLUMN()-COLUMN($U$55)+1&lt;=$Y380,INDEX(OFFSET(INDIRECT($K380),0,1),MATCH(F380,INDIRECT($K380),0)),"")</f>
        <v/>
      </c>
      <c r="Y380" s="99">
        <f t="shared" si="114"/>
        <v>3</v>
      </c>
      <c r="Z380" s="99"/>
      <c r="AA380" s="99"/>
      <c r="AB380" s="99"/>
      <c r="AC380" s="159" t="s">
        <v>2237</v>
      </c>
      <c r="AD380" s="101">
        <f t="shared" ca="1" si="117"/>
        <v>0</v>
      </c>
      <c r="AE380" s="99" t="b">
        <f t="shared" ca="1" si="118"/>
        <v>0</v>
      </c>
      <c r="AF380" s="159" t="s">
        <v>2464</v>
      </c>
      <c r="AG380" s="783">
        <f>COUNTIF('VA Detailed Scorecard Config'!D:D,AF380)</f>
        <v>1</v>
      </c>
      <c r="AH380" s="99"/>
    </row>
    <row r="381" spans="2:34" ht="13.5" customHeight="1">
      <c r="B381" s="159" t="s">
        <v>2160</v>
      </c>
      <c r="C381" s="99" t="str">
        <f ca="1">IF(INDIRECT(C$41&amp;"!C"&amp;ROW()-ROW($C$366)+4)="","",INDIRECT(C$41&amp;"!C"&amp;ROW()-ROW($C$366)+4))</f>
        <v/>
      </c>
      <c r="D381" s="99" t="str">
        <f ca="1">IF(INDIRECT(D$41&amp;"!C"&amp;ROW()-ROW($C$366)+4)="","",INDIRECT(D$41&amp;"!C"&amp;ROW()-ROW($C$366)+4))</f>
        <v/>
      </c>
      <c r="E381" s="99" t="str">
        <f ca="1">IF(INDIRECT(E$41&amp;"!C"&amp;ROW()-ROW($C$366)+4)="","",INDIRECT(E$41&amp;"!C"&amp;ROW()-ROW($C$366)+4))</f>
        <v>N/A</v>
      </c>
      <c r="G381" s="99" t="str">
        <f ca="1">IF(INDIRECT(C$41&amp;"!D"&amp;ROW()-ROW($C$366)+4)="","",INDIRECT(C$41&amp;"!D"&amp;ROW()-ROW($C$366)+4))</f>
        <v/>
      </c>
      <c r="H381" s="99" t="str">
        <f ca="1">IF(INDIRECT(D$41&amp;"!D"&amp;ROW()-ROW($C$366)+4)="","",INDIRECT(D$41&amp;"!D"&amp;ROW()-ROW($C$366)+4))</f>
        <v/>
      </c>
      <c r="I381" s="99" t="str">
        <f ca="1">IF(INDIRECT(E$41&amp;"!D"&amp;ROW()-ROW($C$366)+4)="","",INDIRECT(E$41&amp;"!D"&amp;ROW()-ROW($C$366)+4))</f>
        <v/>
      </c>
      <c r="K381" s="99" t="str">
        <f ca="1">IF(INDIRECT(C$41&amp;"!E"&amp;ROW()-ROW($C$366)+4)="","",INDIRECT(C$41&amp;"!E"&amp;ROW()-ROW($C$366)+4))</f>
        <v>YES_No_NA</v>
      </c>
      <c r="L381" s="176" t="b">
        <f t="shared" ref="L381:M381" ca="1" si="119">IF(C381="N/A",FALSE,IF(INDIRECT(C$41&amp;"!F"&amp;ROW()-ROW($C$366)+4)="","",INDIRECT(C$41&amp;"!F"&amp;ROW()-ROW($C$366)+4)))</f>
        <v>0</v>
      </c>
      <c r="M381" s="176" t="b">
        <f t="shared" ca="1" si="119"/>
        <v>0</v>
      </c>
      <c r="N381" s="176" t="b">
        <f ca="1">IF(E381="N/A",FALSE,IF(INDIRECT(E$41&amp;"!F"&amp;ROW()-ROW($C$366)+4)="","",INDIRECT(E$41&amp;"!F"&amp;ROW()-ROW($C$366)+4)))</f>
        <v>0</v>
      </c>
      <c r="O381" s="99"/>
      <c r="P381" s="99" t="b">
        <f ca="1">INDIRECT(C$41&amp;"!B"&amp;ROW()-ROW($C$366)+4)=$B381</f>
        <v>1</v>
      </c>
      <c r="Q381" s="99" t="b">
        <f ca="1">INDIRECT(D$41&amp;"!B"&amp;ROW()-ROW($C$366)+4)=$B381</f>
        <v>1</v>
      </c>
      <c r="R381" s="99" t="b">
        <f ca="1">INDIRECT(E$41&amp;"!B"&amp;ROW()-ROW($C$366)+4)=$B381</f>
        <v>1</v>
      </c>
      <c r="T381" s="37" t="str">
        <f ca="1">IF(NOT(ISERROR(MATCH(K381,'Lookup Tables'!A:A,0))),"Lookup",IF(OR(NOT(ISERROR(FIND("Numeric",K381))),NOT(ISERROR(FIND("Percentage",K381))),NOT(ISERROR(FIND("Date",K381)))),"Numeric",IF(NOT(ISERROR(FIND("lank",K381))),"Non-blank",IF(NOT(ISERROR(FIND("Not evaluated",K381))),"Skipped","Other"))))</f>
        <v>Lookup</v>
      </c>
      <c r="U381" s="461">
        <f ca="1">IF(COLUMN()-COLUMN($U$55)+1&lt;=$Y381,INDEX(OFFSET(INDIRECT($K381),0,1),MATCH(C381,INDIRECT($K381),0)),"")</f>
        <v>0</v>
      </c>
      <c r="V381" s="461">
        <f ca="1">IF(COLUMN()-COLUMN($U$55)+1&lt;=$Y381,INDEX(OFFSET(INDIRECT($K381),0,1),MATCH(D381,INDIRECT($K381),0)),"")</f>
        <v>0</v>
      </c>
      <c r="W381" s="461">
        <f ca="1">IF(COLUMN()-COLUMN($U$55)+1&lt;=$Y381,INDEX(OFFSET(INDIRECT($K381),0,1),MATCH(E381,INDIRECT($K381),0)),"")</f>
        <v>1</v>
      </c>
      <c r="X381" s="465" t="str">
        <f ca="1">IF(COLUMN()-COLUMN($U$55)+1&lt;=$Y381,INDEX(OFFSET(INDIRECT($K381),0,1),MATCH(F381,INDIRECT($K381),0)),"")</f>
        <v/>
      </c>
      <c r="Y381" s="99">
        <f t="shared" si="114"/>
        <v>3</v>
      </c>
      <c r="Z381" s="99"/>
      <c r="AA381" s="99"/>
      <c r="AB381" s="99"/>
      <c r="AC381" s="159" t="s">
        <v>2237</v>
      </c>
      <c r="AD381" s="101">
        <f ca="1">IFERROR(AVERAGEIF(L381:O381,TRUE,U381:X381),AVERAGE(U381:X381))</f>
        <v>0.33333333333333331</v>
      </c>
      <c r="AE381" s="99" t="b">
        <f t="shared" ca="1" si="118"/>
        <v>1</v>
      </c>
      <c r="AF381" s="159" t="s">
        <v>2465</v>
      </c>
      <c r="AG381" s="783">
        <f>COUNTIF('VA Detailed Scorecard Config'!D:D,AF381)</f>
        <v>1</v>
      </c>
      <c r="AH381" s="99"/>
    </row>
    <row r="382" spans="2:34" ht="13.5" customHeight="1">
      <c r="B382" s="327" t="s">
        <v>2466</v>
      </c>
      <c r="C382" s="99" t="str">
        <f ca="1">IF(INDIRECT(C$41&amp;"!C"&amp;ROW()-ROW($C$366)+4)="","",INDIRECT(C$41&amp;"!C"&amp;ROW()-ROW($C$366)+4))</f>
        <v/>
      </c>
      <c r="D382" s="99" t="str">
        <f ca="1">IF(INDIRECT(D$41&amp;"!C"&amp;ROW()-ROW($C$366)+4)="","",INDIRECT(D$41&amp;"!C"&amp;ROW()-ROW($C$366)+4))</f>
        <v/>
      </c>
      <c r="E382" s="99" t="str">
        <f ca="1">IF(INDIRECT(E$41&amp;"!C"&amp;ROW()-ROW($C$366)+4)="","",INDIRECT(E$41&amp;"!C"&amp;ROW()-ROW($C$366)+4))</f>
        <v/>
      </c>
      <c r="G382" s="99" t="str">
        <f ca="1">IF(INDIRECT(C$41&amp;"!D"&amp;ROW()-ROW($C$366)+4)="","",INDIRECT(C$41&amp;"!D"&amp;ROW()-ROW($C$366)+4))</f>
        <v/>
      </c>
      <c r="H382" s="99" t="str">
        <f ca="1">IF(INDIRECT(D$41&amp;"!D"&amp;ROW()-ROW($C$366)+4)="","",INDIRECT(D$41&amp;"!D"&amp;ROW()-ROW($C$366)+4))</f>
        <v/>
      </c>
      <c r="I382" s="99" t="str">
        <f ca="1">IF(INDIRECT(E$41&amp;"!D"&amp;ROW()-ROW($C$366)+4)="","",INDIRECT(E$41&amp;"!D"&amp;ROW()-ROW($C$366)+4))</f>
        <v/>
      </c>
      <c r="K382" s="99" t="str">
        <f ca="1">IF(INDIRECT(C$41&amp;"!E"&amp;ROW()-ROW($C$366)+4)="","",INDIRECT(C$41&amp;"!E"&amp;ROW()-ROW($C$366)+4))</f>
        <v>Non-blank is better</v>
      </c>
      <c r="L382" s="99" t="b">
        <f ca="1">IF(INDIRECT(C$41&amp;"!F"&amp;ROW()-ROW($C$366)+4)="","",INDIRECT(C$41&amp;"!F"&amp;ROW()-ROW($C$366)+4))</f>
        <v>1</v>
      </c>
      <c r="M382" s="99" t="b">
        <f ca="1">IF(INDIRECT(D$41&amp;"!F"&amp;ROW()-ROW($C$366)+4)="","",INDIRECT(D$41&amp;"!F"&amp;ROW()-ROW($C$366)+4))</f>
        <v>1</v>
      </c>
      <c r="N382" s="99" t="b">
        <f ca="1">IF(INDIRECT(E$41&amp;"!F"&amp;ROW()-ROW($C$366)+4)="","",INDIRECT(E$41&amp;"!F"&amp;ROW()-ROW($C$366)+4))</f>
        <v>1</v>
      </c>
      <c r="O382" s="99"/>
      <c r="P382" s="99" t="b">
        <f ca="1">INDIRECT(C$41&amp;"!B"&amp;ROW()-ROW($C$366)+4)=$B382</f>
        <v>1</v>
      </c>
      <c r="Q382" s="99" t="b">
        <f ca="1">INDIRECT(D$41&amp;"!B"&amp;ROW()-ROW($C$366)+4)=$B382</f>
        <v>1</v>
      </c>
      <c r="R382" s="99" t="b">
        <f ca="1">INDIRECT(E$41&amp;"!B"&amp;ROW()-ROW($C$366)+4)=$B382</f>
        <v>1</v>
      </c>
      <c r="T382" s="99" t="str">
        <f ca="1">IF(NOT(ISERROR(MATCH(K382,'Lookup Tables'!A:A,0))),"Lookup",IF(OR(NOT(ISERROR(FIND("Numeric",K382))),NOT(ISERROR(FIND("Percentage",K382))),NOT(ISERROR(FIND("Date",K382)))),"Numeric",IF(NOT(ISERROR(FIND("lank",K382))),"Non-blank",IF(NOT(ISERROR(FIND("Not evaluated",K382))),"Skipped","Other"))))</f>
        <v>Non-blank</v>
      </c>
      <c r="U382" s="461">
        <f ca="1">IF(COLUMN()-COLUMN($U$55)+1&lt;=$Y382,IF(C382="",0,1),"")</f>
        <v>0</v>
      </c>
      <c r="V382" s="461">
        <f ca="1">IF(COLUMN()-COLUMN($U$55)+1&lt;=$Y382,IF(D382="",0,1),"")</f>
        <v>0</v>
      </c>
      <c r="W382" s="461">
        <f ca="1">IF(COLUMN()-COLUMN($U$55)+1&lt;=$Y382,IF(E382="",0,1),"")</f>
        <v>0</v>
      </c>
      <c r="X382" s="465" t="str">
        <f>IF(COLUMN()-COLUMN($U$55)+1&lt;=$Y382,IF(F382="",0,1),"")</f>
        <v/>
      </c>
      <c r="Y382" s="99">
        <f t="shared" si="114"/>
        <v>3</v>
      </c>
      <c r="Z382" s="99"/>
      <c r="AA382" s="99"/>
      <c r="AB382" s="99"/>
      <c r="AC382" s="159" t="s">
        <v>2237</v>
      </c>
      <c r="AD382" s="101">
        <f t="shared" ref="AD382:AD388" ca="1" si="120">IFERROR(AVERAGEIF(L382:O382,TRUE,U382:X382),AVERAGE(U382:X382))</f>
        <v>0</v>
      </c>
      <c r="AE382" s="99" t="b">
        <f t="shared" ca="1" si="118"/>
        <v>0</v>
      </c>
      <c r="AF382" s="159" t="s">
        <v>2535</v>
      </c>
      <c r="AG382" s="783">
        <f>COUNTIF('VA Detailed Scorecard Config'!D:D,AF382)</f>
        <v>0</v>
      </c>
      <c r="AH382" s="99"/>
    </row>
    <row r="383" spans="2:34" ht="13.5" customHeight="1">
      <c r="B383" s="327" t="s">
        <v>1522</v>
      </c>
      <c r="C383" s="99" t="str">
        <f ca="1">IF(INDIRECT(C$41&amp;"!C"&amp;ROW()-ROW($C$366)+4)="","",INDIRECT(C$41&amp;"!C"&amp;ROW()-ROW($C$366)+4))</f>
        <v>Xprize</v>
      </c>
      <c r="D383" s="99" t="str">
        <f ca="1">IF(INDIRECT(D$41&amp;"!C"&amp;ROW()-ROW($C$366)+4)="","",INDIRECT(D$41&amp;"!C"&amp;ROW()-ROW($C$366)+4))</f>
        <v>CouponCo</v>
      </c>
      <c r="E383" s="99" t="str">
        <f ca="1">IF(INDIRECT(E$41&amp;"!C"&amp;ROW()-ROW($C$366)+4)="","",INDIRECT(E$41&amp;"!C"&amp;ROW()-ROW($C$366)+4))</f>
        <v/>
      </c>
      <c r="G383" s="99" t="str">
        <f ca="1">IF(INDIRECT(C$41&amp;"!D"&amp;ROW()-ROW($C$366)+4)="","",INDIRECT(C$41&amp;"!D"&amp;ROW()-ROW($C$366)+4))</f>
        <v/>
      </c>
      <c r="H383" s="99" t="str">
        <f ca="1">IF(INDIRECT(D$41&amp;"!D"&amp;ROW()-ROW($C$366)+4)="","",INDIRECT(D$41&amp;"!D"&amp;ROW()-ROW($C$366)+4))</f>
        <v/>
      </c>
      <c r="I383" s="99" t="str">
        <f ca="1">IF(INDIRECT(E$41&amp;"!D"&amp;ROW()-ROW($C$366)+4)="","",INDIRECT(E$41&amp;"!D"&amp;ROW()-ROW($C$366)+4))</f>
        <v/>
      </c>
      <c r="K383" s="99" t="str">
        <f ca="1">IF(INDIRECT(C$41&amp;"!E"&amp;ROW()-ROW($C$366)+4)="","",INDIRECT(C$41&amp;"!E"&amp;ROW()-ROW($C$366)+4))</f>
        <v>Non-blank is better</v>
      </c>
      <c r="L383" s="99" t="b">
        <f ca="1">IF(INDIRECT(C$41&amp;"!F"&amp;ROW()-ROW($C$366)+4)="","",INDIRECT(C$41&amp;"!F"&amp;ROW()-ROW($C$366)+4))</f>
        <v>1</v>
      </c>
      <c r="M383" s="99" t="b">
        <f ca="1">IF(INDIRECT(D$41&amp;"!F"&amp;ROW()-ROW($C$366)+4)="","",INDIRECT(D$41&amp;"!F"&amp;ROW()-ROW($C$366)+4))</f>
        <v>1</v>
      </c>
      <c r="N383" s="99" t="b">
        <f ca="1">IF(INDIRECT(E$41&amp;"!F"&amp;ROW()-ROW($C$366)+4)="","",INDIRECT(E$41&amp;"!F"&amp;ROW()-ROW($C$366)+4))</f>
        <v>0</v>
      </c>
      <c r="O383" s="99"/>
      <c r="P383" s="99" t="b">
        <f ca="1">INDIRECT(C$41&amp;"!B"&amp;ROW()-ROW($C$366)+4)=$B383</f>
        <v>1</v>
      </c>
      <c r="Q383" s="99" t="b">
        <f ca="1">INDIRECT(D$41&amp;"!B"&amp;ROW()-ROW($C$366)+4)=$B383</f>
        <v>1</v>
      </c>
      <c r="R383" s="99" t="b">
        <f ca="1">INDIRECT(E$41&amp;"!B"&amp;ROW()-ROW($C$366)+4)=$B383</f>
        <v>1</v>
      </c>
      <c r="T383" s="99" t="str">
        <f ca="1">IF(NOT(ISERROR(MATCH(K383,'Lookup Tables'!A:A,0))),"Lookup",IF(OR(NOT(ISERROR(FIND("Numeric",K383))),NOT(ISERROR(FIND("Percentage",K383))),NOT(ISERROR(FIND("Date",K383)))),"Numeric",IF(NOT(ISERROR(FIND("lank",K383))),"Non-blank",IF(NOT(ISERROR(FIND("Not evaluated",K383))),"Skipped","Other"))))</f>
        <v>Non-blank</v>
      </c>
      <c r="U383" s="461">
        <f ca="1">IF(COLUMN()-COLUMN($U$55)+1&lt;=$Y383,IF(C383="",0,1),"")</f>
        <v>1</v>
      </c>
      <c r="V383" s="461">
        <f ca="1">IF(COLUMN()-COLUMN($U$55)+1&lt;=$Y383,IF(D383="",0,1),"")</f>
        <v>1</v>
      </c>
      <c r="W383" s="461">
        <f ca="1">IF(COLUMN()-COLUMN($U$55)+1&lt;=$Y383,IF(E383="",0,1),"")</f>
        <v>0</v>
      </c>
      <c r="X383" s="465" t="str">
        <f>IF(COLUMN()-COLUMN($U$55)+1&lt;=$Y383,IF(F383="",0,1),"")</f>
        <v/>
      </c>
      <c r="Y383" s="99">
        <f t="shared" si="114"/>
        <v>3</v>
      </c>
      <c r="Z383" s="99"/>
      <c r="AA383" s="99"/>
      <c r="AB383" s="99"/>
      <c r="AC383" s="159" t="s">
        <v>2237</v>
      </c>
      <c r="AD383" s="101">
        <f t="shared" ca="1" si="120"/>
        <v>1</v>
      </c>
      <c r="AE383" s="99" t="b">
        <f t="shared" ca="1" si="118"/>
        <v>0</v>
      </c>
      <c r="AF383" s="159" t="s">
        <v>2468</v>
      </c>
      <c r="AG383" s="783">
        <f>COUNTIF('VA Detailed Scorecard Config'!D:D,AF383)</f>
        <v>0</v>
      </c>
      <c r="AH383" s="99"/>
    </row>
    <row r="384" spans="2:34" ht="13.5" customHeight="1">
      <c r="B384" s="327" t="s">
        <v>1523</v>
      </c>
      <c r="C384" s="99" t="str">
        <f ca="1">IF(INDIRECT(C$41&amp;"!C"&amp;ROW()-ROW($C$366)+4)="","",INDIRECT(C$41&amp;"!C"&amp;ROW()-ROW($C$366)+4))</f>
        <v>Jim</v>
      </c>
      <c r="D384" s="99" t="str">
        <f ca="1">IF(INDIRECT(D$41&amp;"!C"&amp;ROW()-ROW($C$366)+4)="","",INDIRECT(D$41&amp;"!C"&amp;ROW()-ROW($C$366)+4))</f>
        <v>George</v>
      </c>
      <c r="E384" s="99" t="str">
        <f ca="1">IF(INDIRECT(E$41&amp;"!C"&amp;ROW()-ROW($C$366)+4)="","",INDIRECT(E$41&amp;"!C"&amp;ROW()-ROW($C$366)+4))</f>
        <v/>
      </c>
      <c r="G384" s="99" t="str">
        <f ca="1">IF(INDIRECT(C$41&amp;"!D"&amp;ROW()-ROW($C$366)+4)="","",INDIRECT(C$41&amp;"!D"&amp;ROW()-ROW($C$366)+4))</f>
        <v/>
      </c>
      <c r="H384" s="99" t="str">
        <f ca="1">IF(INDIRECT(D$41&amp;"!D"&amp;ROW()-ROW($C$366)+4)="","",INDIRECT(D$41&amp;"!D"&amp;ROW()-ROW($C$366)+4))</f>
        <v/>
      </c>
      <c r="I384" s="99" t="str">
        <f ca="1">IF(INDIRECT(E$41&amp;"!D"&amp;ROW()-ROW($C$366)+4)="","",INDIRECT(E$41&amp;"!D"&amp;ROW()-ROW($C$366)+4))</f>
        <v/>
      </c>
      <c r="K384" s="99" t="str">
        <f ca="1">IF(INDIRECT(C$41&amp;"!E"&amp;ROW()-ROW($C$366)+4)="","",INDIRECT(C$41&amp;"!E"&amp;ROW()-ROW($C$366)+4))</f>
        <v>Non-blank is better</v>
      </c>
      <c r="L384" s="99" t="b">
        <f ca="1">IF(INDIRECT(C$41&amp;"!F"&amp;ROW()-ROW($C$366)+4)="","",INDIRECT(C$41&amp;"!F"&amp;ROW()-ROW($C$366)+4))</f>
        <v>1</v>
      </c>
      <c r="M384" s="99" t="b">
        <f ca="1">IF(INDIRECT(D$41&amp;"!F"&amp;ROW()-ROW($C$366)+4)="","",INDIRECT(D$41&amp;"!F"&amp;ROW()-ROW($C$366)+4))</f>
        <v>1</v>
      </c>
      <c r="N384" s="99" t="b">
        <f ca="1">IF(INDIRECT(E$41&amp;"!F"&amp;ROW()-ROW($C$366)+4)="","",INDIRECT(E$41&amp;"!F"&amp;ROW()-ROW($C$366)+4))</f>
        <v>0</v>
      </c>
      <c r="O384" s="99"/>
      <c r="P384" s="99" t="b">
        <f ca="1">INDIRECT(C$41&amp;"!B"&amp;ROW()-ROW($C$366)+4)=$B384</f>
        <v>1</v>
      </c>
      <c r="Q384" s="99" t="b">
        <f ca="1">INDIRECT(D$41&amp;"!B"&amp;ROW()-ROW($C$366)+4)=$B384</f>
        <v>1</v>
      </c>
      <c r="R384" s="99" t="b">
        <f ca="1">INDIRECT(E$41&amp;"!B"&amp;ROW()-ROW($C$366)+4)=$B384</f>
        <v>1</v>
      </c>
      <c r="T384" s="99" t="str">
        <f ca="1">IF(NOT(ISERROR(MATCH(K384,'Lookup Tables'!A:A,0))),"Lookup",IF(OR(NOT(ISERROR(FIND("Numeric",K384))),NOT(ISERROR(FIND("Percentage",K384))),NOT(ISERROR(FIND("Date",K384)))),"Numeric",IF(NOT(ISERROR(FIND("lank",K384))),"Non-blank",IF(NOT(ISERROR(FIND("Not evaluated",K384))),"Skipped","Other"))))</f>
        <v>Non-blank</v>
      </c>
      <c r="U384" s="461">
        <f ca="1">IF(COLUMN()-COLUMN($U$55)+1&lt;=$Y384,IF(C384="",0,1),"")</f>
        <v>1</v>
      </c>
      <c r="V384" s="461">
        <f ca="1">IF(COLUMN()-COLUMN($U$55)+1&lt;=$Y384,IF(D384="",0,1),"")</f>
        <v>1</v>
      </c>
      <c r="W384" s="461">
        <f ca="1">IF(COLUMN()-COLUMN($U$55)+1&lt;=$Y384,IF(E384="",0,1),"")</f>
        <v>0</v>
      </c>
      <c r="X384" s="465" t="str">
        <f>IF(COLUMN()-COLUMN($U$55)+1&lt;=$Y384,IF(F384="",0,1),"")</f>
        <v/>
      </c>
      <c r="Y384" s="99">
        <f t="shared" si="114"/>
        <v>3</v>
      </c>
      <c r="Z384" s="99"/>
      <c r="AA384" s="99"/>
      <c r="AB384" s="99"/>
      <c r="AC384" s="159" t="s">
        <v>2237</v>
      </c>
      <c r="AD384" s="101">
        <f t="shared" ca="1" si="120"/>
        <v>1</v>
      </c>
      <c r="AE384" s="99" t="b">
        <f t="shared" ca="1" si="118"/>
        <v>0</v>
      </c>
      <c r="AF384" s="159" t="s">
        <v>2467</v>
      </c>
      <c r="AG384" s="783">
        <f>COUNTIF('VA Detailed Scorecard Config'!D:D,AF384)</f>
        <v>0</v>
      </c>
      <c r="AH384" s="99"/>
    </row>
    <row r="385" spans="2:34" ht="13.5" customHeight="1">
      <c r="B385" s="327" t="s">
        <v>1529</v>
      </c>
      <c r="C385" s="99" t="str">
        <f ca="1">IF(INDIRECT(C$41&amp;"!C"&amp;ROW()-ROW($C$366)+4)="","",INDIRECT(C$41&amp;"!C"&amp;ROW()-ROW($C$366)+4))</f>
        <v>During review of first grant over 1 000 000 Euro</v>
      </c>
      <c r="D385" s="99" t="str">
        <f ca="1">IF(INDIRECT(D$41&amp;"!C"&amp;ROW()-ROW($C$366)+4)="","",INDIRECT(D$41&amp;"!C"&amp;ROW()-ROW($C$366)+4))</f>
        <v>During review of first grant over 100 000 Euro</v>
      </c>
      <c r="E385" s="99" t="str">
        <f ca="1">IF(INDIRECT(E$41&amp;"!C"&amp;ROW()-ROW($C$366)+4)="","",INDIRECT(E$41&amp;"!C"&amp;ROW()-ROW($C$366)+4))</f>
        <v/>
      </c>
      <c r="G385" s="99" t="str">
        <f ca="1">IF(INDIRECT(C$41&amp;"!D"&amp;ROW()-ROW($C$366)+4)="","",INDIRECT(C$41&amp;"!D"&amp;ROW()-ROW($C$366)+4))</f>
        <v/>
      </c>
      <c r="H385" s="99" t="str">
        <f ca="1">IF(INDIRECT(D$41&amp;"!D"&amp;ROW()-ROW($C$366)+4)="","",INDIRECT(D$41&amp;"!D"&amp;ROW()-ROW($C$366)+4))</f>
        <v/>
      </c>
      <c r="I385" s="99" t="str">
        <f ca="1">IF(INDIRECT(E$41&amp;"!D"&amp;ROW()-ROW($C$366)+4)="","",INDIRECT(E$41&amp;"!D"&amp;ROW()-ROW($C$366)+4))</f>
        <v>no primary client</v>
      </c>
      <c r="K385" s="99" t="str">
        <f ca="1">IF(INDIRECT(C$41&amp;"!E"&amp;ROW()-ROW($C$366)+4)="","",INDIRECT(C$41&amp;"!E"&amp;ROW()-ROW($C$366)+4))</f>
        <v>Ref_Check_OK</v>
      </c>
      <c r="L385" s="99" t="b">
        <f ca="1">IF(INDIRECT(C$41&amp;"!F"&amp;ROW()-ROW($C$366)+4)="","",INDIRECT(C$41&amp;"!F"&amp;ROW()-ROW($C$366)+4))</f>
        <v>1</v>
      </c>
      <c r="M385" s="99" t="b">
        <f ca="1">IF(INDIRECT(D$41&amp;"!F"&amp;ROW()-ROW($C$366)+4)="","",INDIRECT(D$41&amp;"!F"&amp;ROW()-ROW($C$366)+4))</f>
        <v>1</v>
      </c>
      <c r="N385" s="99" t="b">
        <f ca="1">IF(INDIRECT(E$41&amp;"!F"&amp;ROW()-ROW($C$366)+4)="","",INDIRECT(E$41&amp;"!F"&amp;ROW()-ROW($C$366)+4))</f>
        <v>0</v>
      </c>
      <c r="O385" s="99"/>
      <c r="P385" s="99" t="b">
        <f ca="1">INDIRECT(C$41&amp;"!B"&amp;ROW()-ROW($C$366)+4)=$B385</f>
        <v>1</v>
      </c>
      <c r="Q385" s="99" t="b">
        <f ca="1">INDIRECT(D$41&amp;"!B"&amp;ROW()-ROW($C$366)+4)=$B385</f>
        <v>1</v>
      </c>
      <c r="R385" s="99" t="b">
        <f ca="1">INDIRECT(E$41&amp;"!B"&amp;ROW()-ROW($C$366)+4)=$B385</f>
        <v>1</v>
      </c>
      <c r="T385" s="37" t="str">
        <f ca="1">IF(NOT(ISERROR(MATCH(K385,'Lookup Tables'!A:A,0))),"Lookup",IF(OR(NOT(ISERROR(FIND("Numeric",K385))),NOT(ISERROR(FIND("Percentage",K385))),NOT(ISERROR(FIND("Date",K385)))),"Numeric",IF(NOT(ISERROR(FIND("lank",K385))),"Non-blank",IF(NOT(ISERROR(FIND("Not evaluated",K385))),"Skipped","Other"))))</f>
        <v>Lookup</v>
      </c>
      <c r="U385" s="461">
        <f ca="1">IF(COLUMN()-COLUMN($U$55)+1&lt;=$Y385,INDEX(OFFSET(INDIRECT($K385),0,1),MATCH(C385,INDIRECT($K385),0)),"")</f>
        <v>0.25</v>
      </c>
      <c r="V385" s="461">
        <f ca="1">IF(COLUMN()-COLUMN($U$55)+1&lt;=$Y385,INDEX(OFFSET(INDIRECT($K385),0,1),MATCH(D385,INDIRECT($K385),0)),"")</f>
        <v>0.5</v>
      </c>
      <c r="W385" s="461">
        <f ca="1">IF(COLUMN()-COLUMN($U$55)+1&lt;=$Y385,INDEX(OFFSET(INDIRECT($K385),0,1),MATCH(E385,INDIRECT($K385),0)),"")</f>
        <v>0</v>
      </c>
      <c r="X385" s="465" t="str">
        <f ca="1">IF(COLUMN()-COLUMN($U$55)+1&lt;=$Y385,INDEX(OFFSET(INDIRECT($K385),0,1),MATCH(F385,INDIRECT($K385),0)),"")</f>
        <v/>
      </c>
      <c r="Y385" s="99">
        <f t="shared" si="114"/>
        <v>3</v>
      </c>
      <c r="Z385" s="99"/>
      <c r="AA385" s="99"/>
      <c r="AB385" s="99"/>
      <c r="AC385" s="159" t="s">
        <v>2237</v>
      </c>
      <c r="AD385" s="101">
        <f t="shared" ca="1" si="120"/>
        <v>0.375</v>
      </c>
      <c r="AE385" s="99" t="b">
        <f t="shared" ca="1" si="118"/>
        <v>0</v>
      </c>
      <c r="AF385" s="159" t="s">
        <v>2469</v>
      </c>
      <c r="AG385" s="783">
        <f>COUNTIF('VA Detailed Scorecard Config'!D:D,AF385)</f>
        <v>0</v>
      </c>
      <c r="AH385" s="99"/>
    </row>
    <row r="386" spans="2:34" ht="13.5" customHeight="1">
      <c r="B386" s="327" t="s">
        <v>1524</v>
      </c>
      <c r="C386" s="99" t="str">
        <f ca="1">IF(INDIRECT(C$41&amp;"!C"&amp;ROW()-ROW($C$366)+4)="","",INDIRECT(C$41&amp;"!C"&amp;ROW()-ROW($C$366)+4))</f>
        <v>CTO</v>
      </c>
      <c r="D386" s="99" t="str">
        <f ca="1">IF(INDIRECT(D$41&amp;"!C"&amp;ROW()-ROW($C$366)+4)="","",INDIRECT(D$41&amp;"!C"&amp;ROW()-ROW($C$366)+4))</f>
        <v>CTO</v>
      </c>
      <c r="E386" s="99" t="str">
        <f ca="1">IF(INDIRECT(E$41&amp;"!C"&amp;ROW()-ROW($C$366)+4)="","",INDIRECT(E$41&amp;"!C"&amp;ROW()-ROW($C$366)+4))</f>
        <v/>
      </c>
      <c r="G386" s="99" t="str">
        <f ca="1">IF(INDIRECT(C$41&amp;"!D"&amp;ROW()-ROW($C$366)+4)="","",INDIRECT(C$41&amp;"!D"&amp;ROW()-ROW($C$366)+4))</f>
        <v/>
      </c>
      <c r="H386" s="99" t="str">
        <f ca="1">IF(INDIRECT(D$41&amp;"!D"&amp;ROW()-ROW($C$366)+4)="","",INDIRECT(D$41&amp;"!D"&amp;ROW()-ROW($C$366)+4))</f>
        <v/>
      </c>
      <c r="I386" s="99" t="str">
        <f ca="1">IF(INDIRECT(E$41&amp;"!D"&amp;ROW()-ROW($C$366)+4)="","",INDIRECT(E$41&amp;"!D"&amp;ROW()-ROW($C$366)+4))</f>
        <v/>
      </c>
      <c r="K386" s="99" t="str">
        <f ca="1">IF(INDIRECT(C$41&amp;"!E"&amp;ROW()-ROW($C$366)+4)="","",INDIRECT(C$41&amp;"!E"&amp;ROW()-ROW($C$366)+4))</f>
        <v>Non-blank is better</v>
      </c>
      <c r="L386" s="99" t="b">
        <f ca="1">IF(INDIRECT(C$41&amp;"!F"&amp;ROW()-ROW($C$366)+4)="","",INDIRECT(C$41&amp;"!F"&amp;ROW()-ROW($C$366)+4))</f>
        <v>1</v>
      </c>
      <c r="M386" s="99" t="b">
        <f ca="1">IF(INDIRECT(D$41&amp;"!F"&amp;ROW()-ROW($C$366)+4)="","",INDIRECT(D$41&amp;"!F"&amp;ROW()-ROW($C$366)+4))</f>
        <v>1</v>
      </c>
      <c r="N386" s="99" t="b">
        <f ca="1">IF(INDIRECT(E$41&amp;"!F"&amp;ROW()-ROW($C$366)+4)="","",INDIRECT(E$41&amp;"!F"&amp;ROW()-ROW($C$366)+4))</f>
        <v>0</v>
      </c>
      <c r="O386" s="99"/>
      <c r="P386" s="99" t="b">
        <f ca="1">INDIRECT(C$41&amp;"!B"&amp;ROW()-ROW($C$366)+4)=$B386</f>
        <v>1</v>
      </c>
      <c r="Q386" s="99" t="b">
        <f ca="1">INDIRECT(D$41&amp;"!B"&amp;ROW()-ROW($C$366)+4)=$B386</f>
        <v>1</v>
      </c>
      <c r="R386" s="99" t="b">
        <f ca="1">INDIRECT(E$41&amp;"!B"&amp;ROW()-ROW($C$366)+4)=$B386</f>
        <v>1</v>
      </c>
      <c r="T386" s="99" t="str">
        <f ca="1">IF(NOT(ISERROR(MATCH(K386,'Lookup Tables'!A:A,0))),"Lookup",IF(OR(NOT(ISERROR(FIND("Numeric",K386))),NOT(ISERROR(FIND("Percentage",K386))),NOT(ISERROR(FIND("Date",K386)))),"Numeric",IF(NOT(ISERROR(FIND("lank",K386))),"Non-blank",IF(NOT(ISERROR(FIND("Not evaluated",K386))),"Skipped","Other"))))</f>
        <v>Non-blank</v>
      </c>
      <c r="U386" s="461">
        <f ca="1">IF(COLUMN()-COLUMN($U$55)+1&lt;=$Y386,IF(C386="",0,1),"")</f>
        <v>1</v>
      </c>
      <c r="V386" s="461">
        <f ca="1">IF(COLUMN()-COLUMN($U$55)+1&lt;=$Y386,IF(D386="",0,1),"")</f>
        <v>1</v>
      </c>
      <c r="W386" s="461">
        <f ca="1">IF(COLUMN()-COLUMN($U$55)+1&lt;=$Y386,IF(E386="",0,1),"")</f>
        <v>0</v>
      </c>
      <c r="X386" s="465" t="str">
        <f>IF(COLUMN()-COLUMN($U$55)+1&lt;=$Y386,IF(F386="",0,1),"")</f>
        <v/>
      </c>
      <c r="Y386" s="99">
        <f t="shared" si="114"/>
        <v>3</v>
      </c>
      <c r="Z386" s="99"/>
      <c r="AA386" s="99"/>
      <c r="AB386" s="99"/>
      <c r="AC386" s="159" t="s">
        <v>2237</v>
      </c>
      <c r="AD386" s="101">
        <f t="shared" ca="1" si="120"/>
        <v>1</v>
      </c>
      <c r="AE386" s="99" t="b">
        <f t="shared" ca="1" si="118"/>
        <v>0</v>
      </c>
      <c r="AF386" s="159" t="s">
        <v>2470</v>
      </c>
      <c r="AG386" s="783">
        <f>COUNTIF('VA Detailed Scorecard Config'!D:D,AF386)</f>
        <v>0</v>
      </c>
      <c r="AH386" s="99"/>
    </row>
    <row r="387" spans="2:34" ht="13.5" customHeight="1">
      <c r="B387" s="327" t="s">
        <v>1525</v>
      </c>
      <c r="C387" s="99" t="str">
        <f ca="1">IF(INDIRECT(C$41&amp;"!C"&amp;ROW()-ROW($C$366)+4)="","",INDIRECT(C$41&amp;"!C"&amp;ROW()-ROW($C$366)+4))</f>
        <v>201-000-0000</v>
      </c>
      <c r="D387" s="99" t="str">
        <f ca="1">IF(INDIRECT(D$41&amp;"!C"&amp;ROW()-ROW($C$366)+4)="","",INDIRECT(D$41&amp;"!C"&amp;ROW()-ROW($C$366)+4))</f>
        <v>212-000-0000</v>
      </c>
      <c r="E387" s="99" t="str">
        <f ca="1">IF(INDIRECT(E$41&amp;"!C"&amp;ROW()-ROW($C$366)+4)="","",INDIRECT(E$41&amp;"!C"&amp;ROW()-ROW($C$366)+4))</f>
        <v/>
      </c>
      <c r="G387" s="99" t="str">
        <f ca="1">IF(INDIRECT(C$41&amp;"!D"&amp;ROW()-ROW($C$366)+4)="","",INDIRECT(C$41&amp;"!D"&amp;ROW()-ROW($C$366)+4))</f>
        <v/>
      </c>
      <c r="H387" s="99" t="str">
        <f ca="1">IF(INDIRECT(D$41&amp;"!D"&amp;ROW()-ROW($C$366)+4)="","",INDIRECT(D$41&amp;"!D"&amp;ROW()-ROW($C$366)+4))</f>
        <v/>
      </c>
      <c r="I387" s="99" t="str">
        <f ca="1">IF(INDIRECT(E$41&amp;"!D"&amp;ROW()-ROW($C$366)+4)="","",INDIRECT(E$41&amp;"!D"&amp;ROW()-ROW($C$366)+4))</f>
        <v/>
      </c>
      <c r="K387" s="99" t="str">
        <f ca="1">IF(INDIRECT(C$41&amp;"!E"&amp;ROW()-ROW($C$366)+4)="","",INDIRECT(C$41&amp;"!E"&amp;ROW()-ROW($C$366)+4))</f>
        <v>Non-blank is better</v>
      </c>
      <c r="L387" s="99" t="b">
        <f ca="1">IF(INDIRECT(C$41&amp;"!F"&amp;ROW()-ROW($C$366)+4)="","",INDIRECT(C$41&amp;"!F"&amp;ROW()-ROW($C$366)+4))</f>
        <v>1</v>
      </c>
      <c r="M387" s="99" t="b">
        <f ca="1">IF(INDIRECT(D$41&amp;"!F"&amp;ROW()-ROW($C$366)+4)="","",INDIRECT(D$41&amp;"!F"&amp;ROW()-ROW($C$366)+4))</f>
        <v>1</v>
      </c>
      <c r="N387" s="99" t="b">
        <f ca="1">IF(INDIRECT(E$41&amp;"!F"&amp;ROW()-ROW($C$366)+4)="","",INDIRECT(E$41&amp;"!F"&amp;ROW()-ROW($C$366)+4))</f>
        <v>0</v>
      </c>
      <c r="O387" s="99"/>
      <c r="P387" s="99" t="b">
        <f ca="1">INDIRECT(C$41&amp;"!B"&amp;ROW()-ROW($C$366)+4)=$B387</f>
        <v>1</v>
      </c>
      <c r="Q387" s="99" t="b">
        <f ca="1">INDIRECT(D$41&amp;"!B"&amp;ROW()-ROW($C$366)+4)=$B387</f>
        <v>1</v>
      </c>
      <c r="R387" s="99" t="b">
        <f ca="1">INDIRECT(E$41&amp;"!B"&amp;ROW()-ROW($C$366)+4)=$B387</f>
        <v>1</v>
      </c>
      <c r="T387" s="99" t="str">
        <f ca="1">IF(NOT(ISERROR(MATCH(K387,'Lookup Tables'!A:A,0))),"Lookup",IF(OR(NOT(ISERROR(FIND("Numeric",K387))),NOT(ISERROR(FIND("Percentage",K387))),NOT(ISERROR(FIND("Date",K387)))),"Numeric",IF(NOT(ISERROR(FIND("lank",K387))),"Non-blank",IF(NOT(ISERROR(FIND("Not evaluated",K387))),"Skipped","Other"))))</f>
        <v>Non-blank</v>
      </c>
      <c r="U387" s="461">
        <f ca="1">IF(COLUMN()-COLUMN($U$55)+1&lt;=$Y387,IF(C387="",0,1),"")</f>
        <v>1</v>
      </c>
      <c r="V387" s="461">
        <f ca="1">IF(COLUMN()-COLUMN($U$55)+1&lt;=$Y387,IF(D387="",0,1),"")</f>
        <v>1</v>
      </c>
      <c r="W387" s="461">
        <f ca="1">IF(COLUMN()-COLUMN($U$55)+1&lt;=$Y387,IF(E387="",0,1),"")</f>
        <v>0</v>
      </c>
      <c r="X387" s="465" t="str">
        <f>IF(COLUMN()-COLUMN($U$55)+1&lt;=$Y387,IF(F387="",0,1),"")</f>
        <v/>
      </c>
      <c r="Y387" s="99">
        <f t="shared" si="114"/>
        <v>3</v>
      </c>
      <c r="Z387" s="99"/>
      <c r="AA387" s="99"/>
      <c r="AB387" s="99"/>
      <c r="AC387" s="159" t="s">
        <v>2237</v>
      </c>
      <c r="AD387" s="101">
        <f t="shared" ca="1" si="120"/>
        <v>1</v>
      </c>
      <c r="AE387" s="99" t="b">
        <f t="shared" ca="1" si="118"/>
        <v>0</v>
      </c>
      <c r="AF387" s="159" t="s">
        <v>2471</v>
      </c>
      <c r="AG387" s="783">
        <f>COUNTIF('VA Detailed Scorecard Config'!D:D,AF387)</f>
        <v>0</v>
      </c>
      <c r="AH387" s="99"/>
    </row>
    <row r="388" spans="2:34" ht="13.5" customHeight="1">
      <c r="B388" s="327" t="s">
        <v>1526</v>
      </c>
      <c r="C388" s="99" t="str">
        <f ca="1">IF(INDIRECT(C$41&amp;"!C"&amp;ROW()-ROW($C$366)+4)="","",INDIRECT(C$41&amp;"!C"&amp;ROW()-ROW($C$366)+4))</f>
        <v>jim@xprize</v>
      </c>
      <c r="D388" s="99" t="str">
        <f ca="1">IF(INDIRECT(D$41&amp;"!C"&amp;ROW()-ROW($C$366)+4)="","",INDIRECT(D$41&amp;"!C"&amp;ROW()-ROW($C$366)+4))</f>
        <v>george@couponco</v>
      </c>
      <c r="E388" s="99" t="str">
        <f ca="1">IF(INDIRECT(E$41&amp;"!C"&amp;ROW()-ROW($C$366)+4)="","",INDIRECT(E$41&amp;"!C"&amp;ROW()-ROW($C$366)+4))</f>
        <v/>
      </c>
      <c r="G388" s="99" t="str">
        <f ca="1">IF(INDIRECT(C$41&amp;"!D"&amp;ROW()-ROW($C$366)+4)="","",INDIRECT(C$41&amp;"!D"&amp;ROW()-ROW($C$366)+4))</f>
        <v/>
      </c>
      <c r="H388" s="99" t="str">
        <f ca="1">IF(INDIRECT(D$41&amp;"!D"&amp;ROW()-ROW($C$366)+4)="","",INDIRECT(D$41&amp;"!D"&amp;ROW()-ROW($C$366)+4))</f>
        <v/>
      </c>
      <c r="I388" s="99" t="str">
        <f ca="1">IF(INDIRECT(E$41&amp;"!D"&amp;ROW()-ROW($C$366)+4)="","",INDIRECT(E$41&amp;"!D"&amp;ROW()-ROW($C$366)+4))</f>
        <v/>
      </c>
      <c r="K388" s="99" t="str">
        <f ca="1">IF(INDIRECT(C$41&amp;"!E"&amp;ROW()-ROW($C$366)+4)="","",INDIRECT(C$41&amp;"!E"&amp;ROW()-ROW($C$366)+4))</f>
        <v>Non-blank is better</v>
      </c>
      <c r="L388" s="99" t="b">
        <f ca="1">IF(INDIRECT(C$41&amp;"!F"&amp;ROW()-ROW($C$366)+4)="","",INDIRECT(C$41&amp;"!F"&amp;ROW()-ROW($C$366)+4))</f>
        <v>1</v>
      </c>
      <c r="M388" s="99" t="b">
        <f ca="1">IF(INDIRECT(D$41&amp;"!F"&amp;ROW()-ROW($C$366)+4)="","",INDIRECT(D$41&amp;"!F"&amp;ROW()-ROW($C$366)+4))</f>
        <v>1</v>
      </c>
      <c r="N388" s="99" t="b">
        <f ca="1">IF(INDIRECT(E$41&amp;"!F"&amp;ROW()-ROW($C$366)+4)="","",INDIRECT(E$41&amp;"!F"&amp;ROW()-ROW($C$366)+4))</f>
        <v>0</v>
      </c>
      <c r="O388" s="99"/>
      <c r="P388" s="99" t="b">
        <f ca="1">INDIRECT(C$41&amp;"!B"&amp;ROW()-ROW($C$366)+4)=$B388</f>
        <v>1</v>
      </c>
      <c r="Q388" s="99" t="b">
        <f ca="1">INDIRECT(D$41&amp;"!B"&amp;ROW()-ROW($C$366)+4)=$B388</f>
        <v>1</v>
      </c>
      <c r="R388" s="99" t="b">
        <f ca="1">INDIRECT(E$41&amp;"!B"&amp;ROW()-ROW($C$366)+4)=$B388</f>
        <v>1</v>
      </c>
      <c r="T388" s="99" t="str">
        <f ca="1">IF(NOT(ISERROR(MATCH(K388,'Lookup Tables'!A:A,0))),"Lookup",IF(OR(NOT(ISERROR(FIND("Numeric",K388))),NOT(ISERROR(FIND("Percentage",K388))),NOT(ISERROR(FIND("Date",K388)))),"Numeric",IF(NOT(ISERROR(FIND("lank",K388))),"Non-blank",IF(NOT(ISERROR(FIND("Not evaluated",K388))),"Skipped","Other"))))</f>
        <v>Non-blank</v>
      </c>
      <c r="U388" s="461">
        <f ca="1">IF(COLUMN()-COLUMN($U$55)+1&lt;=$Y388,IF(C388="",0,1),"")</f>
        <v>1</v>
      </c>
      <c r="V388" s="461">
        <f ca="1">IF(COLUMN()-COLUMN($U$55)+1&lt;=$Y388,IF(D388="",0,1),"")</f>
        <v>1</v>
      </c>
      <c r="W388" s="461">
        <f ca="1">IF(COLUMN()-COLUMN($U$55)+1&lt;=$Y388,IF(E388="",0,1),"")</f>
        <v>0</v>
      </c>
      <c r="X388" s="465" t="str">
        <f>IF(COLUMN()-COLUMN($U$55)+1&lt;=$Y388,IF(F388="",0,1),"")</f>
        <v/>
      </c>
      <c r="Y388" s="99">
        <f t="shared" si="114"/>
        <v>3</v>
      </c>
      <c r="Z388" s="99"/>
      <c r="AA388" s="99"/>
      <c r="AB388" s="99"/>
      <c r="AC388" s="159" t="s">
        <v>2237</v>
      </c>
      <c r="AD388" s="101">
        <f t="shared" ca="1" si="120"/>
        <v>1</v>
      </c>
      <c r="AE388" s="99" t="b">
        <f t="shared" ca="1" si="118"/>
        <v>0</v>
      </c>
      <c r="AF388" s="159" t="s">
        <v>2472</v>
      </c>
      <c r="AG388" s="783">
        <f>COUNTIF('VA Detailed Scorecard Config'!D:D,AF388)</f>
        <v>0</v>
      </c>
      <c r="AH388" s="99"/>
    </row>
    <row r="389" spans="2:34" ht="13.5" customHeight="1">
      <c r="B389" s="327" t="s">
        <v>1527</v>
      </c>
      <c r="C389" s="99" t="str">
        <f ca="1">IF(INDIRECT(C$41&amp;"!C"&amp;ROW()-ROW($C$366)+4)="","",INDIRECT(C$41&amp;"!C"&amp;ROW()-ROW($C$366)+4))</f>
        <v>e-mail first</v>
      </c>
      <c r="D389" s="99" t="str">
        <f ca="1">IF(INDIRECT(D$41&amp;"!C"&amp;ROW()-ROW($C$366)+4)="","",INDIRECT(D$41&amp;"!C"&amp;ROW()-ROW($C$366)+4))</f>
        <v>Eastern time zone</v>
      </c>
      <c r="E389" s="99" t="str">
        <f ca="1">IF(INDIRECT(E$41&amp;"!C"&amp;ROW()-ROW($C$366)+4)="","",INDIRECT(E$41&amp;"!C"&amp;ROW()-ROW($C$366)+4))</f>
        <v/>
      </c>
      <c r="G389" s="99" t="str">
        <f ca="1">IF(INDIRECT(C$41&amp;"!D"&amp;ROW()-ROW($C$366)+4)="","",INDIRECT(C$41&amp;"!D"&amp;ROW()-ROW($C$366)+4))</f>
        <v/>
      </c>
      <c r="H389" s="99" t="str">
        <f ca="1">IF(INDIRECT(D$41&amp;"!D"&amp;ROW()-ROW($C$366)+4)="","",INDIRECT(D$41&amp;"!D"&amp;ROW()-ROW($C$366)+4))</f>
        <v/>
      </c>
      <c r="I389" s="99" t="str">
        <f ca="1">IF(INDIRECT(E$41&amp;"!D"&amp;ROW()-ROW($C$366)+4)="","",INDIRECT(E$41&amp;"!D"&amp;ROW()-ROW($C$366)+4))</f>
        <v/>
      </c>
      <c r="K389" s="99" t="str">
        <f ca="1">IF(INDIRECT(C$41&amp;"!E"&amp;ROW()-ROW($C$366)+4)="","",INDIRECT(C$41&amp;"!E"&amp;ROW()-ROW($C$366)+4))</f>
        <v>Not evaluated</v>
      </c>
      <c r="L389" s="99" t="b">
        <f ca="1">IF(INDIRECT(C$41&amp;"!F"&amp;ROW()-ROW($C$366)+4)="","",INDIRECT(C$41&amp;"!F"&amp;ROW()-ROW($C$366)+4))</f>
        <v>1</v>
      </c>
      <c r="M389" s="99" t="b">
        <f ca="1">IF(INDIRECT(D$41&amp;"!F"&amp;ROW()-ROW($C$366)+4)="","",INDIRECT(D$41&amp;"!F"&amp;ROW()-ROW($C$366)+4))</f>
        <v>1</v>
      </c>
      <c r="N389" s="99" t="b">
        <f ca="1">IF(INDIRECT(E$41&amp;"!F"&amp;ROW()-ROW($C$366)+4)="","",INDIRECT(E$41&amp;"!F"&amp;ROW()-ROW($C$366)+4))</f>
        <v>0</v>
      </c>
      <c r="O389" s="99"/>
      <c r="P389" s="99" t="b">
        <f ca="1">INDIRECT(C$41&amp;"!B"&amp;ROW()-ROW($C$366)+4)=$B389</f>
        <v>1</v>
      </c>
      <c r="Q389" s="99" t="b">
        <f ca="1">INDIRECT(D$41&amp;"!B"&amp;ROW()-ROW($C$366)+4)=$B389</f>
        <v>1</v>
      </c>
      <c r="R389" s="99" t="b">
        <f ca="1">INDIRECT(E$41&amp;"!B"&amp;ROW()-ROW($C$366)+4)=$B389</f>
        <v>1</v>
      </c>
      <c r="T389" s="37" t="str">
        <f ca="1">IF(NOT(ISERROR(MATCH(K389,'Lookup Tables'!A:A,0))),"Lookup",IF(OR(NOT(ISERROR(FIND("Numeric",K389))),NOT(ISERROR(FIND("Percentage",K389))),NOT(ISERROR(FIND("Date",K389)))),"Numeric",IF(NOT(ISERROR(FIND("lank",K389))),"Non-blank",IF(NOT(ISERROR(FIND("Not evaluated",K389))),"Skipped","Other"))))</f>
        <v>Skipped</v>
      </c>
      <c r="X389" s="137"/>
      <c r="Y389" s="99">
        <f t="shared" si="114"/>
        <v>3</v>
      </c>
      <c r="Z389" s="99"/>
      <c r="AA389" s="99"/>
      <c r="AB389" s="99"/>
      <c r="AC389" s="99"/>
      <c r="AD389" s="99"/>
      <c r="AE389" s="99"/>
      <c r="AF389" s="99"/>
      <c r="AG389" s="248"/>
      <c r="AH389" s="99"/>
    </row>
    <row r="390" spans="2:34" ht="13.5" customHeight="1">
      <c r="B390" s="327" t="s">
        <v>1537</v>
      </c>
      <c r="C390" s="99" t="str">
        <f ca="1">IF(INDIRECT(C$41&amp;"!C"&amp;ROW()-ROW($C$366)+4)="","",INDIRECT(C$41&amp;"!C"&amp;ROW()-ROW($C$366)+4))</f>
        <v>Impact review</v>
      </c>
      <c r="D390" s="99" t="str">
        <f ca="1">IF(INDIRECT(D$41&amp;"!C"&amp;ROW()-ROW($C$366)+4)="","",INDIRECT(D$41&amp;"!C"&amp;ROW()-ROW($C$366)+4))</f>
        <v>2019 RFP / negotiation for support services</v>
      </c>
      <c r="E390" s="99" t="str">
        <f ca="1">IF(INDIRECT(E$41&amp;"!C"&amp;ROW()-ROW($C$366)+4)="","",INDIRECT(E$41&amp;"!C"&amp;ROW()-ROW($C$366)+4))</f>
        <v/>
      </c>
      <c r="G390" s="99" t="str">
        <f ca="1">IF(INDIRECT(C$41&amp;"!D"&amp;ROW()-ROW($C$366)+4)="","",INDIRECT(C$41&amp;"!D"&amp;ROW()-ROW($C$366)+4))</f>
        <v/>
      </c>
      <c r="H390" s="99" t="str">
        <f ca="1">IF(INDIRECT(D$41&amp;"!D"&amp;ROW()-ROW($C$366)+4)="","",INDIRECT(D$41&amp;"!D"&amp;ROW()-ROW($C$366)+4))</f>
        <v/>
      </c>
      <c r="I390" s="99" t="str">
        <f ca="1">IF(INDIRECT(E$41&amp;"!D"&amp;ROW()-ROW($C$366)+4)="","",INDIRECT(E$41&amp;"!D"&amp;ROW()-ROW($C$366)+4))</f>
        <v/>
      </c>
      <c r="K390" s="99" t="str">
        <f ca="1">IF(INDIRECT(C$41&amp;"!E"&amp;ROW()-ROW($C$366)+4)="","",INDIRECT(C$41&amp;"!E"&amp;ROW()-ROW($C$366)+4))</f>
        <v>Not evaluated</v>
      </c>
      <c r="L390" s="99" t="b">
        <f ca="1">IF(INDIRECT(C$41&amp;"!F"&amp;ROW()-ROW($C$366)+4)="","",INDIRECT(C$41&amp;"!F"&amp;ROW()-ROW($C$366)+4))</f>
        <v>1</v>
      </c>
      <c r="M390" s="99" t="b">
        <f ca="1">IF(INDIRECT(D$41&amp;"!F"&amp;ROW()-ROW($C$366)+4)="","",INDIRECT(D$41&amp;"!F"&amp;ROW()-ROW($C$366)+4))</f>
        <v>1</v>
      </c>
      <c r="N390" s="99" t="b">
        <f ca="1">IF(INDIRECT(E$41&amp;"!F"&amp;ROW()-ROW($C$366)+4)="","",INDIRECT(E$41&amp;"!F"&amp;ROW()-ROW($C$366)+4))</f>
        <v>0</v>
      </c>
      <c r="O390" s="99"/>
      <c r="P390" s="99" t="b">
        <f ca="1">INDIRECT(C$41&amp;"!B"&amp;ROW()-ROW($C$366)+4)=$B390</f>
        <v>1</v>
      </c>
      <c r="Q390" s="99" t="b">
        <f ca="1">INDIRECT(D$41&amp;"!B"&amp;ROW()-ROW($C$366)+4)=$B390</f>
        <v>1</v>
      </c>
      <c r="R390" s="99" t="b">
        <f ca="1">INDIRECT(E$41&amp;"!B"&amp;ROW()-ROW($C$366)+4)=$B390</f>
        <v>1</v>
      </c>
      <c r="T390" s="37" t="str">
        <f ca="1">IF(NOT(ISERROR(MATCH(K390,'Lookup Tables'!A:A,0))),"Lookup",IF(OR(NOT(ISERROR(FIND("Numeric",K390))),NOT(ISERROR(FIND("Percentage",K390))),NOT(ISERROR(FIND("Date",K390)))),"Numeric",IF(NOT(ISERROR(FIND("lank",K390))),"Non-blank",IF(NOT(ISERROR(FIND("Not evaluated",K390))),"Skipped","Other"))))</f>
        <v>Skipped</v>
      </c>
      <c r="X390" s="137"/>
      <c r="Y390" s="99">
        <f t="shared" si="114"/>
        <v>3</v>
      </c>
      <c r="Z390" s="99"/>
      <c r="AA390" s="99"/>
      <c r="AB390" s="99"/>
      <c r="AC390" s="99"/>
      <c r="AD390" s="99"/>
      <c r="AE390" s="99"/>
      <c r="AF390" s="99"/>
      <c r="AG390" s="248"/>
      <c r="AH390" s="99"/>
    </row>
    <row r="391" spans="2:34" ht="13.5" customHeight="1">
      <c r="B391" s="327" t="s">
        <v>1528</v>
      </c>
      <c r="C391" s="99" t="str">
        <f ca="1">IF(INDIRECT(C$41&amp;"!C"&amp;ROW()-ROW($C$366)+4)="","",INDIRECT(C$41&amp;"!C"&amp;ROW()-ROW($C$366)+4))</f>
        <v>Improved fundraising</v>
      </c>
      <c r="D391" s="99" t="str">
        <f ca="1">IF(INDIRECT(D$41&amp;"!C"&amp;ROW()-ROW($C$366)+4)="","",INDIRECT(D$41&amp;"!C"&amp;ROW()-ROW($C$366)+4))</f>
        <v>Identified weaknesses in current vendor and renegotiated using best of best terms</v>
      </c>
      <c r="E391" s="99" t="str">
        <f ca="1">IF(INDIRECT(E$41&amp;"!C"&amp;ROW()-ROW($C$366)+4)="","",INDIRECT(E$41&amp;"!C"&amp;ROW()-ROW($C$366)+4))</f>
        <v/>
      </c>
      <c r="G391" s="99" t="str">
        <f ca="1">IF(INDIRECT(C$41&amp;"!D"&amp;ROW()-ROW($C$366)+4)="","",INDIRECT(C$41&amp;"!D"&amp;ROW()-ROW($C$366)+4))</f>
        <v/>
      </c>
      <c r="H391" s="99" t="str">
        <f ca="1">IF(INDIRECT(D$41&amp;"!D"&amp;ROW()-ROW($C$366)+4)="","",INDIRECT(D$41&amp;"!D"&amp;ROW()-ROW($C$366)+4))</f>
        <v/>
      </c>
      <c r="I391" s="99" t="str">
        <f ca="1">IF(INDIRECT(E$41&amp;"!D"&amp;ROW()-ROW($C$366)+4)="","",INDIRECT(E$41&amp;"!D"&amp;ROW()-ROW($C$366)+4))</f>
        <v/>
      </c>
      <c r="K391" s="99" t="str">
        <f ca="1">IF(INDIRECT(C$41&amp;"!E"&amp;ROW()-ROW($C$366)+4)="","",INDIRECT(C$41&amp;"!E"&amp;ROW()-ROW($C$366)+4))</f>
        <v>Non-blank is better</v>
      </c>
      <c r="L391" s="99" t="b">
        <f ca="1">IF(INDIRECT(C$41&amp;"!F"&amp;ROW()-ROW($C$366)+4)="","",INDIRECT(C$41&amp;"!F"&amp;ROW()-ROW($C$366)+4))</f>
        <v>1</v>
      </c>
      <c r="M391" s="99" t="b">
        <f ca="1">IF(INDIRECT(D$41&amp;"!F"&amp;ROW()-ROW($C$366)+4)="","",INDIRECT(D$41&amp;"!F"&amp;ROW()-ROW($C$366)+4))</f>
        <v>1</v>
      </c>
      <c r="N391" s="99" t="b">
        <f ca="1">IF(INDIRECT(E$41&amp;"!F"&amp;ROW()-ROW($C$366)+4)="","",INDIRECT(E$41&amp;"!F"&amp;ROW()-ROW($C$366)+4))</f>
        <v>0</v>
      </c>
      <c r="O391" s="99"/>
      <c r="P391" s="99" t="b">
        <f ca="1">INDIRECT(C$41&amp;"!B"&amp;ROW()-ROW($C$366)+4)=$B391</f>
        <v>1</v>
      </c>
      <c r="Q391" s="99" t="b">
        <f ca="1">INDIRECT(D$41&amp;"!B"&amp;ROW()-ROW($C$366)+4)=$B391</f>
        <v>1</v>
      </c>
      <c r="R391" s="99" t="b">
        <f ca="1">INDIRECT(E$41&amp;"!B"&amp;ROW()-ROW($C$366)+4)=$B391</f>
        <v>1</v>
      </c>
      <c r="T391" s="99" t="str">
        <f ca="1">IF(NOT(ISERROR(MATCH(K391,'Lookup Tables'!A:A,0))),"Lookup",IF(OR(NOT(ISERROR(FIND("Numeric",K391))),NOT(ISERROR(FIND("Percentage",K391))),NOT(ISERROR(FIND("Date",K391)))),"Numeric",IF(NOT(ISERROR(FIND("lank",K391))),"Non-blank",IF(NOT(ISERROR(FIND("Not evaluated",K391))),"Skipped","Other"))))</f>
        <v>Non-blank</v>
      </c>
      <c r="U391" s="461">
        <f ca="1">IF(COLUMN()-COLUMN($U$55)+1&lt;=$Y391,IF(C391="",0,1),"")</f>
        <v>1</v>
      </c>
      <c r="V391" s="461">
        <f ca="1">IF(COLUMN()-COLUMN($U$55)+1&lt;=$Y391,IF(D391="",0,1),"")</f>
        <v>1</v>
      </c>
      <c r="W391" s="461">
        <f ca="1">IF(COLUMN()-COLUMN($U$55)+1&lt;=$Y391,IF(E391="",0,1),"")</f>
        <v>0</v>
      </c>
      <c r="X391" s="465" t="str">
        <f>IF(COLUMN()-COLUMN($U$55)+1&lt;=$Y391,IF(F391="",0,1),"")</f>
        <v/>
      </c>
      <c r="Y391" s="99">
        <f t="shared" si="114"/>
        <v>3</v>
      </c>
      <c r="Z391" s="99"/>
      <c r="AA391" s="99"/>
      <c r="AB391" s="99"/>
      <c r="AC391" s="159" t="s">
        <v>2237</v>
      </c>
      <c r="AD391" s="101">
        <f t="shared" ref="AD391:AD392" ca="1" si="121">IFERROR(AVERAGEIF(L391:O391,TRUE,U391:X391),AVERAGE(U391:X391))</f>
        <v>1</v>
      </c>
      <c r="AE391" s="99" t="b">
        <f t="shared" ref="AE391:AE392" ca="1" si="122">NOT(OR(L391:O391))</f>
        <v>0</v>
      </c>
      <c r="AF391" s="159" t="s">
        <v>2473</v>
      </c>
      <c r="AG391" s="783">
        <f>COUNTIF('VA Detailed Scorecard Config'!D:D,AF391)</f>
        <v>0</v>
      </c>
      <c r="AH391" s="99"/>
    </row>
    <row r="392" spans="2:34" ht="13.5" customHeight="1" thickBot="1">
      <c r="B392" s="422" t="s">
        <v>1933</v>
      </c>
      <c r="C392" s="161" t="str">
        <f ca="1">IF(INDIRECT(C$41&amp;"!C"&amp;ROW()-ROW($C$366)+4)="","",INDIRECT(C$41&amp;"!C"&amp;ROW()-ROW($C$366)+4))</f>
        <v>Yes</v>
      </c>
      <c r="D392" s="161" t="str">
        <f ca="1">IF(INDIRECT(D$41&amp;"!C"&amp;ROW()-ROW($C$366)+4)="","",INDIRECT(D$41&amp;"!C"&amp;ROW()-ROW($C$366)+4))</f>
        <v>Yes</v>
      </c>
      <c r="E392" s="161" t="str">
        <f ca="1">IF(INDIRECT(E$41&amp;"!C"&amp;ROW()-ROW($C$366)+4)="","",INDIRECT(E$41&amp;"!C"&amp;ROW()-ROW($C$366)+4))</f>
        <v>Yes</v>
      </c>
      <c r="G392" s="99" t="str">
        <f ca="1">IF(INDIRECT(C$41&amp;"!D"&amp;ROW()-ROW($C$366)+4)="","",INDIRECT(C$41&amp;"!D"&amp;ROW()-ROW($C$366)+4))</f>
        <v/>
      </c>
      <c r="H392" s="99" t="str">
        <f ca="1">IF(INDIRECT(D$41&amp;"!D"&amp;ROW()-ROW($C$366)+4)="","",INDIRECT(D$41&amp;"!D"&amp;ROW()-ROW($C$366)+4))</f>
        <v/>
      </c>
      <c r="I392" s="99" t="str">
        <f ca="1">IF(INDIRECT(E$41&amp;"!D"&amp;ROW()-ROW($C$366)+4)="","",INDIRECT(E$41&amp;"!D"&amp;ROW()-ROW($C$366)+4))</f>
        <v/>
      </c>
      <c r="K392" s="99" t="str">
        <f ca="1">IF(INDIRECT(C$41&amp;"!E"&amp;ROW()-ROW($C$366)+4)="","",INDIRECT(C$41&amp;"!E"&amp;ROW()-ROW($C$366)+4))</f>
        <v>YES_No</v>
      </c>
      <c r="L392" s="99" t="b">
        <f ca="1">IF(INDIRECT(C$41&amp;"!F"&amp;ROW()-ROW($C$366)+4)="","",INDIRECT(C$41&amp;"!F"&amp;ROW()-ROW($C$366)+4))</f>
        <v>1</v>
      </c>
      <c r="M392" s="99" t="b">
        <f ca="1">IF(INDIRECT(D$41&amp;"!F"&amp;ROW()-ROW($C$366)+4)="","",INDIRECT(D$41&amp;"!F"&amp;ROW()-ROW($C$366)+4))</f>
        <v>1</v>
      </c>
      <c r="N392" s="99" t="b">
        <f ca="1">IF(INDIRECT(E$41&amp;"!F"&amp;ROW()-ROW($C$366)+4)="","",INDIRECT(E$41&amp;"!F"&amp;ROW()-ROW($C$366)+4))</f>
        <v>1</v>
      </c>
      <c r="O392" s="99"/>
      <c r="P392" s="99" t="b">
        <f ca="1">INDIRECT(C$41&amp;"!B"&amp;ROW()-ROW($C$366)+4)=$B392</f>
        <v>1</v>
      </c>
      <c r="Q392" s="99" t="b">
        <f ca="1">INDIRECT(D$41&amp;"!B"&amp;ROW()-ROW($C$366)+4)=$B392</f>
        <v>1</v>
      </c>
      <c r="R392" s="99" t="b">
        <f ca="1">INDIRECT(E$41&amp;"!B"&amp;ROW()-ROW($C$366)+4)=$B392</f>
        <v>1</v>
      </c>
      <c r="T392" s="37" t="str">
        <f ca="1">IF(NOT(ISERROR(MATCH(K392,'Lookup Tables'!A:A,0))),"Lookup",IF(OR(NOT(ISERROR(FIND("Numeric",K392))),NOT(ISERROR(FIND("Percentage",K392))),NOT(ISERROR(FIND("Date",K392)))),"Numeric",IF(NOT(ISERROR(FIND("lank",K392))),"Non-blank",IF(NOT(ISERROR(FIND("Not evaluated",K392))),"Skipped","Other"))))</f>
        <v>Lookup</v>
      </c>
      <c r="U392" s="461">
        <f ca="1">IF(COLUMN()-COLUMN($U$55)+1&lt;=$Y392,INDEX(OFFSET(INDIRECT($K392),0,1),MATCH(C392,INDIRECT($K392),0)),"")</f>
        <v>1</v>
      </c>
      <c r="V392" s="461">
        <f ca="1">IF(COLUMN()-COLUMN($U$55)+1&lt;=$Y392,INDEX(OFFSET(INDIRECT($K392),0,1),MATCH(D392,INDIRECT($K392),0)),"")</f>
        <v>1</v>
      </c>
      <c r="W392" s="461">
        <f ca="1">IF(COLUMN()-COLUMN($U$55)+1&lt;=$Y392,INDEX(OFFSET(INDIRECT($K392),0,1),MATCH(E392,INDIRECT($K392),0)),"")</f>
        <v>1</v>
      </c>
      <c r="X392" s="465" t="str">
        <f ca="1">IF(COLUMN()-COLUMN($U$55)+1&lt;=$Y392,INDEX(OFFSET(INDIRECT($K392),0,1),MATCH(F392,INDIRECT($K392),0)),"")</f>
        <v/>
      </c>
      <c r="Y392" s="99">
        <f t="shared" si="114"/>
        <v>3</v>
      </c>
      <c r="Z392" s="99"/>
      <c r="AA392" s="99"/>
      <c r="AB392" s="99"/>
      <c r="AC392" s="159" t="s">
        <v>2237</v>
      </c>
      <c r="AD392" s="101">
        <f t="shared" ca="1" si="121"/>
        <v>1</v>
      </c>
      <c r="AE392" s="99" t="b">
        <f t="shared" ca="1" si="122"/>
        <v>0</v>
      </c>
      <c r="AF392" s="159" t="s">
        <v>2474</v>
      </c>
      <c r="AG392" s="783">
        <f>COUNTIF('VA Detailed Scorecard Config'!D:D,AF392)</f>
        <v>0</v>
      </c>
      <c r="AH392" s="99"/>
    </row>
    <row r="393" spans="2:34" ht="13.5" customHeight="1">
      <c r="AF393" s="137"/>
      <c r="AG393" s="775"/>
    </row>
    <row r="394" spans="2:34" ht="13.5" customHeight="1">
      <c r="B394" s="707" t="s">
        <v>2009</v>
      </c>
      <c r="C394" s="708"/>
      <c r="D394" s="708"/>
      <c r="E394" s="708"/>
      <c r="F394" s="708"/>
      <c r="G394" s="708"/>
      <c r="H394" s="708"/>
      <c r="I394" s="708"/>
      <c r="J394" s="708"/>
      <c r="K394" s="708"/>
      <c r="L394" s="708"/>
      <c r="M394" s="708"/>
      <c r="N394" s="708"/>
      <c r="O394" s="709"/>
      <c r="P394" s="583" t="s">
        <v>1981</v>
      </c>
      <c r="Q394" s="583"/>
      <c r="R394" s="583"/>
      <c r="S394" s="583"/>
      <c r="T394" s="578" t="s">
        <v>2169</v>
      </c>
      <c r="U394" s="578" t="s">
        <v>2174</v>
      </c>
      <c r="V394" s="578"/>
      <c r="W394" s="578"/>
      <c r="X394" s="578"/>
      <c r="Y394" s="580" t="s">
        <v>2181</v>
      </c>
      <c r="Z394" s="582" t="s">
        <v>2182</v>
      </c>
      <c r="AA394" s="582"/>
      <c r="AB394" s="582"/>
      <c r="AC394" s="581" t="s">
        <v>2197</v>
      </c>
      <c r="AD394" s="581" t="s">
        <v>2225</v>
      </c>
      <c r="AE394" s="581" t="s">
        <v>2226</v>
      </c>
      <c r="AF394" s="767" t="s">
        <v>2246</v>
      </c>
      <c r="AG394" s="764" t="s">
        <v>2278</v>
      </c>
      <c r="AH394" s="767" t="s">
        <v>2277</v>
      </c>
    </row>
    <row r="395" spans="2:34" ht="13.5" customHeight="1">
      <c r="B395" s="731" t="s">
        <v>4</v>
      </c>
      <c r="C395" s="408" t="s">
        <v>1989</v>
      </c>
      <c r="D395" s="408" t="s">
        <v>1990</v>
      </c>
      <c r="E395" s="408" t="s">
        <v>2028</v>
      </c>
      <c r="F395" s="408" t="s">
        <v>2029</v>
      </c>
      <c r="G395" s="408" t="s">
        <v>1991</v>
      </c>
      <c r="H395" s="408" t="s">
        <v>1992</v>
      </c>
      <c r="I395" s="408" t="s">
        <v>2030</v>
      </c>
      <c r="J395" s="408" t="s">
        <v>2031</v>
      </c>
      <c r="K395" s="410" t="s">
        <v>1988</v>
      </c>
      <c r="L395" s="410" t="s">
        <v>2219</v>
      </c>
      <c r="M395" s="410" t="s">
        <v>2220</v>
      </c>
      <c r="N395" s="410" t="s">
        <v>2221</v>
      </c>
      <c r="O395" s="410" t="s">
        <v>2222</v>
      </c>
      <c r="P395" s="423" t="s">
        <v>1993</v>
      </c>
      <c r="Q395" s="423" t="s">
        <v>1994</v>
      </c>
      <c r="R395" s="423" t="s">
        <v>1995</v>
      </c>
      <c r="S395" s="423" t="s">
        <v>1996</v>
      </c>
      <c r="T395" s="579"/>
      <c r="U395" s="190" t="s">
        <v>1993</v>
      </c>
      <c r="V395" s="190" t="s">
        <v>1994</v>
      </c>
      <c r="W395" s="190" t="s">
        <v>1995</v>
      </c>
      <c r="X395" s="190" t="s">
        <v>1996</v>
      </c>
      <c r="Y395" s="581"/>
      <c r="Z395" s="381" t="s">
        <v>2183</v>
      </c>
      <c r="AA395" s="381" t="s">
        <v>2184</v>
      </c>
      <c r="AB395" s="381" t="s">
        <v>2185</v>
      </c>
      <c r="AC395" s="769"/>
      <c r="AD395" s="769"/>
      <c r="AE395" s="769"/>
      <c r="AF395" s="768"/>
      <c r="AG395" s="766"/>
      <c r="AH395" s="768"/>
    </row>
    <row r="396" spans="2:34" ht="13.5" customHeight="1">
      <c r="B396" s="327" t="s">
        <v>2038</v>
      </c>
      <c r="C396" s="99" t="str">
        <f ca="1">IF(INDIRECT(C$46&amp;"!C"&amp;ROW()-ROW($C$396)+4)="","",INDIRECT(C$46&amp;"!C"&amp;ROW()-ROW($C$396)+4))</f>
        <v>SampleRef1</v>
      </c>
      <c r="D396" s="99" t="str">
        <f ca="1">IF(INDIRECT(D$46&amp;"!C"&amp;ROW()-ROW($C$396)+4)="","",INDIRECT(D$46&amp;"!C"&amp;ROW()-ROW($C$396)+4))</f>
        <v>SampleRef3</v>
      </c>
      <c r="G396" s="99" t="str">
        <f ca="1">IF(INDIRECT(C$46&amp;"!D"&amp;ROW()-ROW($C$396)+4)="","",INDIRECT(C$46&amp;"!D"&amp;ROW()-ROW($C$396)+4))</f>
        <v/>
      </c>
      <c r="H396" s="99" t="str">
        <f ca="1">IF(INDIRECT(D$46&amp;"!D"&amp;ROW()-ROW($C$396)+4)="","",INDIRECT(D$46&amp;"!D"&amp;ROW()-ROW($C$396)+4))</f>
        <v/>
      </c>
      <c r="K396" s="99" t="str">
        <f ca="1">IF(INDIRECT(C$46&amp;"!E"&amp;ROW()-ROW($C$396)+4)="","",INDIRECT(C$46&amp;"!E"&amp;ROW()-ROW($C$396)+4))</f>
        <v>Valid Reference ID</v>
      </c>
      <c r="L396" s="99" t="b">
        <f ca="1">IF(INDIRECT(C$46&amp;"!F"&amp;ROW()-ROW($C$396)+4)="","",INDIRECT(C$46&amp;"!F"&amp;ROW()-ROW($C$396)+4))</f>
        <v>1</v>
      </c>
      <c r="M396" s="99" t="b">
        <f ca="1">IF(INDIRECT(D$46&amp;"!F"&amp;ROW()-ROW($C$396)+4)="","",INDIRECT(D$46&amp;"!F"&amp;ROW()-ROW($C$396)+4))</f>
        <v>1</v>
      </c>
      <c r="N396" s="99"/>
      <c r="O396" s="99"/>
      <c r="P396" s="99" t="b">
        <f ca="1">INDIRECT(C$46&amp;"!B"&amp;ROW()-ROW($C$396)+4)=$B396</f>
        <v>1</v>
      </c>
      <c r="Q396" s="99" t="b">
        <f ca="1">INDIRECT(D$46&amp;"!B"&amp;ROW()-ROW($C$396)+4)=$B396</f>
        <v>1</v>
      </c>
      <c r="T396" s="37" t="s">
        <v>2191</v>
      </c>
      <c r="X396" s="137"/>
      <c r="Y396" s="99">
        <f>COUNTA($C$46:$F$46)</f>
        <v>2</v>
      </c>
      <c r="Z396" s="99"/>
      <c r="AA396" s="99"/>
      <c r="AB396" s="99"/>
      <c r="AC396" s="99"/>
      <c r="AD396" s="99"/>
      <c r="AE396" s="99"/>
      <c r="AF396" s="99"/>
      <c r="AG396" s="248"/>
      <c r="AH396" s="99"/>
    </row>
    <row r="397" spans="2:34" ht="13.5" customHeight="1">
      <c r="B397" s="327" t="s">
        <v>1439</v>
      </c>
      <c r="C397" s="99" t="str">
        <f ca="1">IF(INDIRECT(C$46&amp;"!C"&amp;ROW()-ROW($C$396)+4)="","",INDIRECT(C$46&amp;"!C"&amp;ROW()-ROW($C$396)+4))</f>
        <v>MickeyMouse</v>
      </c>
      <c r="D397" s="99" t="str">
        <f ca="1">IF(INDIRECT(D$46&amp;"!C"&amp;ROW()-ROW($C$396)+4)="","",INDIRECT(D$46&amp;"!C"&amp;ROW()-ROW($C$396)+4))</f>
        <v>DonaldDuck</v>
      </c>
      <c r="G397" s="99" t="str">
        <f ca="1">IF(INDIRECT(C$46&amp;"!D"&amp;ROW()-ROW($C$396)+4)="","",INDIRECT(C$46&amp;"!D"&amp;ROW()-ROW($C$396)+4))</f>
        <v/>
      </c>
      <c r="H397" s="99" t="str">
        <f ca="1">IF(INDIRECT(D$46&amp;"!D"&amp;ROW()-ROW($C$396)+4)="","",INDIRECT(D$46&amp;"!D"&amp;ROW()-ROW($C$396)+4))</f>
        <v/>
      </c>
      <c r="K397" s="99" t="str">
        <f ca="1">IF(INDIRECT(C$46&amp;"!E"&amp;ROW()-ROW($C$396)+4)="","",INDIRECT(C$46&amp;"!E"&amp;ROW()-ROW($C$396)+4))</f>
        <v>Valid DXD ID</v>
      </c>
      <c r="L397" s="99" t="b">
        <f ca="1">IF(INDIRECT(C$46&amp;"!F"&amp;ROW()-ROW($C$396)+4)="","",INDIRECT(C$46&amp;"!F"&amp;ROW()-ROW($C$396)+4))</f>
        <v>1</v>
      </c>
      <c r="M397" s="99" t="b">
        <f ca="1">IF(INDIRECT(D$46&amp;"!F"&amp;ROW()-ROW($C$396)+4)="","",INDIRECT(D$46&amp;"!F"&amp;ROW()-ROW($C$396)+4))</f>
        <v>1</v>
      </c>
      <c r="N397" s="99"/>
      <c r="O397" s="99"/>
      <c r="P397" s="99" t="b">
        <f ca="1">INDIRECT(C$46&amp;"!B"&amp;ROW()-ROW($C$396)+4)=$B397</f>
        <v>1</v>
      </c>
      <c r="Q397" s="99" t="b">
        <f ca="1">INDIRECT(D$46&amp;"!B"&amp;ROW()-ROW($C$396)+4)=$B397</f>
        <v>1</v>
      </c>
      <c r="T397" s="37" t="s">
        <v>2191</v>
      </c>
      <c r="X397" s="137"/>
      <c r="Y397" s="99">
        <f t="shared" ref="Y397:Y434" si="123">COUNTA($C$46:$F$46)</f>
        <v>2</v>
      </c>
      <c r="Z397" s="99"/>
      <c r="AA397" s="99"/>
      <c r="AB397" s="99"/>
      <c r="AC397" s="99"/>
      <c r="AD397" s="99"/>
      <c r="AE397" s="99"/>
      <c r="AF397" s="99"/>
      <c r="AG397" s="248"/>
      <c r="AH397" s="99"/>
    </row>
    <row r="398" spans="2:34" ht="13.5" customHeight="1">
      <c r="B398" s="327" t="s">
        <v>1438</v>
      </c>
      <c r="C398" s="99" t="str">
        <f ca="1">IF(INDIRECT(C$46&amp;"!C"&amp;ROW()-ROW($C$396)+4)="","",INDIRECT(C$46&amp;"!C"&amp;ROW()-ROW($C$396)+4))</f>
        <v>Yes</v>
      </c>
      <c r="D398" s="99" t="str">
        <f ca="1">IF(INDIRECT(D$46&amp;"!C"&amp;ROW()-ROW($C$396)+4)="","",INDIRECT(D$46&amp;"!C"&amp;ROW()-ROW($C$396)+4))</f>
        <v>Yes</v>
      </c>
      <c r="G398" s="99" t="str">
        <f ca="1">IF(INDIRECT(C$46&amp;"!D"&amp;ROW()-ROW($C$396)+4)="","",INDIRECT(C$46&amp;"!D"&amp;ROW()-ROW($C$396)+4))</f>
        <v/>
      </c>
      <c r="H398" s="99" t="str">
        <f ca="1">IF(INDIRECT(D$46&amp;"!D"&amp;ROW()-ROW($C$396)+4)="","",INDIRECT(D$46&amp;"!D"&amp;ROW()-ROW($C$396)+4))</f>
        <v/>
      </c>
      <c r="K398" s="99" t="str">
        <f ca="1">IF(INDIRECT(C$46&amp;"!E"&amp;ROW()-ROW($C$396)+4)="","",INDIRECT(C$46&amp;"!E"&amp;ROW()-ROW($C$396)+4))</f>
        <v>YES_No</v>
      </c>
      <c r="L398" s="99" t="b">
        <f ca="1">IF(INDIRECT(C$46&amp;"!F"&amp;ROW()-ROW($C$396)+4)="","",INDIRECT(C$46&amp;"!F"&amp;ROW()-ROW($C$396)+4))</f>
        <v>1</v>
      </c>
      <c r="M398" s="99" t="b">
        <f ca="1">IF(INDIRECT(D$46&amp;"!F"&amp;ROW()-ROW($C$396)+4)="","",INDIRECT(D$46&amp;"!F"&amp;ROW()-ROW($C$396)+4))</f>
        <v>1</v>
      </c>
      <c r="N398" s="99"/>
      <c r="O398" s="99"/>
      <c r="P398" s="99" t="b">
        <f ca="1">INDIRECT(C$46&amp;"!B"&amp;ROW()-ROW($C$396)+4)=$B398</f>
        <v>1</v>
      </c>
      <c r="Q398" s="99" t="b">
        <f ca="1">INDIRECT(D$46&amp;"!B"&amp;ROW()-ROW($C$396)+4)=$B398</f>
        <v>1</v>
      </c>
      <c r="T398" s="37" t="str">
        <f ca="1">IF(NOT(ISERROR(MATCH(K398,'Lookup Tables'!A:A,0))),"Lookup",IF(OR(NOT(ISERROR(FIND("Numeric",K398))),NOT(ISERROR(FIND("Percentage",K398))),NOT(ISERROR(FIND("Date",K398)))),"Numeric",IF(NOT(ISERROR(FIND("lank",K398))),"Non-blank",IF(NOT(ISERROR(FIND("Not evaluated",K398))),"Skipped","Other"))))</f>
        <v>Lookup</v>
      </c>
      <c r="U398" s="461">
        <f ca="1">IF(COLUMN()-COLUMN($U$55)+1&lt;=$Y398,INDEX(OFFSET(INDIRECT($K398),0,1),MATCH(C398,INDIRECT($K398),0)),"")</f>
        <v>1</v>
      </c>
      <c r="V398" s="461">
        <f ca="1">IF(COLUMN()-COLUMN($U$55)+1&lt;=$Y398,INDEX(OFFSET(INDIRECT($K398),0,1),MATCH(D398,INDIRECT($K398),0)),"")</f>
        <v>1</v>
      </c>
      <c r="W398" s="461" t="str">
        <f ca="1">IF(COLUMN()-COLUMN($U$55)+1&lt;=$Y398,INDEX(OFFSET(INDIRECT($K398),0,1),MATCH(E398,INDIRECT($K398),0)),"")</f>
        <v/>
      </c>
      <c r="X398" s="465" t="str">
        <f ca="1">IF(COLUMN()-COLUMN($U$55)+1&lt;=$Y398,INDEX(OFFSET(INDIRECT($K398),0,1),MATCH(F398,INDIRECT($K398),0)),"")</f>
        <v/>
      </c>
      <c r="Y398" s="99">
        <f t="shared" si="123"/>
        <v>2</v>
      </c>
      <c r="Z398" s="99"/>
      <c r="AA398" s="99"/>
      <c r="AB398" s="99"/>
      <c r="AC398" s="159" t="s">
        <v>2199</v>
      </c>
      <c r="AD398" s="107">
        <f ca="1">IFERROR(SUMPRODUCT(U398:X398,$C$435:$F$435)/SUMPRODUCT($C$435:$F$435),AVERAGE(U398:X398))</f>
        <v>1</v>
      </c>
      <c r="AE398" s="99" t="b">
        <f t="shared" ref="AE398" ca="1" si="124">NOT(OR(L398:O398))</f>
        <v>0</v>
      </c>
      <c r="AF398" s="159" t="s">
        <v>2475</v>
      </c>
      <c r="AG398" s="783">
        <f>COUNTIF('VA Detailed Scorecard Config'!D:D,AF398)</f>
        <v>0</v>
      </c>
      <c r="AH398" s="99"/>
    </row>
    <row r="399" spans="2:34" ht="13.5" customHeight="1">
      <c r="B399" s="327" t="s">
        <v>1539</v>
      </c>
      <c r="C399" s="99" t="str">
        <f ca="1">IF(INDIRECT(C$46&amp;"!C"&amp;ROW()-ROW($C$396)+4)="","",INDIRECT(C$46&amp;"!C"&amp;ROW()-ROW($C$396)+4))</f>
        <v/>
      </c>
      <c r="D399" s="99" t="str">
        <f ca="1">IF(INDIRECT(D$46&amp;"!C"&amp;ROW()-ROW($C$396)+4)="","",INDIRECT(D$46&amp;"!C"&amp;ROW()-ROW($C$396)+4))</f>
        <v/>
      </c>
      <c r="G399" s="99" t="str">
        <f ca="1">IF(INDIRECT(C$46&amp;"!D"&amp;ROW()-ROW($C$396)+4)="","",INDIRECT(C$46&amp;"!D"&amp;ROW()-ROW($C$396)+4))</f>
        <v/>
      </c>
      <c r="H399" s="99" t="str">
        <f ca="1">IF(INDIRECT(D$46&amp;"!D"&amp;ROW()-ROW($C$396)+4)="","",INDIRECT(D$46&amp;"!D"&amp;ROW()-ROW($C$396)+4))</f>
        <v/>
      </c>
      <c r="K399" s="99" t="str">
        <f ca="1">IF(INDIRECT(C$46&amp;"!E"&amp;ROW()-ROW($C$396)+4)="","",INDIRECT(C$46&amp;"!E"&amp;ROW()-ROW($C$396)+4))</f>
        <v>Non-blank is better</v>
      </c>
      <c r="L399" s="99" t="b">
        <f ca="1">IF(INDIRECT(C$46&amp;"!F"&amp;ROW()-ROW($C$396)+4)="","",INDIRECT(C$46&amp;"!F"&amp;ROW()-ROW($C$396)+4))</f>
        <v>0</v>
      </c>
      <c r="M399" s="99" t="b">
        <f ca="1">IF(INDIRECT(D$46&amp;"!F"&amp;ROW()-ROW($C$396)+4)="","",INDIRECT(D$46&amp;"!F"&amp;ROW()-ROW($C$396)+4))</f>
        <v>0</v>
      </c>
      <c r="N399" s="99"/>
      <c r="O399" s="99"/>
      <c r="P399" s="99" t="b">
        <f ca="1">INDIRECT(C$46&amp;"!B"&amp;ROW()-ROW($C$396)+4)=$B399</f>
        <v>1</v>
      </c>
      <c r="Q399" s="99" t="b">
        <f ca="1">INDIRECT(D$46&amp;"!B"&amp;ROW()-ROW($C$396)+4)=$B399</f>
        <v>1</v>
      </c>
      <c r="T399" s="99" t="str">
        <f ca="1">IF(NOT(ISERROR(MATCH(K399,'Lookup Tables'!A:A,0))),"Lookup",IF(OR(NOT(ISERROR(FIND("Numeric",K399))),NOT(ISERROR(FIND("Percentage",K399))),NOT(ISERROR(FIND("Date",K399)))),"Numeric",IF(NOT(ISERROR(FIND("lank",K399))),"Non-blank",IF(NOT(ISERROR(FIND("Not evaluated",K399))),"Skipped","Other"))))</f>
        <v>Non-blank</v>
      </c>
      <c r="U399" s="461">
        <f ca="1">IF(COLUMN()-COLUMN($U$55)+1&lt;=$Y399,IF(C399="",0,1),"")</f>
        <v>0</v>
      </c>
      <c r="V399" s="461">
        <f ca="1">IF(COLUMN()-COLUMN($U$55)+1&lt;=$Y399,IF(D399="",0,1),"")</f>
        <v>0</v>
      </c>
      <c r="W399" s="461" t="str">
        <f>IF(COLUMN()-COLUMN($U$55)+1&lt;=$Y399,IF(E399="",0,1),"")</f>
        <v/>
      </c>
      <c r="X399" s="461" t="str">
        <f>IF(COLUMN()-COLUMN($U$55)+1&lt;=$Y399,IF(F399="",0,1),"")</f>
        <v/>
      </c>
      <c r="Y399" s="99">
        <f t="shared" si="123"/>
        <v>2</v>
      </c>
      <c r="Z399" s="99"/>
      <c r="AA399" s="99"/>
      <c r="AB399" s="99"/>
      <c r="AC399" s="159" t="s">
        <v>2199</v>
      </c>
      <c r="AD399" s="107">
        <f ca="1">IFERROR(SUMPRODUCT(U399:X399,$C$435:$F$435)/SUMPRODUCT($C$435:$F$435),AVERAGE(U399:X399))</f>
        <v>0</v>
      </c>
      <c r="AE399" s="99" t="b">
        <f t="shared" ref="AE399" ca="1" si="125">NOT(OR(L399:O399))</f>
        <v>1</v>
      </c>
      <c r="AF399" s="159" t="s">
        <v>2476</v>
      </c>
      <c r="AG399" s="783">
        <f>COUNTIF('VA Detailed Scorecard Config'!D:D,AF399)</f>
        <v>0</v>
      </c>
      <c r="AH399" s="99"/>
    </row>
    <row r="400" spans="2:34" ht="13.5" customHeight="1">
      <c r="B400" s="327" t="s">
        <v>2239</v>
      </c>
      <c r="C400" s="99" t="str">
        <f ca="1">IF(INDIRECT(C$46&amp;"!C"&amp;ROW()-ROW($C$396)+4)="","",INDIRECT(C$46&amp;"!C"&amp;ROW()-ROW($C$396)+4))</f>
        <v>No</v>
      </c>
      <c r="D400" s="99" t="str">
        <f ca="1">IF(INDIRECT(D$46&amp;"!C"&amp;ROW()-ROW($C$396)+4)="","",INDIRECT(D$46&amp;"!C"&amp;ROW()-ROW($C$396)+4))</f>
        <v>Yes</v>
      </c>
      <c r="G400" s="99"/>
      <c r="H400" s="99"/>
      <c r="K400" s="99" t="str">
        <f ca="1">IF(INDIRECT(C$46&amp;"!E"&amp;ROW()-ROW($C$396)+4)="","",INDIRECT(C$46&amp;"!E"&amp;ROW()-ROW($C$396)+4))</f>
        <v>YES_No</v>
      </c>
      <c r="L400" s="99" t="b">
        <f ca="1">IF(INDIRECT(C$46&amp;"!F"&amp;ROW()-ROW($C$396)+4)="","",INDIRECT(C$46&amp;"!F"&amp;ROW()-ROW($C$396)+4))</f>
        <v>1</v>
      </c>
      <c r="M400" s="99" t="b">
        <f ca="1">IF(INDIRECT(D$46&amp;"!F"&amp;ROW()-ROW($C$396)+4)="","",INDIRECT(D$46&amp;"!F"&amp;ROW()-ROW($C$396)+4))</f>
        <v>1</v>
      </c>
      <c r="N400" s="99"/>
      <c r="O400" s="99"/>
      <c r="P400" s="99" t="b">
        <f ca="1">INDIRECT(C$46&amp;"!B"&amp;ROW()-ROW($C$396)+4)=$B400</f>
        <v>1</v>
      </c>
      <c r="Q400" s="99" t="b">
        <f ca="1">INDIRECT(D$46&amp;"!B"&amp;ROW()-ROW($C$396)+4)=$B400</f>
        <v>1</v>
      </c>
      <c r="T400" s="37" t="s">
        <v>2191</v>
      </c>
      <c r="X400" s="137"/>
      <c r="Y400" s="99">
        <f t="shared" si="123"/>
        <v>2</v>
      </c>
      <c r="Z400" s="99"/>
      <c r="AA400" s="99"/>
      <c r="AB400" s="99"/>
      <c r="AC400" s="159"/>
      <c r="AD400" s="107"/>
      <c r="AE400" s="99"/>
      <c r="AF400" s="99"/>
      <c r="AG400" s="248"/>
      <c r="AH400" s="99"/>
    </row>
    <row r="401" spans="2:34" ht="13.5" customHeight="1">
      <c r="B401" s="327" t="s">
        <v>2242</v>
      </c>
      <c r="C401" s="99" t="str">
        <f ca="1">IF(INDIRECT(C$46&amp;"!C"&amp;ROW()-ROW($C$396)+4)="","",INDIRECT(C$46&amp;"!C"&amp;ROW()-ROW($C$396)+4))</f>
        <v/>
      </c>
      <c r="D401" s="99" t="str">
        <f ca="1">IF(INDIRECT(D$46&amp;"!C"&amp;ROW()-ROW($C$396)+4)="","",INDIRECT(D$46&amp;"!C"&amp;ROW()-ROW($C$396)+4))</f>
        <v>No</v>
      </c>
      <c r="G401" s="99"/>
      <c r="H401" s="99"/>
      <c r="K401" s="99" t="str">
        <f ca="1">IF(INDIRECT(C$46&amp;"!E"&amp;ROW()-ROW($C$396)+4)="","",INDIRECT(C$46&amp;"!E"&amp;ROW()-ROW($C$396)+4))</f>
        <v>YES_No</v>
      </c>
      <c r="L401" s="99" t="b">
        <f ca="1">IF(INDIRECT(C$46&amp;"!F"&amp;ROW()-ROW($C$396)+4)="","",INDIRECT(C$46&amp;"!F"&amp;ROW()-ROW($C$396)+4))</f>
        <v>1</v>
      </c>
      <c r="M401" s="99" t="b">
        <f ca="1">IF(INDIRECT(D$46&amp;"!F"&amp;ROW()-ROW($C$396)+4)="","",INDIRECT(D$46&amp;"!F"&amp;ROW()-ROW($C$396)+4))</f>
        <v>1</v>
      </c>
      <c r="N401" s="99"/>
      <c r="O401" s="99"/>
      <c r="P401" s="99" t="b">
        <f ca="1">INDIRECT(C$46&amp;"!B"&amp;ROW()-ROW($C$396)+4)=$B401</f>
        <v>1</v>
      </c>
      <c r="Q401" s="99" t="b">
        <f ca="1">INDIRECT(D$46&amp;"!B"&amp;ROW()-ROW($C$396)+4)=$B401</f>
        <v>1</v>
      </c>
      <c r="T401" s="37" t="s">
        <v>2191</v>
      </c>
      <c r="X401" s="137"/>
      <c r="Y401" s="99">
        <f t="shared" si="123"/>
        <v>2</v>
      </c>
      <c r="Z401" s="99"/>
      <c r="AA401" s="99"/>
      <c r="AB401" s="99"/>
      <c r="AC401" s="159"/>
      <c r="AD401" s="107"/>
      <c r="AE401" s="99"/>
      <c r="AF401" s="99"/>
      <c r="AG401" s="248"/>
      <c r="AH401" s="99"/>
    </row>
    <row r="402" spans="2:34" ht="13.5" customHeight="1">
      <c r="B402" s="327" t="s">
        <v>1530</v>
      </c>
      <c r="C402" s="99" t="str">
        <f ca="1">IF(INDIRECT(C$46&amp;"!C"&amp;ROW()-ROW($C$396)+4)="","",INDIRECT(C$46&amp;"!C"&amp;ROW()-ROW($C$396)+4))</f>
        <v/>
      </c>
      <c r="D402" s="99" t="str">
        <f ca="1">IF(INDIRECT(D$46&amp;"!C"&amp;ROW()-ROW($C$396)+4)="","",INDIRECT(D$46&amp;"!C"&amp;ROW()-ROW($C$396)+4))</f>
        <v>Yes</v>
      </c>
      <c r="G402" s="99" t="str">
        <f ca="1">IF(INDIRECT(C$46&amp;"!D"&amp;ROW()-ROW($C$396)+4)="","",INDIRECT(C$46&amp;"!D"&amp;ROW()-ROW($C$396)+4))</f>
        <v/>
      </c>
      <c r="H402" s="99" t="str">
        <f ca="1">IF(INDIRECT(D$46&amp;"!D"&amp;ROW()-ROW($C$396)+4)="","",INDIRECT(D$46&amp;"!D"&amp;ROW()-ROW($C$396)+4))</f>
        <v/>
      </c>
      <c r="K402" s="99" t="str">
        <f ca="1">IF(INDIRECT(C$46&amp;"!E"&amp;ROW()-ROW($C$396)+4)="","",INDIRECT(C$46&amp;"!E"&amp;ROW()-ROW($C$396)+4))</f>
        <v>YES_No_NA</v>
      </c>
      <c r="L402" s="99" t="b">
        <f ca="1">IF(INDIRECT(C$46&amp;"!F"&amp;ROW()-ROW($C$396)+4)="","",INDIRECT(C$46&amp;"!F"&amp;ROW()-ROW($C$396)+4))</f>
        <v>0</v>
      </c>
      <c r="M402" s="99" t="b">
        <f ca="1">IF(INDIRECT(D$46&amp;"!F"&amp;ROW()-ROW($C$396)+4)="","",INDIRECT(D$46&amp;"!F"&amp;ROW()-ROW($C$396)+4))</f>
        <v>1</v>
      </c>
      <c r="N402" s="99"/>
      <c r="O402" s="99"/>
      <c r="P402" s="99" t="b">
        <f ca="1">INDIRECT(C$46&amp;"!B"&amp;ROW()-ROW($C$396)+4)=$B402</f>
        <v>1</v>
      </c>
      <c r="Q402" s="99" t="b">
        <f ca="1">INDIRECT(D$46&amp;"!B"&amp;ROW()-ROW($C$396)+4)=$B402</f>
        <v>1</v>
      </c>
      <c r="T402" s="37" t="str">
        <f ca="1">IF(NOT(ISERROR(MATCH(K402,'Lookup Tables'!A:A,0))),"Lookup",IF(OR(NOT(ISERROR(FIND("Numeric",K402))),NOT(ISERROR(FIND("Percentage",K402))),NOT(ISERROR(FIND("Date",K402)))),"Numeric",IF(NOT(ISERROR(FIND("lank",K402))),"Non-blank",IF(NOT(ISERROR(FIND("Not evaluated",K402))),"Skipped","Other"))))</f>
        <v>Lookup</v>
      </c>
      <c r="U402" s="461">
        <f ca="1">IF(COLUMN()-COLUMN($U$55)+1&lt;=$Y402,INDEX(OFFSET(INDIRECT($K402),0,1),MATCH(C402,INDIRECT($K402),0)),"")</f>
        <v>0</v>
      </c>
      <c r="V402" s="461">
        <f ca="1">IF(COLUMN()-COLUMN($U$55)+1&lt;=$Y402,INDEX(OFFSET(INDIRECT($K402),0,1),MATCH(D402,INDIRECT($K402),0)),"")</f>
        <v>1</v>
      </c>
      <c r="W402" s="461" t="str">
        <f ca="1">IF(COLUMN()-COLUMN($U$55)+1&lt;=$Y402,INDEX(OFFSET(INDIRECT($K402),0,1),MATCH(E402,INDIRECT($K402),0)),"")</f>
        <v/>
      </c>
      <c r="X402" s="465" t="str">
        <f ca="1">IF(COLUMN()-COLUMN($U$55)+1&lt;=$Y402,INDEX(OFFSET(INDIRECT($K402),0,1),MATCH(F402,INDIRECT($K402),0)),"")</f>
        <v/>
      </c>
      <c r="Y402" s="99">
        <f t="shared" si="123"/>
        <v>2</v>
      </c>
      <c r="Z402" s="99"/>
      <c r="AA402" s="99"/>
      <c r="AB402" s="99"/>
      <c r="AC402" s="159" t="s">
        <v>2199</v>
      </c>
      <c r="AD402" s="107">
        <f t="shared" ref="AD401:AD432" ca="1" si="126">IFERROR(SUMPRODUCT(U402:X402,$C$435:$F$435)/($C$435*L402+$D$435*M402+$E$435*N402),AVERAGE(U402:X402))</f>
        <v>1</v>
      </c>
      <c r="AE402" s="99" t="b">
        <f t="shared" ref="AE402:AE419" ca="1" si="127">NOT(OR(L402:O402))</f>
        <v>0</v>
      </c>
      <c r="AF402" s="159" t="s">
        <v>2477</v>
      </c>
      <c r="AG402" s="783">
        <f>COUNTIF('VA Detailed Scorecard Config'!D:D,AF402)</f>
        <v>1</v>
      </c>
      <c r="AH402" s="99"/>
    </row>
    <row r="403" spans="2:34" ht="13.5" customHeight="1">
      <c r="B403" s="327" t="s">
        <v>1603</v>
      </c>
      <c r="C403" s="99" t="str">
        <f ca="1">IF(INDIRECT(C$46&amp;"!C"&amp;ROW()-ROW($C$396)+4)="","",INDIRECT(C$46&amp;"!C"&amp;ROW()-ROW($C$396)+4))</f>
        <v/>
      </c>
      <c r="D403" s="99" t="str">
        <f ca="1">IF(INDIRECT(D$46&amp;"!C"&amp;ROW()-ROW($C$396)+4)="","",INDIRECT(D$46&amp;"!C"&amp;ROW()-ROW($C$396)+4))</f>
        <v>4 - Top-3 role</v>
      </c>
      <c r="G403" s="99" t="str">
        <f ca="1">IF(INDIRECT(C$46&amp;"!D"&amp;ROW()-ROW($C$396)+4)="","",INDIRECT(C$46&amp;"!D"&amp;ROW()-ROW($C$396)+4))</f>
        <v/>
      </c>
      <c r="H403" s="99" t="str">
        <f ca="1">IF(INDIRECT(D$46&amp;"!D"&amp;ROW()-ROW($C$396)+4)="","",INDIRECT(D$46&amp;"!D"&amp;ROW()-ROW($C$396)+4))</f>
        <v/>
      </c>
      <c r="K403" s="99" t="str">
        <f ca="1">IF(INDIRECT(C$46&amp;"!E"&amp;ROW()-ROW($C$396)+4)="","",INDIRECT(C$46&amp;"!E"&amp;ROW()-ROW($C$396)+4))</f>
        <v>Contribution_Level</v>
      </c>
      <c r="L403" s="99" t="b">
        <f ca="1">IF(INDIRECT(C$46&amp;"!F"&amp;ROW()-ROW($C$396)+4)="","",INDIRECT(C$46&amp;"!F"&amp;ROW()-ROW($C$396)+4))</f>
        <v>0</v>
      </c>
      <c r="M403" s="99" t="b">
        <f ca="1">IF(INDIRECT(D$46&amp;"!F"&amp;ROW()-ROW($C$396)+4)="","",INDIRECT(D$46&amp;"!F"&amp;ROW()-ROW($C$396)+4))</f>
        <v>1</v>
      </c>
      <c r="N403" s="99"/>
      <c r="O403" s="99"/>
      <c r="P403" s="99" t="b">
        <f ca="1">INDIRECT(C$46&amp;"!B"&amp;ROW()-ROW($C$396)+4)=$B403</f>
        <v>1</v>
      </c>
      <c r="Q403" s="99" t="b">
        <f ca="1">INDIRECT(D$46&amp;"!B"&amp;ROW()-ROW($C$396)+4)=$B403</f>
        <v>1</v>
      </c>
      <c r="T403" s="37" t="str">
        <f ca="1">IF(NOT(ISERROR(MATCH(K403,'Lookup Tables'!A:A,0))),"Lookup",IF(OR(NOT(ISERROR(FIND("Numeric",K403))),NOT(ISERROR(FIND("Percentage",K403))),NOT(ISERROR(FIND("Date",K403)))),"Numeric",IF(NOT(ISERROR(FIND("lank",K403))),"Non-blank",IF(NOT(ISERROR(FIND("Not evaluated",K403))),"Skipped","Other"))))</f>
        <v>Lookup</v>
      </c>
      <c r="U403" s="461">
        <f ca="1">IF(COLUMN()-COLUMN($U$55)+1&lt;=$Y403,INDEX(OFFSET(INDIRECT($K403),0,1),MATCH(C403,INDIRECT($K403),0)),"")</f>
        <v>0</v>
      </c>
      <c r="V403" s="461">
        <f ca="1">IF(COLUMN()-COLUMN($U$55)+1&lt;=$Y403,INDEX(OFFSET(INDIRECT($K403),0,1),MATCH(D403,INDIRECT($K403),0)),"")</f>
        <v>0.75</v>
      </c>
      <c r="W403" s="461" t="str">
        <f ca="1">IF(COLUMN()-COLUMN($U$55)+1&lt;=$Y403,INDEX(OFFSET(INDIRECT($K403),0,1),MATCH(E403,INDIRECT($K403),0)),"")</f>
        <v/>
      </c>
      <c r="X403" s="465" t="str">
        <f ca="1">IF(COLUMN()-COLUMN($U$55)+1&lt;=$Y403,INDEX(OFFSET(INDIRECT($K403),0,1),MATCH(F403,INDIRECT($K403),0)),"")</f>
        <v/>
      </c>
      <c r="Y403" s="99">
        <f t="shared" si="123"/>
        <v>2</v>
      </c>
      <c r="Z403" s="99"/>
      <c r="AA403" s="99"/>
      <c r="AB403" s="99"/>
      <c r="AC403" s="159" t="s">
        <v>2199</v>
      </c>
      <c r="AD403" s="107">
        <f t="shared" ca="1" si="126"/>
        <v>0.75</v>
      </c>
      <c r="AE403" s="99" t="b">
        <f t="shared" ca="1" si="127"/>
        <v>0</v>
      </c>
      <c r="AF403" s="159" t="s">
        <v>2478</v>
      </c>
      <c r="AG403" s="783">
        <f>COUNTIF('VA Detailed Scorecard Config'!D:D,AF403)</f>
        <v>1</v>
      </c>
      <c r="AH403" s="99"/>
    </row>
    <row r="404" spans="2:34" ht="13.5" customHeight="1">
      <c r="B404" s="327" t="s">
        <v>1531</v>
      </c>
      <c r="C404" s="99" t="str">
        <f ca="1">IF(INDIRECT(C$46&amp;"!C"&amp;ROW()-ROW($C$396)+4)="","",INDIRECT(C$46&amp;"!C"&amp;ROW()-ROW($C$396)+4))</f>
        <v/>
      </c>
      <c r="D404" s="99">
        <f ca="1">IF(INDIRECT(D$46&amp;"!C"&amp;ROW()-ROW($C$396)+4)="","",INDIRECT(D$46&amp;"!C"&amp;ROW()-ROW($C$396)+4))</f>
        <v>65000</v>
      </c>
      <c r="G404" s="99" t="str">
        <f ca="1">IF(INDIRECT(C$46&amp;"!D"&amp;ROW()-ROW($C$396)+4)="","",INDIRECT(C$46&amp;"!D"&amp;ROW()-ROW($C$396)+4))</f>
        <v/>
      </c>
      <c r="H404" s="99" t="str">
        <f ca="1">IF(INDIRECT(D$46&amp;"!D"&amp;ROW()-ROW($C$396)+4)="","",INDIRECT(D$46&amp;"!D"&amp;ROW()-ROW($C$396)+4))</f>
        <v/>
      </c>
      <c r="K404" s="99" t="str">
        <f ca="1">IF(INDIRECT(C$46&amp;"!E"&amp;ROW()-ROW($C$396)+4)="","",INDIRECT(C$46&amp;"!E"&amp;ROW()-ROW($C$396)+4))</f>
        <v>Numerical (Larger is better, log scale)</v>
      </c>
      <c r="L404" s="99" t="b">
        <f ca="1">IF(INDIRECT(C$46&amp;"!F"&amp;ROW()-ROW($C$396)+4)="","",INDIRECT(C$46&amp;"!F"&amp;ROW()-ROW($C$396)+4))</f>
        <v>0</v>
      </c>
      <c r="M404" s="99" t="b">
        <f ca="1">IF(INDIRECT(D$46&amp;"!F"&amp;ROW()-ROW($C$396)+4)="","",INDIRECT(D$46&amp;"!F"&amp;ROW()-ROW($C$396)+4))</f>
        <v>1</v>
      </c>
      <c r="N404" s="99"/>
      <c r="O404" s="99"/>
      <c r="P404" s="99" t="b">
        <f ca="1">INDIRECT(C$46&amp;"!B"&amp;ROW()-ROW($C$396)+4)=$B404</f>
        <v>1</v>
      </c>
      <c r="Q404" s="99" t="b">
        <f ca="1">INDIRECT(D$46&amp;"!B"&amp;ROW()-ROW($C$396)+4)=$B404</f>
        <v>1</v>
      </c>
      <c r="T404" s="99" t="str">
        <f ca="1">IF(NOT(ISERROR(MATCH(K404,'Lookup Tables'!A:A,0))),"Lookup",IF(OR(NOT(ISERROR(FIND("Numeric",K404))),NOT(ISERROR(FIND("Percentage",K404))),NOT(ISERROR(FIND("Date",K404)))),"Numeric",IF(NOT(ISERROR(FIND("lank",K404))),"Non-blank",IF(NOT(ISERROR(FIND("Not evaluated",K404))),"Skipped","Other"))))</f>
        <v>Numeric</v>
      </c>
      <c r="U404" s="101" t="str">
        <f t="shared" ref="U404:U409" ca="1" si="128">IF(AND(C404&lt;&gt;"",COLUMN()-COLUMN($U$55)+1&lt;=$Y403),(LOG(C404+1)-LOG(MIN($C404:$F404,$Z404:$AA404)+1))/(LOG(MAX($AA404,$C404:$F404)+1)-LOG(MIN($C404:$F404,$Z404:$AA404)+1)),"")</f>
        <v/>
      </c>
      <c r="V404" s="101">
        <f t="shared" ref="V404:V409" ca="1" si="129">IF(AND(D404&lt;&gt;"",COLUMN()-COLUMN($U$55)+1&lt;=$Y403),(LOG(D404+1)-LOG(MIN($C404:$F404,$Z404:$AA404)+1))/(LOG(MAX($AA404,$C404:$F404)+1)-LOG(MIN($C404:$F404,$Z404:$AA404)+1)),"")</f>
        <v>0.8445244142080589</v>
      </c>
      <c r="W404" s="101" t="str">
        <f t="shared" ref="W404:W409" si="130">IF(AND(E404&lt;&gt;"",COLUMN()-COLUMN($U$55)+1&lt;=$Y403),(LOG(E404+1)-LOG(MIN($C404:$F404,$Z404:$AA404)+1))/(LOG(MAX($AA404,$C404:$F404)+1)-LOG(MIN($C404:$F404,$Z404:$AA404)+1)),"")</f>
        <v/>
      </c>
      <c r="X404" s="466" t="str">
        <f t="shared" ref="X404:X409" si="131">IF(AND(F404&lt;&gt;"",COLUMN()-COLUMN($U$55)+1&lt;=$Y403),(LOG(F404+1)-LOG(MIN($C404:$F404,$Z404:$AA404)+1))/(LOG(MAX($AA404,$C404:$F404)+1)-LOG(MIN($C404:$F404,$Z404:$AA404)+1)),"")</f>
        <v/>
      </c>
      <c r="Y404" s="99">
        <f t="shared" si="123"/>
        <v>2</v>
      </c>
      <c r="Z404" s="99">
        <v>0</v>
      </c>
      <c r="AA404" s="99">
        <v>500000</v>
      </c>
      <c r="AB404" s="159" t="s">
        <v>2186</v>
      </c>
      <c r="AC404" s="159" t="s">
        <v>2199</v>
      </c>
      <c r="AD404" s="107">
        <f t="shared" ca="1" si="126"/>
        <v>0.8445244142080589</v>
      </c>
      <c r="AE404" s="99" t="b">
        <f t="shared" ca="1" si="127"/>
        <v>0</v>
      </c>
      <c r="AF404" s="159" t="s">
        <v>2479</v>
      </c>
      <c r="AG404" s="783">
        <f>COUNTIF('VA Detailed Scorecard Config'!D:D,AF404)</f>
        <v>1</v>
      </c>
      <c r="AH404" s="99"/>
    </row>
    <row r="405" spans="2:34" ht="13.5" customHeight="1">
      <c r="B405" s="327" t="s">
        <v>1595</v>
      </c>
      <c r="C405" s="459" t="str">
        <f ca="1">IF(INDIRECT(C$46&amp;"!C"&amp;ROW()-ROW($C$396)+4)="","",INDIRECT(C$46&amp;"!C"&amp;ROW()-ROW($C$396)+4))</f>
        <v/>
      </c>
      <c r="D405" s="459">
        <f ca="1">IF(INDIRECT(D$46&amp;"!C"&amp;ROW()-ROW($C$396)+4)="","",INDIRECT(D$46&amp;"!C"&amp;ROW()-ROW($C$396)+4))</f>
        <v>43831</v>
      </c>
      <c r="E405" s="464"/>
      <c r="F405" s="464"/>
      <c r="G405" s="99" t="str">
        <f ca="1">IF(INDIRECT(C$46&amp;"!D"&amp;ROW()-ROW($C$396)+4)="","",INDIRECT(C$46&amp;"!D"&amp;ROW()-ROW($C$396)+4))</f>
        <v/>
      </c>
      <c r="H405" s="99" t="str">
        <f ca="1">IF(INDIRECT(D$46&amp;"!D"&amp;ROW()-ROW($C$396)+4)="","",INDIRECT(D$46&amp;"!D"&amp;ROW()-ROW($C$396)+4))</f>
        <v/>
      </c>
      <c r="K405" s="99" t="str">
        <f ca="1">IF(INDIRECT(C$46&amp;"!E"&amp;ROW()-ROW($C$396)+4)="","",INDIRECT(C$46&amp;"!E"&amp;ROW()-ROW($C$396)+4))</f>
        <v>Numerical (Smaller is better, log scale)</v>
      </c>
      <c r="L405" s="99" t="b">
        <f ca="1">IF(INDIRECT(C$46&amp;"!F"&amp;ROW()-ROW($C$396)+4)="","",INDIRECT(C$46&amp;"!F"&amp;ROW()-ROW($C$396)+4))</f>
        <v>0</v>
      </c>
      <c r="M405" s="99" t="b">
        <f ca="1">IF(INDIRECT(D$46&amp;"!F"&amp;ROW()-ROW($C$396)+4)="","",INDIRECT(D$46&amp;"!F"&amp;ROW()-ROW($C$396)+4))</f>
        <v>1</v>
      </c>
      <c r="N405" s="99"/>
      <c r="O405" s="99"/>
      <c r="P405" s="99" t="b">
        <f ca="1">INDIRECT(C$46&amp;"!B"&amp;ROW()-ROW($C$396)+4)=$B405</f>
        <v>1</v>
      </c>
      <c r="Q405" s="99" t="b">
        <f ca="1">INDIRECT(D$46&amp;"!B"&amp;ROW()-ROW($C$396)+4)=$B405</f>
        <v>1</v>
      </c>
      <c r="T405" s="99" t="str">
        <f ca="1">IF(NOT(ISERROR(MATCH(K405,'Lookup Tables'!A:A,0))),"Lookup",IF(OR(NOT(ISERROR(FIND("Numeric",K405))),NOT(ISERROR(FIND("Percentage",K405))),NOT(ISERROR(FIND("Date",K405)))),"Numeric",IF(NOT(ISERROR(FIND("lank",K405))),"Non-blank",IF(NOT(ISERROR(FIND("Not evaluated",K405))),"Skipped","Other"))))</f>
        <v>Numeric</v>
      </c>
      <c r="U405" s="101" t="str">
        <f ca="1">IF(AND(C405&lt;&gt;"",COLUMN()-COLUMN($U$55)+1&lt;=$Y404),1-(LOG(C405+1)-LOG(MIN($C405:$F405,$Z405:$AA405)+1))/(LOG(MAX($AA405,$C405:$F405)+1)-LOG(MIN($C405:$F405,$Z405:$AA405)+1)),"")</f>
        <v/>
      </c>
      <c r="V405" s="101">
        <f ca="1">IF(AND(D405&lt;&gt;"",COLUMN()-COLUMN($U$55)+1&lt;=$Y404),1-(LOG(D405+1)-LOG(MIN($C405:$F405,$Z405:$AA405)+1))/(LOG(MAX($AA405,$C405:$F405)+1)-LOG(MIN($C405:$F405,$Z405:$AA405)+1)),"")</f>
        <v>0.37346841679564013</v>
      </c>
      <c r="W405" s="101" t="str">
        <f>IF(AND(E405&lt;&gt;"",COLUMN()-COLUMN($U$55)+1&lt;=$Y404),1-(LOG(E405+1)-LOG(MIN($C405:$F405,$Z405:$AA405)+1))/(LOG(MAX($AA405,$C405:$F405)+1)-LOG(MIN($C405:$F405,$Z405:$AA405)+1)),"")</f>
        <v/>
      </c>
      <c r="X405" s="466" t="str">
        <f>IF(AND(F405&lt;&gt;"",COLUMN()-COLUMN($U$55)+1&lt;=$Y404),1-(LOG(F405+1)-LOG(MIN($C405:$F405,$Z405:$AA405)+1))/(LOG(MAX($AA405,$C405:$F405)+1)-LOG(MIN($C405:$F405,$Z405:$AA405)+1)),"")</f>
        <v/>
      </c>
      <c r="Y405" s="99">
        <f t="shared" si="123"/>
        <v>2</v>
      </c>
      <c r="Z405" s="459">
        <v>42005</v>
      </c>
      <c r="AA405" s="459">
        <f ca="1">TODAY()</f>
        <v>44957</v>
      </c>
      <c r="AB405" s="159" t="s">
        <v>2195</v>
      </c>
      <c r="AC405" s="159" t="s">
        <v>2199</v>
      </c>
      <c r="AD405" s="107">
        <f t="shared" ca="1" si="126"/>
        <v>0.37346841679564013</v>
      </c>
      <c r="AE405" s="99" t="b">
        <f t="shared" ca="1" si="127"/>
        <v>0</v>
      </c>
      <c r="AF405" s="159" t="s">
        <v>2480</v>
      </c>
      <c r="AG405" s="783">
        <f>COUNTIF('VA Detailed Scorecard Config'!D:D,AF405)</f>
        <v>1</v>
      </c>
      <c r="AH405" s="99"/>
    </row>
    <row r="406" spans="2:34" ht="13.5" customHeight="1">
      <c r="B406" s="327" t="s">
        <v>1596</v>
      </c>
      <c r="C406" s="99" t="str">
        <f ca="1">IF(INDIRECT(C$46&amp;"!C"&amp;ROW()-ROW($C$396)+4)="","",INDIRECT(C$46&amp;"!C"&amp;ROW()-ROW($C$396)+4))</f>
        <v/>
      </c>
      <c r="D406" s="99">
        <f ca="1">IF(INDIRECT(D$46&amp;"!C"&amp;ROW()-ROW($C$396)+4)="","",INDIRECT(D$46&amp;"!C"&amp;ROW()-ROW($C$396)+4))</f>
        <v>4</v>
      </c>
      <c r="G406" s="99" t="str">
        <f ca="1">IF(INDIRECT(C$46&amp;"!D"&amp;ROW()-ROW($C$396)+4)="","",INDIRECT(C$46&amp;"!D"&amp;ROW()-ROW($C$396)+4))</f>
        <v/>
      </c>
      <c r="H406" s="99" t="str">
        <f ca="1">IF(INDIRECT(D$46&amp;"!D"&amp;ROW()-ROW($C$396)+4)="","",INDIRECT(D$46&amp;"!D"&amp;ROW()-ROW($C$396)+4))</f>
        <v/>
      </c>
      <c r="K406" s="99" t="str">
        <f ca="1">IF(INDIRECT(C$46&amp;"!E"&amp;ROW()-ROW($C$396)+4)="","",INDIRECT(C$46&amp;"!E"&amp;ROW()-ROW($C$396)+4))</f>
        <v>Numerical formula (fewer days between releases)</v>
      </c>
      <c r="L406" s="99" t="b">
        <f ca="1">IF(INDIRECT(C$46&amp;"!F"&amp;ROW()-ROW($C$396)+4)="","",INDIRECT(C$46&amp;"!F"&amp;ROW()-ROW($C$396)+4))</f>
        <v>0</v>
      </c>
      <c r="M406" s="99" t="b">
        <f ca="1">IF(INDIRECT(D$46&amp;"!F"&amp;ROW()-ROW($C$396)+4)="","",INDIRECT(D$46&amp;"!F"&amp;ROW()-ROW($C$396)+4))</f>
        <v>1</v>
      </c>
      <c r="N406" s="99"/>
      <c r="O406" s="99"/>
      <c r="P406" s="99" t="b">
        <f ca="1">INDIRECT(C$46&amp;"!B"&amp;ROW()-ROW($C$396)+4)=$B406</f>
        <v>1</v>
      </c>
      <c r="Q406" s="99" t="b">
        <f ca="1">INDIRECT(D$46&amp;"!B"&amp;ROW()-ROW($C$396)+4)=$B406</f>
        <v>1</v>
      </c>
      <c r="T406" s="99" t="str">
        <f ca="1">IF(NOT(ISERROR(MATCH(K406,'Lookup Tables'!A:A,0))),"Lookup",IF(OR(NOT(ISERROR(FIND("Numeric",K406))),NOT(ISERROR(FIND("Percentage",K406))),NOT(ISERROR(FIND("Date",K406)))),"Numeric",IF(NOT(ISERROR(FIND("lank",K406))),"Non-blank",IF(NOT(ISERROR(FIND("Not evaluated",K406))),"Skipped","Other"))))</f>
        <v>Numeric</v>
      </c>
      <c r="U406" s="101" t="str">
        <f t="shared" ca="1" si="128"/>
        <v/>
      </c>
      <c r="V406" s="101">
        <f t="shared" ca="1" si="129"/>
        <v>0.52863394681944809</v>
      </c>
      <c r="W406" s="101" t="str">
        <f t="shared" si="130"/>
        <v/>
      </c>
      <c r="X406" s="466" t="str">
        <f t="shared" si="131"/>
        <v/>
      </c>
      <c r="Y406" s="99">
        <f t="shared" si="123"/>
        <v>2</v>
      </c>
      <c r="Z406" s="99">
        <v>0</v>
      </c>
      <c r="AA406" s="99">
        <v>20</v>
      </c>
      <c r="AB406" s="159" t="s">
        <v>2186</v>
      </c>
      <c r="AC406" s="159" t="s">
        <v>2199</v>
      </c>
      <c r="AD406" s="107">
        <f t="shared" ca="1" si="126"/>
        <v>0.52863394681944809</v>
      </c>
      <c r="AE406" s="99" t="b">
        <f t="shared" ca="1" si="127"/>
        <v>0</v>
      </c>
      <c r="AF406" s="159" t="s">
        <v>2481</v>
      </c>
      <c r="AG406" s="783">
        <f>COUNTIF('VA Detailed Scorecard Config'!D:D,AF406)</f>
        <v>1</v>
      </c>
      <c r="AH406" s="159" t="s">
        <v>2482</v>
      </c>
    </row>
    <row r="407" spans="2:34" ht="13.5" customHeight="1">
      <c r="B407" s="327" t="s">
        <v>1599</v>
      </c>
      <c r="C407" s="99" t="str">
        <f ca="1">IF(INDIRECT(C$46&amp;"!C"&amp;ROW()-ROW($C$396)+4)="","",INDIRECT(C$46&amp;"!C"&amp;ROW()-ROW($C$396)+4))</f>
        <v/>
      </c>
      <c r="D407" s="99">
        <f ca="1">IF(INDIRECT(D$46&amp;"!C"&amp;ROW()-ROW($C$396)+4)="","",INDIRECT(D$46&amp;"!C"&amp;ROW()-ROW($C$396)+4))</f>
        <v>23</v>
      </c>
      <c r="G407" s="99" t="str">
        <f ca="1">IF(INDIRECT(C$46&amp;"!D"&amp;ROW()-ROW($C$396)+4)="","",INDIRECT(C$46&amp;"!D"&amp;ROW()-ROW($C$396)+4))</f>
        <v/>
      </c>
      <c r="H407" s="99" t="str">
        <f ca="1">IF(INDIRECT(D$46&amp;"!D"&amp;ROW()-ROW($C$396)+4)="","",INDIRECT(D$46&amp;"!D"&amp;ROW()-ROW($C$396)+4))</f>
        <v/>
      </c>
      <c r="K407" s="99" t="str">
        <f ca="1">IF(INDIRECT(C$46&amp;"!E"&amp;ROW()-ROW($C$396)+4)="","",INDIRECT(C$46&amp;"!E"&amp;ROW()-ROW($C$396)+4))</f>
        <v>Numerical (Larger is better, log scale)</v>
      </c>
      <c r="L407" s="99" t="b">
        <f ca="1">IF(INDIRECT(C$46&amp;"!F"&amp;ROW()-ROW($C$396)+4)="","",INDIRECT(C$46&amp;"!F"&amp;ROW()-ROW($C$396)+4))</f>
        <v>0</v>
      </c>
      <c r="M407" s="99" t="b">
        <f ca="1">IF(INDIRECT(D$46&amp;"!F"&amp;ROW()-ROW($C$396)+4)="","",INDIRECT(D$46&amp;"!F"&amp;ROW()-ROW($C$396)+4))</f>
        <v>1</v>
      </c>
      <c r="N407" s="99"/>
      <c r="O407" s="99"/>
      <c r="P407" s="99" t="b">
        <f ca="1">INDIRECT(C$46&amp;"!B"&amp;ROW()-ROW($C$396)+4)=$B407</f>
        <v>1</v>
      </c>
      <c r="Q407" s="99" t="b">
        <f ca="1">INDIRECT(D$46&amp;"!B"&amp;ROW()-ROW($C$396)+4)=$B407</f>
        <v>1</v>
      </c>
      <c r="T407" s="99" t="str">
        <f ca="1">IF(NOT(ISERROR(MATCH(K407,'Lookup Tables'!A:A,0))),"Lookup",IF(OR(NOT(ISERROR(FIND("Numeric",K407))),NOT(ISERROR(FIND("Percentage",K407))),NOT(ISERROR(FIND("Date",K407)))),"Numeric",IF(NOT(ISERROR(FIND("lank",K407))),"Non-blank",IF(NOT(ISERROR(FIND("Not evaluated",K407))),"Skipped","Other"))))</f>
        <v>Numeric</v>
      </c>
      <c r="U407" s="101" t="str">
        <f t="shared" ca="1" si="128"/>
        <v/>
      </c>
      <c r="V407" s="101">
        <f t="shared" ca="1" si="129"/>
        <v>0.68861773354579914</v>
      </c>
      <c r="W407" s="101" t="str">
        <f t="shared" si="130"/>
        <v/>
      </c>
      <c r="X407" s="466" t="str">
        <f t="shared" si="131"/>
        <v/>
      </c>
      <c r="Y407" s="99">
        <f t="shared" si="123"/>
        <v>2</v>
      </c>
      <c r="Z407" s="99">
        <v>0</v>
      </c>
      <c r="AA407" s="99">
        <v>100</v>
      </c>
      <c r="AB407" s="159" t="s">
        <v>2186</v>
      </c>
      <c r="AC407" s="159" t="s">
        <v>2199</v>
      </c>
      <c r="AD407" s="107">
        <f t="shared" ca="1" si="126"/>
        <v>0.68861773354579914</v>
      </c>
      <c r="AE407" s="99" t="b">
        <f t="shared" ca="1" si="127"/>
        <v>0</v>
      </c>
      <c r="AF407" s="159" t="s">
        <v>2483</v>
      </c>
      <c r="AG407" s="783">
        <f>COUNTIF('VA Detailed Scorecard Config'!D:D,AF407)</f>
        <v>1</v>
      </c>
      <c r="AH407" s="99"/>
    </row>
    <row r="408" spans="2:34" ht="13.5" customHeight="1">
      <c r="B408" s="327" t="s">
        <v>1602</v>
      </c>
      <c r="C408" s="99" t="str">
        <f ca="1">IF(INDIRECT(C$46&amp;"!C"&amp;ROW()-ROW($C$396)+4)="","",INDIRECT(C$46&amp;"!C"&amp;ROW()-ROW($C$396)+4))</f>
        <v/>
      </c>
      <c r="D408" s="99">
        <f ca="1">IF(INDIRECT(D$46&amp;"!C"&amp;ROW()-ROW($C$396)+4)="","",INDIRECT(D$46&amp;"!C"&amp;ROW()-ROW($C$396)+4))</f>
        <v>2</v>
      </c>
      <c r="G408" s="99" t="str">
        <f ca="1">IF(INDIRECT(C$46&amp;"!D"&amp;ROW()-ROW($C$396)+4)="","",INDIRECT(C$46&amp;"!D"&amp;ROW()-ROW($C$396)+4))</f>
        <v/>
      </c>
      <c r="H408" s="99" t="str">
        <f ca="1">IF(INDIRECT(D$46&amp;"!D"&amp;ROW()-ROW($C$396)+4)="","",INDIRECT(D$46&amp;"!D"&amp;ROW()-ROW($C$396)+4))</f>
        <v/>
      </c>
      <c r="K408" s="99" t="str">
        <f ca="1">IF(INDIRECT(C$46&amp;"!E"&amp;ROW()-ROW($C$396)+4)="","",INDIRECT(C$46&amp;"!E"&amp;ROW()-ROW($C$396)+4))</f>
        <v>Numerical (Larger is better, log scale)</v>
      </c>
      <c r="L408" s="99" t="b">
        <f ca="1">IF(INDIRECT(C$46&amp;"!F"&amp;ROW()-ROW($C$396)+4)="","",INDIRECT(C$46&amp;"!F"&amp;ROW()-ROW($C$396)+4))</f>
        <v>0</v>
      </c>
      <c r="M408" s="99" t="b">
        <f ca="1">IF(INDIRECT(D$46&amp;"!F"&amp;ROW()-ROW($C$396)+4)="","",INDIRECT(D$46&amp;"!F"&amp;ROW()-ROW($C$396)+4))</f>
        <v>1</v>
      </c>
      <c r="N408" s="99"/>
      <c r="O408" s="99"/>
      <c r="P408" s="99" t="b">
        <f ca="1">INDIRECT(C$46&amp;"!B"&amp;ROW()-ROW($C$396)+4)=$B408</f>
        <v>1</v>
      </c>
      <c r="Q408" s="99" t="b">
        <f ca="1">INDIRECT(D$46&amp;"!B"&amp;ROW()-ROW($C$396)+4)=$B408</f>
        <v>1</v>
      </c>
      <c r="T408" s="99" t="str">
        <f ca="1">IF(NOT(ISERROR(MATCH(K408,'Lookup Tables'!A:A,0))),"Lookup",IF(OR(NOT(ISERROR(FIND("Numeric",K408))),NOT(ISERROR(FIND("Percentage",K408))),NOT(ISERROR(FIND("Date",K408)))),"Numeric",IF(NOT(ISERROR(FIND("lank",K408))),"Non-blank",IF(NOT(ISERROR(FIND("Not evaluated",K408))),"Skipped","Other"))))</f>
        <v>Numeric</v>
      </c>
      <c r="U408" s="101" t="str">
        <f t="shared" ca="1" si="128"/>
        <v/>
      </c>
      <c r="V408" s="101">
        <f t="shared" ca="1" si="129"/>
        <v>0.36084880671453018</v>
      </c>
      <c r="W408" s="101" t="str">
        <f t="shared" si="130"/>
        <v/>
      </c>
      <c r="X408" s="466" t="str">
        <f t="shared" si="131"/>
        <v/>
      </c>
      <c r="Y408" s="99">
        <f t="shared" si="123"/>
        <v>2</v>
      </c>
      <c r="Z408" s="99">
        <v>0</v>
      </c>
      <c r="AA408" s="99">
        <v>20</v>
      </c>
      <c r="AB408" s="159" t="s">
        <v>2186</v>
      </c>
      <c r="AC408" s="159" t="s">
        <v>2199</v>
      </c>
      <c r="AD408" s="107">
        <f t="shared" ca="1" si="126"/>
        <v>0.36084880671453018</v>
      </c>
      <c r="AE408" s="99" t="b">
        <f t="shared" ca="1" si="127"/>
        <v>0</v>
      </c>
      <c r="AF408" s="159" t="s">
        <v>2484</v>
      </c>
      <c r="AG408" s="783">
        <f>COUNTIF('VA Detailed Scorecard Config'!D:D,AF408)</f>
        <v>1</v>
      </c>
      <c r="AH408" s="99"/>
    </row>
    <row r="409" spans="2:34" ht="13.5" customHeight="1">
      <c r="B409" s="327" t="s">
        <v>1601</v>
      </c>
      <c r="C409" s="99" t="str">
        <f ca="1">IF(INDIRECT(C$46&amp;"!C"&amp;ROW()-ROW($C$396)+4)="","",INDIRECT(C$46&amp;"!C"&amp;ROW()-ROW($C$396)+4))</f>
        <v/>
      </c>
      <c r="D409" s="99">
        <f ca="1">IF(INDIRECT(D$46&amp;"!C"&amp;ROW()-ROW($C$396)+4)="","",INDIRECT(D$46&amp;"!C"&amp;ROW()-ROW($C$396)+4))</f>
        <v>2000</v>
      </c>
      <c r="G409" s="99" t="str">
        <f ca="1">IF(INDIRECT(C$46&amp;"!D"&amp;ROW()-ROW($C$396)+4)="","",INDIRECT(C$46&amp;"!D"&amp;ROW()-ROW($C$396)+4))</f>
        <v/>
      </c>
      <c r="H409" s="99" t="str">
        <f ca="1">IF(INDIRECT(D$46&amp;"!D"&amp;ROW()-ROW($C$396)+4)="","",INDIRECT(D$46&amp;"!D"&amp;ROW()-ROW($C$396)+4))</f>
        <v/>
      </c>
      <c r="K409" s="99" t="str">
        <f ca="1">IF(INDIRECT(C$46&amp;"!E"&amp;ROW()-ROW($C$396)+4)="","",INDIRECT(C$46&amp;"!E"&amp;ROW()-ROW($C$396)+4))</f>
        <v>Numerical (Larger is better, log scale)</v>
      </c>
      <c r="L409" s="99" t="b">
        <f ca="1">IF(INDIRECT(C$46&amp;"!F"&amp;ROW()-ROW($C$396)+4)="","",INDIRECT(C$46&amp;"!F"&amp;ROW()-ROW($C$396)+4))</f>
        <v>0</v>
      </c>
      <c r="M409" s="99" t="b">
        <f ca="1">IF(INDIRECT(D$46&amp;"!F"&amp;ROW()-ROW($C$396)+4)="","",INDIRECT(D$46&amp;"!F"&amp;ROW()-ROW($C$396)+4))</f>
        <v>1</v>
      </c>
      <c r="N409" s="99"/>
      <c r="O409" s="99"/>
      <c r="P409" s="99" t="b">
        <f ca="1">INDIRECT(C$46&amp;"!B"&amp;ROW()-ROW($C$396)+4)=$B409</f>
        <v>1</v>
      </c>
      <c r="Q409" s="99" t="b">
        <f ca="1">INDIRECT(D$46&amp;"!B"&amp;ROW()-ROW($C$396)+4)=$B409</f>
        <v>1</v>
      </c>
      <c r="T409" s="99" t="str">
        <f ca="1">IF(NOT(ISERROR(MATCH(K409,'Lookup Tables'!A:A,0))),"Lookup",IF(OR(NOT(ISERROR(FIND("Numeric",K409))),NOT(ISERROR(FIND("Percentage",K409))),NOT(ISERROR(FIND("Date",K409)))),"Numeric",IF(NOT(ISERROR(FIND("lank",K409))),"Non-blank",IF(NOT(ISERROR(FIND("Not evaluated",K409))),"Skipped","Other"))))</f>
        <v>Numeric</v>
      </c>
      <c r="U409" s="101" t="str">
        <f t="shared" ca="1" si="128"/>
        <v/>
      </c>
      <c r="V409" s="101">
        <f t="shared" ca="1" si="129"/>
        <v>0.82530281199562483</v>
      </c>
      <c r="W409" s="101" t="str">
        <f t="shared" si="130"/>
        <v/>
      </c>
      <c r="X409" s="466" t="str">
        <f t="shared" si="131"/>
        <v/>
      </c>
      <c r="Y409" s="99">
        <f t="shared" si="123"/>
        <v>2</v>
      </c>
      <c r="Z409" s="99">
        <v>0</v>
      </c>
      <c r="AA409" s="99">
        <v>10000</v>
      </c>
      <c r="AB409" s="159" t="s">
        <v>2186</v>
      </c>
      <c r="AC409" s="159" t="s">
        <v>2199</v>
      </c>
      <c r="AD409" s="107">
        <f t="shared" ca="1" si="126"/>
        <v>0.82530281199562483</v>
      </c>
      <c r="AE409" s="99" t="b">
        <f t="shared" ca="1" si="127"/>
        <v>0</v>
      </c>
      <c r="AF409" s="159" t="s">
        <v>2485</v>
      </c>
      <c r="AG409" s="783">
        <f>COUNTIF('VA Detailed Scorecard Config'!D:D,AF409)</f>
        <v>1</v>
      </c>
      <c r="AH409" s="99"/>
    </row>
    <row r="410" spans="2:34" ht="13.5" customHeight="1">
      <c r="B410" s="327" t="s">
        <v>1897</v>
      </c>
      <c r="C410" s="99" t="str">
        <f ca="1">IF(INDIRECT(C$46&amp;"!C"&amp;ROW()-ROW($C$396)+4)="","",INDIRECT(C$46&amp;"!C"&amp;ROW()-ROW($C$396)+4))</f>
        <v/>
      </c>
      <c r="D410" s="99">
        <f ca="1">IF(INDIRECT(D$46&amp;"!C"&amp;ROW()-ROW($C$396)+4)="","",INDIRECT(D$46&amp;"!C"&amp;ROW()-ROW($C$396)+4))</f>
        <v>4</v>
      </c>
      <c r="G410" s="99" t="str">
        <f ca="1">IF(INDIRECT(C$46&amp;"!D"&amp;ROW()-ROW($C$396)+4)="","",INDIRECT(C$46&amp;"!D"&amp;ROW()-ROW($C$396)+4))</f>
        <v/>
      </c>
      <c r="H410" s="99" t="str">
        <f ca="1">IF(INDIRECT(D$46&amp;"!D"&amp;ROW()-ROW($C$396)+4)="","",INDIRECT(D$46&amp;"!D"&amp;ROW()-ROW($C$396)+4))</f>
        <v/>
      </c>
      <c r="K410" s="99" t="str">
        <f ca="1">IF(INDIRECT(C$46&amp;"!E"&amp;ROW()-ROW($C$396)+4)="","",INDIRECT(C$46&amp;"!E"&amp;ROW()-ROW($C$396)+4))</f>
        <v>Generic_1_5</v>
      </c>
      <c r="L410" s="99" t="b">
        <f ca="1">IF(INDIRECT(C$46&amp;"!F"&amp;ROW()-ROW($C$396)+4)="","",INDIRECT(C$46&amp;"!F"&amp;ROW()-ROW($C$396)+4))</f>
        <v>0</v>
      </c>
      <c r="M410" s="99" t="b">
        <f ca="1">IF(INDIRECT(D$46&amp;"!F"&amp;ROW()-ROW($C$396)+4)="","",INDIRECT(D$46&amp;"!F"&amp;ROW()-ROW($C$396)+4))</f>
        <v>1</v>
      </c>
      <c r="N410" s="99"/>
      <c r="O410" s="99"/>
      <c r="P410" s="99" t="b">
        <f ca="1">INDIRECT(C$46&amp;"!B"&amp;ROW()-ROW($C$396)+4)=$B410</f>
        <v>1</v>
      </c>
      <c r="Q410" s="99" t="b">
        <f ca="1">INDIRECT(D$46&amp;"!B"&amp;ROW()-ROW($C$396)+4)=$B410</f>
        <v>1</v>
      </c>
      <c r="T410" s="37" t="str">
        <f ca="1">IF(NOT(ISERROR(MATCH(K410,'Lookup Tables'!A:A,0))),"Lookup",IF(OR(NOT(ISERROR(FIND("Numeric",K410))),NOT(ISERROR(FIND("Percentage",K410))),NOT(ISERROR(FIND("Date",K410)))),"Numeric",IF(NOT(ISERROR(FIND("lank",K410))),"Non-blank",IF(NOT(ISERROR(FIND("Not evaluated",K410))),"Skipped","Other"))))</f>
        <v>Lookup</v>
      </c>
      <c r="U410" s="461">
        <f t="shared" ref="U410:U419" ca="1" si="132">IF(COLUMN()-COLUMN($U$55)+1&lt;=$Y410,INDEX(OFFSET(INDIRECT($K410),0,1),MATCH(C410,INDIRECT($K410),0)),"")</f>
        <v>0</v>
      </c>
      <c r="V410" s="461">
        <f t="shared" ref="V410:V419" ca="1" si="133">IF(COLUMN()-COLUMN($U$55)+1&lt;=$Y410,INDEX(OFFSET(INDIRECT($K410),0,1),MATCH(D410,INDIRECT($K410),0)),"")</f>
        <v>0.75</v>
      </c>
      <c r="W410" s="461" t="str">
        <f t="shared" ref="W410:W419" ca="1" si="134">IF(COLUMN()-COLUMN($U$55)+1&lt;=$Y410,INDEX(OFFSET(INDIRECT($K410),0,1),MATCH(E410,INDIRECT($K410),0)),"")</f>
        <v/>
      </c>
      <c r="X410" s="465" t="str">
        <f t="shared" ref="X410:X419" ca="1" si="135">IF(COLUMN()-COLUMN($U$55)+1&lt;=$Y410,INDEX(OFFSET(INDIRECT($K410),0,1),MATCH(F410,INDIRECT($K410),0)),"")</f>
        <v/>
      </c>
      <c r="Y410" s="99">
        <f t="shared" si="123"/>
        <v>2</v>
      </c>
      <c r="Z410" s="99"/>
      <c r="AA410" s="99"/>
      <c r="AB410" s="99"/>
      <c r="AC410" s="159" t="s">
        <v>2199</v>
      </c>
      <c r="AD410" s="107">
        <f t="shared" ca="1" si="126"/>
        <v>0.75</v>
      </c>
      <c r="AE410" s="99" t="b">
        <f t="shared" ca="1" si="127"/>
        <v>0</v>
      </c>
      <c r="AF410" s="159" t="s">
        <v>2486</v>
      </c>
      <c r="AG410" s="783">
        <f>COUNTIF('VA Detailed Scorecard Config'!D:D,AF410)</f>
        <v>1</v>
      </c>
      <c r="AH410" s="99"/>
    </row>
    <row r="411" spans="2:34" ht="13.5" customHeight="1">
      <c r="B411" s="327" t="s">
        <v>1898</v>
      </c>
      <c r="C411" s="99" t="str">
        <f ca="1">IF(INDIRECT(C$46&amp;"!C"&amp;ROW()-ROW($C$396)+4)="","",INDIRECT(C$46&amp;"!C"&amp;ROW()-ROW($C$396)+4))</f>
        <v/>
      </c>
      <c r="D411" s="99">
        <f ca="1">IF(INDIRECT(D$46&amp;"!C"&amp;ROW()-ROW($C$396)+4)="","",INDIRECT(D$46&amp;"!C"&amp;ROW()-ROW($C$396)+4))</f>
        <v>3</v>
      </c>
      <c r="G411" s="99" t="str">
        <f ca="1">IF(INDIRECT(C$46&amp;"!D"&amp;ROW()-ROW($C$396)+4)="","",INDIRECT(C$46&amp;"!D"&amp;ROW()-ROW($C$396)+4))</f>
        <v/>
      </c>
      <c r="H411" s="99" t="str">
        <f ca="1">IF(INDIRECT(D$46&amp;"!D"&amp;ROW()-ROW($C$396)+4)="","",INDIRECT(D$46&amp;"!D"&amp;ROW()-ROW($C$396)+4))</f>
        <v/>
      </c>
      <c r="K411" s="99" t="str">
        <f ca="1">IF(INDIRECT(C$46&amp;"!E"&amp;ROW()-ROW($C$396)+4)="","",INDIRECT(C$46&amp;"!E"&amp;ROW()-ROW($C$396)+4))</f>
        <v>Generic_1_5</v>
      </c>
      <c r="L411" s="99" t="b">
        <f ca="1">IF(INDIRECT(C$46&amp;"!F"&amp;ROW()-ROW($C$396)+4)="","",INDIRECT(C$46&amp;"!F"&amp;ROW()-ROW($C$396)+4))</f>
        <v>0</v>
      </c>
      <c r="M411" s="99" t="b">
        <f ca="1">IF(INDIRECT(D$46&amp;"!F"&amp;ROW()-ROW($C$396)+4)="","",INDIRECT(D$46&amp;"!F"&amp;ROW()-ROW($C$396)+4))</f>
        <v>1</v>
      </c>
      <c r="N411" s="99"/>
      <c r="O411" s="99"/>
      <c r="P411" s="99" t="b">
        <f ca="1">INDIRECT(C$46&amp;"!B"&amp;ROW()-ROW($C$396)+4)=$B411</f>
        <v>1</v>
      </c>
      <c r="Q411" s="99" t="b">
        <f ca="1">INDIRECT(D$46&amp;"!B"&amp;ROW()-ROW($C$396)+4)=$B411</f>
        <v>1</v>
      </c>
      <c r="T411" s="37" t="str">
        <f ca="1">IF(NOT(ISERROR(MATCH(K411,'Lookup Tables'!A:A,0))),"Lookup",IF(OR(NOT(ISERROR(FIND("Numeric",K411))),NOT(ISERROR(FIND("Percentage",K411))),NOT(ISERROR(FIND("Date",K411)))),"Numeric",IF(NOT(ISERROR(FIND("lank",K411))),"Non-blank",IF(NOT(ISERROR(FIND("Not evaluated",K411))),"Skipped","Other"))))</f>
        <v>Lookup</v>
      </c>
      <c r="U411" s="461">
        <f t="shared" ca="1" si="132"/>
        <v>0</v>
      </c>
      <c r="V411" s="461">
        <f t="shared" ca="1" si="133"/>
        <v>0.5</v>
      </c>
      <c r="W411" s="461" t="str">
        <f t="shared" ca="1" si="134"/>
        <v/>
      </c>
      <c r="X411" s="465" t="str">
        <f t="shared" ca="1" si="135"/>
        <v/>
      </c>
      <c r="Y411" s="99">
        <f t="shared" si="123"/>
        <v>2</v>
      </c>
      <c r="Z411" s="99"/>
      <c r="AA411" s="99"/>
      <c r="AB411" s="99"/>
      <c r="AC411" s="159" t="s">
        <v>2199</v>
      </c>
      <c r="AD411" s="107">
        <f t="shared" ca="1" si="126"/>
        <v>0.5</v>
      </c>
      <c r="AE411" s="99" t="b">
        <f t="shared" ca="1" si="127"/>
        <v>0</v>
      </c>
      <c r="AF411" s="159" t="s">
        <v>2487</v>
      </c>
      <c r="AG411" s="783">
        <f>COUNTIF('VA Detailed Scorecard Config'!D:D,AF411)</f>
        <v>1</v>
      </c>
      <c r="AH411" s="99"/>
    </row>
    <row r="412" spans="2:34" ht="13.5" customHeight="1">
      <c r="B412" s="327" t="s">
        <v>2039</v>
      </c>
      <c r="C412" s="99" t="str">
        <f ca="1">IF(INDIRECT(C$46&amp;"!C"&amp;ROW()-ROW($C$396)+4)="","",INDIRECT(C$46&amp;"!C"&amp;ROW()-ROW($C$396)+4))</f>
        <v/>
      </c>
      <c r="D412" s="99">
        <f ca="1">IF(INDIRECT(D$46&amp;"!C"&amp;ROW()-ROW($C$396)+4)="","",INDIRECT(D$46&amp;"!C"&amp;ROW()-ROW($C$396)+4))</f>
        <v>4</v>
      </c>
      <c r="G412" s="99" t="str">
        <f ca="1">IF(INDIRECT(C$46&amp;"!D"&amp;ROW()-ROW($C$396)+4)="","",INDIRECT(C$46&amp;"!D"&amp;ROW()-ROW($C$396)+4))</f>
        <v/>
      </c>
      <c r="H412" s="99" t="str">
        <f ca="1">IF(INDIRECT(D$46&amp;"!D"&amp;ROW()-ROW($C$396)+4)="","",INDIRECT(D$46&amp;"!D"&amp;ROW()-ROW($C$396)+4))</f>
        <v/>
      </c>
      <c r="K412" s="99" t="str">
        <f ca="1">IF(INDIRECT(C$46&amp;"!E"&amp;ROW()-ROW($C$396)+4)="","",INDIRECT(C$46&amp;"!E"&amp;ROW()-ROW($C$396)+4))</f>
        <v>Disagree_Agree_1_5</v>
      </c>
      <c r="L412" s="99" t="b">
        <f ca="1">IF(INDIRECT(C$46&amp;"!F"&amp;ROW()-ROW($C$396)+4)="","",INDIRECT(C$46&amp;"!F"&amp;ROW()-ROW($C$396)+4))</f>
        <v>0</v>
      </c>
      <c r="M412" s="99" t="b">
        <f ca="1">IF(INDIRECT(D$46&amp;"!F"&amp;ROW()-ROW($C$396)+4)="","",INDIRECT(D$46&amp;"!F"&amp;ROW()-ROW($C$396)+4))</f>
        <v>1</v>
      </c>
      <c r="N412" s="99"/>
      <c r="O412" s="99"/>
      <c r="P412" s="99" t="b">
        <f ca="1">INDIRECT(C$46&amp;"!B"&amp;ROW()-ROW($C$396)+4)=$B412</f>
        <v>1</v>
      </c>
      <c r="Q412" s="99" t="b">
        <f ca="1">INDIRECT(D$46&amp;"!B"&amp;ROW()-ROW($C$396)+4)=$B412</f>
        <v>1</v>
      </c>
      <c r="T412" s="37" t="str">
        <f ca="1">IF(NOT(ISERROR(MATCH(K412,'Lookup Tables'!A:A,0))),"Lookup",IF(OR(NOT(ISERROR(FIND("Numeric",K412))),NOT(ISERROR(FIND("Percentage",K412))),NOT(ISERROR(FIND("Date",K412)))),"Numeric",IF(NOT(ISERROR(FIND("lank",K412))),"Non-blank",IF(NOT(ISERROR(FIND("Not evaluated",K412))),"Skipped","Other"))))</f>
        <v>Lookup</v>
      </c>
      <c r="U412" s="461">
        <f t="shared" ca="1" si="132"/>
        <v>0</v>
      </c>
      <c r="V412" s="461">
        <f t="shared" ca="1" si="133"/>
        <v>0.75</v>
      </c>
      <c r="W412" s="461" t="str">
        <f t="shared" ca="1" si="134"/>
        <v/>
      </c>
      <c r="X412" s="465" t="str">
        <f t="shared" ca="1" si="135"/>
        <v/>
      </c>
      <c r="Y412" s="99">
        <f t="shared" si="123"/>
        <v>2</v>
      </c>
      <c r="Z412" s="99"/>
      <c r="AA412" s="99"/>
      <c r="AB412" s="99"/>
      <c r="AC412" s="159" t="s">
        <v>2199</v>
      </c>
      <c r="AD412" s="107">
        <f t="shared" ca="1" si="126"/>
        <v>0.75</v>
      </c>
      <c r="AE412" s="99" t="b">
        <f t="shared" ca="1" si="127"/>
        <v>0</v>
      </c>
      <c r="AF412" s="159" t="s">
        <v>2488</v>
      </c>
      <c r="AG412" s="783">
        <f>COUNTIF('VA Detailed Scorecard Config'!D:D,AF412)</f>
        <v>1</v>
      </c>
      <c r="AH412" s="99"/>
    </row>
    <row r="413" spans="2:34" ht="13.5" customHeight="1">
      <c r="B413" s="327" t="s">
        <v>2040</v>
      </c>
      <c r="C413" s="99" t="str">
        <f ca="1">IF(INDIRECT(C$46&amp;"!C"&amp;ROW()-ROW($C$396)+4)="","",INDIRECT(C$46&amp;"!C"&amp;ROW()-ROW($C$396)+4))</f>
        <v/>
      </c>
      <c r="D413" s="99">
        <f ca="1">IF(INDIRECT(D$46&amp;"!C"&amp;ROW()-ROW($C$396)+4)="","",INDIRECT(D$46&amp;"!C"&amp;ROW()-ROW($C$396)+4))</f>
        <v>4</v>
      </c>
      <c r="G413" s="99" t="str">
        <f ca="1">IF(INDIRECT(C$46&amp;"!D"&amp;ROW()-ROW($C$396)+4)="","",INDIRECT(C$46&amp;"!D"&amp;ROW()-ROW($C$396)+4))</f>
        <v/>
      </c>
      <c r="H413" s="99" t="str">
        <f ca="1">IF(INDIRECT(D$46&amp;"!D"&amp;ROW()-ROW($C$396)+4)="","",INDIRECT(D$46&amp;"!D"&amp;ROW()-ROW($C$396)+4))</f>
        <v/>
      </c>
      <c r="K413" s="99" t="str">
        <f ca="1">IF(INDIRECT(C$46&amp;"!E"&amp;ROW()-ROW($C$396)+4)="","",INDIRECT(C$46&amp;"!E"&amp;ROW()-ROW($C$396)+4))</f>
        <v>Disagree_Agree_1_5</v>
      </c>
      <c r="L413" s="99" t="b">
        <f ca="1">IF(INDIRECT(C$46&amp;"!F"&amp;ROW()-ROW($C$396)+4)="","",INDIRECT(C$46&amp;"!F"&amp;ROW()-ROW($C$396)+4))</f>
        <v>0</v>
      </c>
      <c r="M413" s="99" t="b">
        <f ca="1">IF(INDIRECT(D$46&amp;"!F"&amp;ROW()-ROW($C$396)+4)="","",INDIRECT(D$46&amp;"!F"&amp;ROW()-ROW($C$396)+4))</f>
        <v>1</v>
      </c>
      <c r="N413" s="99"/>
      <c r="O413" s="99"/>
      <c r="P413" s="99" t="b">
        <f ca="1">INDIRECT(C$46&amp;"!B"&amp;ROW()-ROW($C$396)+4)=$B413</f>
        <v>1</v>
      </c>
      <c r="Q413" s="99" t="b">
        <f ca="1">INDIRECT(D$46&amp;"!B"&amp;ROW()-ROW($C$396)+4)=$B413</f>
        <v>1</v>
      </c>
      <c r="T413" s="37" t="str">
        <f ca="1">IF(NOT(ISERROR(MATCH(K413,'Lookup Tables'!A:A,0))),"Lookup",IF(OR(NOT(ISERROR(FIND("Numeric",K413))),NOT(ISERROR(FIND("Percentage",K413))),NOT(ISERROR(FIND("Date",K413)))),"Numeric",IF(NOT(ISERROR(FIND("lank",K413))),"Non-blank",IF(NOT(ISERROR(FIND("Not evaluated",K413))),"Skipped","Other"))))</f>
        <v>Lookup</v>
      </c>
      <c r="U413" s="461">
        <f t="shared" ca="1" si="132"/>
        <v>0</v>
      </c>
      <c r="V413" s="461">
        <f t="shared" ca="1" si="133"/>
        <v>0.75</v>
      </c>
      <c r="W413" s="461" t="str">
        <f t="shared" ca="1" si="134"/>
        <v/>
      </c>
      <c r="X413" s="465" t="str">
        <f t="shared" ca="1" si="135"/>
        <v/>
      </c>
      <c r="Y413" s="99">
        <f t="shared" si="123"/>
        <v>2</v>
      </c>
      <c r="Z413" s="99"/>
      <c r="AA413" s="99"/>
      <c r="AB413" s="99"/>
      <c r="AC413" s="159" t="s">
        <v>2199</v>
      </c>
      <c r="AD413" s="107">
        <f t="shared" ca="1" si="126"/>
        <v>0.75</v>
      </c>
      <c r="AE413" s="99" t="b">
        <f t="shared" ca="1" si="127"/>
        <v>0</v>
      </c>
      <c r="AF413" s="159" t="s">
        <v>2489</v>
      </c>
      <c r="AG413" s="783">
        <f>COUNTIF('VA Detailed Scorecard Config'!D:D,AF413)</f>
        <v>1</v>
      </c>
      <c r="AH413" s="99"/>
    </row>
    <row r="414" spans="2:34" ht="13.5" customHeight="1">
      <c r="B414" s="327" t="s">
        <v>2041</v>
      </c>
      <c r="C414" s="99" t="str">
        <f ca="1">IF(INDIRECT(C$46&amp;"!C"&amp;ROW()-ROW($C$396)+4)="","",INDIRECT(C$46&amp;"!C"&amp;ROW()-ROW($C$396)+4))</f>
        <v/>
      </c>
      <c r="D414" s="99">
        <f ca="1">IF(INDIRECT(D$46&amp;"!C"&amp;ROW()-ROW($C$396)+4)="","",INDIRECT(D$46&amp;"!C"&amp;ROW()-ROW($C$396)+4))</f>
        <v>4</v>
      </c>
      <c r="G414" s="99" t="str">
        <f ca="1">IF(INDIRECT(C$46&amp;"!D"&amp;ROW()-ROW($C$396)+4)="","",INDIRECT(C$46&amp;"!D"&amp;ROW()-ROW($C$396)+4))</f>
        <v/>
      </c>
      <c r="H414" s="99" t="str">
        <f ca="1">IF(INDIRECT(D$46&amp;"!D"&amp;ROW()-ROW($C$396)+4)="","",INDIRECT(D$46&amp;"!D"&amp;ROW()-ROW($C$396)+4))</f>
        <v/>
      </c>
      <c r="K414" s="99" t="str">
        <f ca="1">IF(INDIRECT(C$46&amp;"!E"&amp;ROW()-ROW($C$396)+4)="","",INDIRECT(C$46&amp;"!E"&amp;ROW()-ROW($C$396)+4))</f>
        <v>Disagree_Agree_1_5</v>
      </c>
      <c r="L414" s="99" t="b">
        <f ca="1">IF(INDIRECT(C$46&amp;"!F"&amp;ROW()-ROW($C$396)+4)="","",INDIRECT(C$46&amp;"!F"&amp;ROW()-ROW($C$396)+4))</f>
        <v>0</v>
      </c>
      <c r="M414" s="99" t="b">
        <f ca="1">IF(INDIRECT(D$46&amp;"!F"&amp;ROW()-ROW($C$396)+4)="","",INDIRECT(D$46&amp;"!F"&amp;ROW()-ROW($C$396)+4))</f>
        <v>1</v>
      </c>
      <c r="N414" s="99"/>
      <c r="O414" s="99"/>
      <c r="P414" s="99" t="b">
        <f ca="1">INDIRECT(C$46&amp;"!B"&amp;ROW()-ROW($C$396)+4)=$B414</f>
        <v>1</v>
      </c>
      <c r="Q414" s="99" t="b">
        <f ca="1">INDIRECT(D$46&amp;"!B"&amp;ROW()-ROW($C$396)+4)=$B414</f>
        <v>1</v>
      </c>
      <c r="T414" s="37" t="str">
        <f ca="1">IF(NOT(ISERROR(MATCH(K414,'Lookup Tables'!A:A,0))),"Lookup",IF(OR(NOT(ISERROR(FIND("Numeric",K414))),NOT(ISERROR(FIND("Percentage",K414))),NOT(ISERROR(FIND("Date",K414)))),"Numeric",IF(NOT(ISERROR(FIND("lank",K414))),"Non-blank",IF(NOT(ISERROR(FIND("Not evaluated",K414))),"Skipped","Other"))))</f>
        <v>Lookup</v>
      </c>
      <c r="U414" s="461">
        <f t="shared" ca="1" si="132"/>
        <v>0</v>
      </c>
      <c r="V414" s="461">
        <f t="shared" ca="1" si="133"/>
        <v>0.75</v>
      </c>
      <c r="W414" s="461" t="str">
        <f t="shared" ca="1" si="134"/>
        <v/>
      </c>
      <c r="X414" s="465" t="str">
        <f t="shared" ca="1" si="135"/>
        <v/>
      </c>
      <c r="Y414" s="99">
        <f t="shared" si="123"/>
        <v>2</v>
      </c>
      <c r="Z414" s="99"/>
      <c r="AA414" s="99"/>
      <c r="AB414" s="99"/>
      <c r="AC414" s="159" t="s">
        <v>2199</v>
      </c>
      <c r="AD414" s="107">
        <f t="shared" ca="1" si="126"/>
        <v>0.75</v>
      </c>
      <c r="AE414" s="99" t="b">
        <f t="shared" ca="1" si="127"/>
        <v>0</v>
      </c>
      <c r="AF414" s="159" t="s">
        <v>2490</v>
      </c>
      <c r="AG414" s="783">
        <f>COUNTIF('VA Detailed Scorecard Config'!D:D,AF414)</f>
        <v>1</v>
      </c>
      <c r="AH414" s="99"/>
    </row>
    <row r="415" spans="2:34" ht="13.5" customHeight="1">
      <c r="B415" s="327" t="s">
        <v>2042</v>
      </c>
      <c r="C415" s="99" t="str">
        <f ca="1">IF(INDIRECT(C$46&amp;"!C"&amp;ROW()-ROW($C$396)+4)="","",INDIRECT(C$46&amp;"!C"&amp;ROW()-ROW($C$396)+4))</f>
        <v/>
      </c>
      <c r="D415" s="99" t="str">
        <f ca="1">IF(INDIRECT(D$46&amp;"!C"&amp;ROW()-ROW($C$396)+4)="","",INDIRECT(D$46&amp;"!C"&amp;ROW()-ROW($C$396)+4))</f>
        <v>Insufficient info to judge</v>
      </c>
      <c r="G415" s="99" t="str">
        <f ca="1">IF(INDIRECT(C$46&amp;"!D"&amp;ROW()-ROW($C$396)+4)="","",INDIRECT(C$46&amp;"!D"&amp;ROW()-ROW($C$396)+4))</f>
        <v/>
      </c>
      <c r="H415" s="99" t="str">
        <f ca="1">IF(INDIRECT(D$46&amp;"!D"&amp;ROW()-ROW($C$396)+4)="","",INDIRECT(D$46&amp;"!D"&amp;ROW()-ROW($C$396)+4))</f>
        <v/>
      </c>
      <c r="K415" s="99" t="str">
        <f ca="1">IF(INDIRECT(C$46&amp;"!E"&amp;ROW()-ROW($C$396)+4)="","",INDIRECT(C$46&amp;"!E"&amp;ROW()-ROW($C$396)+4))</f>
        <v>Disagree_Agree_1_5</v>
      </c>
      <c r="L415" s="99" t="b">
        <f ca="1">IF(INDIRECT(C$46&amp;"!F"&amp;ROW()-ROW($C$396)+4)="","",INDIRECT(C$46&amp;"!F"&amp;ROW()-ROW($C$396)+4))</f>
        <v>0</v>
      </c>
      <c r="M415" s="99" t="b">
        <f ca="1">IF(INDIRECT(D$46&amp;"!F"&amp;ROW()-ROW($C$396)+4)="","",INDIRECT(D$46&amp;"!F"&amp;ROW()-ROW($C$396)+4))</f>
        <v>1</v>
      </c>
      <c r="N415" s="99"/>
      <c r="O415" s="99"/>
      <c r="P415" s="99" t="b">
        <f ca="1">INDIRECT(C$46&amp;"!B"&amp;ROW()-ROW($C$396)+4)=$B415</f>
        <v>1</v>
      </c>
      <c r="Q415" s="99" t="b">
        <f ca="1">INDIRECT(D$46&amp;"!B"&amp;ROW()-ROW($C$396)+4)=$B415</f>
        <v>1</v>
      </c>
      <c r="T415" s="37" t="str">
        <f ca="1">IF(NOT(ISERROR(MATCH(K415,'Lookup Tables'!A:A,0))),"Lookup",IF(OR(NOT(ISERROR(FIND("Numeric",K415))),NOT(ISERROR(FIND("Percentage",K415))),NOT(ISERROR(FIND("Date",K415)))),"Numeric",IF(NOT(ISERROR(FIND("lank",K415))),"Non-blank",IF(NOT(ISERROR(FIND("Not evaluated",K415))),"Skipped","Other"))))</f>
        <v>Lookup</v>
      </c>
      <c r="U415" s="461">
        <f t="shared" ca="1" si="132"/>
        <v>0</v>
      </c>
      <c r="V415" s="461">
        <f t="shared" ca="1" si="133"/>
        <v>0</v>
      </c>
      <c r="W415" s="461" t="str">
        <f t="shared" ca="1" si="134"/>
        <v/>
      </c>
      <c r="X415" s="465" t="str">
        <f t="shared" ca="1" si="135"/>
        <v/>
      </c>
      <c r="Y415" s="99">
        <f t="shared" si="123"/>
        <v>2</v>
      </c>
      <c r="Z415" s="99"/>
      <c r="AA415" s="99"/>
      <c r="AB415" s="99"/>
      <c r="AC415" s="159" t="s">
        <v>2199</v>
      </c>
      <c r="AD415" s="107">
        <f t="shared" ca="1" si="126"/>
        <v>0</v>
      </c>
      <c r="AE415" s="99" t="b">
        <f t="shared" ca="1" si="127"/>
        <v>0</v>
      </c>
      <c r="AF415" s="159" t="s">
        <v>2491</v>
      </c>
      <c r="AG415" s="783">
        <f>COUNTIF('VA Detailed Scorecard Config'!D:D,AF415)</f>
        <v>1</v>
      </c>
      <c r="AH415" s="99"/>
    </row>
    <row r="416" spans="2:34" ht="13.5" customHeight="1">
      <c r="B416" s="327" t="s">
        <v>2043</v>
      </c>
      <c r="C416" s="99" t="str">
        <f ca="1">IF(INDIRECT(C$46&amp;"!C"&amp;ROW()-ROW($C$396)+4)="","",INDIRECT(C$46&amp;"!C"&amp;ROW()-ROW($C$396)+4))</f>
        <v/>
      </c>
      <c r="D416" s="99">
        <f ca="1">IF(INDIRECT(D$46&amp;"!C"&amp;ROW()-ROW($C$396)+4)="","",INDIRECT(D$46&amp;"!C"&amp;ROW()-ROW($C$396)+4))</f>
        <v>4</v>
      </c>
      <c r="G416" s="99" t="str">
        <f ca="1">IF(INDIRECT(C$46&amp;"!D"&amp;ROW()-ROW($C$396)+4)="","",INDIRECT(C$46&amp;"!D"&amp;ROW()-ROW($C$396)+4))</f>
        <v/>
      </c>
      <c r="H416" s="99" t="str">
        <f ca="1">IF(INDIRECT(D$46&amp;"!D"&amp;ROW()-ROW($C$396)+4)="","",INDIRECT(D$46&amp;"!D"&amp;ROW()-ROW($C$396)+4))</f>
        <v/>
      </c>
      <c r="K416" s="99" t="str">
        <f ca="1">IF(INDIRECT(C$46&amp;"!E"&amp;ROW()-ROW($C$396)+4)="","",INDIRECT(C$46&amp;"!E"&amp;ROW()-ROW($C$396)+4))</f>
        <v>Disagree_Agree_1_5</v>
      </c>
      <c r="L416" s="99" t="b">
        <f ca="1">IF(INDIRECT(C$46&amp;"!F"&amp;ROW()-ROW($C$396)+4)="","",INDIRECT(C$46&amp;"!F"&amp;ROW()-ROW($C$396)+4))</f>
        <v>0</v>
      </c>
      <c r="M416" s="99" t="b">
        <f ca="1">IF(INDIRECT(D$46&amp;"!F"&amp;ROW()-ROW($C$396)+4)="","",INDIRECT(D$46&amp;"!F"&amp;ROW()-ROW($C$396)+4))</f>
        <v>1</v>
      </c>
      <c r="N416" s="99"/>
      <c r="O416" s="99"/>
      <c r="P416" s="99" t="b">
        <f ca="1">INDIRECT(C$46&amp;"!B"&amp;ROW()-ROW($C$396)+4)=$B416</f>
        <v>1</v>
      </c>
      <c r="Q416" s="99" t="b">
        <f ca="1">INDIRECT(D$46&amp;"!B"&amp;ROW()-ROW($C$396)+4)=$B416</f>
        <v>1</v>
      </c>
      <c r="T416" s="37" t="str">
        <f ca="1">IF(NOT(ISERROR(MATCH(K416,'Lookup Tables'!A:A,0))),"Lookup",IF(OR(NOT(ISERROR(FIND("Numeric",K416))),NOT(ISERROR(FIND("Percentage",K416))),NOT(ISERROR(FIND("Date",K416)))),"Numeric",IF(NOT(ISERROR(FIND("lank",K416))),"Non-blank",IF(NOT(ISERROR(FIND("Not evaluated",K416))),"Skipped","Other"))))</f>
        <v>Lookup</v>
      </c>
      <c r="U416" s="461">
        <f t="shared" ca="1" si="132"/>
        <v>0</v>
      </c>
      <c r="V416" s="461">
        <f t="shared" ca="1" si="133"/>
        <v>0.75</v>
      </c>
      <c r="W416" s="461" t="str">
        <f t="shared" ca="1" si="134"/>
        <v/>
      </c>
      <c r="X416" s="465" t="str">
        <f t="shared" ca="1" si="135"/>
        <v/>
      </c>
      <c r="Y416" s="99">
        <f t="shared" si="123"/>
        <v>2</v>
      </c>
      <c r="Z416" s="99"/>
      <c r="AA416" s="99"/>
      <c r="AB416" s="99"/>
      <c r="AC416" s="159" t="s">
        <v>2199</v>
      </c>
      <c r="AD416" s="107">
        <f t="shared" ca="1" si="126"/>
        <v>0.75</v>
      </c>
      <c r="AE416" s="99" t="b">
        <f t="shared" ca="1" si="127"/>
        <v>0</v>
      </c>
      <c r="AF416" s="159" t="s">
        <v>2492</v>
      </c>
      <c r="AG416" s="783">
        <f>COUNTIF('VA Detailed Scorecard Config'!D:D,AF416)</f>
        <v>1</v>
      </c>
      <c r="AH416" s="99"/>
    </row>
    <row r="417" spans="2:34" ht="13.5" customHeight="1">
      <c r="B417" s="327" t="s">
        <v>2044</v>
      </c>
      <c r="C417" s="99" t="str">
        <f ca="1">IF(INDIRECT(C$46&amp;"!C"&amp;ROW()-ROW($C$396)+4)="","",INDIRECT(C$46&amp;"!C"&amp;ROW()-ROW($C$396)+4))</f>
        <v/>
      </c>
      <c r="D417" s="99" t="str">
        <f ca="1">IF(INDIRECT(D$46&amp;"!C"&amp;ROW()-ROW($C$396)+4)="","",INDIRECT(D$46&amp;"!C"&amp;ROW()-ROW($C$396)+4))</f>
        <v>5 - Completely Agree</v>
      </c>
      <c r="G417" s="99" t="str">
        <f ca="1">IF(INDIRECT(C$46&amp;"!D"&amp;ROW()-ROW($C$396)+4)="","",INDIRECT(C$46&amp;"!D"&amp;ROW()-ROW($C$396)+4))</f>
        <v/>
      </c>
      <c r="H417" s="99" t="str">
        <f ca="1">IF(INDIRECT(D$46&amp;"!D"&amp;ROW()-ROW($C$396)+4)="","",INDIRECT(D$46&amp;"!D"&amp;ROW()-ROW($C$396)+4))</f>
        <v/>
      </c>
      <c r="K417" s="99" t="str">
        <f ca="1">IF(INDIRECT(C$46&amp;"!E"&amp;ROW()-ROW($C$396)+4)="","",INDIRECT(C$46&amp;"!E"&amp;ROW()-ROW($C$396)+4))</f>
        <v>Disagree_Agree_1_5</v>
      </c>
      <c r="L417" s="99" t="b">
        <f ca="1">IF(INDIRECT(C$46&amp;"!F"&amp;ROW()-ROW($C$396)+4)="","",INDIRECT(C$46&amp;"!F"&amp;ROW()-ROW($C$396)+4))</f>
        <v>0</v>
      </c>
      <c r="M417" s="99" t="b">
        <f ca="1">IF(INDIRECT(D$46&amp;"!F"&amp;ROW()-ROW($C$396)+4)="","",INDIRECT(D$46&amp;"!F"&amp;ROW()-ROW($C$396)+4))</f>
        <v>1</v>
      </c>
      <c r="N417" s="99"/>
      <c r="O417" s="99"/>
      <c r="P417" s="99" t="b">
        <f ca="1">INDIRECT(C$46&amp;"!B"&amp;ROW()-ROW($C$396)+4)=$B417</f>
        <v>1</v>
      </c>
      <c r="Q417" s="99" t="b">
        <f ca="1">INDIRECT(D$46&amp;"!B"&amp;ROW()-ROW($C$396)+4)=$B417</f>
        <v>1</v>
      </c>
      <c r="T417" s="37" t="str">
        <f ca="1">IF(NOT(ISERROR(MATCH(K417,'Lookup Tables'!A:A,0))),"Lookup",IF(OR(NOT(ISERROR(FIND("Numeric",K417))),NOT(ISERROR(FIND("Percentage",K417))),NOT(ISERROR(FIND("Date",K417)))),"Numeric",IF(NOT(ISERROR(FIND("lank",K417))),"Non-blank",IF(NOT(ISERROR(FIND("Not evaluated",K417))),"Skipped","Other"))))</f>
        <v>Lookup</v>
      </c>
      <c r="U417" s="461">
        <f t="shared" ca="1" si="132"/>
        <v>0</v>
      </c>
      <c r="V417" s="461">
        <f t="shared" ca="1" si="133"/>
        <v>1</v>
      </c>
      <c r="W417" s="461" t="str">
        <f t="shared" ca="1" si="134"/>
        <v/>
      </c>
      <c r="X417" s="465" t="str">
        <f t="shared" ca="1" si="135"/>
        <v/>
      </c>
      <c r="Y417" s="99">
        <f t="shared" si="123"/>
        <v>2</v>
      </c>
      <c r="Z417" s="99"/>
      <c r="AA417" s="99"/>
      <c r="AB417" s="99"/>
      <c r="AC417" s="159" t="s">
        <v>2199</v>
      </c>
      <c r="AD417" s="107">
        <f t="shared" ca="1" si="126"/>
        <v>1</v>
      </c>
      <c r="AE417" s="99" t="b">
        <f t="shared" ca="1" si="127"/>
        <v>0</v>
      </c>
      <c r="AF417" s="159" t="s">
        <v>2493</v>
      </c>
      <c r="AG417" s="783">
        <f>COUNTIF('VA Detailed Scorecard Config'!D:D,AF417)</f>
        <v>1</v>
      </c>
      <c r="AH417" s="99"/>
    </row>
    <row r="418" spans="2:34" ht="13.5" customHeight="1">
      <c r="B418" s="327" t="s">
        <v>1535</v>
      </c>
      <c r="C418" s="99" t="str">
        <f ca="1">IF(INDIRECT(C$46&amp;"!C"&amp;ROW()-ROW($C$396)+4)="","",INDIRECT(C$46&amp;"!C"&amp;ROW()-ROW($C$396)+4))</f>
        <v/>
      </c>
      <c r="D418" s="99" t="str">
        <f ca="1">IF(INDIRECT(D$46&amp;"!C"&amp;ROW()-ROW($C$396)+4)="","",INDIRECT(D$46&amp;"!C"&amp;ROW()-ROW($C$396)+4))</f>
        <v>Yes</v>
      </c>
      <c r="G418" s="99" t="str">
        <f ca="1">IF(INDIRECT(C$46&amp;"!D"&amp;ROW()-ROW($C$396)+4)="","",INDIRECT(C$46&amp;"!D"&amp;ROW()-ROW($C$396)+4))</f>
        <v/>
      </c>
      <c r="H418" s="99" t="str">
        <f ca="1">IF(INDIRECT(D$46&amp;"!D"&amp;ROW()-ROW($C$396)+4)="","",INDIRECT(D$46&amp;"!D"&amp;ROW()-ROW($C$396)+4))</f>
        <v/>
      </c>
      <c r="K418" s="99" t="str">
        <f ca="1">IF(INDIRECT(C$46&amp;"!E"&amp;ROW()-ROW($C$396)+4)="","",INDIRECT(C$46&amp;"!E"&amp;ROW()-ROW($C$396)+4))</f>
        <v>YES_No</v>
      </c>
      <c r="L418" s="99" t="b">
        <f ca="1">IF(INDIRECT(C$46&amp;"!F"&amp;ROW()-ROW($C$396)+4)="","",INDIRECT(C$46&amp;"!F"&amp;ROW()-ROW($C$396)+4))</f>
        <v>0</v>
      </c>
      <c r="M418" s="99" t="b">
        <f ca="1">IF(INDIRECT(D$46&amp;"!F"&amp;ROW()-ROW($C$396)+4)="","",INDIRECT(D$46&amp;"!F"&amp;ROW()-ROW($C$396)+4))</f>
        <v>1</v>
      </c>
      <c r="N418" s="99"/>
      <c r="O418" s="99"/>
      <c r="P418" s="99" t="b">
        <f ca="1">INDIRECT(C$46&amp;"!B"&amp;ROW()-ROW($C$396)+4)=$B418</f>
        <v>1</v>
      </c>
      <c r="Q418" s="99" t="b">
        <f ca="1">INDIRECT(D$46&amp;"!B"&amp;ROW()-ROW($C$396)+4)=$B418</f>
        <v>1</v>
      </c>
      <c r="T418" s="37" t="str">
        <f ca="1">IF(NOT(ISERROR(MATCH(K418,'Lookup Tables'!A:A,0))),"Lookup",IF(OR(NOT(ISERROR(FIND("Numeric",K418))),NOT(ISERROR(FIND("Percentage",K418))),NOT(ISERROR(FIND("Date",K418)))),"Numeric",IF(NOT(ISERROR(FIND("lank",K418))),"Non-blank",IF(NOT(ISERROR(FIND("Not evaluated",K418))),"Skipped","Other"))))</f>
        <v>Lookup</v>
      </c>
      <c r="U418" s="461">
        <f t="shared" ca="1" si="132"/>
        <v>0</v>
      </c>
      <c r="V418" s="461">
        <f t="shared" ca="1" si="133"/>
        <v>1</v>
      </c>
      <c r="W418" s="461" t="str">
        <f t="shared" ca="1" si="134"/>
        <v/>
      </c>
      <c r="X418" s="465" t="str">
        <f t="shared" ca="1" si="135"/>
        <v/>
      </c>
      <c r="Y418" s="99">
        <f t="shared" si="123"/>
        <v>2</v>
      </c>
      <c r="Z418" s="99"/>
      <c r="AA418" s="99"/>
      <c r="AB418" s="99"/>
      <c r="AC418" s="159" t="s">
        <v>2199</v>
      </c>
      <c r="AD418" s="107">
        <f t="shared" ca="1" si="126"/>
        <v>1</v>
      </c>
      <c r="AE418" s="99" t="b">
        <f t="shared" ca="1" si="127"/>
        <v>0</v>
      </c>
      <c r="AF418" s="159" t="s">
        <v>2494</v>
      </c>
      <c r="AG418" s="783">
        <f>COUNTIF('VA Detailed Scorecard Config'!D:D,AF418)</f>
        <v>1</v>
      </c>
      <c r="AH418" s="99"/>
    </row>
    <row r="419" spans="2:34" ht="13.5" customHeight="1">
      <c r="B419" s="327" t="s">
        <v>1534</v>
      </c>
      <c r="C419" s="99" t="str">
        <f ca="1">IF(INDIRECT(C$46&amp;"!C"&amp;ROW()-ROW($C$396)+4)="","",INDIRECT(C$46&amp;"!C"&amp;ROW()-ROW($C$396)+4))</f>
        <v/>
      </c>
      <c r="D419" s="99">
        <f ca="1">IF(INDIRECT(D$46&amp;"!C"&amp;ROW()-ROW($C$396)+4)="","",INDIRECT(D$46&amp;"!C"&amp;ROW()-ROW($C$396)+4))</f>
        <v>4</v>
      </c>
      <c r="G419" s="99" t="str">
        <f ca="1">IF(INDIRECT(C$46&amp;"!D"&amp;ROW()-ROW($C$396)+4)="","",INDIRECT(C$46&amp;"!D"&amp;ROW()-ROW($C$396)+4))</f>
        <v/>
      </c>
      <c r="H419" s="99" t="str">
        <f ca="1">IF(INDIRECT(D$46&amp;"!D"&amp;ROW()-ROW($C$396)+4)="","",INDIRECT(D$46&amp;"!D"&amp;ROW()-ROW($C$396)+4))</f>
        <v/>
      </c>
      <c r="K419" s="99" t="str">
        <f ca="1">IF(INDIRECT(C$46&amp;"!E"&amp;ROW()-ROW($C$396)+4)="","",INDIRECT(C$46&amp;"!E"&amp;ROW()-ROW($C$396)+4))</f>
        <v>Generic_1_5</v>
      </c>
      <c r="L419" s="99" t="b">
        <f ca="1">IF(INDIRECT(C$46&amp;"!F"&amp;ROW()-ROW($C$396)+4)="","",INDIRECT(C$46&amp;"!F"&amp;ROW()-ROW($C$396)+4))</f>
        <v>0</v>
      </c>
      <c r="M419" s="99" t="b">
        <f ca="1">IF(INDIRECT(D$46&amp;"!F"&amp;ROW()-ROW($C$396)+4)="","",INDIRECT(D$46&amp;"!F"&amp;ROW()-ROW($C$396)+4))</f>
        <v>1</v>
      </c>
      <c r="N419" s="99"/>
      <c r="O419" s="99"/>
      <c r="P419" s="99" t="b">
        <f ca="1">INDIRECT(C$46&amp;"!B"&amp;ROW()-ROW($C$396)+4)=$B419</f>
        <v>1</v>
      </c>
      <c r="Q419" s="99" t="b">
        <f ca="1">INDIRECT(D$46&amp;"!B"&amp;ROW()-ROW($C$396)+4)=$B419</f>
        <v>1</v>
      </c>
      <c r="T419" s="37" t="str">
        <f ca="1">IF(NOT(ISERROR(MATCH(K419,'Lookup Tables'!A:A,0))),"Lookup",IF(OR(NOT(ISERROR(FIND("Numeric",K419))),NOT(ISERROR(FIND("Percentage",K419))),NOT(ISERROR(FIND("Date",K419)))),"Numeric",IF(NOT(ISERROR(FIND("lank",K419))),"Non-blank",IF(NOT(ISERROR(FIND("Not evaluated",K419))),"Skipped","Other"))))</f>
        <v>Lookup</v>
      </c>
      <c r="U419" s="461">
        <f t="shared" ca="1" si="132"/>
        <v>0</v>
      </c>
      <c r="V419" s="461">
        <f t="shared" ca="1" si="133"/>
        <v>0.75</v>
      </c>
      <c r="W419" s="461" t="str">
        <f t="shared" ca="1" si="134"/>
        <v/>
      </c>
      <c r="X419" s="465" t="str">
        <f t="shared" ca="1" si="135"/>
        <v/>
      </c>
      <c r="Y419" s="99">
        <f t="shared" si="123"/>
        <v>2</v>
      </c>
      <c r="Z419" s="99"/>
      <c r="AA419" s="99"/>
      <c r="AB419" s="99"/>
      <c r="AC419" s="159" t="s">
        <v>2199</v>
      </c>
      <c r="AD419" s="107">
        <f t="shared" ca="1" si="126"/>
        <v>0.75</v>
      </c>
      <c r="AE419" s="99" t="b">
        <f t="shared" ca="1" si="127"/>
        <v>0</v>
      </c>
      <c r="AF419" s="159" t="s">
        <v>2495</v>
      </c>
      <c r="AG419" s="783">
        <f>COUNTIF('VA Detailed Scorecard Config'!D:D,AF419)</f>
        <v>1</v>
      </c>
      <c r="AH419" s="99"/>
    </row>
    <row r="420" spans="2:34" ht="13.5" customHeight="1">
      <c r="B420" s="327" t="s">
        <v>1543</v>
      </c>
      <c r="C420" s="99" t="str">
        <f ca="1">IF(INDIRECT(C$46&amp;"!C"&amp;ROW()-ROW($C$396)+4)="","",INDIRECT(C$46&amp;"!C"&amp;ROW()-ROW($C$396)+4))</f>
        <v/>
      </c>
      <c r="D420" s="99" t="str">
        <f ca="1">IF(INDIRECT(D$46&amp;"!C"&amp;ROW()-ROW($C$396)+4)="","",INDIRECT(D$46&amp;"!C"&amp;ROW()-ROW($C$396)+4))</f>
        <v>Looks good</v>
      </c>
      <c r="G420" s="99" t="str">
        <f ca="1">IF(INDIRECT(C$46&amp;"!D"&amp;ROW()-ROW($C$396)+4)="","",INDIRECT(C$46&amp;"!D"&amp;ROW()-ROW($C$396)+4))</f>
        <v/>
      </c>
      <c r="H420" s="99" t="str">
        <f ca="1">IF(INDIRECT(D$46&amp;"!D"&amp;ROW()-ROW($C$396)+4)="","",INDIRECT(D$46&amp;"!D"&amp;ROW()-ROW($C$396)+4))</f>
        <v/>
      </c>
      <c r="K420" s="99" t="str">
        <f ca="1">IF(INDIRECT(C$46&amp;"!E"&amp;ROW()-ROW($C$396)+4)="","",INDIRECT(C$46&amp;"!E"&amp;ROW()-ROW($C$396)+4))</f>
        <v>Not evaluated</v>
      </c>
      <c r="L420" s="99" t="b">
        <f ca="1">IF(INDIRECT(C$46&amp;"!F"&amp;ROW()-ROW($C$396)+4)="","",INDIRECT(C$46&amp;"!F"&amp;ROW()-ROW($C$396)+4))</f>
        <v>0</v>
      </c>
      <c r="M420" s="99" t="b">
        <f ca="1">IF(INDIRECT(D$46&amp;"!F"&amp;ROW()-ROW($C$396)+4)="","",INDIRECT(D$46&amp;"!F"&amp;ROW()-ROW($C$396)+4))</f>
        <v>1</v>
      </c>
      <c r="N420" s="99"/>
      <c r="O420" s="99"/>
      <c r="P420" s="99" t="b">
        <f ca="1">INDIRECT(C$46&amp;"!B"&amp;ROW()-ROW($C$396)+4)=$B420</f>
        <v>1</v>
      </c>
      <c r="Q420" s="99" t="b">
        <f ca="1">INDIRECT(D$46&amp;"!B"&amp;ROW()-ROW($C$396)+4)=$B420</f>
        <v>1</v>
      </c>
      <c r="T420" s="37" t="str">
        <f ca="1">IF(NOT(ISERROR(MATCH(K420,'Lookup Tables'!A:A,0))),"Lookup",IF(OR(NOT(ISERROR(FIND("Numeric",K420))),NOT(ISERROR(FIND("Percentage",K420))),NOT(ISERROR(FIND("Date",K420)))),"Numeric",IF(NOT(ISERROR(FIND("lank",K420))),"Non-blank",IF(NOT(ISERROR(FIND("Not evaluated",K420))),"Skipped","Other"))))</f>
        <v>Skipped</v>
      </c>
      <c r="X420" s="137"/>
      <c r="Y420" s="99">
        <f t="shared" si="123"/>
        <v>2</v>
      </c>
      <c r="Z420" s="99"/>
      <c r="AA420" s="99"/>
      <c r="AB420" s="99"/>
      <c r="AC420" s="99"/>
      <c r="AD420" s="99"/>
      <c r="AE420" s="99"/>
      <c r="AF420" s="99"/>
      <c r="AG420" s="783">
        <f>COUNTIF('VA Detailed Scorecard Config'!D:D,AF420)</f>
        <v>0</v>
      </c>
      <c r="AH420" s="99"/>
    </row>
    <row r="421" spans="2:34" ht="13.5" customHeight="1">
      <c r="B421" s="327" t="s">
        <v>1892</v>
      </c>
      <c r="C421" s="99" t="str">
        <f ca="1">IF(INDIRECT(C$46&amp;"!C"&amp;ROW()-ROW($C$396)+4)="","",INDIRECT(C$46&amp;"!C"&amp;ROW()-ROW($C$396)+4))</f>
        <v>Yes</v>
      </c>
      <c r="D421" s="99" t="str">
        <f ca="1">IF(INDIRECT(D$46&amp;"!C"&amp;ROW()-ROW($C$396)+4)="","",INDIRECT(D$46&amp;"!C"&amp;ROW()-ROW($C$396)+4))</f>
        <v>Yes</v>
      </c>
      <c r="G421" s="99" t="str">
        <f ca="1">IF(INDIRECT(C$46&amp;"!D"&amp;ROW()-ROW($C$396)+4)="","",INDIRECT(C$46&amp;"!D"&amp;ROW()-ROW($C$396)+4))</f>
        <v/>
      </c>
      <c r="H421" s="99" t="str">
        <f ca="1">IF(INDIRECT(D$46&amp;"!D"&amp;ROW()-ROW($C$396)+4)="","",INDIRECT(D$46&amp;"!D"&amp;ROW()-ROW($C$396)+4))</f>
        <v/>
      </c>
      <c r="K421" s="99" t="str">
        <f ca="1">IF(INDIRECT(C$46&amp;"!E"&amp;ROW()-ROW($C$396)+4)="","",INDIRECT(C$46&amp;"!E"&amp;ROW()-ROW($C$396)+4))</f>
        <v>YES_No</v>
      </c>
      <c r="L421" s="99" t="b">
        <f ca="1">IF(INDIRECT(C$46&amp;"!F"&amp;ROW()-ROW($C$396)+4)="","",INDIRECT(C$46&amp;"!F"&amp;ROW()-ROW($C$396)+4))</f>
        <v>1</v>
      </c>
      <c r="M421" s="99" t="b">
        <f ca="1">IF(INDIRECT(D$46&amp;"!F"&amp;ROW()-ROW($C$396)+4)="","",INDIRECT(D$46&amp;"!F"&amp;ROW()-ROW($C$396)+4))</f>
        <v>1</v>
      </c>
      <c r="N421" s="99"/>
      <c r="O421" s="99"/>
      <c r="P421" s="99" t="b">
        <f ca="1">INDIRECT(C$46&amp;"!B"&amp;ROW()-ROW($C$396)+4)=$B421</f>
        <v>1</v>
      </c>
      <c r="Q421" s="99" t="b">
        <f ca="1">INDIRECT(D$46&amp;"!B"&amp;ROW()-ROW($C$396)+4)=$B421</f>
        <v>1</v>
      </c>
      <c r="T421" s="37" t="str">
        <f ca="1">IF(NOT(ISERROR(MATCH(K421,'Lookup Tables'!A:A,0))),"Lookup",IF(OR(NOT(ISERROR(FIND("Numeric",K421))),NOT(ISERROR(FIND("Percentage",K421))),NOT(ISERROR(FIND("Date",K421)))),"Numeric",IF(NOT(ISERROR(FIND("lank",K421))),"Non-blank",IF(NOT(ISERROR(FIND("Not evaluated",K421))),"Skipped","Other"))))</f>
        <v>Lookup</v>
      </c>
      <c r="U421" s="461">
        <f t="shared" ref="U421:U430" ca="1" si="136">IF(COLUMN()-COLUMN($U$55)+1&lt;=$Y421,INDEX(OFFSET(INDIRECT($K421),0,1),MATCH(C421,INDIRECT($K421),0)),"")</f>
        <v>1</v>
      </c>
      <c r="V421" s="461">
        <f t="shared" ref="V421:V430" ca="1" si="137">IF(COLUMN()-COLUMN($U$55)+1&lt;=$Y421,INDEX(OFFSET(INDIRECT($K421),0,1),MATCH(D421,INDIRECT($K421),0)),"")</f>
        <v>1</v>
      </c>
      <c r="W421" s="461" t="str">
        <f t="shared" ref="W421:W430" ca="1" si="138">IF(COLUMN()-COLUMN($U$55)+1&lt;=$Y421,INDEX(OFFSET(INDIRECT($K421),0,1),MATCH(E421,INDIRECT($K421),0)),"")</f>
        <v/>
      </c>
      <c r="X421" s="465" t="str">
        <f t="shared" ref="X421:X430" ca="1" si="139">IF(COLUMN()-COLUMN($U$55)+1&lt;=$Y421,INDEX(OFFSET(INDIRECT($K421),0,1),MATCH(F421,INDIRECT($K421),0)),"")</f>
        <v/>
      </c>
      <c r="Y421" s="99">
        <f t="shared" si="123"/>
        <v>2</v>
      </c>
      <c r="Z421" s="99"/>
      <c r="AA421" s="99"/>
      <c r="AB421" s="99"/>
      <c r="AC421" s="159" t="s">
        <v>2199</v>
      </c>
      <c r="AD421" s="107">
        <f t="shared" ca="1" si="126"/>
        <v>1</v>
      </c>
      <c r="AE421" s="99" t="b">
        <f t="shared" ref="AE421:AE435" ca="1" si="140">NOT(OR(L421:O421))</f>
        <v>0</v>
      </c>
      <c r="AF421" s="159" t="s">
        <v>2496</v>
      </c>
      <c r="AG421" s="783">
        <f>COUNTIF('VA Detailed Scorecard Config'!D:D,AF421)</f>
        <v>0</v>
      </c>
      <c r="AH421" s="99"/>
    </row>
    <row r="422" spans="2:34" ht="13.5" customHeight="1">
      <c r="B422" s="327" t="s">
        <v>1893</v>
      </c>
      <c r="C422" s="99">
        <f ca="1">IF(INDIRECT(C$46&amp;"!C"&amp;ROW()-ROW($C$396)+4)="","",INDIRECT(C$46&amp;"!C"&amp;ROW()-ROW($C$396)+4))</f>
        <v>2</v>
      </c>
      <c r="D422" s="99">
        <f ca="1">IF(INDIRECT(D$46&amp;"!C"&amp;ROW()-ROW($C$396)+4)="","",INDIRECT(D$46&amp;"!C"&amp;ROW()-ROW($C$396)+4))</f>
        <v>2</v>
      </c>
      <c r="G422" s="99" t="str">
        <f ca="1">IF(INDIRECT(C$46&amp;"!D"&amp;ROW()-ROW($C$396)+4)="","",INDIRECT(C$46&amp;"!D"&amp;ROW()-ROW($C$396)+4))</f>
        <v/>
      </c>
      <c r="H422" s="99" t="str">
        <f ca="1">IF(INDIRECT(D$46&amp;"!D"&amp;ROW()-ROW($C$396)+4)="","",INDIRECT(D$46&amp;"!D"&amp;ROW()-ROW($C$396)+4))</f>
        <v/>
      </c>
      <c r="K422" s="99" t="str">
        <f ca="1">IF(INDIRECT(C$46&amp;"!E"&amp;ROW()-ROW($C$396)+4)="","",INDIRECT(C$46&amp;"!E"&amp;ROW()-ROW($C$396)+4))</f>
        <v>Disagree_Agree_1_5</v>
      </c>
      <c r="L422" s="99" t="b">
        <f ca="1">IF(INDIRECT(C$46&amp;"!F"&amp;ROW()-ROW($C$396)+4)="","",INDIRECT(C$46&amp;"!F"&amp;ROW()-ROW($C$396)+4))</f>
        <v>1</v>
      </c>
      <c r="M422" s="99" t="b">
        <f ca="1">IF(INDIRECT(D$46&amp;"!F"&amp;ROW()-ROW($C$396)+4)="","",INDIRECT(D$46&amp;"!F"&amp;ROW()-ROW($C$396)+4))</f>
        <v>1</v>
      </c>
      <c r="N422" s="99"/>
      <c r="O422" s="99"/>
      <c r="P422" s="99" t="b">
        <f ca="1">INDIRECT(C$46&amp;"!B"&amp;ROW()-ROW($C$396)+4)=$B422</f>
        <v>1</v>
      </c>
      <c r="Q422" s="99" t="b">
        <f ca="1">INDIRECT(D$46&amp;"!B"&amp;ROW()-ROW($C$396)+4)=$B422</f>
        <v>1</v>
      </c>
      <c r="T422" s="37" t="str">
        <f ca="1">IF(NOT(ISERROR(MATCH(K422,'Lookup Tables'!A:A,0))),"Lookup",IF(OR(NOT(ISERROR(FIND("Numeric",K422))),NOT(ISERROR(FIND("Percentage",K422))),NOT(ISERROR(FIND("Date",K422)))),"Numeric",IF(NOT(ISERROR(FIND("lank",K422))),"Non-blank",IF(NOT(ISERROR(FIND("Not evaluated",K422))),"Skipped","Other"))))</f>
        <v>Lookup</v>
      </c>
      <c r="U422" s="461">
        <f t="shared" ca="1" si="136"/>
        <v>0.25</v>
      </c>
      <c r="V422" s="461">
        <f t="shared" ca="1" si="137"/>
        <v>0.25</v>
      </c>
      <c r="W422" s="461" t="str">
        <f t="shared" ca="1" si="138"/>
        <v/>
      </c>
      <c r="X422" s="465" t="str">
        <f t="shared" ca="1" si="139"/>
        <v/>
      </c>
      <c r="Y422" s="99">
        <f t="shared" si="123"/>
        <v>2</v>
      </c>
      <c r="Z422" s="99"/>
      <c r="AA422" s="99"/>
      <c r="AB422" s="99"/>
      <c r="AC422" s="159" t="s">
        <v>2199</v>
      </c>
      <c r="AD422" s="107">
        <f t="shared" ca="1" si="126"/>
        <v>0.25</v>
      </c>
      <c r="AE422" s="99" t="b">
        <f t="shared" ca="1" si="140"/>
        <v>0</v>
      </c>
      <c r="AF422" s="159" t="s">
        <v>2497</v>
      </c>
      <c r="AG422" s="783">
        <f>COUNTIF('VA Detailed Scorecard Config'!D:D,AF422)</f>
        <v>2</v>
      </c>
      <c r="AH422" s="99"/>
    </row>
    <row r="423" spans="2:34" ht="13.5" customHeight="1">
      <c r="B423" s="327" t="s">
        <v>1894</v>
      </c>
      <c r="C423" s="99">
        <f ca="1">IF(INDIRECT(C$46&amp;"!C"&amp;ROW()-ROW($C$396)+4)="","",INDIRECT(C$46&amp;"!C"&amp;ROW()-ROW($C$396)+4))</f>
        <v>2</v>
      </c>
      <c r="D423" s="99">
        <f ca="1">IF(INDIRECT(D$46&amp;"!C"&amp;ROW()-ROW($C$396)+4)="","",INDIRECT(D$46&amp;"!C"&amp;ROW()-ROW($C$396)+4))</f>
        <v>2</v>
      </c>
      <c r="G423" s="99" t="str">
        <f ca="1">IF(INDIRECT(C$46&amp;"!D"&amp;ROW()-ROW($C$396)+4)="","",INDIRECT(C$46&amp;"!D"&amp;ROW()-ROW($C$396)+4))</f>
        <v/>
      </c>
      <c r="H423" s="99" t="str">
        <f ca="1">IF(INDIRECT(D$46&amp;"!D"&amp;ROW()-ROW($C$396)+4)="","",INDIRECT(D$46&amp;"!D"&amp;ROW()-ROW($C$396)+4))</f>
        <v/>
      </c>
      <c r="K423" s="99" t="str">
        <f ca="1">IF(INDIRECT(C$46&amp;"!E"&amp;ROW()-ROW($C$396)+4)="","",INDIRECT(C$46&amp;"!E"&amp;ROW()-ROW($C$396)+4))</f>
        <v>Disagree_Agree_1_5</v>
      </c>
      <c r="L423" s="99" t="b">
        <f ca="1">IF(INDIRECT(C$46&amp;"!F"&amp;ROW()-ROW($C$396)+4)="","",INDIRECT(C$46&amp;"!F"&amp;ROW()-ROW($C$396)+4))</f>
        <v>1</v>
      </c>
      <c r="M423" s="99" t="b">
        <f ca="1">IF(INDIRECT(D$46&amp;"!F"&amp;ROW()-ROW($C$396)+4)="","",INDIRECT(D$46&amp;"!F"&amp;ROW()-ROW($C$396)+4))</f>
        <v>1</v>
      </c>
      <c r="N423" s="99"/>
      <c r="O423" s="99"/>
      <c r="P423" s="99" t="b">
        <f ca="1">INDIRECT(C$46&amp;"!B"&amp;ROW()-ROW($C$396)+4)=$B423</f>
        <v>1</v>
      </c>
      <c r="Q423" s="99" t="b">
        <f ca="1">INDIRECT(D$46&amp;"!B"&amp;ROW()-ROW($C$396)+4)=$B423</f>
        <v>1</v>
      </c>
      <c r="T423" s="37" t="str">
        <f ca="1">IF(NOT(ISERROR(MATCH(K423,'Lookup Tables'!A:A,0))),"Lookup",IF(OR(NOT(ISERROR(FIND("Numeric",K423))),NOT(ISERROR(FIND("Percentage",K423))),NOT(ISERROR(FIND("Date",K423)))),"Numeric",IF(NOT(ISERROR(FIND("lank",K423))),"Non-blank",IF(NOT(ISERROR(FIND("Not evaluated",K423))),"Skipped","Other"))))</f>
        <v>Lookup</v>
      </c>
      <c r="U423" s="461">
        <f t="shared" ca="1" si="136"/>
        <v>0.25</v>
      </c>
      <c r="V423" s="461">
        <f t="shared" ca="1" si="137"/>
        <v>0.25</v>
      </c>
      <c r="W423" s="461" t="str">
        <f t="shared" ca="1" si="138"/>
        <v/>
      </c>
      <c r="X423" s="465" t="str">
        <f t="shared" ca="1" si="139"/>
        <v/>
      </c>
      <c r="Y423" s="99">
        <f t="shared" si="123"/>
        <v>2</v>
      </c>
      <c r="Z423" s="99"/>
      <c r="AA423" s="99"/>
      <c r="AB423" s="99"/>
      <c r="AC423" s="159" t="s">
        <v>2199</v>
      </c>
      <c r="AD423" s="107">
        <f t="shared" ca="1" si="126"/>
        <v>0.25</v>
      </c>
      <c r="AE423" s="99" t="b">
        <f t="shared" ca="1" si="140"/>
        <v>0</v>
      </c>
      <c r="AF423" s="159" t="s">
        <v>2498</v>
      </c>
      <c r="AG423" s="783">
        <f>COUNTIF('VA Detailed Scorecard Config'!D:D,AF423)</f>
        <v>1</v>
      </c>
      <c r="AH423" s="99"/>
    </row>
    <row r="424" spans="2:34" ht="13.5" customHeight="1">
      <c r="B424" s="327" t="s">
        <v>1895</v>
      </c>
      <c r="C424" s="99" t="str">
        <f ca="1">IF(INDIRECT(C$46&amp;"!C"&amp;ROW()-ROW($C$396)+4)="","",INDIRECT(C$46&amp;"!C"&amp;ROW()-ROW($C$396)+4))</f>
        <v>5 - Completely Agree</v>
      </c>
      <c r="D424" s="99" t="str">
        <f ca="1">IF(INDIRECT(D$46&amp;"!C"&amp;ROW()-ROW($C$396)+4)="","",INDIRECT(D$46&amp;"!C"&amp;ROW()-ROW($C$396)+4))</f>
        <v>5 - Completely Agree</v>
      </c>
      <c r="G424" s="99" t="str">
        <f ca="1">IF(INDIRECT(C$46&amp;"!D"&amp;ROW()-ROW($C$396)+4)="","",INDIRECT(C$46&amp;"!D"&amp;ROW()-ROW($C$396)+4))</f>
        <v/>
      </c>
      <c r="H424" s="99" t="str">
        <f ca="1">IF(INDIRECT(D$46&amp;"!D"&amp;ROW()-ROW($C$396)+4)="","",INDIRECT(D$46&amp;"!D"&amp;ROW()-ROW($C$396)+4))</f>
        <v/>
      </c>
      <c r="K424" s="99" t="str">
        <f ca="1">IF(INDIRECT(C$46&amp;"!E"&amp;ROW()-ROW($C$396)+4)="","",INDIRECT(C$46&amp;"!E"&amp;ROW()-ROW($C$396)+4))</f>
        <v>Disagree_Agree_1_5</v>
      </c>
      <c r="L424" s="99" t="b">
        <f ca="1">IF(INDIRECT(C$46&amp;"!F"&amp;ROW()-ROW($C$396)+4)="","",INDIRECT(C$46&amp;"!F"&amp;ROW()-ROW($C$396)+4))</f>
        <v>1</v>
      </c>
      <c r="M424" s="99" t="b">
        <f ca="1">IF(INDIRECT(D$46&amp;"!F"&amp;ROW()-ROW($C$396)+4)="","",INDIRECT(D$46&amp;"!F"&amp;ROW()-ROW($C$396)+4))</f>
        <v>1</v>
      </c>
      <c r="N424" s="99"/>
      <c r="O424" s="99"/>
      <c r="P424" s="99" t="b">
        <f ca="1">INDIRECT(C$46&amp;"!B"&amp;ROW()-ROW($C$396)+4)=$B424</f>
        <v>1</v>
      </c>
      <c r="Q424" s="99" t="b">
        <f ca="1">INDIRECT(D$46&amp;"!B"&amp;ROW()-ROW($C$396)+4)=$B424</f>
        <v>1</v>
      </c>
      <c r="T424" s="37" t="str">
        <f ca="1">IF(NOT(ISERROR(MATCH(K424,'Lookup Tables'!A:A,0))),"Lookup",IF(OR(NOT(ISERROR(FIND("Numeric",K424))),NOT(ISERROR(FIND("Percentage",K424))),NOT(ISERROR(FIND("Date",K424)))),"Numeric",IF(NOT(ISERROR(FIND("lank",K424))),"Non-blank",IF(NOT(ISERROR(FIND("Not evaluated",K424))),"Skipped","Other"))))</f>
        <v>Lookup</v>
      </c>
      <c r="U424" s="461">
        <f t="shared" ca="1" si="136"/>
        <v>1</v>
      </c>
      <c r="V424" s="461">
        <f t="shared" ca="1" si="137"/>
        <v>1</v>
      </c>
      <c r="W424" s="461" t="str">
        <f t="shared" ca="1" si="138"/>
        <v/>
      </c>
      <c r="X424" s="465" t="str">
        <f t="shared" ca="1" si="139"/>
        <v/>
      </c>
      <c r="Y424" s="99">
        <f t="shared" si="123"/>
        <v>2</v>
      </c>
      <c r="Z424" s="99"/>
      <c r="AA424" s="99"/>
      <c r="AB424" s="99"/>
      <c r="AC424" s="159" t="s">
        <v>2199</v>
      </c>
      <c r="AD424" s="107">
        <f t="shared" ca="1" si="126"/>
        <v>1</v>
      </c>
      <c r="AE424" s="99" t="b">
        <f t="shared" ca="1" si="140"/>
        <v>0</v>
      </c>
      <c r="AF424" s="159" t="s">
        <v>2499</v>
      </c>
      <c r="AG424" s="783">
        <f>COUNTIF('VA Detailed Scorecard Config'!D:D,AF424)</f>
        <v>1</v>
      </c>
      <c r="AH424" s="99"/>
    </row>
    <row r="425" spans="2:34" ht="13.5" customHeight="1">
      <c r="B425" s="327" t="s">
        <v>1545</v>
      </c>
      <c r="C425" s="99" t="str">
        <f ca="1">IF(INDIRECT(C$46&amp;"!C"&amp;ROW()-ROW($C$396)+4)="","",INDIRECT(C$46&amp;"!C"&amp;ROW()-ROW($C$396)+4))</f>
        <v>Yes</v>
      </c>
      <c r="D425" s="99" t="str">
        <f ca="1">IF(INDIRECT(D$46&amp;"!C"&amp;ROW()-ROW($C$396)+4)="","",INDIRECT(D$46&amp;"!C"&amp;ROW()-ROW($C$396)+4))</f>
        <v/>
      </c>
      <c r="G425" s="99" t="str">
        <f ca="1">IF(INDIRECT(C$46&amp;"!D"&amp;ROW()-ROW($C$396)+4)="","",INDIRECT(C$46&amp;"!D"&amp;ROW()-ROW($C$396)+4))</f>
        <v/>
      </c>
      <c r="H425" s="99" t="str">
        <f ca="1">IF(INDIRECT(D$46&amp;"!D"&amp;ROW()-ROW($C$396)+4)="","",INDIRECT(D$46&amp;"!D"&amp;ROW()-ROW($C$396)+4))</f>
        <v/>
      </c>
      <c r="K425" s="99" t="str">
        <f ca="1">IF(INDIRECT(C$46&amp;"!E"&amp;ROW()-ROW($C$396)+4)="","",INDIRECT(C$46&amp;"!E"&amp;ROW()-ROW($C$396)+4))</f>
        <v>YES_No_NA</v>
      </c>
      <c r="L425" s="99" t="b">
        <f ca="1">IF(INDIRECT(C$46&amp;"!F"&amp;ROW()-ROW($C$396)+4)="","",INDIRECT(C$46&amp;"!F"&amp;ROW()-ROW($C$396)+4))</f>
        <v>1</v>
      </c>
      <c r="M425" s="99" t="b">
        <f ca="1">IF(INDIRECT(D$46&amp;"!F"&amp;ROW()-ROW($C$396)+4)="","",INDIRECT(D$46&amp;"!F"&amp;ROW()-ROW($C$396)+4))</f>
        <v>0</v>
      </c>
      <c r="N425" s="99"/>
      <c r="O425" s="99"/>
      <c r="P425" s="99" t="b">
        <f ca="1">INDIRECT(C$46&amp;"!B"&amp;ROW()-ROW($C$396)+4)=$B425</f>
        <v>1</v>
      </c>
      <c r="Q425" s="99" t="b">
        <f ca="1">INDIRECT(D$46&amp;"!B"&amp;ROW()-ROW($C$396)+4)=$B425</f>
        <v>1</v>
      </c>
      <c r="T425" s="37" t="str">
        <f ca="1">IF(NOT(ISERROR(MATCH(K425,'Lookup Tables'!A:A,0))),"Lookup",IF(OR(NOT(ISERROR(FIND("Numeric",K425))),NOT(ISERROR(FIND("Percentage",K425))),NOT(ISERROR(FIND("Date",K425)))),"Numeric",IF(NOT(ISERROR(FIND("lank",K425))),"Non-blank",IF(NOT(ISERROR(FIND("Not evaluated",K425))),"Skipped","Other"))))</f>
        <v>Lookup</v>
      </c>
      <c r="U425" s="461">
        <f t="shared" ca="1" si="136"/>
        <v>1</v>
      </c>
      <c r="V425" s="461">
        <f t="shared" ca="1" si="137"/>
        <v>0</v>
      </c>
      <c r="W425" s="461" t="str">
        <f t="shared" ca="1" si="138"/>
        <v/>
      </c>
      <c r="X425" s="465" t="str">
        <f t="shared" ca="1" si="139"/>
        <v/>
      </c>
      <c r="Y425" s="99">
        <f t="shared" si="123"/>
        <v>2</v>
      </c>
      <c r="Z425" s="99"/>
      <c r="AA425" s="99"/>
      <c r="AB425" s="99"/>
      <c r="AC425" s="159" t="s">
        <v>2199</v>
      </c>
      <c r="AD425" s="107">
        <f t="shared" ca="1" si="126"/>
        <v>1</v>
      </c>
      <c r="AE425" s="99" t="b">
        <f t="shared" ca="1" si="140"/>
        <v>0</v>
      </c>
      <c r="AF425" s="159" t="s">
        <v>2500</v>
      </c>
      <c r="AG425" s="783">
        <f>COUNTIF('VA Detailed Scorecard Config'!D:D,AF425)</f>
        <v>1</v>
      </c>
      <c r="AH425" s="99"/>
    </row>
    <row r="426" spans="2:34" ht="13.5" customHeight="1">
      <c r="B426" s="327" t="s">
        <v>1551</v>
      </c>
      <c r="C426" s="99" t="str">
        <f ca="1">IF(INDIRECT(C$46&amp;"!C"&amp;ROW()-ROW($C$396)+4)="","",INDIRECT(C$46&amp;"!C"&amp;ROW()-ROW($C$396)+4))</f>
        <v>Yes</v>
      </c>
      <c r="D426" s="99" t="str">
        <f ca="1">IF(INDIRECT(D$46&amp;"!C"&amp;ROW()-ROW($C$396)+4)="","",INDIRECT(D$46&amp;"!C"&amp;ROW()-ROW($C$396)+4))</f>
        <v/>
      </c>
      <c r="G426" s="99" t="str">
        <f ca="1">IF(INDIRECT(C$46&amp;"!D"&amp;ROW()-ROW($C$396)+4)="","",INDIRECT(C$46&amp;"!D"&amp;ROW()-ROW($C$396)+4))</f>
        <v/>
      </c>
      <c r="H426" s="99" t="str">
        <f ca="1">IF(INDIRECT(D$46&amp;"!D"&amp;ROW()-ROW($C$396)+4)="","",INDIRECT(D$46&amp;"!D"&amp;ROW()-ROW($C$396)+4))</f>
        <v/>
      </c>
      <c r="K426" s="99" t="str">
        <f ca="1">IF(INDIRECT(C$46&amp;"!E"&amp;ROW()-ROW($C$396)+4)="","",INDIRECT(C$46&amp;"!E"&amp;ROW()-ROW($C$396)+4))</f>
        <v>YES_No_NA</v>
      </c>
      <c r="L426" s="99" t="b">
        <f ca="1">IF(INDIRECT(C$46&amp;"!F"&amp;ROW()-ROW($C$396)+4)="","",INDIRECT(C$46&amp;"!F"&amp;ROW()-ROW($C$396)+4))</f>
        <v>1</v>
      </c>
      <c r="M426" s="99" t="b">
        <f ca="1">IF(INDIRECT(D$46&amp;"!F"&amp;ROW()-ROW($C$396)+4)="","",INDIRECT(D$46&amp;"!F"&amp;ROW()-ROW($C$396)+4))</f>
        <v>0</v>
      </c>
      <c r="N426" s="99"/>
      <c r="O426" s="99"/>
      <c r="P426" s="99" t="b">
        <f ca="1">INDIRECT(C$46&amp;"!B"&amp;ROW()-ROW($C$396)+4)=$B426</f>
        <v>1</v>
      </c>
      <c r="Q426" s="99" t="b">
        <f ca="1">INDIRECT(D$46&amp;"!B"&amp;ROW()-ROW($C$396)+4)=$B426</f>
        <v>1</v>
      </c>
      <c r="T426" s="37" t="str">
        <f ca="1">IF(NOT(ISERROR(MATCH(K426,'Lookup Tables'!A:A,0))),"Lookup",IF(OR(NOT(ISERROR(FIND("Numeric",K426))),NOT(ISERROR(FIND("Percentage",K426))),NOT(ISERROR(FIND("Date",K426)))),"Numeric",IF(NOT(ISERROR(FIND("lank",K426))),"Non-blank",IF(NOT(ISERROR(FIND("Not evaluated",K426))),"Skipped","Other"))))</f>
        <v>Lookup</v>
      </c>
      <c r="U426" s="461">
        <f t="shared" ca="1" si="136"/>
        <v>1</v>
      </c>
      <c r="V426" s="461">
        <f t="shared" ca="1" si="137"/>
        <v>0</v>
      </c>
      <c r="W426" s="461" t="str">
        <f t="shared" ca="1" si="138"/>
        <v/>
      </c>
      <c r="X426" s="465" t="str">
        <f t="shared" ca="1" si="139"/>
        <v/>
      </c>
      <c r="Y426" s="99">
        <f t="shared" si="123"/>
        <v>2</v>
      </c>
      <c r="Z426" s="99"/>
      <c r="AA426" s="99"/>
      <c r="AB426" s="99"/>
      <c r="AC426" s="159" t="s">
        <v>2199</v>
      </c>
      <c r="AD426" s="107">
        <f t="shared" ca="1" si="126"/>
        <v>1</v>
      </c>
      <c r="AE426" s="99" t="b">
        <f t="shared" ca="1" si="140"/>
        <v>0</v>
      </c>
      <c r="AF426" s="159" t="s">
        <v>2501</v>
      </c>
      <c r="AG426" s="783">
        <f>COUNTIF('VA Detailed Scorecard Config'!D:D,AF426)</f>
        <v>1</v>
      </c>
      <c r="AH426" s="99"/>
    </row>
    <row r="427" spans="2:34" ht="13.5" customHeight="1">
      <c r="B427" s="327" t="s">
        <v>1552</v>
      </c>
      <c r="C427" s="99">
        <f ca="1">IF(INDIRECT(C$46&amp;"!C"&amp;ROW()-ROW($C$396)+4)="","",INDIRECT(C$46&amp;"!C"&amp;ROW()-ROW($C$396)+4))</f>
        <v>4</v>
      </c>
      <c r="D427" s="99" t="str">
        <f ca="1">IF(INDIRECT(D$46&amp;"!C"&amp;ROW()-ROW($C$396)+4)="","",INDIRECT(D$46&amp;"!C"&amp;ROW()-ROW($C$396)+4))</f>
        <v/>
      </c>
      <c r="G427" s="99" t="str">
        <f ca="1">IF(INDIRECT(C$46&amp;"!D"&amp;ROW()-ROW($C$396)+4)="","",INDIRECT(C$46&amp;"!D"&amp;ROW()-ROW($C$396)+4))</f>
        <v/>
      </c>
      <c r="H427" s="99" t="str">
        <f ca="1">IF(INDIRECT(D$46&amp;"!D"&amp;ROW()-ROW($C$396)+4)="","",INDIRECT(D$46&amp;"!D"&amp;ROW()-ROW($C$396)+4))</f>
        <v/>
      </c>
      <c r="K427" s="99" t="str">
        <f ca="1">IF(INDIRECT(C$46&amp;"!E"&amp;ROW()-ROW($C$396)+4)="","",INDIRECT(C$46&amp;"!E"&amp;ROW()-ROW($C$396)+4))</f>
        <v>Generic_1_5</v>
      </c>
      <c r="L427" s="99" t="b">
        <f ca="1">IF(INDIRECT(C$46&amp;"!F"&amp;ROW()-ROW($C$396)+4)="","",INDIRECT(C$46&amp;"!F"&amp;ROW()-ROW($C$396)+4))</f>
        <v>1</v>
      </c>
      <c r="M427" s="99" t="b">
        <f ca="1">IF(INDIRECT(D$46&amp;"!F"&amp;ROW()-ROW($C$396)+4)="","",INDIRECT(D$46&amp;"!F"&amp;ROW()-ROW($C$396)+4))</f>
        <v>0</v>
      </c>
      <c r="N427" s="99"/>
      <c r="O427" s="99"/>
      <c r="P427" s="99" t="b">
        <f ca="1">INDIRECT(C$46&amp;"!B"&amp;ROW()-ROW($C$396)+4)=$B427</f>
        <v>1</v>
      </c>
      <c r="Q427" s="99" t="b">
        <f ca="1">INDIRECT(D$46&amp;"!B"&amp;ROW()-ROW($C$396)+4)=$B427</f>
        <v>1</v>
      </c>
      <c r="T427" s="37" t="str">
        <f ca="1">IF(NOT(ISERROR(MATCH(K427,'Lookup Tables'!A:A,0))),"Lookup",IF(OR(NOT(ISERROR(FIND("Numeric",K427))),NOT(ISERROR(FIND("Percentage",K427))),NOT(ISERROR(FIND("Date",K427)))),"Numeric",IF(NOT(ISERROR(FIND("lank",K427))),"Non-blank",IF(NOT(ISERROR(FIND("Not evaluated",K427))),"Skipped","Other"))))</f>
        <v>Lookup</v>
      </c>
      <c r="U427" s="461">
        <f t="shared" ca="1" si="136"/>
        <v>0.75</v>
      </c>
      <c r="V427" s="461">
        <f t="shared" ca="1" si="137"/>
        <v>0</v>
      </c>
      <c r="W427" s="461" t="str">
        <f t="shared" ca="1" si="138"/>
        <v/>
      </c>
      <c r="X427" s="465" t="str">
        <f t="shared" ca="1" si="139"/>
        <v/>
      </c>
      <c r="Y427" s="99">
        <f t="shared" si="123"/>
        <v>2</v>
      </c>
      <c r="Z427" s="99"/>
      <c r="AA427" s="99"/>
      <c r="AB427" s="99"/>
      <c r="AC427" s="159" t="s">
        <v>2199</v>
      </c>
      <c r="AD427" s="107">
        <f t="shared" ca="1" si="126"/>
        <v>0.75</v>
      </c>
      <c r="AE427" s="99" t="b">
        <f t="shared" ca="1" si="140"/>
        <v>0</v>
      </c>
      <c r="AF427" s="159" t="s">
        <v>2502</v>
      </c>
      <c r="AG427" s="783">
        <f>COUNTIF('VA Detailed Scorecard Config'!D:D,AF427)</f>
        <v>1</v>
      </c>
      <c r="AH427" s="99"/>
    </row>
    <row r="428" spans="2:34" ht="13.5" customHeight="1">
      <c r="B428" s="327" t="s">
        <v>1553</v>
      </c>
      <c r="C428" s="99" t="str">
        <f ca="1">IF(INDIRECT(C$46&amp;"!C"&amp;ROW()-ROW($C$396)+4)="","",INDIRECT(C$46&amp;"!C"&amp;ROW()-ROW($C$396)+4))</f>
        <v>5 - Highest / best</v>
      </c>
      <c r="D428" s="99" t="str">
        <f ca="1">IF(INDIRECT(D$46&amp;"!C"&amp;ROW()-ROW($C$396)+4)="","",INDIRECT(D$46&amp;"!C"&amp;ROW()-ROW($C$396)+4))</f>
        <v/>
      </c>
      <c r="G428" s="99" t="str">
        <f ca="1">IF(INDIRECT(C$46&amp;"!D"&amp;ROW()-ROW($C$396)+4)="","",INDIRECT(C$46&amp;"!D"&amp;ROW()-ROW($C$396)+4))</f>
        <v/>
      </c>
      <c r="H428" s="99" t="str">
        <f ca="1">IF(INDIRECT(D$46&amp;"!D"&amp;ROW()-ROW($C$396)+4)="","",INDIRECT(D$46&amp;"!D"&amp;ROW()-ROW($C$396)+4))</f>
        <v/>
      </c>
      <c r="K428" s="99" t="str">
        <f ca="1">IF(INDIRECT(C$46&amp;"!E"&amp;ROW()-ROW($C$396)+4)="","",INDIRECT(C$46&amp;"!E"&amp;ROW()-ROW($C$396)+4))</f>
        <v>Generic_1_5</v>
      </c>
      <c r="L428" s="99" t="b">
        <f ca="1">IF(INDIRECT(C$46&amp;"!F"&amp;ROW()-ROW($C$396)+4)="","",INDIRECT(C$46&amp;"!F"&amp;ROW()-ROW($C$396)+4))</f>
        <v>1</v>
      </c>
      <c r="M428" s="99" t="b">
        <f ca="1">IF(INDIRECT(D$46&amp;"!F"&amp;ROW()-ROW($C$396)+4)="","",INDIRECT(D$46&amp;"!F"&amp;ROW()-ROW($C$396)+4))</f>
        <v>0</v>
      </c>
      <c r="N428" s="99"/>
      <c r="O428" s="99"/>
      <c r="P428" s="99" t="b">
        <f ca="1">INDIRECT(C$46&amp;"!B"&amp;ROW()-ROW($C$396)+4)=$B428</f>
        <v>1</v>
      </c>
      <c r="Q428" s="99" t="b">
        <f ca="1">INDIRECT(D$46&amp;"!B"&amp;ROW()-ROW($C$396)+4)=$B428</f>
        <v>1</v>
      </c>
      <c r="T428" s="37" t="str">
        <f ca="1">IF(NOT(ISERROR(MATCH(K428,'Lookup Tables'!A:A,0))),"Lookup",IF(OR(NOT(ISERROR(FIND("Numeric",K428))),NOT(ISERROR(FIND("Percentage",K428))),NOT(ISERROR(FIND("Date",K428)))),"Numeric",IF(NOT(ISERROR(FIND("lank",K428))),"Non-blank",IF(NOT(ISERROR(FIND("Not evaluated",K428))),"Skipped","Other"))))</f>
        <v>Lookup</v>
      </c>
      <c r="U428" s="461">
        <f t="shared" ca="1" si="136"/>
        <v>1</v>
      </c>
      <c r="V428" s="461">
        <f t="shared" ca="1" si="137"/>
        <v>0</v>
      </c>
      <c r="W428" s="461" t="str">
        <f t="shared" ca="1" si="138"/>
        <v/>
      </c>
      <c r="X428" s="465" t="str">
        <f t="shared" ca="1" si="139"/>
        <v/>
      </c>
      <c r="Y428" s="99">
        <f t="shared" si="123"/>
        <v>2</v>
      </c>
      <c r="Z428" s="99"/>
      <c r="AA428" s="99"/>
      <c r="AB428" s="99"/>
      <c r="AC428" s="159" t="s">
        <v>2199</v>
      </c>
      <c r="AD428" s="107">
        <f t="shared" ca="1" si="126"/>
        <v>1</v>
      </c>
      <c r="AE428" s="99" t="b">
        <f t="shared" ca="1" si="140"/>
        <v>0</v>
      </c>
      <c r="AF428" s="159" t="s">
        <v>2503</v>
      </c>
      <c r="AG428" s="783">
        <f>COUNTIF('VA Detailed Scorecard Config'!D:D,AF428)</f>
        <v>1</v>
      </c>
      <c r="AH428" s="99"/>
    </row>
    <row r="429" spans="2:34" ht="13.5" customHeight="1">
      <c r="B429" s="327" t="s">
        <v>1554</v>
      </c>
      <c r="C429" s="99">
        <f ca="1">IF(INDIRECT(C$46&amp;"!C"&amp;ROW()-ROW($C$396)+4)="","",INDIRECT(C$46&amp;"!C"&amp;ROW()-ROW($C$396)+4))</f>
        <v>2</v>
      </c>
      <c r="D429" s="99" t="str">
        <f ca="1">IF(INDIRECT(D$46&amp;"!C"&amp;ROW()-ROW($C$396)+4)="","",INDIRECT(D$46&amp;"!C"&amp;ROW()-ROW($C$396)+4))</f>
        <v/>
      </c>
      <c r="G429" s="99" t="str">
        <f ca="1">IF(INDIRECT(C$46&amp;"!D"&amp;ROW()-ROW($C$396)+4)="","",INDIRECT(C$46&amp;"!D"&amp;ROW()-ROW($C$396)+4))</f>
        <v/>
      </c>
      <c r="H429" s="99" t="str">
        <f ca="1">IF(INDIRECT(D$46&amp;"!D"&amp;ROW()-ROW($C$396)+4)="","",INDIRECT(D$46&amp;"!D"&amp;ROW()-ROW($C$396)+4))</f>
        <v/>
      </c>
      <c r="K429" s="99" t="str">
        <f ca="1">IF(INDIRECT(C$46&amp;"!E"&amp;ROW()-ROW($C$396)+4)="","",INDIRECT(C$46&amp;"!E"&amp;ROW()-ROW($C$396)+4))</f>
        <v>Generic_1_5</v>
      </c>
      <c r="L429" s="99" t="b">
        <f ca="1">IF(INDIRECT(C$46&amp;"!F"&amp;ROW()-ROW($C$396)+4)="","",INDIRECT(C$46&amp;"!F"&amp;ROW()-ROW($C$396)+4))</f>
        <v>1</v>
      </c>
      <c r="M429" s="99" t="b">
        <f ca="1">IF(INDIRECT(D$46&amp;"!F"&amp;ROW()-ROW($C$396)+4)="","",INDIRECT(D$46&amp;"!F"&amp;ROW()-ROW($C$396)+4))</f>
        <v>0</v>
      </c>
      <c r="N429" s="99"/>
      <c r="O429" s="99"/>
      <c r="P429" s="99" t="b">
        <f ca="1">INDIRECT(C$46&amp;"!B"&amp;ROW()-ROW($C$396)+4)=$B429</f>
        <v>1</v>
      </c>
      <c r="Q429" s="99" t="b">
        <f ca="1">INDIRECT(D$46&amp;"!B"&amp;ROW()-ROW($C$396)+4)=$B429</f>
        <v>1</v>
      </c>
      <c r="T429" s="37" t="str">
        <f ca="1">IF(NOT(ISERROR(MATCH(K429,'Lookup Tables'!A:A,0))),"Lookup",IF(OR(NOT(ISERROR(FIND("Numeric",K429))),NOT(ISERROR(FIND("Percentage",K429))),NOT(ISERROR(FIND("Date",K429)))),"Numeric",IF(NOT(ISERROR(FIND("lank",K429))),"Non-blank",IF(NOT(ISERROR(FIND("Not evaluated",K429))),"Skipped","Other"))))</f>
        <v>Lookup</v>
      </c>
      <c r="U429" s="461">
        <f t="shared" ca="1" si="136"/>
        <v>0.25</v>
      </c>
      <c r="V429" s="461">
        <f t="shared" ca="1" si="137"/>
        <v>0</v>
      </c>
      <c r="W429" s="461" t="str">
        <f t="shared" ca="1" si="138"/>
        <v/>
      </c>
      <c r="X429" s="465" t="str">
        <f t="shared" ca="1" si="139"/>
        <v/>
      </c>
      <c r="Y429" s="99">
        <f t="shared" si="123"/>
        <v>2</v>
      </c>
      <c r="Z429" s="99"/>
      <c r="AA429" s="99"/>
      <c r="AB429" s="99"/>
      <c r="AC429" s="159" t="s">
        <v>2199</v>
      </c>
      <c r="AD429" s="107">
        <f t="shared" ca="1" si="126"/>
        <v>0.25</v>
      </c>
      <c r="AE429" s="99" t="b">
        <f t="shared" ca="1" si="140"/>
        <v>0</v>
      </c>
      <c r="AF429" s="159" t="s">
        <v>2504</v>
      </c>
      <c r="AG429" s="783">
        <f>COUNTIF('VA Detailed Scorecard Config'!D:D,AF429)</f>
        <v>1</v>
      </c>
      <c r="AH429" s="99"/>
    </row>
    <row r="430" spans="2:34" ht="13.5" customHeight="1">
      <c r="B430" s="327" t="s">
        <v>1556</v>
      </c>
      <c r="C430" s="99">
        <f ca="1">IF(INDIRECT(C$46&amp;"!C"&amp;ROW()-ROW($C$396)+4)="","",INDIRECT(C$46&amp;"!C"&amp;ROW()-ROW($C$396)+4))</f>
        <v>3</v>
      </c>
      <c r="D430" s="99" t="str">
        <f ca="1">IF(INDIRECT(D$46&amp;"!C"&amp;ROW()-ROW($C$396)+4)="","",INDIRECT(D$46&amp;"!C"&amp;ROW()-ROW($C$396)+4))</f>
        <v/>
      </c>
      <c r="G430" s="99" t="str">
        <f ca="1">IF(INDIRECT(C$46&amp;"!D"&amp;ROW()-ROW($C$396)+4)="","",INDIRECT(C$46&amp;"!D"&amp;ROW()-ROW($C$396)+4))</f>
        <v/>
      </c>
      <c r="H430" s="99" t="str">
        <f ca="1">IF(INDIRECT(D$46&amp;"!D"&amp;ROW()-ROW($C$396)+4)="","",INDIRECT(D$46&amp;"!D"&amp;ROW()-ROW($C$396)+4))</f>
        <v/>
      </c>
      <c r="K430" s="99" t="str">
        <f ca="1">IF(INDIRECT(C$46&amp;"!E"&amp;ROW()-ROW($C$396)+4)="","",INDIRECT(C$46&amp;"!E"&amp;ROW()-ROW($C$396)+4))</f>
        <v>Generic_1_5</v>
      </c>
      <c r="L430" s="99" t="b">
        <f ca="1">IF(INDIRECT(C$46&amp;"!F"&amp;ROW()-ROW($C$396)+4)="","",INDIRECT(C$46&amp;"!F"&amp;ROW()-ROW($C$396)+4))</f>
        <v>1</v>
      </c>
      <c r="M430" s="99" t="b">
        <f ca="1">IF(INDIRECT(D$46&amp;"!F"&amp;ROW()-ROW($C$396)+4)="","",INDIRECT(D$46&amp;"!F"&amp;ROW()-ROW($C$396)+4))</f>
        <v>0</v>
      </c>
      <c r="N430" s="99"/>
      <c r="O430" s="99"/>
      <c r="P430" s="99" t="b">
        <f ca="1">INDIRECT(C$46&amp;"!B"&amp;ROW()-ROW($C$396)+4)=$B430</f>
        <v>1</v>
      </c>
      <c r="Q430" s="99" t="b">
        <f ca="1">INDIRECT(D$46&amp;"!B"&amp;ROW()-ROW($C$396)+4)=$B430</f>
        <v>1</v>
      </c>
      <c r="T430" s="37" t="str">
        <f ca="1">IF(NOT(ISERROR(MATCH(K430,'Lookup Tables'!A:A,0))),"Lookup",IF(OR(NOT(ISERROR(FIND("Numeric",K430))),NOT(ISERROR(FIND("Percentage",K430))),NOT(ISERROR(FIND("Date",K430)))),"Numeric",IF(NOT(ISERROR(FIND("lank",K430))),"Non-blank",IF(NOT(ISERROR(FIND("Not evaluated",K430))),"Skipped","Other"))))</f>
        <v>Lookup</v>
      </c>
      <c r="U430" s="461">
        <f t="shared" ca="1" si="136"/>
        <v>0.5</v>
      </c>
      <c r="V430" s="461">
        <f t="shared" ca="1" si="137"/>
        <v>0</v>
      </c>
      <c r="W430" s="461" t="str">
        <f t="shared" ca="1" si="138"/>
        <v/>
      </c>
      <c r="X430" s="465" t="str">
        <f t="shared" ca="1" si="139"/>
        <v/>
      </c>
      <c r="Y430" s="99">
        <f t="shared" si="123"/>
        <v>2</v>
      </c>
      <c r="Z430" s="99"/>
      <c r="AA430" s="99"/>
      <c r="AB430" s="99"/>
      <c r="AC430" s="159" t="s">
        <v>2199</v>
      </c>
      <c r="AD430" s="107">
        <f t="shared" ca="1" si="126"/>
        <v>0.5</v>
      </c>
      <c r="AE430" s="99" t="b">
        <f t="shared" ca="1" si="140"/>
        <v>0</v>
      </c>
      <c r="AF430" s="159" t="s">
        <v>2505</v>
      </c>
      <c r="AG430" s="783">
        <f>COUNTIF('VA Detailed Scorecard Config'!D:D,AF430)</f>
        <v>1</v>
      </c>
      <c r="AH430" s="99"/>
    </row>
    <row r="431" spans="2:34" ht="13.5" customHeight="1">
      <c r="B431" s="327" t="s">
        <v>1555</v>
      </c>
      <c r="C431" s="99" t="str">
        <f ca="1">IF(INDIRECT(C$46&amp;"!C"&amp;ROW()-ROW($C$396)+4)="","",INDIRECT(C$46&amp;"!C"&amp;ROW()-ROW($C$396)+4))</f>
        <v/>
      </c>
      <c r="D431" s="99" t="str">
        <f ca="1">IF(INDIRECT(D$46&amp;"!C"&amp;ROW()-ROW($C$396)+4)="","",INDIRECT(D$46&amp;"!C"&amp;ROW()-ROW($C$396)+4))</f>
        <v/>
      </c>
      <c r="G431" s="99" t="str">
        <f ca="1">IF(INDIRECT(C$46&amp;"!D"&amp;ROW()-ROW($C$396)+4)="","",INDIRECT(C$46&amp;"!D"&amp;ROW()-ROW($C$396)+4))</f>
        <v/>
      </c>
      <c r="H431" s="99" t="str">
        <f ca="1">IF(INDIRECT(D$46&amp;"!D"&amp;ROW()-ROW($C$396)+4)="","",INDIRECT(D$46&amp;"!D"&amp;ROW()-ROW($C$396)+4))</f>
        <v/>
      </c>
      <c r="K431" s="99" t="str">
        <f ca="1">IF(INDIRECT(C$46&amp;"!E"&amp;ROW()-ROW($C$396)+4)="","",INDIRECT(C$46&amp;"!E"&amp;ROW()-ROW($C$396)+4))</f>
        <v>Non-blank is better</v>
      </c>
      <c r="L431" s="99" t="b">
        <f ca="1">IF(INDIRECT(C$46&amp;"!F"&amp;ROW()-ROW($C$396)+4)="","",INDIRECT(C$46&amp;"!F"&amp;ROW()-ROW($C$396)+4))</f>
        <v>1</v>
      </c>
      <c r="M431" s="99" t="b">
        <f ca="1">IF(INDIRECT(D$46&amp;"!F"&amp;ROW()-ROW($C$396)+4)="","",INDIRECT(D$46&amp;"!F"&amp;ROW()-ROW($C$396)+4))</f>
        <v>0</v>
      </c>
      <c r="N431" s="99"/>
      <c r="O431" s="99"/>
      <c r="P431" s="99" t="b">
        <f ca="1">INDIRECT(C$46&amp;"!B"&amp;ROW()-ROW($C$396)+4)=$B431</f>
        <v>1</v>
      </c>
      <c r="Q431" s="99" t="b">
        <f ca="1">INDIRECT(D$46&amp;"!B"&amp;ROW()-ROW($C$396)+4)=$B431</f>
        <v>1</v>
      </c>
      <c r="T431" s="99" t="str">
        <f ca="1">IF(NOT(ISERROR(MATCH(K431,'Lookup Tables'!A:A,0))),"Lookup",IF(OR(NOT(ISERROR(FIND("Numeric",K431))),NOT(ISERROR(FIND("Percentage",K431))),NOT(ISERROR(FIND("Date",K431)))),"Numeric",IF(NOT(ISERROR(FIND("lank",K431))),"Non-blank",IF(NOT(ISERROR(FIND("Not evaluated",K431))),"Skipped","Other"))))</f>
        <v>Non-blank</v>
      </c>
      <c r="U431" s="461">
        <f ca="1">IF(COLUMN()-COLUMN($U$55)+1&lt;=$Y431,IF(C431="",0,1),"")</f>
        <v>0</v>
      </c>
      <c r="V431" s="461">
        <f ca="1">IF(COLUMN()-COLUMN($U$55)+1&lt;=$Y431,IF(D431="",0,1),"")</f>
        <v>0</v>
      </c>
      <c r="W431" s="461" t="str">
        <f>IF(COLUMN()-COLUMN($U$55)+1&lt;=$Y431,IF(E431="",0,1),"")</f>
        <v/>
      </c>
      <c r="X431" s="465" t="str">
        <f>IF(COLUMN()-COLUMN($U$55)+1&lt;=$Y431,IF(F431="",0,1),"")</f>
        <v/>
      </c>
      <c r="Y431" s="99">
        <f t="shared" si="123"/>
        <v>2</v>
      </c>
      <c r="Z431" s="99"/>
      <c r="AA431" s="99"/>
      <c r="AB431" s="99"/>
      <c r="AC431" s="159" t="s">
        <v>2199</v>
      </c>
      <c r="AD431" s="107">
        <f t="shared" ca="1" si="126"/>
        <v>0</v>
      </c>
      <c r="AE431" s="99" t="b">
        <f t="shared" ca="1" si="140"/>
        <v>0</v>
      </c>
      <c r="AF431" s="159" t="s">
        <v>2506</v>
      </c>
      <c r="AG431" s="783">
        <f>COUNTIF('VA Detailed Scorecard Config'!D:D,AF431)</f>
        <v>0</v>
      </c>
      <c r="AH431" s="99"/>
    </row>
    <row r="432" spans="2:34" ht="13.5" customHeight="1">
      <c r="B432" s="327" t="s">
        <v>1901</v>
      </c>
      <c r="C432" s="99" t="str">
        <f ca="1">IF(INDIRECT(C$46&amp;"!C"&amp;ROW()-ROW($C$396)+4)="","",INDIRECT(C$46&amp;"!C"&amp;ROW()-ROW($C$396)+4))</f>
        <v>Yes</v>
      </c>
      <c r="D432" s="99" t="str">
        <f ca="1">IF(INDIRECT(D$46&amp;"!C"&amp;ROW()-ROW($C$396)+4)="","",INDIRECT(D$46&amp;"!C"&amp;ROW()-ROW($C$396)+4))</f>
        <v>Yes</v>
      </c>
      <c r="G432" s="99" t="str">
        <f ca="1">IF(INDIRECT(C$46&amp;"!D"&amp;ROW()-ROW($C$396)+4)="","",INDIRECT(C$46&amp;"!D"&amp;ROW()-ROW($C$396)+4))</f>
        <v/>
      </c>
      <c r="H432" s="99" t="str">
        <f ca="1">IF(INDIRECT(D$46&amp;"!D"&amp;ROW()-ROW($C$396)+4)="","",INDIRECT(D$46&amp;"!D"&amp;ROW()-ROW($C$396)+4))</f>
        <v/>
      </c>
      <c r="K432" s="99" t="str">
        <f ca="1">IF(INDIRECT(C$46&amp;"!E"&amp;ROW()-ROW($C$396)+4)="","",INDIRECT(C$46&amp;"!E"&amp;ROW()-ROW($C$396)+4))</f>
        <v>YES_No</v>
      </c>
      <c r="L432" s="99" t="b">
        <f ca="1">IF(INDIRECT(C$46&amp;"!F"&amp;ROW()-ROW($C$396)+4)="","",INDIRECT(C$46&amp;"!F"&amp;ROW()-ROW($C$396)+4))</f>
        <v>1</v>
      </c>
      <c r="M432" s="99" t="b">
        <f ca="1">IF(INDIRECT(D$46&amp;"!F"&amp;ROW()-ROW($C$396)+4)="","",INDIRECT(D$46&amp;"!F"&amp;ROW()-ROW($C$396)+4))</f>
        <v>1</v>
      </c>
      <c r="N432" s="99"/>
      <c r="O432" s="99"/>
      <c r="P432" s="99" t="b">
        <f ca="1">INDIRECT(C$46&amp;"!B"&amp;ROW()-ROW($C$396)+4)=$B432</f>
        <v>1</v>
      </c>
      <c r="Q432" s="99" t="b">
        <f ca="1">INDIRECT(D$46&amp;"!B"&amp;ROW()-ROW($C$396)+4)=$B432</f>
        <v>1</v>
      </c>
      <c r="T432" s="37" t="str">
        <f ca="1">IF(NOT(ISERROR(MATCH(K432,'Lookup Tables'!A:A,0))),"Lookup",IF(OR(NOT(ISERROR(FIND("Numeric",K432))),NOT(ISERROR(FIND("Percentage",K432))),NOT(ISERROR(FIND("Date",K432)))),"Numeric",IF(NOT(ISERROR(FIND("lank",K432))),"Non-blank",IF(NOT(ISERROR(FIND("Not evaluated",K432))),"Skipped","Other"))))</f>
        <v>Lookup</v>
      </c>
      <c r="U432" s="461">
        <f ca="1">IF(COLUMN()-COLUMN($U$55)+1&lt;=$Y432,INDEX(OFFSET(INDIRECT($K432),0,1),MATCH(C432,INDIRECT($K432),0)),"")</f>
        <v>1</v>
      </c>
      <c r="V432" s="461">
        <f ca="1">IF(COLUMN()-COLUMN($U$55)+1&lt;=$Y432,INDEX(OFFSET(INDIRECT($K432),0,1),MATCH(D432,INDIRECT($K432),0)),"")</f>
        <v>1</v>
      </c>
      <c r="W432" s="461" t="str">
        <f ca="1">IF(COLUMN()-COLUMN($U$55)+1&lt;=$Y432,INDEX(OFFSET(INDIRECT($K432),0,1),MATCH(E432,INDIRECT($K432),0)),"")</f>
        <v/>
      </c>
      <c r="X432" s="465" t="str">
        <f ca="1">IF(COLUMN()-COLUMN($U$55)+1&lt;=$Y432,INDEX(OFFSET(INDIRECT($K432),0,1),MATCH(F432,INDIRECT($K432),0)),"")</f>
        <v/>
      </c>
      <c r="Y432" s="99">
        <f t="shared" si="123"/>
        <v>2</v>
      </c>
      <c r="Z432" s="99"/>
      <c r="AA432" s="99"/>
      <c r="AB432" s="99"/>
      <c r="AC432" s="159" t="s">
        <v>2199</v>
      </c>
      <c r="AD432" s="107">
        <f t="shared" ca="1" si="126"/>
        <v>1</v>
      </c>
      <c r="AE432" s="99" t="b">
        <f t="shared" ca="1" si="140"/>
        <v>0</v>
      </c>
      <c r="AF432" s="159" t="s">
        <v>2507</v>
      </c>
      <c r="AG432" s="783">
        <f>COUNTIF('VA Detailed Scorecard Config'!D:D,AF432)</f>
        <v>0</v>
      </c>
      <c r="AH432" s="99"/>
    </row>
    <row r="433" spans="2:34" ht="13.5" customHeight="1">
      <c r="B433" s="732" t="s">
        <v>1974</v>
      </c>
      <c r="C433" s="408" t="s">
        <v>1989</v>
      </c>
      <c r="D433" s="408" t="s">
        <v>1990</v>
      </c>
      <c r="K433" s="410" t="s">
        <v>1988</v>
      </c>
      <c r="L433" s="410" t="s">
        <v>2219</v>
      </c>
      <c r="M433" s="410" t="s">
        <v>2220</v>
      </c>
      <c r="N433" s="410" t="s">
        <v>2221</v>
      </c>
      <c r="O433" s="410" t="s">
        <v>2222</v>
      </c>
      <c r="P433" s="423" t="s">
        <v>1993</v>
      </c>
      <c r="Q433" s="423" t="s">
        <v>1994</v>
      </c>
      <c r="R433" s="423" t="s">
        <v>1995</v>
      </c>
      <c r="S433" s="423" t="s">
        <v>1996</v>
      </c>
      <c r="AF433" s="137"/>
      <c r="AG433" s="775"/>
    </row>
    <row r="434" spans="2:34" ht="13.5" customHeight="1">
      <c r="B434" s="327" t="s">
        <v>1985</v>
      </c>
      <c r="C434" s="99" t="str">
        <f ca="1">IF(INDIRECT(C$46&amp;"!C"&amp;ROW()-ROW($C$396)+7)="","",INDIRECT(C$46&amp;"!C"&amp;ROW()-ROW($C$396)+7))</f>
        <v>Yes</v>
      </c>
      <c r="D434" s="99" t="str">
        <f ca="1">IF(INDIRECT(D$46&amp;"!C"&amp;ROW()-ROW($C$396)+7)="","",INDIRECT(D$46&amp;"!C"&amp;ROW()-ROW($C$396)+7))</f>
        <v>Yes</v>
      </c>
      <c r="K434" s="99" t="str">
        <f ca="1">IF(INDIRECT(C$46&amp;"!E"&amp;ROW()-ROW($C$396)+7)="","",INDIRECT(C$46&amp;"!E"&amp;ROW()-ROW($C$396)+7))</f>
        <v>YES_No</v>
      </c>
      <c r="L434" s="99" t="b">
        <f ca="1">IF(INDIRECT(C$46&amp;"!F"&amp;ROW()-ROW($C$396)+7)="","",INDIRECT(C$46&amp;"!F"&amp;ROW()-ROW($C$396)+7))</f>
        <v>1</v>
      </c>
      <c r="M434" s="99" t="b">
        <f ca="1">IF(INDIRECT(D$46&amp;"!F"&amp;ROW()-ROW($C$396)+7)="","",INDIRECT(D$46&amp;"!F"&amp;ROW()-ROW($C$396)+7))</f>
        <v>1</v>
      </c>
      <c r="N434" s="99"/>
      <c r="O434" s="99"/>
      <c r="P434" s="99" t="b">
        <f ca="1">INDIRECT(C$46&amp;"!B"&amp;ROW()-ROW($C$396)+7)=$B434</f>
        <v>1</v>
      </c>
      <c r="Q434" s="99" t="b">
        <f ca="1">INDIRECT(D$46&amp;"!B"&amp;ROW()-ROW($C$396)+7)=$B434</f>
        <v>1</v>
      </c>
      <c r="T434" s="37" t="s">
        <v>2191</v>
      </c>
      <c r="U434" s="461"/>
      <c r="V434" s="461"/>
      <c r="W434" s="461"/>
      <c r="X434" s="461"/>
      <c r="Y434" s="99">
        <f t="shared" si="123"/>
        <v>2</v>
      </c>
      <c r="Z434" s="99"/>
      <c r="AA434" s="99"/>
      <c r="AB434" s="99"/>
      <c r="AC434" s="99"/>
      <c r="AD434" s="99"/>
      <c r="AE434" s="99"/>
      <c r="AF434" s="99"/>
      <c r="AG434" s="248"/>
      <c r="AH434" s="99"/>
    </row>
    <row r="435" spans="2:34" ht="13.5" customHeight="1">
      <c r="B435" s="327" t="s">
        <v>1984</v>
      </c>
      <c r="C435" s="99">
        <f ca="1">IF(INDIRECT(C$46&amp;"!C"&amp;ROW()-ROW($C$396)+7)="","",INDIRECT(C$46&amp;"!C"&amp;ROW()-ROW($C$396)+7))</f>
        <v>1000</v>
      </c>
      <c r="D435" s="99">
        <f ca="1">IF(INDIRECT(D$46&amp;"!C"&amp;ROW()-ROW($C$396)+7)="","",INDIRECT(D$46&amp;"!C"&amp;ROW()-ROW($C$396)+7))</f>
        <v>1500</v>
      </c>
      <c r="K435" s="99" t="str">
        <f ca="1">IF(INDIRECT(C$46&amp;"!E"&amp;ROW()-ROW($C$396)+7)="","",INDIRECT(C$46&amp;"!E"&amp;ROW()-ROW($C$396)+7))</f>
        <v>Numerical (Larger is better, linear scale)</v>
      </c>
      <c r="L435" s="99" t="b">
        <f ca="1">IF(INDIRECT(C$46&amp;"!F"&amp;ROW()-ROW($C$396)+7)="","",INDIRECT(C$46&amp;"!F"&amp;ROW()-ROW($C$396)+7))</f>
        <v>1</v>
      </c>
      <c r="M435" s="99" t="b">
        <f ca="1">IF(INDIRECT(D$46&amp;"!F"&amp;ROW()-ROW($C$396)+7)="","",INDIRECT(D$46&amp;"!F"&amp;ROW()-ROW($C$396)+7))</f>
        <v>1</v>
      </c>
      <c r="N435" s="99"/>
      <c r="O435" s="99"/>
      <c r="P435" s="99" t="b">
        <f ca="1">INDIRECT(C$46&amp;"!B"&amp;ROW()-ROW($C$396)+7)=$B435</f>
        <v>1</v>
      </c>
      <c r="Q435" s="99" t="b">
        <f ca="1">INDIRECT(D$46&amp;"!B"&amp;ROW()-ROW($C$396)+7)=$B435</f>
        <v>1</v>
      </c>
      <c r="T435" s="99" t="str">
        <f ca="1">IF(NOT(ISERROR(MATCH(K435,'Lookup Tables'!A:A,0))),"Lookup",IF(OR(NOT(ISERROR(FIND("Numeric",K435))),NOT(ISERROR(FIND("Percentage",K435))),NOT(ISERROR(FIND("Date",K435)))),"Numeric",IF(NOT(ISERROR(FIND("lank",K435))),"Non-blank",IF(NOT(ISERROR(FIND("Not evaluated",K435))),"Skipped","Other"))))</f>
        <v>Numeric</v>
      </c>
      <c r="U435" s="101">
        <f ca="1">IF(COLUMN()-COLUMN($U$55)+1&lt;=$Y434,(C435-MIN($C435:$F435,$Z435:$AA435))/(MAX($AA435,$C435:$F435)-MIN($C435:$F435,$Z435:$AA435)),"")</f>
        <v>0.66666666666666663</v>
      </c>
      <c r="V435" s="101">
        <f ca="1">IF(COLUMN()-COLUMN($U$55)+1&lt;=$Y434,(D435-MIN($C435:$F435,$Z435:$AA435))/(MAX($AA435,$C435:$F435)-MIN($C435:$F435,$Z435:$AA435)),"")</f>
        <v>1</v>
      </c>
      <c r="W435" s="101" t="str">
        <f>IF(COLUMN()-COLUMN($U$55)+1&lt;=$Y434,(E435-MIN($C435:$F435,$Z435:$AA435))/(MAX($AA435,$C435:$F435)-MIN($C435:$F435,$Z435:$AA435)),"")</f>
        <v/>
      </c>
      <c r="X435" s="101" t="str">
        <f>IF(COLUMN()-COLUMN($U$55)+1&lt;=$Y434,(F435-MIN($C435:$F435,$Z435:$AA435))/(MAX($AA435,$C435:$F435)-MIN($C435:$F435,$Z435:$AA435)),"")</f>
        <v/>
      </c>
      <c r="Y435" s="99">
        <f>COUNTA($C$8:$F$8)</f>
        <v>2</v>
      </c>
      <c r="Z435" s="99">
        <v>0</v>
      </c>
      <c r="AA435" s="99">
        <v>1000</v>
      </c>
      <c r="AB435" s="159" t="s">
        <v>2190</v>
      </c>
      <c r="AC435" s="159" t="s">
        <v>2229</v>
      </c>
      <c r="AD435" s="107">
        <f ca="1">MEDIAN(U435:X435)</f>
        <v>0.83333333333333326</v>
      </c>
      <c r="AE435" s="99" t="b">
        <f t="shared" ca="1" si="140"/>
        <v>0</v>
      </c>
      <c r="AF435" s="159" t="s">
        <v>2508</v>
      </c>
      <c r="AG435" s="783">
        <f>COUNTIF('VA Detailed Scorecard Config'!D:D,AF435)</f>
        <v>1</v>
      </c>
      <c r="AH435" s="99"/>
    </row>
    <row r="438" spans="2:34" ht="12.75"/>
  </sheetData>
  <mergeCells count="127">
    <mergeCell ref="AH394:AH395"/>
    <mergeCell ref="B201:O201"/>
    <mergeCell ref="P201:S201"/>
    <mergeCell ref="T201:T202"/>
    <mergeCell ref="U201:X201"/>
    <mergeCell ref="Y201:Y202"/>
    <mergeCell ref="Z201:AB201"/>
    <mergeCell ref="AC201:AC202"/>
    <mergeCell ref="AD201:AD202"/>
    <mergeCell ref="AE201:AE202"/>
    <mergeCell ref="AF201:AF202"/>
    <mergeCell ref="AG201:AG202"/>
    <mergeCell ref="AH201:AH202"/>
    <mergeCell ref="AH315:AH325"/>
    <mergeCell ref="AH296:AH297"/>
    <mergeCell ref="AF337:AF338"/>
    <mergeCell ref="AG337:AG338"/>
    <mergeCell ref="AH337:AH338"/>
    <mergeCell ref="AF364:AF365"/>
    <mergeCell ref="AG364:AG365"/>
    <mergeCell ref="AH364:AH365"/>
    <mergeCell ref="AH126:AH127"/>
    <mergeCell ref="AF232:AF233"/>
    <mergeCell ref="AG232:AG233"/>
    <mergeCell ref="AH232:AH233"/>
    <mergeCell ref="AF250:AF251"/>
    <mergeCell ref="AG250:AG251"/>
    <mergeCell ref="AH250:AH251"/>
    <mergeCell ref="AH54:AH55"/>
    <mergeCell ref="AC53:AH53"/>
    <mergeCell ref="AF101:AF102"/>
    <mergeCell ref="AG101:AG102"/>
    <mergeCell ref="AH101:AH102"/>
    <mergeCell ref="AD394:AD395"/>
    <mergeCell ref="AE394:AE395"/>
    <mergeCell ref="AF54:AF55"/>
    <mergeCell ref="AG54:AG55"/>
    <mergeCell ref="AF126:AF127"/>
    <mergeCell ref="AG126:AG127"/>
    <mergeCell ref="AF296:AF297"/>
    <mergeCell ref="AG296:AG297"/>
    <mergeCell ref="AF394:AF395"/>
    <mergeCell ref="AG394:AG395"/>
    <mergeCell ref="T394:T395"/>
    <mergeCell ref="U394:X394"/>
    <mergeCell ref="Y394:Y395"/>
    <mergeCell ref="Z394:AB394"/>
    <mergeCell ref="AC394:AC395"/>
    <mergeCell ref="AD337:AD338"/>
    <mergeCell ref="AE337:AE338"/>
    <mergeCell ref="T364:T365"/>
    <mergeCell ref="U364:X364"/>
    <mergeCell ref="Y364:Y365"/>
    <mergeCell ref="Z364:AB364"/>
    <mergeCell ref="AC364:AC365"/>
    <mergeCell ref="AD364:AD365"/>
    <mergeCell ref="AE364:AE365"/>
    <mergeCell ref="T337:T338"/>
    <mergeCell ref="U337:X337"/>
    <mergeCell ref="Y337:Y338"/>
    <mergeCell ref="Z337:AB337"/>
    <mergeCell ref="AC337:AC338"/>
    <mergeCell ref="AD250:AD251"/>
    <mergeCell ref="AE250:AE251"/>
    <mergeCell ref="T296:T297"/>
    <mergeCell ref="U296:X296"/>
    <mergeCell ref="Y296:Y297"/>
    <mergeCell ref="Z296:AB296"/>
    <mergeCell ref="AC296:AC297"/>
    <mergeCell ref="AD296:AD297"/>
    <mergeCell ref="AE296:AE297"/>
    <mergeCell ref="T250:T251"/>
    <mergeCell ref="U250:X250"/>
    <mergeCell ref="Y250:Y251"/>
    <mergeCell ref="Z250:AB250"/>
    <mergeCell ref="AC250:AC251"/>
    <mergeCell ref="AD126:AD127"/>
    <mergeCell ref="AE126:AE127"/>
    <mergeCell ref="T101:T102"/>
    <mergeCell ref="U101:X101"/>
    <mergeCell ref="Y101:Y102"/>
    <mergeCell ref="Z101:AB101"/>
    <mergeCell ref="AC101:AC102"/>
    <mergeCell ref="AD101:AD102"/>
    <mergeCell ref="AE101:AE102"/>
    <mergeCell ref="B1:F1"/>
    <mergeCell ref="AD54:AD55"/>
    <mergeCell ref="AE54:AE55"/>
    <mergeCell ref="T232:T233"/>
    <mergeCell ref="U232:X232"/>
    <mergeCell ref="Y232:Y233"/>
    <mergeCell ref="Z232:AB232"/>
    <mergeCell ref="AC232:AC233"/>
    <mergeCell ref="AD232:AD233"/>
    <mergeCell ref="AE232:AE233"/>
    <mergeCell ref="T126:T127"/>
    <mergeCell ref="U126:X126"/>
    <mergeCell ref="Y126:Y127"/>
    <mergeCell ref="Z126:AB126"/>
    <mergeCell ref="AC126:AC127"/>
    <mergeCell ref="B78:B80"/>
    <mergeCell ref="P53:S53"/>
    <mergeCell ref="P54:S54"/>
    <mergeCell ref="P101:S101"/>
    <mergeCell ref="B53:O53"/>
    <mergeCell ref="B54:O54"/>
    <mergeCell ref="B101:O101"/>
    <mergeCell ref="P126:S126"/>
    <mergeCell ref="P232:S232"/>
    <mergeCell ref="P250:S250"/>
    <mergeCell ref="B126:O126"/>
    <mergeCell ref="B232:O232"/>
    <mergeCell ref="B250:O250"/>
    <mergeCell ref="P364:S364"/>
    <mergeCell ref="P394:S394"/>
    <mergeCell ref="P296:S296"/>
    <mergeCell ref="P337:S337"/>
    <mergeCell ref="B296:O296"/>
    <mergeCell ref="B337:O337"/>
    <mergeCell ref="B364:O364"/>
    <mergeCell ref="B394:O394"/>
    <mergeCell ref="AC54:AC55"/>
    <mergeCell ref="T54:T55"/>
    <mergeCell ref="U54:X54"/>
    <mergeCell ref="Y54:Y55"/>
    <mergeCell ref="Z54:AB54"/>
    <mergeCell ref="T53:AB53"/>
  </mergeCells>
  <phoneticPr fontId="33" type="noConversion"/>
  <conditionalFormatting sqref="C3:C6">
    <cfRule type="cellIs" dxfId="122" priority="26" operator="equal">
      <formula>TRUE</formula>
    </cfRule>
  </conditionalFormatting>
  <conditionalFormatting sqref="C15:C17">
    <cfRule type="cellIs" dxfId="121" priority="25" operator="equal">
      <formula>TRUE</formula>
    </cfRule>
  </conditionalFormatting>
  <conditionalFormatting sqref="C9:D12">
    <cfRule type="cellIs" dxfId="120" priority="21" operator="equal">
      <formula>TRUE</formula>
    </cfRule>
  </conditionalFormatting>
  <conditionalFormatting sqref="C26:D28">
    <cfRule type="cellIs" dxfId="119" priority="20" operator="equal">
      <formula>TRUE</formula>
    </cfRule>
  </conditionalFormatting>
  <conditionalFormatting sqref="C31:E33">
    <cfRule type="cellIs" dxfId="118" priority="19" operator="equal">
      <formula>TRUE</formula>
    </cfRule>
  </conditionalFormatting>
  <conditionalFormatting sqref="C37:E39">
    <cfRule type="cellIs" dxfId="117" priority="18" operator="equal">
      <formula>TRUE</formula>
    </cfRule>
  </conditionalFormatting>
  <conditionalFormatting sqref="C42:E44">
    <cfRule type="cellIs" dxfId="116" priority="17" operator="equal">
      <formula>TRUE</formula>
    </cfRule>
  </conditionalFormatting>
  <conditionalFormatting sqref="C48:D50">
    <cfRule type="cellIs" dxfId="115" priority="16" operator="equal">
      <formula>TRUE</formula>
    </cfRule>
  </conditionalFormatting>
  <conditionalFormatting sqref="C25:D25">
    <cfRule type="cellIs" dxfId="114" priority="15" operator="equal">
      <formula>TRUE</formula>
    </cfRule>
  </conditionalFormatting>
  <conditionalFormatting sqref="C20:F22">
    <cfRule type="cellIs" dxfId="113" priority="13" operator="equal">
      <formula>TRUE</formula>
    </cfRule>
  </conditionalFormatting>
  <conditionalFormatting sqref="C36:E36">
    <cfRule type="cellIs" dxfId="112" priority="12" operator="equal">
      <formula>TRUE</formula>
    </cfRule>
  </conditionalFormatting>
  <conditionalFormatting sqref="C47:D47">
    <cfRule type="cellIs" dxfId="111" priority="11" operator="equal">
      <formula>TRUE</formula>
    </cfRule>
  </conditionalFormatting>
  <conditionalFormatting sqref="B137">
    <cfRule type="expression" dxfId="110" priority="7">
      <formula>$G137&gt;$C$7</formula>
    </cfRule>
  </conditionalFormatting>
  <conditionalFormatting sqref="T56:X90 T92:X100 T234:X249 T103:X113 T252:X295 T298:X336 T339:X363 T366:X393 T115:X125 T203:X231 T396:X435 T128:X200">
    <cfRule type="expression" dxfId="109" priority="3">
      <formula>$T56="Non-blank"</formula>
    </cfRule>
    <cfRule type="expression" dxfId="108" priority="4">
      <formula>$T56="Numeric"</formula>
    </cfRule>
    <cfRule type="expression" dxfId="107" priority="5">
      <formula>$T56="Skipped"</formula>
    </cfRule>
    <cfRule type="expression" dxfId="106" priority="6">
      <formula>$T56="Lookup"</formula>
    </cfRule>
  </conditionalFormatting>
  <conditionalFormatting sqref="AF396:AG435 AF366:AG392 AF339:AG362 AF298:AG335 AF252:AG294 AF203:AG230 AF104:AG124 AF56:AG99 AF234:AG248 AF128:AG198">
    <cfRule type="expression" dxfId="105" priority="1">
      <formula>AND($AF56&lt;&gt;"",$AG56=0)</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C3485-FBDD-433B-8E6D-131F8CD64B9C}">
  <sheetPr>
    <tabColor theme="9" tint="0.79998168889431442"/>
  </sheetPr>
  <dimension ref="B1:AM192"/>
  <sheetViews>
    <sheetView workbookViewId="0"/>
  </sheetViews>
  <sheetFormatPr defaultRowHeight="12.75"/>
  <cols>
    <col min="1" max="1" width="4" style="37" customWidth="1"/>
    <col min="2" max="3" width="5.7109375" style="37" customWidth="1"/>
    <col min="4" max="4" width="5.85546875" style="37" customWidth="1"/>
    <col min="5" max="5" width="1.5703125" style="37" customWidth="1"/>
    <col min="6" max="6" width="49.85546875" style="37" bestFit="1" customWidth="1"/>
    <col min="7" max="7" width="24.85546875" style="37" customWidth="1"/>
    <col min="8" max="8" width="19.42578125" style="37" customWidth="1"/>
    <col min="9" max="9" width="89.42578125" style="37" customWidth="1"/>
    <col min="10" max="10" width="2.42578125" style="37" customWidth="1"/>
    <col min="11" max="11" width="18" style="37" customWidth="1"/>
    <col min="12" max="12" width="17" style="37" customWidth="1"/>
    <col min="13" max="13" width="10" style="37" customWidth="1"/>
    <col min="14" max="15" width="9.140625" style="37"/>
    <col min="16" max="16" width="12.42578125" style="37" bestFit="1" customWidth="1"/>
    <col min="17" max="22" width="9.140625" style="37"/>
    <col min="23" max="23" width="2.7109375" style="37" customWidth="1"/>
    <col min="24" max="24" width="13" style="37" customWidth="1"/>
    <col min="25" max="25" width="41.7109375" style="37" customWidth="1"/>
    <col min="26" max="26" width="2.5703125" style="37" customWidth="1"/>
    <col min="27" max="27" width="17.140625" style="37" customWidth="1"/>
    <col min="28" max="28" width="16.28515625" style="37" customWidth="1"/>
    <col min="29" max="16384" width="9.140625" style="37"/>
  </cols>
  <sheetData>
    <row r="1" spans="2:39" ht="13.5" thickBot="1">
      <c r="D1" s="106">
        <f>SUM(D4:D23)</f>
        <v>0.99999999999999956</v>
      </c>
      <c r="E1" s="106"/>
      <c r="L1" s="189">
        <f t="shared" ref="L1:Q1" si="0">LOG(L4+0.0000001)</f>
        <v>3.0000000000434293</v>
      </c>
      <c r="M1" s="189">
        <f t="shared" si="0"/>
        <v>1.0000000043429447</v>
      </c>
      <c r="N1" s="189">
        <f t="shared" si="0"/>
        <v>0.30103001737870472</v>
      </c>
      <c r="O1" s="189">
        <f t="shared" si="0"/>
        <v>1.7242758704202126</v>
      </c>
      <c r="P1" s="189">
        <f t="shared" si="0"/>
        <v>4.3429446044209946E-8</v>
      </c>
      <c r="Q1" s="189">
        <f t="shared" si="0"/>
        <v>-7</v>
      </c>
    </row>
    <row r="2" spans="2:39">
      <c r="B2" s="585" t="s">
        <v>789</v>
      </c>
      <c r="C2" s="586"/>
      <c r="D2" s="587"/>
      <c r="E2" s="106"/>
      <c r="F2" s="593" t="s">
        <v>2</v>
      </c>
      <c r="G2" s="593" t="s">
        <v>779</v>
      </c>
      <c r="H2" s="593" t="s">
        <v>780</v>
      </c>
      <c r="I2" s="593" t="s">
        <v>212</v>
      </c>
      <c r="K2" s="584" t="s">
        <v>788</v>
      </c>
      <c r="L2" s="584"/>
      <c r="M2" s="584"/>
      <c r="N2" s="584"/>
      <c r="O2" s="584"/>
      <c r="P2" s="584"/>
      <c r="Q2" s="584"/>
      <c r="R2" s="584"/>
      <c r="S2" s="584"/>
      <c r="T2" s="584"/>
      <c r="U2" s="584"/>
      <c r="V2" s="584"/>
      <c r="X2" s="591" t="s">
        <v>791</v>
      </c>
      <c r="Y2" s="591" t="s">
        <v>795</v>
      </c>
      <c r="AA2" s="588" t="s">
        <v>797</v>
      </c>
      <c r="AB2" s="589"/>
      <c r="AC2" s="589"/>
      <c r="AD2" s="589"/>
      <c r="AE2" s="589"/>
      <c r="AF2" s="589"/>
      <c r="AG2" s="589"/>
      <c r="AH2" s="589"/>
      <c r="AI2" s="589"/>
      <c r="AJ2" s="589"/>
      <c r="AK2" s="589"/>
      <c r="AL2" s="590"/>
    </row>
    <row r="3" spans="2:39" ht="30" customHeight="1" thickBot="1">
      <c r="B3" s="180" t="s">
        <v>790</v>
      </c>
      <c r="C3" s="173" t="s">
        <v>780</v>
      </c>
      <c r="D3" s="181" t="s">
        <v>212</v>
      </c>
      <c r="E3" s="106"/>
      <c r="F3" s="594"/>
      <c r="G3" s="594"/>
      <c r="H3" s="594"/>
      <c r="I3" s="594"/>
      <c r="K3" s="179" t="s">
        <v>787</v>
      </c>
      <c r="L3" s="179" t="s">
        <v>786</v>
      </c>
      <c r="M3" s="179" t="s">
        <v>688</v>
      </c>
      <c r="N3" s="179" t="s">
        <v>689</v>
      </c>
      <c r="O3" s="179" t="s">
        <v>690</v>
      </c>
      <c r="P3" s="179" t="s">
        <v>691</v>
      </c>
      <c r="Q3" s="179" t="s">
        <v>692</v>
      </c>
      <c r="R3" s="179" t="s">
        <v>693</v>
      </c>
      <c r="S3" s="179" t="s">
        <v>694</v>
      </c>
      <c r="T3" s="179" t="s">
        <v>695</v>
      </c>
      <c r="U3" s="179" t="s">
        <v>696</v>
      </c>
      <c r="V3" s="179" t="s">
        <v>697</v>
      </c>
      <c r="X3" s="592"/>
      <c r="Y3" s="592"/>
      <c r="AA3" s="187" t="s">
        <v>787</v>
      </c>
      <c r="AB3" s="174" t="s">
        <v>786</v>
      </c>
      <c r="AC3" s="174" t="s">
        <v>688</v>
      </c>
      <c r="AD3" s="174" t="s">
        <v>689</v>
      </c>
      <c r="AE3" s="174" t="s">
        <v>690</v>
      </c>
      <c r="AF3" s="174" t="s">
        <v>691</v>
      </c>
      <c r="AG3" s="174" t="s">
        <v>692</v>
      </c>
      <c r="AH3" s="174" t="s">
        <v>693</v>
      </c>
      <c r="AI3" s="174" t="s">
        <v>694</v>
      </c>
      <c r="AJ3" s="174" t="s">
        <v>695</v>
      </c>
      <c r="AK3" s="174" t="s">
        <v>696</v>
      </c>
      <c r="AL3" s="188" t="s">
        <v>697</v>
      </c>
      <c r="AM3" s="37" t="s">
        <v>806</v>
      </c>
    </row>
    <row r="4" spans="2:39">
      <c r="B4" s="162">
        <f ca="1">IF(G4="","",OFFSET('VA Front Page'!$I$11,MATCH(G4,'VA Front Page'!$C$12:$C$34,0),0))</f>
        <v>8.929758514950302E-2</v>
      </c>
      <c r="C4" s="163">
        <v>0.4</v>
      </c>
      <c r="D4" s="182">
        <v>0.1</v>
      </c>
      <c r="E4" s="106"/>
      <c r="F4" s="175" t="s">
        <v>9</v>
      </c>
      <c r="G4" s="164" t="s">
        <v>10</v>
      </c>
      <c r="H4" s="165" t="s">
        <v>793</v>
      </c>
      <c r="I4" s="164" t="str">
        <f>'Proposer Inputs'!C6</f>
        <v xml:space="preserve">How many projects has the organization delivered to a DAO? </v>
      </c>
      <c r="K4" s="164">
        <v>0</v>
      </c>
      <c r="L4" s="164">
        <v>1000</v>
      </c>
      <c r="M4" s="164">
        <v>10</v>
      </c>
      <c r="N4" s="164">
        <v>2</v>
      </c>
      <c r="O4" s="164">
        <v>53</v>
      </c>
      <c r="P4" s="164">
        <v>1</v>
      </c>
      <c r="Q4" s="164">
        <v>0</v>
      </c>
      <c r="R4" s="164"/>
      <c r="S4" s="164"/>
      <c r="T4" s="164"/>
      <c r="U4" s="164"/>
      <c r="V4" s="164"/>
      <c r="X4" s="164">
        <f>0</f>
        <v>0</v>
      </c>
      <c r="Y4" s="99" t="s">
        <v>796</v>
      </c>
      <c r="AA4" s="101">
        <f>50%*IF(K4&gt;0,1,0)+50%*(LOG(K4+0.0000001)-LOG(MIN($K4:$V4)+0.0000001))/(LOG(MAX($K4:$V4)+0.0000001)-LOG(MIN($K4:$V4)+0.0000001))</f>
        <v>0</v>
      </c>
      <c r="AB4" s="101">
        <f>50%*IF(L4&gt;0,1,0)+50%*(LOG(L4+0.0000001)-LOG(MIN($K4:$V4)+0.0000001))/(LOG(MAX($K4:$V4)+0.0000001)-LOG(MIN($K4:$V4)+0.0000001))</f>
        <v>1</v>
      </c>
      <c r="AC4" s="101">
        <f>50%*IF(M4&gt;0,1,0)+50%*(LOG(M4+1)-LOG(MIN($K4:$V4)+1))/(LOG(MAX($K4:$V4)+1)-LOG(MIN($K4:$V4)+1))</f>
        <v>0.67354033754227738</v>
      </c>
      <c r="AD4" s="101">
        <f t="shared" ref="AD4:AL4" si="1">50%*IF(N4&gt;0,1,0)+50%*(LOG(N4+1)-LOG(MIN($K4:$V4)+1))/(LOG(MAX($K4:$V4)+1)-LOG(MIN($K4:$V4)+1))</f>
        <v>0.5795087048072215</v>
      </c>
      <c r="AE4" s="101">
        <f t="shared" si="1"/>
        <v>0.78869052195247069</v>
      </c>
      <c r="AF4" s="101">
        <f t="shared" si="1"/>
        <v>0.55016440753080609</v>
      </c>
      <c r="AG4" s="101">
        <f t="shared" si="1"/>
        <v>0</v>
      </c>
      <c r="AH4" s="101">
        <f t="shared" si="1"/>
        <v>0</v>
      </c>
      <c r="AI4" s="101">
        <f t="shared" si="1"/>
        <v>0</v>
      </c>
      <c r="AJ4" s="101">
        <f t="shared" si="1"/>
        <v>0</v>
      </c>
      <c r="AK4" s="101">
        <f t="shared" si="1"/>
        <v>0</v>
      </c>
      <c r="AL4" s="101">
        <f t="shared" si="1"/>
        <v>0</v>
      </c>
    </row>
    <row r="5" spans="2:39">
      <c r="B5" s="167" t="str">
        <f ca="1">IF(G5="","",OFFSET('VA Front Page'!$I$11,MATCH(G5,'VA Front Page'!$C$12:$C$34,0),0))</f>
        <v/>
      </c>
      <c r="C5" s="160"/>
      <c r="D5" s="183">
        <v>0.05</v>
      </c>
      <c r="E5" s="106"/>
      <c r="F5" s="176"/>
      <c r="G5" s="99"/>
      <c r="H5" s="159"/>
      <c r="I5" s="99" t="str">
        <f>'Proposer Inputs'!C7</f>
        <v>How many open source projects has the organization and its key team members started?</v>
      </c>
      <c r="K5" s="99">
        <v>0</v>
      </c>
      <c r="L5" s="99">
        <v>100</v>
      </c>
      <c r="M5" s="99">
        <v>1</v>
      </c>
      <c r="N5" s="99">
        <v>3</v>
      </c>
      <c r="O5" s="99">
        <v>0</v>
      </c>
      <c r="P5" s="99">
        <v>5</v>
      </c>
      <c r="Q5" s="99">
        <v>1</v>
      </c>
      <c r="R5" s="99"/>
      <c r="S5" s="99"/>
      <c r="T5" s="99"/>
      <c r="U5" s="99"/>
      <c r="V5" s="99"/>
      <c r="X5" s="99"/>
      <c r="Y5" s="99" t="s">
        <v>796</v>
      </c>
      <c r="AA5" s="101">
        <f>50%*IF(K5&gt;0,1,0)+50%*(LOG(K5+0.0000001)-LOG(MIN($K5:$V5)+0.0000001))/(LOG(MAX($K5:$V5)+0.0000001)-LOG(MIN($K5:$V5)+0.0000001))</f>
        <v>0</v>
      </c>
      <c r="AB5" s="101">
        <f>50%*IF(L5&gt;0,1,0)+50%*(LOG(L5+0.0000001)-LOG(MIN($K5:$V5)+0.0000001))/(LOG(MAX($K5:$V5)+0.0000001)-LOG(MIN($K5:$V5)+0.0000001))</f>
        <v>1</v>
      </c>
      <c r="AC5" s="101">
        <f>50%*IF(M5&gt;0,1,0)+50%*(LOG(M5+1)-LOG(MIN($K5:$V5)+1))/(LOG(MAX($K5:$V5)+1)-LOG(MIN($K5:$V5)+1))</f>
        <v>0.575095241611844</v>
      </c>
      <c r="AD5" s="101">
        <f t="shared" ref="AD5:AL5" si="2">50%*IF(N5&gt;0,1,0)+50%*(LOG(N5+1)-LOG(MIN($K5:$V5)+1))/(LOG(MAX($K5:$V5)+1)-LOG(MIN($K5:$V5)+1))</f>
        <v>0.650190483223688</v>
      </c>
      <c r="AE5" s="101">
        <f t="shared" si="2"/>
        <v>0</v>
      </c>
      <c r="AF5" s="101">
        <f t="shared" si="2"/>
        <v>0.69411838354921163</v>
      </c>
      <c r="AG5" s="101">
        <f t="shared" si="2"/>
        <v>0.575095241611844</v>
      </c>
      <c r="AH5" s="101">
        <f t="shared" si="2"/>
        <v>0</v>
      </c>
      <c r="AI5" s="101">
        <f t="shared" si="2"/>
        <v>0</v>
      </c>
      <c r="AJ5" s="101">
        <f t="shared" si="2"/>
        <v>0</v>
      </c>
      <c r="AK5" s="101">
        <f t="shared" si="2"/>
        <v>0</v>
      </c>
      <c r="AL5" s="101">
        <f t="shared" si="2"/>
        <v>0</v>
      </c>
    </row>
    <row r="6" spans="2:39">
      <c r="B6" s="167" t="str">
        <f ca="1">IF(G6="","",OFFSET('VA Front Page'!$I$11,MATCH(G6,'VA Front Page'!$C$12:$C$34,0),0))</f>
        <v/>
      </c>
      <c r="C6" s="160"/>
      <c r="D6" s="183">
        <v>0.15</v>
      </c>
      <c r="E6" s="106"/>
      <c r="F6" s="176"/>
      <c r="G6" s="99"/>
      <c r="H6" s="159"/>
      <c r="I6" s="99" t="str">
        <f>'Proposer Inputs'!C9</f>
        <v xml:space="preserve">Does anyone on the team have relevant project examples in a portfolio available on open source platforms? (github, stackoverflow, etc.) </v>
      </c>
      <c r="K6" s="159" t="str">
        <f>'Lookup Tables'!B15</f>
        <v>No</v>
      </c>
      <c r="L6" s="159" t="str">
        <f>'Lookup Tables'!B13</f>
        <v>Yes - Link Provided</v>
      </c>
      <c r="M6" s="99" t="str">
        <f>L6</f>
        <v>Yes - Link Provided</v>
      </c>
      <c r="N6" s="99" t="str">
        <f>M6</f>
        <v>Yes - Link Provided</v>
      </c>
      <c r="O6" s="159" t="s">
        <v>783</v>
      </c>
      <c r="P6" s="99" t="str">
        <f>L6</f>
        <v>Yes - Link Provided</v>
      </c>
      <c r="Q6" s="159" t="s">
        <v>784</v>
      </c>
      <c r="R6" s="99"/>
      <c r="S6" s="99"/>
      <c r="T6" s="99"/>
      <c r="U6" s="99"/>
      <c r="V6" s="99"/>
      <c r="X6" s="99"/>
      <c r="Y6" s="159" t="s">
        <v>798</v>
      </c>
      <c r="AA6" s="101">
        <f ca="1">OFFSET('Lookup Tables'!$C$1,MATCH(K6,'Lookup Tables'!$B$13:$B$16,0),0)</f>
        <v>0</v>
      </c>
      <c r="AB6" s="101">
        <f ca="1">OFFSET('Lookup Tables'!$C$1,MATCH(L6,'Lookup Tables'!$B$13:$B$16,0),0)</f>
        <v>1</v>
      </c>
      <c r="AC6" s="101">
        <f ca="1">OFFSET('Lookup Tables'!$C$1,MATCH(M6,'Lookup Tables'!$B$13:$B$16,0),0)</f>
        <v>1</v>
      </c>
      <c r="AD6" s="101">
        <f ca="1">OFFSET('Lookup Tables'!$C$1,MATCH(N6,'Lookup Tables'!$B$13:$B$16,0),0)</f>
        <v>1</v>
      </c>
      <c r="AE6" s="101">
        <f ca="1">OFFSET('Lookup Tables'!$C$1,MATCH(O6,'Lookup Tables'!$B$13:$B$16,0),0)</f>
        <v>0</v>
      </c>
      <c r="AF6" s="101">
        <f ca="1">OFFSET('Lookup Tables'!$C$1,MATCH(P6,'Lookup Tables'!$B$13:$B$16,0),0)</f>
        <v>1</v>
      </c>
      <c r="AG6" s="101">
        <f ca="1">OFFSET('Lookup Tables'!$C$1,MATCH(Q6,'Lookup Tables'!$B$13:$B$16,0),0)</f>
        <v>0</v>
      </c>
      <c r="AH6" s="101" t="e">
        <f ca="1">OFFSET('Lookup Tables'!$C$1,MATCH(R6,'Lookup Tables'!$B$13:$B$16,0),0)</f>
        <v>#N/A</v>
      </c>
      <c r="AI6" s="101" t="e">
        <f ca="1">OFFSET('Lookup Tables'!$C$1,MATCH(S6,'Lookup Tables'!$B$13:$B$16,0),0)</f>
        <v>#N/A</v>
      </c>
      <c r="AJ6" s="101" t="e">
        <f ca="1">OFFSET('Lookup Tables'!$C$1,MATCH(T6,'Lookup Tables'!$B$13:$B$16,0),0)</f>
        <v>#N/A</v>
      </c>
      <c r="AK6" s="101" t="e">
        <f ca="1">OFFSET('Lookup Tables'!$C$1,MATCH(U6,'Lookup Tables'!$B$13:$B$16,0),0)</f>
        <v>#N/A</v>
      </c>
      <c r="AL6" s="101" t="e">
        <f ca="1">OFFSET('Lookup Tables'!$C$1,MATCH(V6,'Lookup Tables'!$B$13:$B$16,0),0)</f>
        <v>#N/A</v>
      </c>
    </row>
    <row r="7" spans="2:39">
      <c r="B7" s="167" t="str">
        <f ca="1">IF(G7="","",OFFSET('VA Front Page'!$I$11,MATCH(G7,'VA Front Page'!$C$12:$C$34,0),0))</f>
        <v/>
      </c>
      <c r="C7" s="160"/>
      <c r="D7" s="183">
        <v>0.1</v>
      </c>
      <c r="E7" s="106"/>
      <c r="F7" s="176"/>
      <c r="G7" s="99"/>
      <c r="H7" s="159"/>
      <c r="I7" s="99" t="str">
        <f>'Proposer Inputs'!C10</f>
        <v>How many projects has the team completed that are similar to the project in question?</v>
      </c>
      <c r="K7" s="99"/>
      <c r="L7" s="99"/>
      <c r="M7" s="99"/>
      <c r="N7" s="99"/>
      <c r="O7" s="99"/>
      <c r="P7" s="99"/>
      <c r="Q7" s="99"/>
      <c r="R7" s="99"/>
      <c r="S7" s="99"/>
      <c r="T7" s="99"/>
      <c r="U7" s="99"/>
      <c r="V7" s="99"/>
      <c r="X7" s="99"/>
      <c r="Y7" s="99"/>
      <c r="AA7" s="99"/>
      <c r="AB7" s="99"/>
      <c r="AC7" s="99"/>
      <c r="AD7" s="99"/>
      <c r="AE7" s="99"/>
      <c r="AF7" s="99"/>
      <c r="AG7" s="99"/>
      <c r="AH7" s="99"/>
      <c r="AI7" s="99"/>
      <c r="AJ7" s="99"/>
      <c r="AK7" s="99"/>
      <c r="AL7" s="99"/>
    </row>
    <row r="8" spans="2:39">
      <c r="B8" s="167" t="str">
        <f ca="1">IF(G8="","",OFFSET('VA Front Page'!$I$11,MATCH(G8,'VA Front Page'!$C$12:$C$34,0),0))</f>
        <v/>
      </c>
      <c r="C8" s="160"/>
      <c r="D8" s="183">
        <v>0.05</v>
      </c>
      <c r="E8" s="106"/>
      <c r="F8" s="176"/>
      <c r="G8" s="99"/>
      <c r="H8" s="159"/>
      <c r="I8" s="99" t="str">
        <f>'Proposer Inputs'!C11</f>
        <v xml:space="preserve">How many years of experience does the proposed team cumulatively have in the project area's domain? </v>
      </c>
      <c r="K8" s="99"/>
      <c r="L8" s="99"/>
      <c r="M8" s="99"/>
      <c r="N8" s="99"/>
      <c r="O8" s="99"/>
      <c r="P8" s="99"/>
      <c r="Q8" s="99"/>
      <c r="R8" s="99"/>
      <c r="S8" s="99"/>
      <c r="T8" s="99"/>
      <c r="U8" s="99"/>
      <c r="V8" s="99"/>
      <c r="X8" s="99"/>
      <c r="Y8" s="99"/>
      <c r="AA8" s="99"/>
      <c r="AB8" s="99"/>
      <c r="AC8" s="99"/>
      <c r="AD8" s="99"/>
      <c r="AE8" s="99"/>
      <c r="AF8" s="99"/>
      <c r="AG8" s="99"/>
      <c r="AH8" s="99"/>
      <c r="AI8" s="99"/>
      <c r="AJ8" s="99"/>
      <c r="AK8" s="99"/>
      <c r="AL8" s="99"/>
    </row>
    <row r="9" spans="2:39">
      <c r="B9" s="167" t="str">
        <f ca="1">IF(G9="","",OFFSET('VA Front Page'!$I$11,MATCH(G9,'VA Front Page'!$C$12:$C$34,0),0))</f>
        <v/>
      </c>
      <c r="C9" s="160"/>
      <c r="D9" s="183">
        <v>0.05</v>
      </c>
      <c r="E9" s="106"/>
      <c r="F9" s="176"/>
      <c r="G9" s="99"/>
      <c r="H9" s="159"/>
      <c r="I9" s="99" t="str">
        <f>'Proposer Inputs'!C12</f>
        <v>What is the average years of experience per team member working in their domain area?</v>
      </c>
      <c r="K9" s="99"/>
      <c r="L9" s="99"/>
      <c r="M9" s="99"/>
      <c r="N9" s="99"/>
      <c r="O9" s="99"/>
      <c r="P9" s="99"/>
      <c r="Q9" s="99"/>
      <c r="R9" s="99"/>
      <c r="S9" s="99"/>
      <c r="T9" s="99"/>
      <c r="U9" s="99"/>
      <c r="V9" s="99"/>
      <c r="X9" s="99"/>
      <c r="Y9" s="99"/>
      <c r="AA9" s="99"/>
      <c r="AB9" s="99"/>
      <c r="AC9" s="99"/>
      <c r="AD9" s="99"/>
      <c r="AE9" s="99"/>
      <c r="AF9" s="99"/>
      <c r="AG9" s="99"/>
      <c r="AH9" s="99"/>
      <c r="AI9" s="99"/>
      <c r="AJ9" s="99"/>
      <c r="AK9" s="99"/>
      <c r="AL9" s="99"/>
    </row>
    <row r="10" spans="2:39">
      <c r="B10" s="167" t="str">
        <f ca="1">IF(G10="","",OFFSET('VA Front Page'!$I$11,MATCH(G10,'VA Front Page'!$C$12:$C$34,0),0))</f>
        <v/>
      </c>
      <c r="C10" s="160"/>
      <c r="D10" s="183">
        <v>0.1</v>
      </c>
      <c r="E10" s="106"/>
      <c r="F10" s="176"/>
      <c r="G10" s="99"/>
      <c r="H10" s="159"/>
      <c r="I10" s="99" t="str">
        <f>'Proposer Inputs'!C13</f>
        <v>What is the success rate of the organization for delivering projects on time?</v>
      </c>
      <c r="K10" s="99"/>
      <c r="L10" s="99"/>
      <c r="M10" s="99"/>
      <c r="N10" s="99"/>
      <c r="O10" s="99"/>
      <c r="P10" s="99"/>
      <c r="Q10" s="99"/>
      <c r="R10" s="99"/>
      <c r="S10" s="99"/>
      <c r="T10" s="99"/>
      <c r="U10" s="99"/>
      <c r="V10" s="99"/>
      <c r="X10" s="99"/>
      <c r="Y10" s="99"/>
      <c r="AA10" s="99"/>
      <c r="AB10" s="99"/>
      <c r="AC10" s="99"/>
      <c r="AD10" s="99"/>
      <c r="AE10" s="99"/>
      <c r="AF10" s="99"/>
      <c r="AG10" s="99"/>
      <c r="AH10" s="99"/>
      <c r="AI10" s="99"/>
      <c r="AJ10" s="99"/>
      <c r="AK10" s="99"/>
      <c r="AL10" s="99"/>
    </row>
    <row r="11" spans="2:39">
      <c r="B11" s="167" t="str">
        <f ca="1">IF(G11="","",OFFSET('VA Front Page'!$I$11,MATCH(G11,'VA Front Page'!$C$12:$C$34,0),0))</f>
        <v/>
      </c>
      <c r="C11" s="160"/>
      <c r="D11" s="183">
        <v>0.05</v>
      </c>
      <c r="E11" s="106"/>
      <c r="F11" s="176"/>
      <c r="G11" s="99"/>
      <c r="H11" s="159"/>
      <c r="I11" s="99" t="str">
        <f>'Proposer Inputs'!C14</f>
        <v>Other than open source software, are there publicly available contributions you've made to the project's subject area?</v>
      </c>
      <c r="K11" s="99"/>
      <c r="L11" s="99"/>
      <c r="M11" s="99"/>
      <c r="N11" s="99"/>
      <c r="O11" s="99"/>
      <c r="P11" s="99"/>
      <c r="Q11" s="99"/>
      <c r="R11" s="99"/>
      <c r="S11" s="99"/>
      <c r="T11" s="99"/>
      <c r="U11" s="99"/>
      <c r="V11" s="99"/>
      <c r="X11" s="99"/>
      <c r="Y11" s="99"/>
      <c r="AA11" s="99"/>
      <c r="AB11" s="99"/>
      <c r="AC11" s="99"/>
      <c r="AD11" s="99"/>
      <c r="AE11" s="99"/>
      <c r="AF11" s="99"/>
      <c r="AG11" s="99"/>
      <c r="AH11" s="99"/>
      <c r="AI11" s="99"/>
      <c r="AJ11" s="99"/>
      <c r="AK11" s="99"/>
      <c r="AL11" s="99"/>
    </row>
    <row r="12" spans="2:39">
      <c r="B12" s="167" t="str">
        <f ca="1">IF(G12="","",OFFSET('VA Front Page'!$I$11,MATCH(G12,'VA Front Page'!$C$12:$C$34,0),0))</f>
        <v/>
      </c>
      <c r="C12" s="160"/>
      <c r="D12" s="183">
        <v>0.05</v>
      </c>
      <c r="E12" s="106"/>
      <c r="F12" s="176"/>
      <c r="G12" s="99"/>
      <c r="H12" s="159"/>
      <c r="I12" s="99" t="str">
        <f>'Proposer Inputs'!C15</f>
        <v>Can the organization provide detail on one past example of a relevant project contributed to an open source platform completed by either the organization of staff working on the proposed project?</v>
      </c>
      <c r="K12" s="99"/>
      <c r="L12" s="99"/>
      <c r="M12" s="99"/>
      <c r="N12" s="99"/>
      <c r="O12" s="99"/>
      <c r="P12" s="99"/>
      <c r="Q12" s="99"/>
      <c r="R12" s="99"/>
      <c r="S12" s="99"/>
      <c r="T12" s="99"/>
      <c r="U12" s="99"/>
      <c r="V12" s="99"/>
      <c r="X12" s="99"/>
      <c r="Y12" s="99"/>
      <c r="AA12" s="99"/>
      <c r="AB12" s="99"/>
      <c r="AC12" s="99"/>
      <c r="AD12" s="99"/>
      <c r="AE12" s="99"/>
      <c r="AF12" s="99"/>
      <c r="AG12" s="99"/>
      <c r="AH12" s="99"/>
      <c r="AI12" s="99"/>
      <c r="AJ12" s="99"/>
      <c r="AK12" s="99"/>
      <c r="AL12" s="99"/>
    </row>
    <row r="13" spans="2:39">
      <c r="B13" s="167" t="str">
        <f ca="1">IF(G13="","",OFFSET('VA Front Page'!$I$11,MATCH(G13,'VA Front Page'!$C$12:$C$34,0),0))</f>
        <v/>
      </c>
      <c r="C13" s="160"/>
      <c r="D13" s="184">
        <f>30%/COUNTA($I$13:$I$23)</f>
        <v>2.7272727272727271E-2</v>
      </c>
      <c r="E13" s="106"/>
      <c r="F13" s="176"/>
      <c r="G13" s="99"/>
      <c r="H13" s="159"/>
      <c r="I13" s="99" t="str">
        <f>'Proposer Inputs'!C16</f>
        <v>... For the example project, what platform or layer 1 chain was used?</v>
      </c>
      <c r="K13" s="99"/>
      <c r="L13" s="99"/>
      <c r="M13" s="99"/>
      <c r="N13" s="99"/>
      <c r="O13" s="99"/>
      <c r="P13" s="99"/>
      <c r="Q13" s="99"/>
      <c r="R13" s="99"/>
      <c r="S13" s="99"/>
      <c r="T13" s="99"/>
      <c r="U13" s="99"/>
      <c r="V13" s="99"/>
      <c r="X13" s="99"/>
      <c r="Y13" s="99"/>
      <c r="AA13" s="99"/>
      <c r="AB13" s="99"/>
      <c r="AC13" s="99"/>
      <c r="AD13" s="99"/>
      <c r="AE13" s="99"/>
      <c r="AF13" s="99"/>
      <c r="AG13" s="99"/>
      <c r="AH13" s="99"/>
      <c r="AI13" s="99"/>
      <c r="AJ13" s="99"/>
      <c r="AK13" s="99"/>
      <c r="AL13" s="99"/>
    </row>
    <row r="14" spans="2:39">
      <c r="B14" s="167" t="str">
        <f ca="1">IF(G14="","",OFFSET('VA Front Page'!$I$11,MATCH(G14,'VA Front Page'!$C$12:$C$34,0),0))</f>
        <v/>
      </c>
      <c r="C14" s="160"/>
      <c r="D14" s="184">
        <f t="shared" ref="D14:D23" si="3">30%/COUNTA($I$13:$I$23)</f>
        <v>2.7272727272727271E-2</v>
      </c>
      <c r="E14" s="106"/>
      <c r="F14" s="176"/>
      <c r="G14" s="99"/>
      <c r="H14" s="159"/>
      <c r="I14" s="99" t="str">
        <f>'Proposer Inputs'!C17</f>
        <v>... For the example project, what open source software license type(s) were chosen?</v>
      </c>
      <c r="K14" s="99"/>
      <c r="L14" s="99"/>
      <c r="M14" s="99"/>
      <c r="N14" s="99"/>
      <c r="O14" s="99"/>
      <c r="P14" s="99"/>
      <c r="Q14" s="99"/>
      <c r="R14" s="99"/>
      <c r="S14" s="99"/>
      <c r="T14" s="99"/>
      <c r="U14" s="99"/>
      <c r="V14" s="99"/>
      <c r="X14" s="99"/>
      <c r="Y14" s="99"/>
      <c r="AA14" s="99"/>
      <c r="AB14" s="99"/>
      <c r="AC14" s="99"/>
      <c r="AD14" s="99"/>
      <c r="AE14" s="99"/>
      <c r="AF14" s="99"/>
      <c r="AG14" s="99"/>
      <c r="AH14" s="99"/>
      <c r="AI14" s="99"/>
      <c r="AJ14" s="99"/>
      <c r="AK14" s="99"/>
      <c r="AL14" s="99"/>
    </row>
    <row r="15" spans="2:39">
      <c r="B15" s="167" t="str">
        <f ca="1">IF(G15="","",OFFSET('VA Front Page'!$I$11,MATCH(G15,'VA Front Page'!$C$12:$C$34,0),0))</f>
        <v/>
      </c>
      <c r="C15" s="160"/>
      <c r="D15" s="184">
        <f t="shared" si="3"/>
        <v>2.7272727272727271E-2</v>
      </c>
      <c r="E15" s="106"/>
      <c r="F15" s="176"/>
      <c r="G15" s="99"/>
      <c r="H15" s="159"/>
      <c r="I15" s="99" t="str">
        <f>'Proposer Inputs'!C18</f>
        <v xml:space="preserve">... For the example project, how many languages have the OSS documents (like readme files or license files) been translated into?- </v>
      </c>
      <c r="K15" s="99"/>
      <c r="L15" s="99"/>
      <c r="M15" s="99"/>
      <c r="N15" s="99"/>
      <c r="O15" s="99"/>
      <c r="P15" s="99"/>
      <c r="Q15" s="99"/>
      <c r="R15" s="99"/>
      <c r="S15" s="99"/>
      <c r="T15" s="99"/>
      <c r="U15" s="99"/>
      <c r="V15" s="99"/>
      <c r="X15" s="99"/>
      <c r="Y15" s="99"/>
      <c r="AA15" s="99"/>
      <c r="AB15" s="99"/>
      <c r="AC15" s="99"/>
      <c r="AD15" s="99"/>
      <c r="AE15" s="99"/>
      <c r="AF15" s="99"/>
      <c r="AG15" s="99"/>
      <c r="AH15" s="99"/>
      <c r="AI15" s="99"/>
      <c r="AJ15" s="99"/>
      <c r="AK15" s="99"/>
      <c r="AL15" s="99"/>
    </row>
    <row r="16" spans="2:39">
      <c r="B16" s="167" t="str">
        <f ca="1">IF(G16="","",OFFSET('VA Front Page'!$I$11,MATCH(G16,'VA Front Page'!$C$12:$C$34,0),0))</f>
        <v/>
      </c>
      <c r="C16" s="160"/>
      <c r="D16" s="184">
        <f t="shared" si="3"/>
        <v>2.7272727272727271E-2</v>
      </c>
      <c r="E16" s="106"/>
      <c r="F16" s="176"/>
      <c r="G16" s="99"/>
      <c r="H16" s="159"/>
      <c r="I16" s="99" t="str">
        <f>'Proposer Inputs'!C19</f>
        <v>... For the example project, how many weeks has the project been live?</v>
      </c>
      <c r="K16" s="99"/>
      <c r="L16" s="99"/>
      <c r="M16" s="99"/>
      <c r="N16" s="99"/>
      <c r="O16" s="99"/>
      <c r="P16" s="99"/>
      <c r="Q16" s="99"/>
      <c r="R16" s="99"/>
      <c r="S16" s="99"/>
      <c r="T16" s="99"/>
      <c r="U16" s="99"/>
      <c r="V16" s="99"/>
      <c r="X16" s="99"/>
      <c r="Y16" s="99"/>
      <c r="AA16" s="99"/>
      <c r="AB16" s="99"/>
      <c r="AC16" s="99"/>
      <c r="AD16" s="99"/>
      <c r="AE16" s="99"/>
      <c r="AF16" s="99"/>
      <c r="AG16" s="99"/>
      <c r="AH16" s="99"/>
      <c r="AI16" s="99"/>
      <c r="AJ16" s="99"/>
      <c r="AK16" s="99"/>
      <c r="AL16" s="99"/>
    </row>
    <row r="17" spans="2:38">
      <c r="B17" s="167" t="str">
        <f ca="1">IF(G17="","",OFFSET('VA Front Page'!$I$11,MATCH(G17,'VA Front Page'!$C$12:$C$34,0),0))</f>
        <v/>
      </c>
      <c r="C17" s="160"/>
      <c r="D17" s="184">
        <f t="shared" si="3"/>
        <v>2.7272727272727271E-2</v>
      </c>
      <c r="E17" s="106"/>
      <c r="F17" s="176"/>
      <c r="G17" s="99"/>
      <c r="H17" s="159"/>
      <c r="I17" s="99" t="str">
        <f>'Proposer Inputs'!C20</f>
        <v>... For the example project, what is the total number of downloads?</v>
      </c>
      <c r="K17" s="99"/>
      <c r="L17" s="99"/>
      <c r="M17" s="99"/>
      <c r="N17" s="99"/>
      <c r="O17" s="99"/>
      <c r="P17" s="99"/>
      <c r="Q17" s="99"/>
      <c r="R17" s="99"/>
      <c r="S17" s="99"/>
      <c r="T17" s="99"/>
      <c r="U17" s="99"/>
      <c r="V17" s="99"/>
      <c r="X17" s="99"/>
      <c r="Y17" s="99"/>
      <c r="AA17" s="99"/>
      <c r="AB17" s="99"/>
      <c r="AC17" s="99"/>
      <c r="AD17" s="99"/>
      <c r="AE17" s="99"/>
      <c r="AF17" s="99"/>
      <c r="AG17" s="99"/>
      <c r="AH17" s="99"/>
      <c r="AI17" s="99"/>
      <c r="AJ17" s="99"/>
      <c r="AK17" s="99"/>
      <c r="AL17" s="99"/>
    </row>
    <row r="18" spans="2:38">
      <c r="B18" s="167" t="str">
        <f ca="1">IF(G18="","",OFFSET('VA Front Page'!$I$11,MATCH(G18,'VA Front Page'!$C$12:$C$34,0),0))</f>
        <v/>
      </c>
      <c r="C18" s="160"/>
      <c r="D18" s="184">
        <f t="shared" si="3"/>
        <v>2.7272727272727271E-2</v>
      </c>
      <c r="E18" s="106"/>
      <c r="F18" s="176"/>
      <c r="G18" s="99"/>
      <c r="H18" s="159"/>
      <c r="I18" s="99" t="str">
        <f>'Proposer Inputs'!C21</f>
        <v>... For the example project, what is the total number of hits?</v>
      </c>
      <c r="K18" s="99"/>
      <c r="L18" s="99"/>
      <c r="M18" s="99"/>
      <c r="N18" s="99"/>
      <c r="O18" s="99"/>
      <c r="P18" s="99"/>
      <c r="Q18" s="99"/>
      <c r="R18" s="99"/>
      <c r="S18" s="99"/>
      <c r="T18" s="99"/>
      <c r="U18" s="99"/>
      <c r="V18" s="99"/>
      <c r="X18" s="99"/>
      <c r="Y18" s="99"/>
      <c r="AA18" s="99"/>
      <c r="AB18" s="99"/>
      <c r="AC18" s="99"/>
      <c r="AD18" s="99"/>
      <c r="AE18" s="99"/>
      <c r="AF18" s="99"/>
      <c r="AG18" s="99"/>
      <c r="AH18" s="99"/>
      <c r="AI18" s="99"/>
      <c r="AJ18" s="99"/>
      <c r="AK18" s="99"/>
      <c r="AL18" s="99"/>
    </row>
    <row r="19" spans="2:38">
      <c r="B19" s="167" t="str">
        <f ca="1">IF(G19="","",OFFSET('VA Front Page'!$I$11,MATCH(G19,'VA Front Page'!$C$12:$C$34,0),0))</f>
        <v/>
      </c>
      <c r="C19" s="160"/>
      <c r="D19" s="184">
        <f t="shared" si="3"/>
        <v>2.7272727272727271E-2</v>
      </c>
      <c r="E19" s="106"/>
      <c r="F19" s="176"/>
      <c r="G19" s="99"/>
      <c r="H19" s="159"/>
      <c r="I19" s="99" t="str">
        <f>'Proposer Inputs'!C22</f>
        <v>... For the example project, how many subscribers does it have?</v>
      </c>
      <c r="K19" s="99"/>
      <c r="L19" s="99"/>
      <c r="M19" s="99"/>
      <c r="N19" s="99"/>
      <c r="O19" s="99"/>
      <c r="P19" s="99"/>
      <c r="Q19" s="99"/>
      <c r="R19" s="99"/>
      <c r="S19" s="99"/>
      <c r="T19" s="99"/>
      <c r="U19" s="99"/>
      <c r="V19" s="99"/>
      <c r="X19" s="99"/>
      <c r="Y19" s="99"/>
      <c r="AA19" s="99"/>
      <c r="AB19" s="99"/>
      <c r="AC19" s="99"/>
      <c r="AD19" s="99"/>
      <c r="AE19" s="99"/>
      <c r="AF19" s="99"/>
      <c r="AG19" s="99"/>
      <c r="AH19" s="99"/>
      <c r="AI19" s="99"/>
      <c r="AJ19" s="99"/>
      <c r="AK19" s="99"/>
      <c r="AL19" s="99"/>
    </row>
    <row r="20" spans="2:38">
      <c r="B20" s="167" t="str">
        <f ca="1">IF(G20="","",OFFSET('VA Front Page'!$I$11,MATCH(G20,'VA Front Page'!$C$12:$C$34,0),0))</f>
        <v/>
      </c>
      <c r="C20" s="160"/>
      <c r="D20" s="184">
        <f t="shared" si="3"/>
        <v>2.7272727272727271E-2</v>
      </c>
      <c r="E20" s="106"/>
      <c r="F20" s="176"/>
      <c r="G20" s="99"/>
      <c r="H20" s="159"/>
      <c r="I20" s="99" t="str">
        <f>'Proposer Inputs'!C23</f>
        <v>... For the example project, what is the frequency of updates in days?</v>
      </c>
      <c r="K20" s="99"/>
      <c r="L20" s="99"/>
      <c r="M20" s="99"/>
      <c r="N20" s="99"/>
      <c r="O20" s="99"/>
      <c r="P20" s="99"/>
      <c r="Q20" s="99"/>
      <c r="R20" s="99"/>
      <c r="S20" s="99"/>
      <c r="T20" s="99"/>
      <c r="U20" s="99"/>
      <c r="V20" s="99"/>
      <c r="X20" s="99"/>
      <c r="Y20" s="99"/>
      <c r="AA20" s="99"/>
      <c r="AB20" s="99"/>
      <c r="AC20" s="99"/>
      <c r="AD20" s="99"/>
      <c r="AE20" s="99"/>
      <c r="AF20" s="99"/>
      <c r="AG20" s="99"/>
      <c r="AH20" s="99"/>
      <c r="AI20" s="99"/>
      <c r="AJ20" s="99"/>
      <c r="AK20" s="99"/>
      <c r="AL20" s="99"/>
    </row>
    <row r="21" spans="2:38">
      <c r="B21" s="167" t="str">
        <f ca="1">IF(G21="","",OFFSET('VA Front Page'!$I$11,MATCH(G21,'VA Front Page'!$C$12:$C$34,0),0))</f>
        <v/>
      </c>
      <c r="C21" s="160"/>
      <c r="D21" s="184">
        <f t="shared" si="3"/>
        <v>2.7272727272727271E-2</v>
      </c>
      <c r="E21" s="106"/>
      <c r="F21" s="176"/>
      <c r="G21" s="99"/>
      <c r="H21" s="159"/>
      <c r="I21" s="99" t="str">
        <f>'Proposer Inputs'!C24</f>
        <v>... For the example project, how many developers were involved in the process?</v>
      </c>
      <c r="K21" s="99"/>
      <c r="L21" s="99"/>
      <c r="M21" s="99"/>
      <c r="N21" s="99"/>
      <c r="O21" s="99"/>
      <c r="P21" s="99"/>
      <c r="Q21" s="99"/>
      <c r="R21" s="99"/>
      <c r="S21" s="99"/>
      <c r="T21" s="99"/>
      <c r="U21" s="99"/>
      <c r="V21" s="99"/>
      <c r="X21" s="99"/>
      <c r="Y21" s="99"/>
      <c r="AA21" s="99"/>
      <c r="AB21" s="99"/>
      <c r="AC21" s="99"/>
      <c r="AD21" s="99"/>
      <c r="AE21" s="99"/>
      <c r="AF21" s="99"/>
      <c r="AG21" s="99"/>
      <c r="AH21" s="99"/>
      <c r="AI21" s="99"/>
      <c r="AJ21" s="99"/>
      <c r="AK21" s="99"/>
      <c r="AL21" s="99"/>
    </row>
    <row r="22" spans="2:38">
      <c r="B22" s="167" t="str">
        <f ca="1">IF(G22="","",OFFSET('VA Front Page'!$I$11,MATCH(G22,'VA Front Page'!$C$12:$C$34,0),0))</f>
        <v/>
      </c>
      <c r="C22" s="160"/>
      <c r="D22" s="184">
        <f t="shared" si="3"/>
        <v>2.7272727272727271E-2</v>
      </c>
      <c r="E22" s="106"/>
      <c r="F22" s="176"/>
      <c r="G22" s="99"/>
      <c r="H22" s="159"/>
      <c r="I22" s="99" t="str">
        <f>'Proposer Inputs'!C25</f>
        <v>... For the example project, have volunteer developers fixed bugs, added new features, or released new versions frequently or early</v>
      </c>
      <c r="K22" s="99"/>
      <c r="L22" s="99"/>
      <c r="M22" s="99"/>
      <c r="N22" s="99"/>
      <c r="O22" s="99"/>
      <c r="P22" s="99"/>
      <c r="Q22" s="99"/>
      <c r="R22" s="99"/>
      <c r="S22" s="99"/>
      <c r="T22" s="99"/>
      <c r="U22" s="99"/>
      <c r="V22" s="99"/>
      <c r="X22" s="99"/>
      <c r="Y22" s="99"/>
      <c r="AA22" s="99"/>
      <c r="AB22" s="99"/>
      <c r="AC22" s="99"/>
      <c r="AD22" s="99"/>
      <c r="AE22" s="99"/>
      <c r="AF22" s="99"/>
      <c r="AG22" s="99"/>
      <c r="AH22" s="99"/>
      <c r="AI22" s="99"/>
      <c r="AJ22" s="99"/>
      <c r="AK22" s="99"/>
      <c r="AL22" s="99"/>
    </row>
    <row r="23" spans="2:38" ht="13.5" thickBot="1">
      <c r="B23" s="168" t="str">
        <f ca="1">IF(G23="","",OFFSET('VA Front Page'!$I$11,MATCH(G23,'VA Front Page'!$C$12:$C$34,0),0))</f>
        <v/>
      </c>
      <c r="C23" s="169"/>
      <c r="D23" s="185">
        <f t="shared" si="3"/>
        <v>2.7272727272727271E-2</v>
      </c>
      <c r="E23" s="106"/>
      <c r="F23" s="177"/>
      <c r="G23" s="170"/>
      <c r="H23" s="172"/>
      <c r="I23" s="170" t="str">
        <f>'Proposer Inputs'!C26</f>
        <v xml:space="preserve">... For the example project, what project systems is it compatible with?       </v>
      </c>
      <c r="K23" s="170"/>
      <c r="L23" s="170"/>
      <c r="M23" s="170"/>
      <c r="N23" s="170"/>
      <c r="O23" s="170"/>
      <c r="P23" s="170"/>
      <c r="Q23" s="170"/>
      <c r="R23" s="170"/>
      <c r="S23" s="170"/>
      <c r="T23" s="170"/>
      <c r="U23" s="170"/>
      <c r="V23" s="170"/>
      <c r="X23" s="170"/>
      <c r="Y23" s="170"/>
      <c r="AA23" s="99"/>
      <c r="AB23" s="99"/>
      <c r="AC23" s="99"/>
      <c r="AD23" s="99"/>
      <c r="AE23" s="99"/>
      <c r="AF23" s="99"/>
      <c r="AG23" s="99"/>
      <c r="AH23" s="99"/>
      <c r="AI23" s="99"/>
      <c r="AJ23" s="99"/>
      <c r="AK23" s="99"/>
      <c r="AL23" s="99"/>
    </row>
    <row r="24" spans="2:38">
      <c r="B24" s="162" t="str">
        <f ca="1">IF(G24="","",OFFSET('VA Front Page'!$I$11,MATCH(G24,'VA Front Page'!$C$12:$C$34,0),0))</f>
        <v/>
      </c>
      <c r="C24" s="163">
        <v>0.6</v>
      </c>
      <c r="D24" s="186">
        <f t="shared" ref="D24:D29" si="4">1/6</f>
        <v>0.16666666666666666</v>
      </c>
      <c r="E24" s="106"/>
      <c r="F24" s="175"/>
      <c r="G24" s="164"/>
      <c r="H24" s="165" t="s">
        <v>794</v>
      </c>
      <c r="I24" s="164" t="str">
        <f>'Auditor Inputs'!C5</f>
        <v>The code examined from the proposer was functional</v>
      </c>
      <c r="K24" s="164"/>
      <c r="L24" s="164"/>
      <c r="M24" s="164"/>
      <c r="N24" s="164"/>
      <c r="O24" s="164"/>
      <c r="P24" s="164"/>
      <c r="Q24" s="164"/>
      <c r="R24" s="164"/>
      <c r="S24" s="164"/>
      <c r="T24" s="164"/>
      <c r="U24" s="164"/>
      <c r="V24" s="166"/>
      <c r="X24" s="164"/>
      <c r="Y24" s="164"/>
      <c r="AA24" s="99"/>
      <c r="AB24" s="99"/>
      <c r="AC24" s="99"/>
      <c r="AD24" s="99"/>
      <c r="AE24" s="99"/>
      <c r="AF24" s="99"/>
      <c r="AG24" s="99"/>
      <c r="AH24" s="99"/>
      <c r="AI24" s="99"/>
      <c r="AJ24" s="99"/>
      <c r="AK24" s="99"/>
      <c r="AL24" s="99"/>
    </row>
    <row r="25" spans="2:38">
      <c r="B25" s="167" t="str">
        <f ca="1">IF(G25="","",OFFSET('VA Front Page'!$I$11,MATCH(G25,'VA Front Page'!$C$12:$C$34,0),0))</f>
        <v/>
      </c>
      <c r="C25" s="160"/>
      <c r="D25" s="184">
        <f t="shared" si="4"/>
        <v>0.16666666666666666</v>
      </c>
      <c r="E25" s="106"/>
      <c r="F25" s="176"/>
      <c r="G25" s="99"/>
      <c r="H25" s="159"/>
      <c r="I25" s="99" t="str">
        <f>'Auditor Inputs'!C6</f>
        <v>It was well written, elegant, and easy to follow</v>
      </c>
      <c r="K25" s="99"/>
      <c r="L25" s="99"/>
      <c r="M25" s="99"/>
      <c r="N25" s="99"/>
      <c r="O25" s="99"/>
      <c r="P25" s="99"/>
      <c r="Q25" s="99"/>
      <c r="R25" s="99"/>
      <c r="S25" s="99"/>
      <c r="T25" s="99"/>
      <c r="U25" s="99"/>
      <c r="V25" s="155"/>
      <c r="X25" s="99"/>
      <c r="Y25" s="99"/>
      <c r="AA25" s="99"/>
      <c r="AB25" s="99"/>
      <c r="AC25" s="99"/>
      <c r="AD25" s="99"/>
      <c r="AE25" s="99"/>
      <c r="AF25" s="99"/>
      <c r="AG25" s="99"/>
      <c r="AH25" s="99"/>
      <c r="AI25" s="99"/>
      <c r="AJ25" s="99"/>
      <c r="AK25" s="99"/>
      <c r="AL25" s="99"/>
    </row>
    <row r="26" spans="2:38">
      <c r="B26" s="167" t="str">
        <f ca="1">IF(G26="","",OFFSET('VA Front Page'!$I$11,MATCH(G26,'VA Front Page'!$C$12:$C$34,0),0))</f>
        <v/>
      </c>
      <c r="C26" s="160"/>
      <c r="D26" s="184">
        <f t="shared" si="4"/>
        <v>0.16666666666666666</v>
      </c>
      <c r="E26" s="106"/>
      <c r="F26" s="176"/>
      <c r="G26" s="99"/>
      <c r="H26" s="159"/>
      <c r="I26" s="99" t="str">
        <f>'Auditor Inputs'!C7</f>
        <v>It demonstrated strong security principles</v>
      </c>
      <c r="K26" s="99"/>
      <c r="L26" s="99"/>
      <c r="M26" s="99"/>
      <c r="N26" s="99"/>
      <c r="O26" s="99"/>
      <c r="P26" s="99"/>
      <c r="Q26" s="99"/>
      <c r="R26" s="99"/>
      <c r="S26" s="99"/>
      <c r="T26" s="99"/>
      <c r="U26" s="99"/>
      <c r="V26" s="155"/>
      <c r="X26" s="99"/>
      <c r="Y26" s="99"/>
      <c r="AA26" s="99"/>
      <c r="AB26" s="99"/>
      <c r="AC26" s="99"/>
      <c r="AD26" s="99"/>
      <c r="AE26" s="99"/>
      <c r="AF26" s="99"/>
      <c r="AG26" s="99"/>
      <c r="AH26" s="99"/>
      <c r="AI26" s="99"/>
      <c r="AJ26" s="99"/>
      <c r="AK26" s="99"/>
      <c r="AL26" s="99"/>
    </row>
    <row r="27" spans="2:38">
      <c r="B27" s="167" t="str">
        <f ca="1">IF(G27="","",OFFSET('VA Front Page'!$I$11,MATCH(G27,'VA Front Page'!$C$12:$C$34,0),0))</f>
        <v/>
      </c>
      <c r="C27" s="160"/>
      <c r="D27" s="184">
        <f t="shared" si="4"/>
        <v>0.16666666666666666</v>
      </c>
      <c r="E27" s="106"/>
      <c r="F27" s="176"/>
      <c r="G27" s="99"/>
      <c r="H27" s="159"/>
      <c r="I27" s="99" t="str">
        <f>'Auditor Inputs'!C8</f>
        <v>It appeared to scale well</v>
      </c>
      <c r="K27" s="99"/>
      <c r="L27" s="99"/>
      <c r="M27" s="99"/>
      <c r="N27" s="99"/>
      <c r="O27" s="99"/>
      <c r="P27" s="99"/>
      <c r="Q27" s="99"/>
      <c r="R27" s="99"/>
      <c r="S27" s="99"/>
      <c r="T27" s="99"/>
      <c r="U27" s="99"/>
      <c r="V27" s="155"/>
      <c r="X27" s="99"/>
      <c r="Y27" s="99"/>
      <c r="AA27" s="99"/>
      <c r="AB27" s="99"/>
      <c r="AC27" s="99"/>
      <c r="AD27" s="99"/>
      <c r="AE27" s="99"/>
      <c r="AF27" s="99"/>
      <c r="AG27" s="99"/>
      <c r="AH27" s="99"/>
      <c r="AI27" s="99"/>
      <c r="AJ27" s="99"/>
      <c r="AK27" s="99"/>
      <c r="AL27" s="99"/>
    </row>
    <row r="28" spans="2:38">
      <c r="B28" s="167" t="str">
        <f ca="1">IF(G28="","",OFFSET('VA Front Page'!$I$11,MATCH(G28,'VA Front Page'!$C$12:$C$34,0),0))</f>
        <v/>
      </c>
      <c r="C28" s="160"/>
      <c r="D28" s="184">
        <f t="shared" si="4"/>
        <v>0.16666666666666666</v>
      </c>
      <c r="E28" s="106"/>
      <c r="F28" s="176"/>
      <c r="G28" s="99"/>
      <c r="H28" s="159"/>
      <c r="I28" s="99" t="str">
        <f>'Auditor Inputs'!C9</f>
        <v>It was annotated properly</v>
      </c>
      <c r="K28" s="99"/>
      <c r="L28" s="99"/>
      <c r="M28" s="99"/>
      <c r="N28" s="99"/>
      <c r="O28" s="99"/>
      <c r="P28" s="99"/>
      <c r="Q28" s="99"/>
      <c r="R28" s="99"/>
      <c r="S28" s="99"/>
      <c r="T28" s="99"/>
      <c r="U28" s="99"/>
      <c r="V28" s="155"/>
      <c r="X28" s="99"/>
      <c r="Y28" s="99"/>
      <c r="AA28" s="99"/>
      <c r="AB28" s="99"/>
      <c r="AC28" s="99"/>
      <c r="AD28" s="99"/>
      <c r="AE28" s="99"/>
      <c r="AF28" s="99"/>
      <c r="AG28" s="99"/>
      <c r="AH28" s="99"/>
      <c r="AI28" s="99"/>
      <c r="AJ28" s="99"/>
      <c r="AK28" s="99"/>
      <c r="AL28" s="99"/>
    </row>
    <row r="29" spans="2:38" ht="13.5" thickBot="1">
      <c r="B29" s="168" t="str">
        <f ca="1">IF(G29="","",OFFSET('VA Front Page'!$I$11,MATCH(G29,'VA Front Page'!$C$12:$C$34,0),0))</f>
        <v/>
      </c>
      <c r="C29" s="169"/>
      <c r="D29" s="185">
        <f t="shared" si="4"/>
        <v>0.16666666666666666</v>
      </c>
      <c r="E29" s="106"/>
      <c r="F29" s="177"/>
      <c r="G29" s="170"/>
      <c r="H29" s="172"/>
      <c r="I29" s="170" t="str">
        <f>'Auditor Inputs'!C10</f>
        <v>It was free from apparent unremedied bugs / errors / uncaught exceptions</v>
      </c>
      <c r="K29" s="170"/>
      <c r="L29" s="170"/>
      <c r="M29" s="170"/>
      <c r="N29" s="170"/>
      <c r="O29" s="170"/>
      <c r="P29" s="170"/>
      <c r="Q29" s="170"/>
      <c r="R29" s="170"/>
      <c r="S29" s="170"/>
      <c r="T29" s="170"/>
      <c r="U29" s="170"/>
      <c r="V29" s="171"/>
      <c r="X29" s="170"/>
      <c r="Y29" s="170"/>
      <c r="AA29" s="99"/>
      <c r="AB29" s="99"/>
      <c r="AC29" s="99"/>
      <c r="AD29" s="99"/>
      <c r="AE29" s="99"/>
      <c r="AF29" s="99"/>
      <c r="AG29" s="99"/>
      <c r="AH29" s="99"/>
      <c r="AI29" s="99"/>
      <c r="AJ29" s="99"/>
      <c r="AK29" s="99"/>
      <c r="AL29" s="99"/>
    </row>
    <row r="30" spans="2:38">
      <c r="B30" s="160">
        <f ca="1">IF(G30="","",OFFSET('VA Front Page'!$I$11,MATCH(G30,'VA Front Page'!$C$12:$C$34,0),0))</f>
        <v>8.929758514950302E-2</v>
      </c>
      <c r="C30" s="160"/>
      <c r="D30" s="137"/>
      <c r="E30" s="106"/>
      <c r="F30" s="178"/>
      <c r="G30" s="161" t="s">
        <v>46</v>
      </c>
      <c r="H30" s="161"/>
      <c r="I30" s="161"/>
      <c r="K30" s="161"/>
      <c r="L30" s="161"/>
      <c r="M30" s="161"/>
      <c r="N30" s="161"/>
      <c r="O30" s="161"/>
      <c r="P30" s="161"/>
      <c r="Q30" s="161"/>
      <c r="R30" s="161"/>
      <c r="S30" s="161"/>
      <c r="T30" s="161"/>
      <c r="U30" s="161"/>
      <c r="V30" s="161"/>
      <c r="X30" s="161"/>
      <c r="Y30" s="161"/>
      <c r="AA30" s="99"/>
      <c r="AB30" s="99"/>
      <c r="AC30" s="99"/>
      <c r="AD30" s="99"/>
      <c r="AE30" s="99"/>
      <c r="AF30" s="99"/>
      <c r="AG30" s="99"/>
      <c r="AH30" s="99"/>
      <c r="AI30" s="99"/>
      <c r="AJ30" s="99"/>
      <c r="AK30" s="99"/>
      <c r="AL30" s="99"/>
    </row>
    <row r="31" spans="2:38">
      <c r="B31" s="100">
        <f ca="1">IF(G31="","",OFFSET('VA Front Page'!$I$11,MATCH(G31,'VA Front Page'!$C$12:$C$34,0),0))</f>
        <v>8.929758514950302E-2</v>
      </c>
      <c r="C31" s="100"/>
      <c r="E31" s="106"/>
      <c r="F31" s="176"/>
      <c r="G31" s="99" t="s">
        <v>46</v>
      </c>
      <c r="H31" s="99"/>
      <c r="I31" s="99"/>
      <c r="K31" s="99"/>
      <c r="L31" s="99"/>
      <c r="M31" s="99"/>
      <c r="N31" s="99"/>
      <c r="O31" s="99"/>
      <c r="P31" s="99"/>
      <c r="Q31" s="99"/>
      <c r="R31" s="99"/>
      <c r="S31" s="99"/>
      <c r="T31" s="99"/>
      <c r="U31" s="99"/>
      <c r="V31" s="99"/>
      <c r="X31" s="99"/>
      <c r="Y31" s="99"/>
      <c r="AA31" s="99"/>
      <c r="AB31" s="99"/>
      <c r="AC31" s="99"/>
      <c r="AD31" s="99"/>
      <c r="AE31" s="99"/>
      <c r="AF31" s="99"/>
      <c r="AG31" s="99"/>
      <c r="AH31" s="99"/>
      <c r="AI31" s="99"/>
      <c r="AJ31" s="99"/>
      <c r="AK31" s="99"/>
      <c r="AL31" s="99"/>
    </row>
    <row r="32" spans="2:38">
      <c r="B32" s="100">
        <f ca="1">IF(G32="","",OFFSET('VA Front Page'!$I$11,MATCH(G32,'VA Front Page'!$C$12:$C$34,0),0))</f>
        <v>8.929758514950302E-2</v>
      </c>
      <c r="C32" s="100"/>
      <c r="E32" s="106"/>
      <c r="F32" s="176"/>
      <c r="G32" s="99" t="s">
        <v>46</v>
      </c>
      <c r="H32" s="99"/>
      <c r="I32" s="99"/>
      <c r="K32" s="99"/>
      <c r="L32" s="99"/>
      <c r="M32" s="99"/>
      <c r="N32" s="99"/>
      <c r="O32" s="99"/>
      <c r="P32" s="99"/>
      <c r="Q32" s="99"/>
      <c r="R32" s="99"/>
      <c r="S32" s="99"/>
      <c r="T32" s="99"/>
      <c r="U32" s="99"/>
      <c r="V32" s="99"/>
      <c r="X32" s="99"/>
      <c r="Y32" s="99"/>
      <c r="AA32" s="99"/>
      <c r="AB32" s="99"/>
      <c r="AC32" s="99"/>
      <c r="AD32" s="99"/>
      <c r="AE32" s="99"/>
      <c r="AF32" s="99"/>
      <c r="AG32" s="99"/>
      <c r="AH32" s="99"/>
      <c r="AI32" s="99"/>
      <c r="AJ32" s="99"/>
      <c r="AK32" s="99"/>
      <c r="AL32" s="99"/>
    </row>
    <row r="33" spans="2:38">
      <c r="B33" s="100">
        <f ca="1">IF(G33="","",OFFSET('VA Front Page'!$I$11,MATCH(G33,'VA Front Page'!$C$12:$C$34,0),0))</f>
        <v>8.929758514950302E-2</v>
      </c>
      <c r="C33" s="100"/>
      <c r="E33" s="106"/>
      <c r="F33" s="176"/>
      <c r="G33" s="99" t="s">
        <v>46</v>
      </c>
      <c r="H33" s="99"/>
      <c r="I33" s="99"/>
      <c r="K33" s="99"/>
      <c r="L33" s="99"/>
      <c r="M33" s="99"/>
      <c r="N33" s="99"/>
      <c r="O33" s="99"/>
      <c r="P33" s="99"/>
      <c r="Q33" s="99"/>
      <c r="R33" s="99"/>
      <c r="S33" s="99"/>
      <c r="T33" s="99"/>
      <c r="U33" s="99"/>
      <c r="V33" s="99"/>
      <c r="X33" s="99"/>
      <c r="Y33" s="99"/>
      <c r="AA33" s="99"/>
      <c r="AB33" s="99"/>
      <c r="AC33" s="99"/>
      <c r="AD33" s="99"/>
      <c r="AE33" s="99"/>
      <c r="AF33" s="99"/>
      <c r="AG33" s="99"/>
      <c r="AH33" s="99"/>
      <c r="AI33" s="99"/>
      <c r="AJ33" s="99"/>
      <c r="AK33" s="99"/>
      <c r="AL33" s="99"/>
    </row>
    <row r="34" spans="2:38">
      <c r="B34" s="100">
        <f ca="1">IF(G34="","",OFFSET('VA Front Page'!$I$11,MATCH(G34,'VA Front Page'!$C$12:$C$34,0),0))</f>
        <v>8.929758514950302E-2</v>
      </c>
      <c r="C34" s="100"/>
      <c r="E34" s="106"/>
      <c r="F34" s="176"/>
      <c r="G34" s="99" t="s">
        <v>46</v>
      </c>
      <c r="H34" s="99"/>
      <c r="I34" s="99"/>
      <c r="K34" s="99"/>
      <c r="L34" s="99"/>
      <c r="M34" s="99"/>
      <c r="N34" s="99"/>
      <c r="O34" s="99"/>
      <c r="P34" s="99"/>
      <c r="Q34" s="99"/>
      <c r="R34" s="99"/>
      <c r="S34" s="99"/>
      <c r="T34" s="99"/>
      <c r="U34" s="99"/>
      <c r="V34" s="99"/>
      <c r="X34" s="99"/>
      <c r="Y34" s="99"/>
      <c r="AA34" s="99"/>
      <c r="AB34" s="99"/>
      <c r="AC34" s="99"/>
      <c r="AD34" s="99"/>
      <c r="AE34" s="99"/>
      <c r="AF34" s="99"/>
      <c r="AG34" s="99"/>
      <c r="AH34" s="99"/>
      <c r="AI34" s="99"/>
      <c r="AJ34" s="99"/>
      <c r="AK34" s="99"/>
      <c r="AL34" s="99"/>
    </row>
    <row r="35" spans="2:38">
      <c r="B35" s="100">
        <f ca="1">IF(G35="","",OFFSET('VA Front Page'!$I$11,MATCH(G35,'VA Front Page'!$C$12:$C$34,0),0))</f>
        <v>8.929758514950302E-2</v>
      </c>
      <c r="C35" s="100"/>
      <c r="E35" s="106"/>
      <c r="F35" s="176"/>
      <c r="G35" s="99" t="s">
        <v>46</v>
      </c>
      <c r="H35" s="99"/>
      <c r="I35" s="99"/>
      <c r="K35" s="99"/>
      <c r="L35" s="99"/>
      <c r="M35" s="99"/>
      <c r="N35" s="99"/>
      <c r="O35" s="99"/>
      <c r="P35" s="99"/>
      <c r="Q35" s="99"/>
      <c r="R35" s="99"/>
      <c r="S35" s="99"/>
      <c r="T35" s="99"/>
      <c r="U35" s="99"/>
      <c r="V35" s="99"/>
      <c r="X35" s="99"/>
      <c r="Y35" s="99"/>
      <c r="AA35" s="99"/>
      <c r="AB35" s="99"/>
      <c r="AC35" s="99"/>
      <c r="AD35" s="99"/>
      <c r="AE35" s="99"/>
      <c r="AF35" s="99"/>
      <c r="AG35" s="99"/>
      <c r="AH35" s="99"/>
      <c r="AI35" s="99"/>
      <c r="AJ35" s="99"/>
      <c r="AK35" s="99"/>
      <c r="AL35" s="99"/>
    </row>
    <row r="36" spans="2:38">
      <c r="B36" s="100">
        <f ca="1">IF(G36="","",OFFSET('VA Front Page'!$I$11,MATCH(G36,'VA Front Page'!$C$12:$C$34,0),0))</f>
        <v>8.929758514950302E-2</v>
      </c>
      <c r="C36" s="100"/>
      <c r="E36" s="106"/>
      <c r="F36" s="176"/>
      <c r="G36" s="99" t="s">
        <v>46</v>
      </c>
      <c r="H36" s="99"/>
      <c r="I36" s="99"/>
      <c r="K36" s="99"/>
      <c r="L36" s="99"/>
      <c r="M36" s="99"/>
      <c r="N36" s="99"/>
      <c r="O36" s="99"/>
      <c r="P36" s="99"/>
      <c r="Q36" s="99"/>
      <c r="R36" s="99"/>
      <c r="S36" s="99"/>
      <c r="T36" s="99"/>
      <c r="U36" s="99"/>
      <c r="V36" s="99"/>
      <c r="X36" s="99"/>
      <c r="Y36" s="99"/>
      <c r="AA36" s="99"/>
      <c r="AB36" s="99"/>
      <c r="AC36" s="99"/>
      <c r="AD36" s="99"/>
      <c r="AE36" s="99"/>
      <c r="AF36" s="99"/>
      <c r="AG36" s="99"/>
      <c r="AH36" s="99"/>
      <c r="AI36" s="99"/>
      <c r="AJ36" s="99"/>
      <c r="AK36" s="99"/>
      <c r="AL36" s="99"/>
    </row>
    <row r="37" spans="2:38">
      <c r="B37" s="100">
        <f ca="1">IF(G37="","",OFFSET('VA Front Page'!$I$11,MATCH(G37,'VA Front Page'!$C$12:$C$34,0),0))</f>
        <v>3.702619779955818E-2</v>
      </c>
      <c r="C37" s="100"/>
      <c r="E37" s="106"/>
      <c r="F37" s="176"/>
      <c r="G37" s="99" t="s">
        <v>59</v>
      </c>
      <c r="H37" s="99"/>
      <c r="I37" s="99"/>
      <c r="K37" s="99"/>
      <c r="L37" s="99"/>
      <c r="M37" s="99"/>
      <c r="N37" s="99"/>
      <c r="O37" s="99"/>
      <c r="P37" s="99"/>
      <c r="Q37" s="99"/>
      <c r="R37" s="99"/>
      <c r="S37" s="99"/>
      <c r="T37" s="99"/>
      <c r="U37" s="99"/>
      <c r="V37" s="99"/>
      <c r="X37" s="99"/>
      <c r="Y37" s="99"/>
      <c r="AA37" s="99"/>
      <c r="AB37" s="99"/>
      <c r="AC37" s="99"/>
      <c r="AD37" s="99"/>
      <c r="AE37" s="99"/>
      <c r="AF37" s="99"/>
      <c r="AG37" s="99"/>
      <c r="AH37" s="99"/>
      <c r="AI37" s="99"/>
      <c r="AJ37" s="99"/>
      <c r="AK37" s="99"/>
      <c r="AL37" s="99"/>
    </row>
    <row r="38" spans="2:38">
      <c r="B38" s="100">
        <f ca="1">IF(G38="","",OFFSET('VA Front Page'!$I$11,MATCH(G38,'VA Front Page'!$C$12:$C$34,0),0))</f>
        <v>3.702619779955818E-2</v>
      </c>
      <c r="C38" s="100"/>
      <c r="E38" s="106"/>
      <c r="F38" s="176"/>
      <c r="G38" s="99" t="s">
        <v>59</v>
      </c>
      <c r="H38" s="99"/>
      <c r="I38" s="99"/>
      <c r="K38" s="99"/>
      <c r="L38" s="99"/>
      <c r="M38" s="99"/>
      <c r="N38" s="99"/>
      <c r="O38" s="99"/>
      <c r="P38" s="99"/>
      <c r="Q38" s="99"/>
      <c r="R38" s="99"/>
      <c r="S38" s="99"/>
      <c r="T38" s="99"/>
      <c r="U38" s="99"/>
      <c r="V38" s="99"/>
      <c r="X38" s="99"/>
      <c r="Y38" s="99"/>
      <c r="AA38" s="99"/>
      <c r="AB38" s="99"/>
      <c r="AC38" s="99"/>
      <c r="AD38" s="99"/>
      <c r="AE38" s="99"/>
      <c r="AF38" s="99"/>
      <c r="AG38" s="99"/>
      <c r="AH38" s="99"/>
      <c r="AI38" s="99"/>
      <c r="AJ38" s="99"/>
      <c r="AK38" s="99"/>
      <c r="AL38" s="99"/>
    </row>
    <row r="39" spans="2:38">
      <c r="B39" s="100">
        <f ca="1">IF(G39="","",OFFSET('VA Front Page'!$I$11,MATCH(G39,'VA Front Page'!$C$12:$C$34,0),0))</f>
        <v>3.702619779955818E-2</v>
      </c>
      <c r="C39" s="100"/>
      <c r="E39" s="106"/>
      <c r="F39" s="176"/>
      <c r="G39" s="99" t="s">
        <v>59</v>
      </c>
      <c r="H39" s="99"/>
      <c r="I39" s="99"/>
      <c r="K39" s="99"/>
      <c r="L39" s="99"/>
      <c r="M39" s="99"/>
      <c r="N39" s="99"/>
      <c r="O39" s="99"/>
      <c r="P39" s="99"/>
      <c r="Q39" s="99"/>
      <c r="R39" s="99"/>
      <c r="S39" s="99"/>
      <c r="T39" s="99"/>
      <c r="U39" s="99"/>
      <c r="V39" s="99"/>
      <c r="X39" s="99"/>
      <c r="Y39" s="99"/>
      <c r="AA39" s="99"/>
      <c r="AB39" s="99"/>
      <c r="AC39" s="99"/>
      <c r="AD39" s="99"/>
      <c r="AE39" s="99"/>
      <c r="AF39" s="99"/>
      <c r="AG39" s="99"/>
      <c r="AH39" s="99"/>
      <c r="AI39" s="99"/>
      <c r="AJ39" s="99"/>
      <c r="AK39" s="99"/>
      <c r="AL39" s="99"/>
    </row>
    <row r="40" spans="2:38">
      <c r="B40" s="100">
        <f ca="1">IF(G40="","",OFFSET('VA Front Page'!$I$11,MATCH(G40,'VA Front Page'!$C$12:$C$34,0),0))</f>
        <v>3.702619779955818E-2</v>
      </c>
      <c r="C40" s="100"/>
      <c r="E40" s="106"/>
      <c r="F40" s="176"/>
      <c r="G40" s="99" t="s">
        <v>59</v>
      </c>
      <c r="H40" s="99"/>
      <c r="I40" s="99"/>
      <c r="K40" s="99"/>
      <c r="L40" s="99"/>
      <c r="M40" s="99"/>
      <c r="N40" s="99"/>
      <c r="O40" s="99"/>
      <c r="P40" s="99"/>
      <c r="Q40" s="99"/>
      <c r="R40" s="99"/>
      <c r="S40" s="99"/>
      <c r="T40" s="99"/>
      <c r="U40" s="99"/>
      <c r="V40" s="99"/>
      <c r="X40" s="99"/>
      <c r="Y40" s="99"/>
      <c r="AA40" s="99"/>
      <c r="AB40" s="99"/>
      <c r="AC40" s="99"/>
      <c r="AD40" s="99"/>
      <c r="AE40" s="99"/>
      <c r="AF40" s="99"/>
      <c r="AG40" s="99"/>
      <c r="AH40" s="99"/>
      <c r="AI40" s="99"/>
      <c r="AJ40" s="99"/>
      <c r="AK40" s="99"/>
      <c r="AL40" s="99"/>
    </row>
    <row r="41" spans="2:38">
      <c r="B41" s="100">
        <f ca="1">IF(G41="","",OFFSET('VA Front Page'!$I$11,MATCH(G41,'VA Front Page'!$C$12:$C$34,0),0))</f>
        <v>3.702619779955818E-2</v>
      </c>
      <c r="C41" s="100"/>
      <c r="E41" s="106"/>
      <c r="F41" s="176"/>
      <c r="G41" s="99" t="s">
        <v>59</v>
      </c>
      <c r="H41" s="99"/>
      <c r="I41" s="99"/>
      <c r="K41" s="99"/>
      <c r="L41" s="99"/>
      <c r="M41" s="99"/>
      <c r="N41" s="99"/>
      <c r="O41" s="99"/>
      <c r="P41" s="99"/>
      <c r="Q41" s="99"/>
      <c r="R41" s="99"/>
      <c r="S41" s="99"/>
      <c r="T41" s="99"/>
      <c r="U41" s="99"/>
      <c r="V41" s="99"/>
      <c r="X41" s="99"/>
      <c r="Y41" s="99"/>
      <c r="AA41" s="99"/>
      <c r="AB41" s="99"/>
      <c r="AC41" s="99"/>
      <c r="AD41" s="99"/>
      <c r="AE41" s="99"/>
      <c r="AF41" s="99"/>
      <c r="AG41" s="99"/>
      <c r="AH41" s="99"/>
      <c r="AI41" s="99"/>
      <c r="AJ41" s="99"/>
      <c r="AK41" s="99"/>
      <c r="AL41" s="99"/>
    </row>
    <row r="42" spans="2:38">
      <c r="B42" s="100">
        <f ca="1">IF(G42="","",OFFSET('VA Front Page'!$I$11,MATCH(G42,'VA Front Page'!$C$12:$C$34,0),0))</f>
        <v>3.702619779955818E-2</v>
      </c>
      <c r="C42" s="100"/>
      <c r="E42" s="106"/>
      <c r="F42" s="176"/>
      <c r="G42" s="99" t="s">
        <v>59</v>
      </c>
      <c r="H42" s="99"/>
      <c r="I42" s="99"/>
      <c r="K42" s="99"/>
      <c r="L42" s="99"/>
      <c r="M42" s="99"/>
      <c r="N42" s="99"/>
      <c r="O42" s="99"/>
      <c r="P42" s="99"/>
      <c r="Q42" s="99"/>
      <c r="R42" s="99"/>
      <c r="S42" s="99"/>
      <c r="T42" s="99"/>
      <c r="U42" s="99"/>
      <c r="V42" s="99"/>
      <c r="X42" s="99"/>
      <c r="Y42" s="99"/>
      <c r="AA42" s="99"/>
      <c r="AB42" s="99"/>
      <c r="AC42" s="99"/>
      <c r="AD42" s="99"/>
      <c r="AE42" s="99"/>
      <c r="AF42" s="99"/>
      <c r="AG42" s="99"/>
      <c r="AH42" s="99"/>
      <c r="AI42" s="99"/>
      <c r="AJ42" s="99"/>
      <c r="AK42" s="99"/>
      <c r="AL42" s="99"/>
    </row>
    <row r="43" spans="2:38">
      <c r="B43" s="100">
        <f ca="1">IF(G43="","",OFFSET('VA Front Page'!$I$11,MATCH(G43,'VA Front Page'!$C$12:$C$34,0),0))</f>
        <v>3.702619779955818E-2</v>
      </c>
      <c r="C43" s="100"/>
      <c r="E43" s="106"/>
      <c r="F43" s="176"/>
      <c r="G43" s="99" t="s">
        <v>59</v>
      </c>
      <c r="H43" s="99"/>
      <c r="I43" s="99"/>
      <c r="K43" s="99"/>
      <c r="L43" s="99"/>
      <c r="M43" s="99"/>
      <c r="N43" s="99"/>
      <c r="O43" s="99"/>
      <c r="P43" s="99"/>
      <c r="Q43" s="99"/>
      <c r="R43" s="99"/>
      <c r="S43" s="99"/>
      <c r="T43" s="99"/>
      <c r="U43" s="99"/>
      <c r="V43" s="99"/>
      <c r="X43" s="99"/>
      <c r="Y43" s="99"/>
      <c r="AA43" s="99"/>
      <c r="AB43" s="99"/>
      <c r="AC43" s="99"/>
      <c r="AD43" s="99"/>
      <c r="AE43" s="99"/>
      <c r="AF43" s="99"/>
      <c r="AG43" s="99"/>
      <c r="AH43" s="99"/>
      <c r="AI43" s="99"/>
      <c r="AJ43" s="99"/>
      <c r="AK43" s="99"/>
      <c r="AL43" s="99"/>
    </row>
    <row r="44" spans="2:38">
      <c r="B44" s="100">
        <f ca="1">IF(G44="","",OFFSET('VA Front Page'!$I$11,MATCH(G44,'VA Front Page'!$C$12:$C$34,0),0))</f>
        <v>2.6513623628186361E-2</v>
      </c>
      <c r="C44" s="100"/>
      <c r="E44" s="106"/>
      <c r="F44" s="176"/>
      <c r="G44" s="99" t="s">
        <v>75</v>
      </c>
      <c r="H44" s="99"/>
      <c r="I44" s="99"/>
      <c r="K44" s="99"/>
      <c r="L44" s="99"/>
      <c r="M44" s="99"/>
      <c r="N44" s="99"/>
      <c r="O44" s="99"/>
      <c r="P44" s="99"/>
      <c r="Q44" s="99"/>
      <c r="R44" s="99"/>
      <c r="S44" s="99"/>
      <c r="T44" s="99"/>
      <c r="U44" s="99"/>
      <c r="V44" s="99"/>
      <c r="X44" s="99"/>
      <c r="Y44" s="99"/>
      <c r="AA44" s="99"/>
      <c r="AB44" s="99"/>
      <c r="AC44" s="99"/>
      <c r="AD44" s="99"/>
      <c r="AE44" s="99"/>
      <c r="AF44" s="99"/>
      <c r="AG44" s="99"/>
      <c r="AH44" s="99"/>
      <c r="AI44" s="99"/>
      <c r="AJ44" s="99"/>
      <c r="AK44" s="99"/>
      <c r="AL44" s="99"/>
    </row>
    <row r="45" spans="2:38">
      <c r="B45" s="100">
        <f ca="1">IF(G45="","",OFFSET('VA Front Page'!$I$11,MATCH(G45,'VA Front Page'!$C$12:$C$34,0),0))</f>
        <v>2.6513623628186361E-2</v>
      </c>
      <c r="C45" s="100"/>
      <c r="E45" s="106"/>
      <c r="F45" s="176"/>
      <c r="G45" s="99" t="s">
        <v>75</v>
      </c>
      <c r="H45" s="99"/>
      <c r="I45" s="99"/>
      <c r="K45" s="99"/>
      <c r="L45" s="99"/>
      <c r="M45" s="99"/>
      <c r="N45" s="99"/>
      <c r="O45" s="99"/>
      <c r="P45" s="99"/>
      <c r="Q45" s="99"/>
      <c r="R45" s="99"/>
      <c r="S45" s="99"/>
      <c r="T45" s="99"/>
      <c r="U45" s="99"/>
      <c r="V45" s="99"/>
      <c r="X45" s="99"/>
      <c r="Y45" s="99"/>
      <c r="AA45" s="99"/>
      <c r="AB45" s="99"/>
      <c r="AC45" s="99"/>
      <c r="AD45" s="99"/>
      <c r="AE45" s="99"/>
      <c r="AF45" s="99"/>
      <c r="AG45" s="99"/>
      <c r="AH45" s="99"/>
      <c r="AI45" s="99"/>
      <c r="AJ45" s="99"/>
      <c r="AK45" s="99"/>
      <c r="AL45" s="99"/>
    </row>
    <row r="46" spans="2:38">
      <c r="B46" s="100">
        <f ca="1">IF(G46="","",OFFSET('VA Front Page'!$I$11,MATCH(G46,'VA Front Page'!$C$12:$C$34,0),0))</f>
        <v>2.6513623628186361E-2</v>
      </c>
      <c r="C46" s="100"/>
      <c r="E46" s="106"/>
      <c r="F46" s="176"/>
      <c r="G46" s="99" t="s">
        <v>75</v>
      </c>
      <c r="H46" s="99"/>
      <c r="I46" s="99"/>
      <c r="K46" s="99"/>
      <c r="L46" s="99"/>
      <c r="M46" s="99"/>
      <c r="N46" s="99"/>
      <c r="O46" s="99"/>
      <c r="P46" s="99"/>
      <c r="Q46" s="99"/>
      <c r="R46" s="99"/>
      <c r="S46" s="99"/>
      <c r="T46" s="99"/>
      <c r="U46" s="99"/>
      <c r="V46" s="99"/>
      <c r="X46" s="99"/>
      <c r="Y46" s="99"/>
      <c r="AA46" s="99"/>
      <c r="AB46" s="99"/>
      <c r="AC46" s="99"/>
      <c r="AD46" s="99"/>
      <c r="AE46" s="99"/>
      <c r="AF46" s="99"/>
      <c r="AG46" s="99"/>
      <c r="AH46" s="99"/>
      <c r="AI46" s="99"/>
      <c r="AJ46" s="99"/>
      <c r="AK46" s="99"/>
      <c r="AL46" s="99"/>
    </row>
    <row r="47" spans="2:38">
      <c r="B47" s="100">
        <f ca="1">IF(G47="","",OFFSET('VA Front Page'!$I$11,MATCH(G47,'VA Front Page'!$C$12:$C$34,0),0))</f>
        <v>2.6513623628186361E-2</v>
      </c>
      <c r="C47" s="100"/>
      <c r="E47" s="106"/>
      <c r="F47" s="176"/>
      <c r="G47" s="99" t="s">
        <v>75</v>
      </c>
      <c r="H47" s="99"/>
      <c r="I47" s="99"/>
      <c r="K47" s="99"/>
      <c r="L47" s="99"/>
      <c r="M47" s="99"/>
      <c r="N47" s="99"/>
      <c r="O47" s="99"/>
      <c r="P47" s="99"/>
      <c r="Q47" s="99"/>
      <c r="R47" s="99"/>
      <c r="S47" s="99"/>
      <c r="T47" s="99"/>
      <c r="U47" s="99"/>
      <c r="V47" s="99"/>
      <c r="X47" s="99"/>
      <c r="Y47" s="99"/>
      <c r="AA47" s="99"/>
      <c r="AB47" s="99"/>
      <c r="AC47" s="99"/>
      <c r="AD47" s="99"/>
      <c r="AE47" s="99"/>
      <c r="AF47" s="99"/>
      <c r="AG47" s="99"/>
      <c r="AH47" s="99"/>
      <c r="AI47" s="99"/>
      <c r="AJ47" s="99"/>
      <c r="AK47" s="99"/>
      <c r="AL47" s="99"/>
    </row>
    <row r="48" spans="2:38">
      <c r="B48" s="100">
        <f ca="1">IF(G48="","",OFFSET('VA Front Page'!$I$11,MATCH(G48,'VA Front Page'!$C$12:$C$34,0),0))</f>
        <v>2.6513623628186361E-2</v>
      </c>
      <c r="C48" s="100"/>
      <c r="E48" s="106"/>
      <c r="F48" s="176"/>
      <c r="G48" s="99" t="s">
        <v>75</v>
      </c>
      <c r="H48" s="99"/>
      <c r="I48" s="99"/>
      <c r="K48" s="99"/>
      <c r="L48" s="99"/>
      <c r="M48" s="99"/>
      <c r="N48" s="99"/>
      <c r="O48" s="99"/>
      <c r="P48" s="99"/>
      <c r="Q48" s="99"/>
      <c r="R48" s="99"/>
      <c r="S48" s="99"/>
      <c r="T48" s="99"/>
      <c r="U48" s="99"/>
      <c r="V48" s="99"/>
      <c r="X48" s="99"/>
      <c r="Y48" s="99"/>
      <c r="AA48" s="99"/>
      <c r="AB48" s="99"/>
      <c r="AC48" s="99"/>
      <c r="AD48" s="99"/>
      <c r="AE48" s="99"/>
      <c r="AF48" s="99"/>
      <c r="AG48" s="99"/>
      <c r="AH48" s="99"/>
      <c r="AI48" s="99"/>
      <c r="AJ48" s="99"/>
      <c r="AK48" s="99"/>
      <c r="AL48" s="99"/>
    </row>
    <row r="49" spans="2:38">
      <c r="B49" s="100">
        <f ca="1">IF(G49="","",OFFSET('VA Front Page'!$I$11,MATCH(G49,'VA Front Page'!$C$12:$C$34,0),0))</f>
        <v>2.6513623628186361E-2</v>
      </c>
      <c r="C49" s="100"/>
      <c r="E49" s="106"/>
      <c r="F49" s="176"/>
      <c r="G49" s="99" t="s">
        <v>75</v>
      </c>
      <c r="H49" s="99"/>
      <c r="I49" s="99"/>
      <c r="K49" s="99"/>
      <c r="L49" s="99"/>
      <c r="M49" s="99"/>
      <c r="N49" s="99"/>
      <c r="O49" s="99"/>
      <c r="P49" s="99"/>
      <c r="Q49" s="99"/>
      <c r="R49" s="99"/>
      <c r="S49" s="99"/>
      <c r="T49" s="99"/>
      <c r="U49" s="99"/>
      <c r="V49" s="99"/>
      <c r="X49" s="99"/>
      <c r="Y49" s="99"/>
      <c r="AA49" s="99"/>
      <c r="AB49" s="99"/>
      <c r="AC49" s="99"/>
      <c r="AD49" s="99"/>
      <c r="AE49" s="99"/>
      <c r="AF49" s="99"/>
      <c r="AG49" s="99"/>
      <c r="AH49" s="99"/>
      <c r="AI49" s="99"/>
      <c r="AJ49" s="99"/>
      <c r="AK49" s="99"/>
      <c r="AL49" s="99"/>
    </row>
    <row r="50" spans="2:38">
      <c r="B50" s="100">
        <f ca="1">IF(G50="","",OFFSET('VA Front Page'!$I$11,MATCH(G50,'VA Front Page'!$C$12:$C$34,0),0))</f>
        <v>2.6513623628186361E-2</v>
      </c>
      <c r="C50" s="100"/>
      <c r="E50" s="106"/>
      <c r="F50" s="176"/>
      <c r="G50" s="99" t="s">
        <v>75</v>
      </c>
      <c r="H50" s="99"/>
      <c r="I50" s="99"/>
      <c r="K50" s="99"/>
      <c r="L50" s="99"/>
      <c r="M50" s="99"/>
      <c r="N50" s="99"/>
      <c r="O50" s="99"/>
      <c r="P50" s="99"/>
      <c r="Q50" s="99"/>
      <c r="R50" s="99"/>
      <c r="S50" s="99"/>
      <c r="T50" s="99"/>
      <c r="U50" s="99"/>
      <c r="V50" s="99"/>
      <c r="X50" s="99"/>
      <c r="Y50" s="99"/>
      <c r="AA50" s="99"/>
      <c r="AB50" s="99"/>
      <c r="AC50" s="99"/>
      <c r="AD50" s="99"/>
      <c r="AE50" s="99"/>
      <c r="AF50" s="99"/>
      <c r="AG50" s="99"/>
      <c r="AH50" s="99"/>
      <c r="AI50" s="99"/>
      <c r="AJ50" s="99"/>
      <c r="AK50" s="99"/>
      <c r="AL50" s="99"/>
    </row>
    <row r="51" spans="2:38">
      <c r="B51" s="100">
        <f ca="1">IF(G51="","",OFFSET('VA Front Page'!$I$11,MATCH(G51,'VA Front Page'!$C$12:$C$34,0),0))</f>
        <v>1.7242580865884573E-2</v>
      </c>
      <c r="C51" s="100"/>
      <c r="E51" s="106"/>
      <c r="F51" s="176"/>
      <c r="G51" s="99" t="s">
        <v>83</v>
      </c>
      <c r="H51" s="99"/>
      <c r="I51" s="99"/>
      <c r="K51" s="99"/>
      <c r="L51" s="99"/>
      <c r="M51" s="99"/>
      <c r="N51" s="99"/>
      <c r="O51" s="99"/>
      <c r="P51" s="99"/>
      <c r="Q51" s="99"/>
      <c r="R51" s="99"/>
      <c r="S51" s="99"/>
      <c r="T51" s="99"/>
      <c r="U51" s="99"/>
      <c r="V51" s="99"/>
      <c r="X51" s="99"/>
      <c r="Y51" s="99"/>
      <c r="AA51" s="99"/>
      <c r="AB51" s="99"/>
      <c r="AC51" s="99"/>
      <c r="AD51" s="99"/>
      <c r="AE51" s="99"/>
      <c r="AF51" s="99"/>
      <c r="AG51" s="99"/>
      <c r="AH51" s="99"/>
      <c r="AI51" s="99"/>
      <c r="AJ51" s="99"/>
      <c r="AK51" s="99"/>
      <c r="AL51" s="99"/>
    </row>
    <row r="52" spans="2:38">
      <c r="B52" s="100">
        <f ca="1">IF(G52="","",OFFSET('VA Front Page'!$I$11,MATCH(G52,'VA Front Page'!$C$12:$C$34,0),0))</f>
        <v>1.7242580865884573E-2</v>
      </c>
      <c r="C52" s="100"/>
      <c r="E52" s="106"/>
      <c r="F52" s="176"/>
      <c r="G52" s="99" t="s">
        <v>83</v>
      </c>
      <c r="H52" s="99"/>
      <c r="I52" s="99"/>
      <c r="K52" s="99"/>
      <c r="L52" s="99"/>
      <c r="M52" s="99"/>
      <c r="N52" s="99"/>
      <c r="O52" s="99"/>
      <c r="P52" s="99"/>
      <c r="Q52" s="99"/>
      <c r="R52" s="99"/>
      <c r="S52" s="99"/>
      <c r="T52" s="99"/>
      <c r="U52" s="99"/>
      <c r="V52" s="99"/>
      <c r="X52" s="99"/>
      <c r="Y52" s="99"/>
      <c r="AA52" s="99"/>
      <c r="AB52" s="99"/>
      <c r="AC52" s="99"/>
      <c r="AD52" s="99"/>
      <c r="AE52" s="99"/>
      <c r="AF52" s="99"/>
      <c r="AG52" s="99"/>
      <c r="AH52" s="99"/>
      <c r="AI52" s="99"/>
      <c r="AJ52" s="99"/>
      <c r="AK52" s="99"/>
      <c r="AL52" s="99"/>
    </row>
    <row r="53" spans="2:38">
      <c r="B53" s="100">
        <f ca="1">IF(G53="","",OFFSET('VA Front Page'!$I$11,MATCH(G53,'VA Front Page'!$C$12:$C$34,0),0))</f>
        <v>1.7242580865884573E-2</v>
      </c>
      <c r="C53" s="100"/>
      <c r="E53" s="106"/>
      <c r="F53" s="176"/>
      <c r="G53" s="99" t="s">
        <v>83</v>
      </c>
      <c r="H53" s="99"/>
      <c r="I53" s="99"/>
      <c r="K53" s="99"/>
      <c r="L53" s="99"/>
      <c r="M53" s="99"/>
      <c r="N53" s="99"/>
      <c r="O53" s="99"/>
      <c r="P53" s="99"/>
      <c r="Q53" s="99"/>
      <c r="R53" s="99"/>
      <c r="S53" s="99"/>
      <c r="T53" s="99"/>
      <c r="U53" s="99"/>
      <c r="V53" s="99"/>
      <c r="X53" s="99"/>
      <c r="Y53" s="99"/>
      <c r="AA53" s="99"/>
      <c r="AB53" s="99"/>
      <c r="AC53" s="99"/>
      <c r="AD53" s="99"/>
      <c r="AE53" s="99"/>
      <c r="AF53" s="99"/>
      <c r="AG53" s="99"/>
      <c r="AH53" s="99"/>
      <c r="AI53" s="99"/>
      <c r="AJ53" s="99"/>
      <c r="AK53" s="99"/>
      <c r="AL53" s="99"/>
    </row>
    <row r="54" spans="2:38">
      <c r="B54" s="100">
        <f ca="1">IF(G54="","",OFFSET('VA Front Page'!$I$11,MATCH(G54,'VA Front Page'!$C$12:$C$34,0),0))</f>
        <v>1.7242580865884573E-2</v>
      </c>
      <c r="C54" s="100"/>
      <c r="E54" s="106"/>
      <c r="F54" s="176"/>
      <c r="G54" s="99" t="s">
        <v>83</v>
      </c>
      <c r="H54" s="99"/>
      <c r="I54" s="99"/>
      <c r="K54" s="99"/>
      <c r="L54" s="99"/>
      <c r="M54" s="99"/>
      <c r="N54" s="99"/>
      <c r="O54" s="99"/>
      <c r="P54" s="99"/>
      <c r="Q54" s="99"/>
      <c r="R54" s="99"/>
      <c r="S54" s="99"/>
      <c r="T54" s="99"/>
      <c r="U54" s="99"/>
      <c r="V54" s="99"/>
      <c r="X54" s="99"/>
      <c r="Y54" s="99"/>
      <c r="AA54" s="99"/>
      <c r="AB54" s="99"/>
      <c r="AC54" s="99"/>
      <c r="AD54" s="99"/>
      <c r="AE54" s="99"/>
      <c r="AF54" s="99"/>
      <c r="AG54" s="99"/>
      <c r="AH54" s="99"/>
      <c r="AI54" s="99"/>
      <c r="AJ54" s="99"/>
      <c r="AK54" s="99"/>
      <c r="AL54" s="99"/>
    </row>
    <row r="55" spans="2:38">
      <c r="B55" s="100">
        <f ca="1">IF(G55="","",OFFSET('VA Front Page'!$I$11,MATCH(G55,'VA Front Page'!$C$12:$C$34,0),0))</f>
        <v>1.7242580865884573E-2</v>
      </c>
      <c r="C55" s="100"/>
      <c r="E55" s="106"/>
      <c r="F55" s="176"/>
      <c r="G55" s="99" t="s">
        <v>83</v>
      </c>
      <c r="H55" s="99"/>
      <c r="I55" s="99"/>
      <c r="K55" s="99"/>
      <c r="L55" s="99"/>
      <c r="M55" s="99"/>
      <c r="N55" s="99"/>
      <c r="O55" s="99"/>
      <c r="P55" s="99"/>
      <c r="Q55" s="99"/>
      <c r="R55" s="99"/>
      <c r="S55" s="99"/>
      <c r="T55" s="99"/>
      <c r="U55" s="99"/>
      <c r="V55" s="99"/>
      <c r="X55" s="99"/>
      <c r="Y55" s="99"/>
      <c r="AA55" s="99"/>
      <c r="AB55" s="99"/>
      <c r="AC55" s="99"/>
      <c r="AD55" s="99"/>
      <c r="AE55" s="99"/>
      <c r="AF55" s="99"/>
      <c r="AG55" s="99"/>
      <c r="AH55" s="99"/>
      <c r="AI55" s="99"/>
      <c r="AJ55" s="99"/>
      <c r="AK55" s="99"/>
      <c r="AL55" s="99"/>
    </row>
    <row r="56" spans="2:38">
      <c r="B56" s="100">
        <f ca="1">IF(G56="","",OFFSET('VA Front Page'!$I$11,MATCH(G56,'VA Front Page'!$C$12:$C$34,0),0))</f>
        <v>1.7242580865884573E-2</v>
      </c>
      <c r="C56" s="100"/>
      <c r="E56" s="106"/>
      <c r="F56" s="176"/>
      <c r="G56" s="99" t="s">
        <v>83</v>
      </c>
      <c r="H56" s="99"/>
      <c r="I56" s="99"/>
      <c r="K56" s="99"/>
      <c r="L56" s="99"/>
      <c r="M56" s="99"/>
      <c r="N56" s="99"/>
      <c r="O56" s="99"/>
      <c r="P56" s="99"/>
      <c r="Q56" s="99"/>
      <c r="R56" s="99"/>
      <c r="S56" s="99"/>
      <c r="T56" s="99"/>
      <c r="U56" s="99"/>
      <c r="V56" s="99"/>
      <c r="X56" s="99"/>
      <c r="Y56" s="99"/>
      <c r="AA56" s="99"/>
      <c r="AB56" s="99"/>
      <c r="AC56" s="99"/>
      <c r="AD56" s="99"/>
      <c r="AE56" s="99"/>
      <c r="AF56" s="99"/>
      <c r="AG56" s="99"/>
      <c r="AH56" s="99"/>
      <c r="AI56" s="99"/>
      <c r="AJ56" s="99"/>
      <c r="AK56" s="99"/>
      <c r="AL56" s="99"/>
    </row>
    <row r="57" spans="2:38">
      <c r="B57" s="100">
        <f ca="1">IF(G57="","",OFFSET('VA Front Page'!$I$11,MATCH(G57,'VA Front Page'!$C$12:$C$34,0),0))</f>
        <v>1.7242580865884573E-2</v>
      </c>
      <c r="C57" s="100"/>
      <c r="E57" s="106"/>
      <c r="F57" s="176"/>
      <c r="G57" s="99" t="s">
        <v>83</v>
      </c>
      <c r="H57" s="99"/>
      <c r="I57" s="99"/>
      <c r="K57" s="99"/>
      <c r="L57" s="99"/>
      <c r="M57" s="99"/>
      <c r="N57" s="99"/>
      <c r="O57" s="99"/>
      <c r="P57" s="99"/>
      <c r="Q57" s="99"/>
      <c r="R57" s="99"/>
      <c r="S57" s="99"/>
      <c r="T57" s="99"/>
      <c r="U57" s="99"/>
      <c r="V57" s="99"/>
      <c r="X57" s="99"/>
      <c r="Y57" s="99"/>
      <c r="AA57" s="99"/>
      <c r="AB57" s="99"/>
      <c r="AC57" s="99"/>
      <c r="AD57" s="99"/>
      <c r="AE57" s="99"/>
      <c r="AF57" s="99"/>
      <c r="AG57" s="99"/>
      <c r="AH57" s="99"/>
      <c r="AI57" s="99"/>
      <c r="AJ57" s="99"/>
      <c r="AK57" s="99"/>
      <c r="AL57" s="99"/>
    </row>
    <row r="58" spans="2:38">
      <c r="B58" s="100">
        <f ca="1">IF(G58="","",OFFSET('VA Front Page'!$I$11,MATCH(G58,'VA Front Page'!$C$12:$C$34,0),0))</f>
        <v>1.7242580865884573E-2</v>
      </c>
      <c r="C58" s="100"/>
      <c r="E58" s="106"/>
      <c r="F58" s="176"/>
      <c r="G58" s="99" t="s">
        <v>83</v>
      </c>
      <c r="H58" s="99"/>
      <c r="I58" s="99"/>
      <c r="K58" s="99"/>
      <c r="L58" s="99"/>
      <c r="M58" s="99"/>
      <c r="N58" s="99"/>
      <c r="O58" s="99"/>
      <c r="P58" s="99"/>
      <c r="Q58" s="99"/>
      <c r="R58" s="99"/>
      <c r="S58" s="99"/>
      <c r="T58" s="99"/>
      <c r="U58" s="99"/>
      <c r="V58" s="99"/>
      <c r="X58" s="99"/>
      <c r="Y58" s="99"/>
      <c r="AA58" s="99"/>
      <c r="AB58" s="99"/>
      <c r="AC58" s="99"/>
      <c r="AD58" s="99"/>
      <c r="AE58" s="99"/>
      <c r="AF58" s="99"/>
      <c r="AG58" s="99"/>
      <c r="AH58" s="99"/>
      <c r="AI58" s="99"/>
      <c r="AJ58" s="99"/>
      <c r="AK58" s="99"/>
      <c r="AL58" s="99"/>
    </row>
    <row r="59" spans="2:38">
      <c r="B59" s="100">
        <f ca="1">IF(G59="","",OFFSET('VA Front Page'!$I$11,MATCH(G59,'VA Front Page'!$C$12:$C$34,0),0))</f>
        <v>6.1281523698651225E-2</v>
      </c>
      <c r="C59" s="100"/>
      <c r="E59" s="106"/>
      <c r="F59" s="99" t="s">
        <v>89</v>
      </c>
      <c r="G59" s="99" t="s">
        <v>90</v>
      </c>
      <c r="H59" s="99"/>
      <c r="I59" s="99"/>
      <c r="K59" s="99"/>
      <c r="L59" s="99"/>
      <c r="M59" s="99"/>
      <c r="N59" s="99"/>
      <c r="O59" s="99"/>
      <c r="P59" s="99"/>
      <c r="Q59" s="99"/>
      <c r="R59" s="99"/>
      <c r="S59" s="99"/>
      <c r="T59" s="99"/>
      <c r="U59" s="99"/>
      <c r="V59" s="99"/>
      <c r="X59" s="99"/>
      <c r="Y59" s="99"/>
      <c r="AA59" s="99"/>
      <c r="AB59" s="99"/>
      <c r="AC59" s="99"/>
      <c r="AD59" s="99"/>
      <c r="AE59" s="99"/>
      <c r="AF59" s="99"/>
      <c r="AG59" s="99"/>
      <c r="AH59" s="99"/>
      <c r="AI59" s="99"/>
      <c r="AJ59" s="99"/>
      <c r="AK59" s="99"/>
      <c r="AL59" s="99"/>
    </row>
    <row r="60" spans="2:38">
      <c r="B60" s="100">
        <f ca="1">IF(G60="","",OFFSET('VA Front Page'!$I$11,MATCH(G60,'VA Front Page'!$C$12:$C$34,0),0))</f>
        <v>6.1281523698651225E-2</v>
      </c>
      <c r="C60" s="100"/>
      <c r="E60" s="106"/>
      <c r="F60" s="99"/>
      <c r="G60" s="99" t="s">
        <v>90</v>
      </c>
      <c r="H60" s="99"/>
      <c r="I60" s="99"/>
      <c r="K60" s="99"/>
      <c r="L60" s="99"/>
      <c r="M60" s="99"/>
      <c r="N60" s="99"/>
      <c r="O60" s="99"/>
      <c r="P60" s="99"/>
      <c r="Q60" s="99"/>
      <c r="R60" s="99"/>
      <c r="S60" s="99"/>
      <c r="T60" s="99"/>
      <c r="U60" s="99"/>
      <c r="V60" s="99"/>
      <c r="X60" s="99"/>
      <c r="Y60" s="99"/>
      <c r="AA60" s="99"/>
      <c r="AB60" s="99"/>
      <c r="AC60" s="99"/>
      <c r="AD60" s="99"/>
      <c r="AE60" s="99"/>
      <c r="AF60" s="99"/>
      <c r="AG60" s="99"/>
      <c r="AH60" s="99"/>
      <c r="AI60" s="99"/>
      <c r="AJ60" s="99"/>
      <c r="AK60" s="99"/>
      <c r="AL60" s="99"/>
    </row>
    <row r="61" spans="2:38">
      <c r="B61" s="100">
        <f ca="1">IF(G61="","",OFFSET('VA Front Page'!$I$11,MATCH(G61,'VA Front Page'!$C$12:$C$34,0),0))</f>
        <v>6.1281523698651225E-2</v>
      </c>
      <c r="C61" s="100"/>
      <c r="E61" s="106"/>
      <c r="F61" s="99"/>
      <c r="G61" s="99" t="s">
        <v>90</v>
      </c>
      <c r="H61" s="99"/>
      <c r="I61" s="99"/>
      <c r="K61" s="99"/>
      <c r="L61" s="99"/>
      <c r="M61" s="99"/>
      <c r="N61" s="99"/>
      <c r="O61" s="99"/>
      <c r="P61" s="99"/>
      <c r="Q61" s="99"/>
      <c r="R61" s="99"/>
      <c r="S61" s="99"/>
      <c r="T61" s="99"/>
      <c r="U61" s="99"/>
      <c r="V61" s="99"/>
      <c r="X61" s="99"/>
      <c r="Y61" s="99"/>
      <c r="AA61" s="99"/>
      <c r="AB61" s="99"/>
      <c r="AC61" s="99"/>
      <c r="AD61" s="99"/>
      <c r="AE61" s="99"/>
      <c r="AF61" s="99"/>
      <c r="AG61" s="99"/>
      <c r="AH61" s="99"/>
      <c r="AI61" s="99"/>
      <c r="AJ61" s="99"/>
      <c r="AK61" s="99"/>
      <c r="AL61" s="99"/>
    </row>
    <row r="62" spans="2:38">
      <c r="B62" s="100">
        <f ca="1">IF(G62="","",OFFSET('VA Front Page'!$I$11,MATCH(G62,'VA Front Page'!$C$12:$C$34,0),0))</f>
        <v>6.1281523698651225E-2</v>
      </c>
      <c r="C62" s="100"/>
      <c r="E62" s="106"/>
      <c r="F62" s="99"/>
      <c r="G62" s="99" t="s">
        <v>90</v>
      </c>
      <c r="H62" s="99"/>
      <c r="I62" s="99"/>
      <c r="K62" s="99"/>
      <c r="L62" s="99"/>
      <c r="M62" s="99"/>
      <c r="N62" s="99"/>
      <c r="O62" s="99"/>
      <c r="P62" s="99"/>
      <c r="Q62" s="99"/>
      <c r="R62" s="99"/>
      <c r="S62" s="99"/>
      <c r="T62" s="99"/>
      <c r="U62" s="99"/>
      <c r="V62" s="99"/>
      <c r="X62" s="99"/>
      <c r="Y62" s="99"/>
      <c r="AA62" s="99"/>
      <c r="AB62" s="99"/>
      <c r="AC62" s="99"/>
      <c r="AD62" s="99"/>
      <c r="AE62" s="99"/>
      <c r="AF62" s="99"/>
      <c r="AG62" s="99"/>
      <c r="AH62" s="99"/>
      <c r="AI62" s="99"/>
      <c r="AJ62" s="99"/>
      <c r="AK62" s="99"/>
      <c r="AL62" s="99"/>
    </row>
    <row r="63" spans="2:38">
      <c r="B63" s="100">
        <f ca="1">IF(G63="","",OFFSET('VA Front Page'!$I$11,MATCH(G63,'VA Front Page'!$C$12:$C$34,0),0))</f>
        <v>6.1281523698651225E-2</v>
      </c>
      <c r="C63" s="100"/>
      <c r="E63" s="106"/>
      <c r="F63" s="99"/>
      <c r="G63" s="99" t="s">
        <v>90</v>
      </c>
      <c r="H63" s="99"/>
      <c r="I63" s="99"/>
      <c r="K63" s="99"/>
      <c r="L63" s="99"/>
      <c r="M63" s="99"/>
      <c r="N63" s="99"/>
      <c r="O63" s="99"/>
      <c r="P63" s="99"/>
      <c r="Q63" s="99"/>
      <c r="R63" s="99"/>
      <c r="S63" s="99"/>
      <c r="T63" s="99"/>
      <c r="U63" s="99"/>
      <c r="V63" s="99"/>
      <c r="X63" s="99"/>
      <c r="Y63" s="99"/>
      <c r="AA63" s="99"/>
      <c r="AB63" s="99"/>
      <c r="AC63" s="99"/>
      <c r="AD63" s="99"/>
      <c r="AE63" s="99"/>
      <c r="AF63" s="99"/>
      <c r="AG63" s="99"/>
      <c r="AH63" s="99"/>
      <c r="AI63" s="99"/>
      <c r="AJ63" s="99"/>
      <c r="AK63" s="99"/>
      <c r="AL63" s="99"/>
    </row>
    <row r="64" spans="2:38">
      <c r="B64" s="100">
        <f ca="1">IF(G64="","",OFFSET('VA Front Page'!$I$11,MATCH(G64,'VA Front Page'!$C$12:$C$34,0),0))</f>
        <v>6.1281523698651225E-2</v>
      </c>
      <c r="C64" s="100"/>
      <c r="E64" s="106"/>
      <c r="F64" s="99"/>
      <c r="G64" s="99" t="s">
        <v>90</v>
      </c>
      <c r="H64" s="99"/>
      <c r="I64" s="99"/>
      <c r="K64" s="99"/>
      <c r="L64" s="99"/>
      <c r="M64" s="99"/>
      <c r="N64" s="99"/>
      <c r="O64" s="99"/>
      <c r="P64" s="99"/>
      <c r="Q64" s="99"/>
      <c r="R64" s="99"/>
      <c r="S64" s="99"/>
      <c r="T64" s="99"/>
      <c r="U64" s="99"/>
      <c r="V64" s="99"/>
      <c r="X64" s="99"/>
      <c r="Y64" s="99"/>
      <c r="AA64" s="99"/>
      <c r="AB64" s="99"/>
      <c r="AC64" s="99"/>
      <c r="AD64" s="99"/>
      <c r="AE64" s="99"/>
      <c r="AF64" s="99"/>
      <c r="AG64" s="99"/>
      <c r="AH64" s="99"/>
      <c r="AI64" s="99"/>
      <c r="AJ64" s="99"/>
      <c r="AK64" s="99"/>
      <c r="AL64" s="99"/>
    </row>
    <row r="65" spans="2:38">
      <c r="B65" s="100">
        <f ca="1">IF(G65="","",OFFSET('VA Front Page'!$I$11,MATCH(G65,'VA Front Page'!$C$12:$C$34,0),0))</f>
        <v>6.1281523698651225E-2</v>
      </c>
      <c r="C65" s="100"/>
      <c r="E65" s="106"/>
      <c r="F65" s="99"/>
      <c r="G65" s="99" t="s">
        <v>90</v>
      </c>
      <c r="H65" s="99"/>
      <c r="I65" s="99"/>
      <c r="K65" s="99"/>
      <c r="L65" s="99"/>
      <c r="M65" s="99"/>
      <c r="N65" s="99"/>
      <c r="O65" s="99"/>
      <c r="P65" s="99"/>
      <c r="Q65" s="99"/>
      <c r="R65" s="99"/>
      <c r="S65" s="99"/>
      <c r="T65" s="99"/>
      <c r="U65" s="99"/>
      <c r="V65" s="99"/>
      <c r="X65" s="99"/>
      <c r="Y65" s="99"/>
      <c r="AA65" s="99"/>
      <c r="AB65" s="99"/>
      <c r="AC65" s="99"/>
      <c r="AD65" s="99"/>
      <c r="AE65" s="99"/>
      <c r="AF65" s="99"/>
      <c r="AG65" s="99"/>
      <c r="AH65" s="99"/>
      <c r="AI65" s="99"/>
      <c r="AJ65" s="99"/>
      <c r="AK65" s="99"/>
      <c r="AL65" s="99"/>
    </row>
    <row r="66" spans="2:38">
      <c r="B66" s="100">
        <f ca="1">IF(G66="","",OFFSET('VA Front Page'!$I$11,MATCH(G66,'VA Front Page'!$C$12:$C$34,0),0))</f>
        <v>6.1281523698651225E-2</v>
      </c>
      <c r="C66" s="100"/>
      <c r="E66" s="106"/>
      <c r="F66" s="99"/>
      <c r="G66" s="99" t="s">
        <v>90</v>
      </c>
      <c r="H66" s="99"/>
      <c r="I66" s="99"/>
      <c r="K66" s="99"/>
      <c r="L66" s="99"/>
      <c r="M66" s="99"/>
      <c r="N66" s="99"/>
      <c r="O66" s="99"/>
      <c r="P66" s="99"/>
      <c r="Q66" s="99"/>
      <c r="R66" s="99"/>
      <c r="S66" s="99"/>
      <c r="T66" s="99"/>
      <c r="U66" s="99"/>
      <c r="V66" s="99"/>
      <c r="X66" s="99"/>
      <c r="Y66" s="99"/>
      <c r="AA66" s="99"/>
      <c r="AB66" s="99"/>
      <c r="AC66" s="99"/>
      <c r="AD66" s="99"/>
      <c r="AE66" s="99"/>
      <c r="AF66" s="99"/>
      <c r="AG66" s="99"/>
      <c r="AH66" s="99"/>
      <c r="AI66" s="99"/>
      <c r="AJ66" s="99"/>
      <c r="AK66" s="99"/>
      <c r="AL66" s="99"/>
    </row>
    <row r="67" spans="2:38">
      <c r="B67" s="100">
        <f ca="1">IF(G67="","",OFFSET('VA Front Page'!$I$11,MATCH(G67,'VA Front Page'!$C$12:$C$34,0),0))</f>
        <v>8.929758514950302E-2</v>
      </c>
      <c r="C67" s="100"/>
      <c r="E67" s="106"/>
      <c r="F67" s="99" t="s">
        <v>89</v>
      </c>
      <c r="G67" s="99" t="s">
        <v>100</v>
      </c>
      <c r="H67" s="99"/>
      <c r="I67" s="99"/>
      <c r="K67" s="99"/>
      <c r="L67" s="99"/>
      <c r="M67" s="99"/>
      <c r="N67" s="99"/>
      <c r="O67" s="99"/>
      <c r="P67" s="99"/>
      <c r="Q67" s="99"/>
      <c r="R67" s="99"/>
      <c r="S67" s="99"/>
      <c r="T67" s="99"/>
      <c r="U67" s="99"/>
      <c r="V67" s="99"/>
      <c r="X67" s="99"/>
      <c r="Y67" s="99"/>
      <c r="AA67" s="99"/>
      <c r="AB67" s="99"/>
      <c r="AC67" s="99"/>
      <c r="AD67" s="99"/>
      <c r="AE67" s="99"/>
      <c r="AF67" s="99"/>
      <c r="AG67" s="99"/>
      <c r="AH67" s="99"/>
      <c r="AI67" s="99"/>
      <c r="AJ67" s="99"/>
      <c r="AK67" s="99"/>
      <c r="AL67" s="99"/>
    </row>
    <row r="68" spans="2:38">
      <c r="B68" s="100">
        <f ca="1">IF(G68="","",OFFSET('VA Front Page'!$I$11,MATCH(G68,'VA Front Page'!$C$12:$C$34,0),0))</f>
        <v>8.929758514950302E-2</v>
      </c>
      <c r="C68" s="100"/>
      <c r="E68" s="106"/>
      <c r="F68" s="99"/>
      <c r="G68" s="99" t="s">
        <v>100</v>
      </c>
      <c r="H68" s="99"/>
      <c r="I68" s="99"/>
      <c r="K68" s="99"/>
      <c r="L68" s="99"/>
      <c r="M68" s="99"/>
      <c r="N68" s="99"/>
      <c r="O68" s="99"/>
      <c r="P68" s="99"/>
      <c r="Q68" s="99"/>
      <c r="R68" s="99"/>
      <c r="S68" s="99"/>
      <c r="T68" s="99"/>
      <c r="U68" s="99"/>
      <c r="V68" s="99"/>
      <c r="X68" s="99"/>
      <c r="Y68" s="99"/>
      <c r="AA68" s="99"/>
      <c r="AB68" s="99"/>
      <c r="AC68" s="99"/>
      <c r="AD68" s="99"/>
      <c r="AE68" s="99"/>
      <c r="AF68" s="99"/>
      <c r="AG68" s="99"/>
      <c r="AH68" s="99"/>
      <c r="AI68" s="99"/>
      <c r="AJ68" s="99"/>
      <c r="AK68" s="99"/>
      <c r="AL68" s="99"/>
    </row>
    <row r="69" spans="2:38">
      <c r="B69" s="100">
        <f ca="1">IF(G69="","",OFFSET('VA Front Page'!$I$11,MATCH(G69,'VA Front Page'!$C$12:$C$34,0),0))</f>
        <v>8.929758514950302E-2</v>
      </c>
      <c r="C69" s="100"/>
      <c r="E69" s="106"/>
      <c r="F69" s="99"/>
      <c r="G69" s="99" t="s">
        <v>100</v>
      </c>
      <c r="H69" s="99"/>
      <c r="I69" s="99"/>
      <c r="K69" s="99"/>
      <c r="L69" s="99"/>
      <c r="M69" s="99"/>
      <c r="N69" s="99"/>
      <c r="O69" s="99"/>
      <c r="P69" s="99"/>
      <c r="Q69" s="99"/>
      <c r="R69" s="99"/>
      <c r="S69" s="99"/>
      <c r="T69" s="99"/>
      <c r="U69" s="99"/>
      <c r="V69" s="99"/>
      <c r="X69" s="99"/>
      <c r="Y69" s="99"/>
      <c r="AA69" s="99"/>
      <c r="AB69" s="99"/>
      <c r="AC69" s="99"/>
      <c r="AD69" s="99"/>
      <c r="AE69" s="99"/>
      <c r="AF69" s="99"/>
      <c r="AG69" s="99"/>
      <c r="AH69" s="99"/>
      <c r="AI69" s="99"/>
      <c r="AJ69" s="99"/>
      <c r="AK69" s="99"/>
      <c r="AL69" s="99"/>
    </row>
    <row r="70" spans="2:38">
      <c r="B70" s="100">
        <f ca="1">IF(G70="","",OFFSET('VA Front Page'!$I$11,MATCH(G70,'VA Front Page'!$C$12:$C$34,0),0))</f>
        <v>8.929758514950302E-2</v>
      </c>
      <c r="C70" s="100"/>
      <c r="E70" s="106"/>
      <c r="F70" s="99"/>
      <c r="G70" s="99" t="s">
        <v>100</v>
      </c>
      <c r="H70" s="99"/>
      <c r="I70" s="99"/>
      <c r="K70" s="99"/>
      <c r="L70" s="99"/>
      <c r="M70" s="99"/>
      <c r="N70" s="99"/>
      <c r="O70" s="99"/>
      <c r="P70" s="99"/>
      <c r="Q70" s="99"/>
      <c r="R70" s="99"/>
      <c r="S70" s="99"/>
      <c r="T70" s="99"/>
      <c r="U70" s="99"/>
      <c r="V70" s="99"/>
      <c r="X70" s="99"/>
      <c r="Y70" s="99"/>
      <c r="AA70" s="99"/>
      <c r="AB70" s="99"/>
      <c r="AC70" s="99"/>
      <c r="AD70" s="99"/>
      <c r="AE70" s="99"/>
      <c r="AF70" s="99"/>
      <c r="AG70" s="99"/>
      <c r="AH70" s="99"/>
      <c r="AI70" s="99"/>
      <c r="AJ70" s="99"/>
      <c r="AK70" s="99"/>
      <c r="AL70" s="99"/>
    </row>
    <row r="71" spans="2:38">
      <c r="B71" s="100">
        <f ca="1">IF(G71="","",OFFSET('VA Front Page'!$I$11,MATCH(G71,'VA Front Page'!$C$12:$C$34,0),0))</f>
        <v>8.929758514950302E-2</v>
      </c>
      <c r="C71" s="100"/>
      <c r="E71" s="106"/>
      <c r="F71" s="99"/>
      <c r="G71" s="99" t="s">
        <v>100</v>
      </c>
      <c r="H71" s="99"/>
      <c r="I71" s="99"/>
      <c r="K71" s="99"/>
      <c r="L71" s="99"/>
      <c r="M71" s="99"/>
      <c r="N71" s="99"/>
      <c r="O71" s="99"/>
      <c r="P71" s="99"/>
      <c r="Q71" s="99"/>
      <c r="R71" s="99"/>
      <c r="S71" s="99"/>
      <c r="T71" s="99"/>
      <c r="U71" s="99"/>
      <c r="V71" s="99"/>
      <c r="X71" s="99"/>
      <c r="Y71" s="99"/>
      <c r="AA71" s="99"/>
      <c r="AB71" s="99"/>
      <c r="AC71" s="99"/>
      <c r="AD71" s="99"/>
      <c r="AE71" s="99"/>
      <c r="AF71" s="99"/>
      <c r="AG71" s="99"/>
      <c r="AH71" s="99"/>
      <c r="AI71" s="99"/>
      <c r="AJ71" s="99"/>
      <c r="AK71" s="99"/>
      <c r="AL71" s="99"/>
    </row>
    <row r="72" spans="2:38">
      <c r="B72" s="100">
        <f ca="1">IF(G72="","",OFFSET('VA Front Page'!$I$11,MATCH(G72,'VA Front Page'!$C$12:$C$34,0),0))</f>
        <v>8.929758514950302E-2</v>
      </c>
      <c r="C72" s="100"/>
      <c r="E72" s="106"/>
      <c r="F72" s="99"/>
      <c r="G72" s="99" t="s">
        <v>100</v>
      </c>
      <c r="H72" s="99"/>
      <c r="I72" s="99"/>
      <c r="K72" s="99"/>
      <c r="L72" s="99"/>
      <c r="M72" s="99"/>
      <c r="N72" s="99"/>
      <c r="O72" s="99"/>
      <c r="P72" s="99"/>
      <c r="Q72" s="99"/>
      <c r="R72" s="99"/>
      <c r="S72" s="99"/>
      <c r="T72" s="99"/>
      <c r="U72" s="99"/>
      <c r="V72" s="99"/>
      <c r="X72" s="99"/>
      <c r="Y72" s="99"/>
      <c r="AA72" s="99"/>
      <c r="AB72" s="99"/>
      <c r="AC72" s="99"/>
      <c r="AD72" s="99"/>
      <c r="AE72" s="99"/>
      <c r="AF72" s="99"/>
      <c r="AG72" s="99"/>
      <c r="AH72" s="99"/>
      <c r="AI72" s="99"/>
      <c r="AJ72" s="99"/>
      <c r="AK72" s="99"/>
      <c r="AL72" s="99"/>
    </row>
    <row r="73" spans="2:38">
      <c r="B73" s="100">
        <f ca="1">IF(G73="","",OFFSET('VA Front Page'!$I$11,MATCH(G73,'VA Front Page'!$C$12:$C$34,0),0))</f>
        <v>8.929758514950302E-2</v>
      </c>
      <c r="C73" s="100"/>
      <c r="E73" s="106"/>
      <c r="F73" s="99"/>
      <c r="G73" s="99" t="s">
        <v>100</v>
      </c>
      <c r="H73" s="99"/>
      <c r="I73" s="99"/>
      <c r="K73" s="99"/>
      <c r="L73" s="99"/>
      <c r="M73" s="99"/>
      <c r="N73" s="99"/>
      <c r="O73" s="99"/>
      <c r="P73" s="99"/>
      <c r="Q73" s="99"/>
      <c r="R73" s="99"/>
      <c r="S73" s="99"/>
      <c r="T73" s="99"/>
      <c r="U73" s="99"/>
      <c r="V73" s="99"/>
      <c r="X73" s="99"/>
      <c r="Y73" s="99"/>
      <c r="AA73" s="99"/>
      <c r="AB73" s="99"/>
      <c r="AC73" s="99"/>
      <c r="AD73" s="99"/>
      <c r="AE73" s="99"/>
      <c r="AF73" s="99"/>
      <c r="AG73" s="99"/>
      <c r="AH73" s="99"/>
      <c r="AI73" s="99"/>
      <c r="AJ73" s="99"/>
      <c r="AK73" s="99"/>
      <c r="AL73" s="99"/>
    </row>
    <row r="74" spans="2:38">
      <c r="B74" s="100">
        <f ca="1">IF(G74="","",OFFSET('VA Front Page'!$I$11,MATCH(G74,'VA Front Page'!$C$12:$C$34,0),0))</f>
        <v>9.4090681512281112E-3</v>
      </c>
      <c r="C74" s="100"/>
      <c r="E74" s="106"/>
      <c r="F74" s="99" t="s">
        <v>89</v>
      </c>
      <c r="G74" s="99" t="s">
        <v>112</v>
      </c>
      <c r="H74" s="99"/>
      <c r="I74" s="99"/>
      <c r="K74" s="99"/>
      <c r="L74" s="99"/>
      <c r="M74" s="99"/>
      <c r="N74" s="99"/>
      <c r="O74" s="99"/>
      <c r="P74" s="99"/>
      <c r="Q74" s="99"/>
      <c r="R74" s="99"/>
      <c r="S74" s="99"/>
      <c r="T74" s="99"/>
      <c r="U74" s="99"/>
      <c r="V74" s="99"/>
      <c r="X74" s="99"/>
      <c r="Y74" s="99"/>
      <c r="AA74" s="99"/>
      <c r="AB74" s="99"/>
      <c r="AC74" s="99"/>
      <c r="AD74" s="99"/>
      <c r="AE74" s="99"/>
      <c r="AF74" s="99"/>
      <c r="AG74" s="99"/>
      <c r="AH74" s="99"/>
      <c r="AI74" s="99"/>
      <c r="AJ74" s="99"/>
      <c r="AK74" s="99"/>
      <c r="AL74" s="99"/>
    </row>
    <row r="75" spans="2:38">
      <c r="B75" s="100">
        <f ca="1">IF(G75="","",OFFSET('VA Front Page'!$I$11,MATCH(G75,'VA Front Page'!$C$12:$C$34,0),0))</f>
        <v>9.4090681512281112E-3</v>
      </c>
      <c r="C75" s="100"/>
      <c r="E75" s="106"/>
      <c r="F75" s="99"/>
      <c r="G75" s="99" t="s">
        <v>112</v>
      </c>
      <c r="H75" s="99"/>
      <c r="I75" s="99"/>
      <c r="K75" s="99"/>
      <c r="L75" s="99"/>
      <c r="M75" s="99"/>
      <c r="N75" s="99"/>
      <c r="O75" s="99"/>
      <c r="P75" s="99"/>
      <c r="Q75" s="99"/>
      <c r="R75" s="99"/>
      <c r="S75" s="99"/>
      <c r="T75" s="99"/>
      <c r="U75" s="99"/>
      <c r="V75" s="99"/>
      <c r="X75" s="99"/>
      <c r="Y75" s="99"/>
      <c r="AA75" s="99"/>
      <c r="AB75" s="99"/>
      <c r="AC75" s="99"/>
      <c r="AD75" s="99"/>
      <c r="AE75" s="99"/>
      <c r="AF75" s="99"/>
      <c r="AG75" s="99"/>
      <c r="AH75" s="99"/>
      <c r="AI75" s="99"/>
      <c r="AJ75" s="99"/>
      <c r="AK75" s="99"/>
      <c r="AL75" s="99"/>
    </row>
    <row r="76" spans="2:38">
      <c r="B76" s="100">
        <f ca="1">IF(G76="","",OFFSET('VA Front Page'!$I$11,MATCH(G76,'VA Front Page'!$C$12:$C$34,0),0))</f>
        <v>9.4090681512281112E-3</v>
      </c>
      <c r="C76" s="100"/>
      <c r="E76" s="106"/>
      <c r="F76" s="99"/>
      <c r="G76" s="99" t="s">
        <v>112</v>
      </c>
      <c r="H76" s="99"/>
      <c r="I76" s="99"/>
      <c r="K76" s="99"/>
      <c r="L76" s="99"/>
      <c r="M76" s="99"/>
      <c r="N76" s="99"/>
      <c r="O76" s="99"/>
      <c r="P76" s="99"/>
      <c r="Q76" s="99"/>
      <c r="R76" s="99"/>
      <c r="S76" s="99"/>
      <c r="T76" s="99"/>
      <c r="U76" s="99"/>
      <c r="V76" s="99"/>
      <c r="X76" s="99"/>
      <c r="Y76" s="99"/>
      <c r="AA76" s="99"/>
      <c r="AB76" s="99"/>
      <c r="AC76" s="99"/>
      <c r="AD76" s="99"/>
      <c r="AE76" s="99"/>
      <c r="AF76" s="99"/>
      <c r="AG76" s="99"/>
      <c r="AH76" s="99"/>
      <c r="AI76" s="99"/>
      <c r="AJ76" s="99"/>
      <c r="AK76" s="99"/>
      <c r="AL76" s="99"/>
    </row>
    <row r="77" spans="2:38">
      <c r="B77" s="100">
        <f ca="1">IF(G77="","",OFFSET('VA Front Page'!$I$11,MATCH(G77,'VA Front Page'!$C$12:$C$34,0),0))</f>
        <v>9.4090681512281112E-3</v>
      </c>
      <c r="C77" s="100"/>
      <c r="E77" s="106"/>
      <c r="F77" s="99"/>
      <c r="G77" s="99" t="s">
        <v>112</v>
      </c>
      <c r="H77" s="99"/>
      <c r="I77" s="99"/>
      <c r="K77" s="99"/>
      <c r="L77" s="99"/>
      <c r="M77" s="99"/>
      <c r="N77" s="99"/>
      <c r="O77" s="99"/>
      <c r="P77" s="99"/>
      <c r="Q77" s="99"/>
      <c r="R77" s="99"/>
      <c r="S77" s="99"/>
      <c r="T77" s="99"/>
      <c r="U77" s="99"/>
      <c r="V77" s="99"/>
      <c r="X77" s="99"/>
      <c r="Y77" s="99"/>
      <c r="AA77" s="99"/>
      <c r="AB77" s="99"/>
      <c r="AC77" s="99"/>
      <c r="AD77" s="99"/>
      <c r="AE77" s="99"/>
      <c r="AF77" s="99"/>
      <c r="AG77" s="99"/>
      <c r="AH77" s="99"/>
      <c r="AI77" s="99"/>
      <c r="AJ77" s="99"/>
      <c r="AK77" s="99"/>
      <c r="AL77" s="99"/>
    </row>
    <row r="78" spans="2:38">
      <c r="B78" s="100">
        <f ca="1">IF(G78="","",OFFSET('VA Front Page'!$I$11,MATCH(G78,'VA Front Page'!$C$12:$C$34,0),0))</f>
        <v>9.4090681512281112E-3</v>
      </c>
      <c r="C78" s="100"/>
      <c r="E78" s="106"/>
      <c r="F78" s="99"/>
      <c r="G78" s="99" t="s">
        <v>112</v>
      </c>
      <c r="H78" s="99"/>
      <c r="I78" s="99"/>
      <c r="K78" s="99"/>
      <c r="L78" s="99"/>
      <c r="M78" s="99"/>
      <c r="N78" s="99"/>
      <c r="O78" s="99"/>
      <c r="P78" s="99"/>
      <c r="Q78" s="99"/>
      <c r="R78" s="99"/>
      <c r="S78" s="99"/>
      <c r="T78" s="99"/>
      <c r="U78" s="99"/>
      <c r="V78" s="99"/>
      <c r="X78" s="99"/>
      <c r="Y78" s="99"/>
      <c r="AA78" s="99"/>
      <c r="AB78" s="99"/>
      <c r="AC78" s="99"/>
      <c r="AD78" s="99"/>
      <c r="AE78" s="99"/>
      <c r="AF78" s="99"/>
      <c r="AG78" s="99"/>
      <c r="AH78" s="99"/>
      <c r="AI78" s="99"/>
      <c r="AJ78" s="99"/>
      <c r="AK78" s="99"/>
      <c r="AL78" s="99"/>
    </row>
    <row r="79" spans="2:38">
      <c r="B79" s="100">
        <f ca="1">IF(G79="","",OFFSET('VA Front Page'!$I$11,MATCH(G79,'VA Front Page'!$C$12:$C$34,0),0))</f>
        <v>9.4090681512281112E-3</v>
      </c>
      <c r="C79" s="100"/>
      <c r="E79" s="106"/>
      <c r="F79" s="99"/>
      <c r="G79" s="99" t="s">
        <v>112</v>
      </c>
      <c r="H79" s="99"/>
      <c r="I79" s="99"/>
      <c r="K79" s="99"/>
      <c r="L79" s="99"/>
      <c r="M79" s="99"/>
      <c r="N79" s="99"/>
      <c r="O79" s="99"/>
      <c r="P79" s="99"/>
      <c r="Q79" s="99"/>
      <c r="R79" s="99"/>
      <c r="S79" s="99"/>
      <c r="T79" s="99"/>
      <c r="U79" s="99"/>
      <c r="V79" s="99"/>
      <c r="X79" s="99"/>
      <c r="Y79" s="99"/>
      <c r="AA79" s="99"/>
      <c r="AB79" s="99"/>
      <c r="AC79" s="99"/>
      <c r="AD79" s="99"/>
      <c r="AE79" s="99"/>
      <c r="AF79" s="99"/>
      <c r="AG79" s="99"/>
      <c r="AH79" s="99"/>
      <c r="AI79" s="99"/>
      <c r="AJ79" s="99"/>
      <c r="AK79" s="99"/>
      <c r="AL79" s="99"/>
    </row>
    <row r="80" spans="2:38">
      <c r="B80" s="100">
        <f ca="1">IF(G80="","",OFFSET('VA Front Page'!$I$11,MATCH(G80,'VA Front Page'!$C$12:$C$34,0),0))</f>
        <v>9.4090681512281112E-3</v>
      </c>
      <c r="C80" s="100"/>
      <c r="E80" s="106"/>
      <c r="F80" s="99"/>
      <c r="G80" s="99" t="s">
        <v>112</v>
      </c>
      <c r="H80" s="99"/>
      <c r="I80" s="99"/>
      <c r="K80" s="99"/>
      <c r="L80" s="99"/>
      <c r="M80" s="99"/>
      <c r="N80" s="99"/>
      <c r="O80" s="99"/>
      <c r="P80" s="99"/>
      <c r="Q80" s="99"/>
      <c r="R80" s="99"/>
      <c r="S80" s="99"/>
      <c r="T80" s="99"/>
      <c r="U80" s="99"/>
      <c r="V80" s="99"/>
      <c r="X80" s="99"/>
      <c r="Y80" s="99"/>
      <c r="AA80" s="99"/>
      <c r="AB80" s="99"/>
      <c r="AC80" s="99"/>
      <c r="AD80" s="99"/>
      <c r="AE80" s="99"/>
      <c r="AF80" s="99"/>
      <c r="AG80" s="99"/>
      <c r="AH80" s="99"/>
      <c r="AI80" s="99"/>
      <c r="AJ80" s="99"/>
      <c r="AK80" s="99"/>
      <c r="AL80" s="99"/>
    </row>
    <row r="81" spans="2:38">
      <c r="B81" s="100">
        <f ca="1">IF(G81="","",OFFSET('VA Front Page'!$I$11,MATCH(G81,'VA Front Page'!$C$12:$C$34,0),0))</f>
        <v>9.4090681512281112E-3</v>
      </c>
      <c r="C81" s="100"/>
      <c r="E81" s="106"/>
      <c r="F81" s="99"/>
      <c r="G81" s="99" t="s">
        <v>112</v>
      </c>
      <c r="H81" s="99"/>
      <c r="I81" s="99"/>
      <c r="K81" s="99"/>
      <c r="L81" s="99"/>
      <c r="M81" s="99"/>
      <c r="N81" s="99"/>
      <c r="O81" s="99"/>
      <c r="P81" s="99"/>
      <c r="Q81" s="99"/>
      <c r="R81" s="99"/>
      <c r="S81" s="99"/>
      <c r="T81" s="99"/>
      <c r="U81" s="99"/>
      <c r="V81" s="99"/>
      <c r="X81" s="99"/>
      <c r="Y81" s="99"/>
      <c r="AA81" s="99"/>
      <c r="AB81" s="99"/>
      <c r="AC81" s="99"/>
      <c r="AD81" s="99"/>
      <c r="AE81" s="99"/>
      <c r="AF81" s="99"/>
      <c r="AG81" s="99"/>
      <c r="AH81" s="99"/>
      <c r="AI81" s="99"/>
      <c r="AJ81" s="99"/>
      <c r="AK81" s="99"/>
      <c r="AL81" s="99"/>
    </row>
    <row r="82" spans="2:38">
      <c r="B82" s="100">
        <f ca="1">IF(G82="","",OFFSET('VA Front Page'!$I$11,MATCH(G82,'VA Front Page'!$C$12:$C$34,0),0))</f>
        <v>9.4090681512281112E-3</v>
      </c>
      <c r="C82" s="100"/>
      <c r="E82" s="106"/>
      <c r="F82" s="99"/>
      <c r="G82" s="99" t="s">
        <v>112</v>
      </c>
      <c r="H82" s="99"/>
      <c r="I82" s="99"/>
      <c r="K82" s="99"/>
      <c r="L82" s="99"/>
      <c r="M82" s="99"/>
      <c r="N82" s="99"/>
      <c r="O82" s="99"/>
      <c r="P82" s="99"/>
      <c r="Q82" s="99"/>
      <c r="R82" s="99"/>
      <c r="S82" s="99"/>
      <c r="T82" s="99"/>
      <c r="U82" s="99"/>
      <c r="V82" s="99"/>
      <c r="X82" s="99"/>
      <c r="Y82" s="99"/>
      <c r="AA82" s="99"/>
      <c r="AB82" s="99"/>
      <c r="AC82" s="99"/>
      <c r="AD82" s="99"/>
      <c r="AE82" s="99"/>
      <c r="AF82" s="99"/>
      <c r="AG82" s="99"/>
      <c r="AH82" s="99"/>
      <c r="AI82" s="99"/>
      <c r="AJ82" s="99"/>
      <c r="AK82" s="99"/>
      <c r="AL82" s="99"/>
    </row>
    <row r="83" spans="2:38">
      <c r="B83" s="100">
        <f ca="1">IF(G83="","",OFFSET('VA Front Page'!$I$11,MATCH(G83,'VA Front Page'!$C$12:$C$34,0),0))</f>
        <v>2.6513623628186361E-2</v>
      </c>
      <c r="C83" s="100"/>
      <c r="E83" s="106"/>
      <c r="F83" s="99" t="s">
        <v>89</v>
      </c>
      <c r="G83" s="99" t="s">
        <v>123</v>
      </c>
      <c r="H83" s="99"/>
      <c r="I83" s="99"/>
      <c r="K83" s="99"/>
      <c r="L83" s="99"/>
      <c r="M83" s="99"/>
      <c r="N83" s="99"/>
      <c r="O83" s="99"/>
      <c r="P83" s="99"/>
      <c r="Q83" s="99"/>
      <c r="R83" s="99"/>
      <c r="S83" s="99"/>
      <c r="T83" s="99"/>
      <c r="U83" s="99"/>
      <c r="V83" s="99"/>
      <c r="X83" s="99"/>
      <c r="Y83" s="99"/>
      <c r="AA83" s="99"/>
      <c r="AB83" s="99"/>
      <c r="AC83" s="99"/>
      <c r="AD83" s="99"/>
      <c r="AE83" s="99"/>
      <c r="AF83" s="99"/>
      <c r="AG83" s="99"/>
      <c r="AH83" s="99"/>
      <c r="AI83" s="99"/>
      <c r="AJ83" s="99"/>
      <c r="AK83" s="99"/>
      <c r="AL83" s="99"/>
    </row>
    <row r="84" spans="2:38">
      <c r="B84" s="100">
        <f ca="1">IF(G84="","",OFFSET('VA Front Page'!$I$11,MATCH(G84,'VA Front Page'!$C$12:$C$34,0),0))</f>
        <v>2.6513623628186361E-2</v>
      </c>
      <c r="C84" s="100"/>
      <c r="E84" s="106"/>
      <c r="F84" s="99"/>
      <c r="G84" s="99" t="s">
        <v>123</v>
      </c>
      <c r="H84" s="99"/>
      <c r="I84" s="99"/>
      <c r="K84" s="99"/>
      <c r="L84" s="99"/>
      <c r="M84" s="99"/>
      <c r="N84" s="99"/>
      <c r="O84" s="99"/>
      <c r="P84" s="99"/>
      <c r="Q84" s="99"/>
      <c r="R84" s="99"/>
      <c r="S84" s="99"/>
      <c r="T84" s="99"/>
      <c r="U84" s="99"/>
      <c r="V84" s="99"/>
      <c r="X84" s="99"/>
      <c r="Y84" s="99"/>
      <c r="AA84" s="99"/>
      <c r="AB84" s="99"/>
      <c r="AC84" s="99"/>
      <c r="AD84" s="99"/>
      <c r="AE84" s="99"/>
      <c r="AF84" s="99"/>
      <c r="AG84" s="99"/>
      <c r="AH84" s="99"/>
      <c r="AI84" s="99"/>
      <c r="AJ84" s="99"/>
      <c r="AK84" s="99"/>
      <c r="AL84" s="99"/>
    </row>
    <row r="85" spans="2:38">
      <c r="B85" s="100">
        <f ca="1">IF(G85="","",OFFSET('VA Front Page'!$I$11,MATCH(G85,'VA Front Page'!$C$12:$C$34,0),0))</f>
        <v>2.6513623628186361E-2</v>
      </c>
      <c r="C85" s="100"/>
      <c r="E85" s="106"/>
      <c r="F85" s="99"/>
      <c r="G85" s="99" t="s">
        <v>123</v>
      </c>
      <c r="H85" s="99"/>
      <c r="I85" s="99"/>
      <c r="K85" s="99"/>
      <c r="L85" s="99"/>
      <c r="M85" s="99"/>
      <c r="N85" s="99"/>
      <c r="O85" s="99"/>
      <c r="P85" s="99"/>
      <c r="Q85" s="99"/>
      <c r="R85" s="99"/>
      <c r="S85" s="99"/>
      <c r="T85" s="99"/>
      <c r="U85" s="99"/>
      <c r="V85" s="99"/>
      <c r="X85" s="99"/>
      <c r="Y85" s="99"/>
      <c r="AA85" s="99"/>
      <c r="AB85" s="99"/>
      <c r="AC85" s="99"/>
      <c r="AD85" s="99"/>
      <c r="AE85" s="99"/>
      <c r="AF85" s="99"/>
      <c r="AG85" s="99"/>
      <c r="AH85" s="99"/>
      <c r="AI85" s="99"/>
      <c r="AJ85" s="99"/>
      <c r="AK85" s="99"/>
      <c r="AL85" s="99"/>
    </row>
    <row r="86" spans="2:38">
      <c r="B86" s="100">
        <f ca="1">IF(G86="","",OFFSET('VA Front Page'!$I$11,MATCH(G86,'VA Front Page'!$C$12:$C$34,0),0))</f>
        <v>2.6513623628186361E-2</v>
      </c>
      <c r="C86" s="100"/>
      <c r="E86" s="106"/>
      <c r="F86" s="99"/>
      <c r="G86" s="99" t="s">
        <v>123</v>
      </c>
      <c r="H86" s="99"/>
      <c r="I86" s="99"/>
      <c r="K86" s="99"/>
      <c r="L86" s="99"/>
      <c r="M86" s="99"/>
      <c r="N86" s="99"/>
      <c r="O86" s="99"/>
      <c r="P86" s="99"/>
      <c r="Q86" s="99"/>
      <c r="R86" s="99"/>
      <c r="S86" s="99"/>
      <c r="T86" s="99"/>
      <c r="U86" s="99"/>
      <c r="V86" s="99"/>
      <c r="X86" s="99"/>
      <c r="Y86" s="99"/>
      <c r="AA86" s="99"/>
      <c r="AB86" s="99"/>
      <c r="AC86" s="99"/>
      <c r="AD86" s="99"/>
      <c r="AE86" s="99"/>
      <c r="AF86" s="99"/>
      <c r="AG86" s="99"/>
      <c r="AH86" s="99"/>
      <c r="AI86" s="99"/>
      <c r="AJ86" s="99"/>
      <c r="AK86" s="99"/>
      <c r="AL86" s="99"/>
    </row>
    <row r="87" spans="2:38">
      <c r="B87" s="100">
        <f ca="1">IF(G87="","",OFFSET('VA Front Page'!$I$11,MATCH(G87,'VA Front Page'!$C$12:$C$34,0),0))</f>
        <v>2.6513623628186361E-2</v>
      </c>
      <c r="C87" s="100"/>
      <c r="E87" s="106"/>
      <c r="F87" s="99"/>
      <c r="G87" s="99" t="s">
        <v>123</v>
      </c>
      <c r="H87" s="99"/>
      <c r="I87" s="99"/>
      <c r="K87" s="99"/>
      <c r="L87" s="99"/>
      <c r="M87" s="99"/>
      <c r="N87" s="99"/>
      <c r="O87" s="99"/>
      <c r="P87" s="99"/>
      <c r="Q87" s="99"/>
      <c r="R87" s="99"/>
      <c r="S87" s="99"/>
      <c r="T87" s="99"/>
      <c r="U87" s="99"/>
      <c r="V87" s="99"/>
      <c r="X87" s="99"/>
      <c r="Y87" s="99"/>
      <c r="AA87" s="99"/>
      <c r="AB87" s="99"/>
      <c r="AC87" s="99"/>
      <c r="AD87" s="99"/>
      <c r="AE87" s="99"/>
      <c r="AF87" s="99"/>
      <c r="AG87" s="99"/>
      <c r="AH87" s="99"/>
      <c r="AI87" s="99"/>
      <c r="AJ87" s="99"/>
      <c r="AK87" s="99"/>
      <c r="AL87" s="99"/>
    </row>
    <row r="88" spans="2:38">
      <c r="B88" s="100">
        <f ca="1">IF(G88="","",OFFSET('VA Front Page'!$I$11,MATCH(G88,'VA Front Page'!$C$12:$C$34,0),0))</f>
        <v>2.6513623628186361E-2</v>
      </c>
      <c r="C88" s="100"/>
      <c r="E88" s="106"/>
      <c r="F88" s="99"/>
      <c r="G88" s="99" t="s">
        <v>123</v>
      </c>
      <c r="H88" s="99"/>
      <c r="I88" s="99"/>
      <c r="K88" s="99"/>
      <c r="L88" s="99"/>
      <c r="M88" s="99"/>
      <c r="N88" s="99"/>
      <c r="O88" s="99"/>
      <c r="P88" s="99"/>
      <c r="Q88" s="99"/>
      <c r="R88" s="99"/>
      <c r="S88" s="99"/>
      <c r="T88" s="99"/>
      <c r="U88" s="99"/>
      <c r="V88" s="99"/>
      <c r="X88" s="99"/>
      <c r="Y88" s="99"/>
      <c r="AA88" s="99"/>
      <c r="AB88" s="99"/>
      <c r="AC88" s="99"/>
      <c r="AD88" s="99"/>
      <c r="AE88" s="99"/>
      <c r="AF88" s="99"/>
      <c r="AG88" s="99"/>
      <c r="AH88" s="99"/>
      <c r="AI88" s="99"/>
      <c r="AJ88" s="99"/>
      <c r="AK88" s="99"/>
      <c r="AL88" s="99"/>
    </row>
    <row r="89" spans="2:38">
      <c r="B89" s="100">
        <f ca="1">IF(G89="","",OFFSET('VA Front Page'!$I$11,MATCH(G89,'VA Front Page'!$C$12:$C$34,0),0))</f>
        <v>2.6513623628186361E-2</v>
      </c>
      <c r="C89" s="100"/>
      <c r="E89" s="106"/>
      <c r="F89" s="99"/>
      <c r="G89" s="99" t="s">
        <v>123</v>
      </c>
      <c r="H89" s="99"/>
      <c r="I89" s="99"/>
      <c r="K89" s="99"/>
      <c r="L89" s="99"/>
      <c r="M89" s="99"/>
      <c r="N89" s="99"/>
      <c r="O89" s="99"/>
      <c r="P89" s="99"/>
      <c r="Q89" s="99"/>
      <c r="R89" s="99"/>
      <c r="S89" s="99"/>
      <c r="T89" s="99"/>
      <c r="U89" s="99"/>
      <c r="V89" s="99"/>
      <c r="X89" s="99"/>
      <c r="Y89" s="99"/>
      <c r="AA89" s="99"/>
      <c r="AB89" s="99"/>
      <c r="AC89" s="99"/>
      <c r="AD89" s="99"/>
      <c r="AE89" s="99"/>
      <c r="AF89" s="99"/>
      <c r="AG89" s="99"/>
      <c r="AH89" s="99"/>
      <c r="AI89" s="99"/>
      <c r="AJ89" s="99"/>
      <c r="AK89" s="99"/>
      <c r="AL89" s="99"/>
    </row>
    <row r="90" spans="2:38">
      <c r="B90" s="100">
        <f ca="1">IF(G90="","",OFFSET('VA Front Page'!$I$11,MATCH(G90,'VA Front Page'!$C$12:$C$34,0),0))</f>
        <v>2.6513623628186361E-2</v>
      </c>
      <c r="C90" s="100"/>
      <c r="E90" s="106"/>
      <c r="F90" s="99"/>
      <c r="G90" s="99" t="s">
        <v>123</v>
      </c>
      <c r="H90" s="99"/>
      <c r="I90" s="99"/>
      <c r="K90" s="99"/>
      <c r="L90" s="99"/>
      <c r="M90" s="99"/>
      <c r="N90" s="99"/>
      <c r="O90" s="99"/>
      <c r="P90" s="99"/>
      <c r="Q90" s="99"/>
      <c r="R90" s="99"/>
      <c r="S90" s="99"/>
      <c r="T90" s="99"/>
      <c r="U90" s="99"/>
      <c r="V90" s="99"/>
      <c r="X90" s="99"/>
      <c r="Y90" s="99"/>
      <c r="AA90" s="99"/>
      <c r="AB90" s="99"/>
      <c r="AC90" s="99"/>
      <c r="AD90" s="99"/>
      <c r="AE90" s="99"/>
      <c r="AF90" s="99"/>
      <c r="AG90" s="99"/>
      <c r="AH90" s="99"/>
      <c r="AI90" s="99"/>
      <c r="AJ90" s="99"/>
      <c r="AK90" s="99"/>
      <c r="AL90" s="99"/>
    </row>
    <row r="91" spans="2:38">
      <c r="B91" s="100">
        <f ca="1">IF(G91="","",OFFSET('VA Front Page'!$I$11,MATCH(G91,'VA Front Page'!$C$12:$C$34,0),0))</f>
        <v>8.929758514950302E-2</v>
      </c>
      <c r="C91" s="100"/>
      <c r="E91" s="106"/>
      <c r="F91" s="99" t="s">
        <v>89</v>
      </c>
      <c r="G91" s="99" t="s">
        <v>134</v>
      </c>
      <c r="H91" s="99"/>
      <c r="I91" s="99"/>
      <c r="K91" s="99"/>
      <c r="L91" s="99"/>
      <c r="M91" s="99"/>
      <c r="N91" s="99"/>
      <c r="O91" s="99"/>
      <c r="P91" s="99"/>
      <c r="Q91" s="99"/>
      <c r="R91" s="99"/>
      <c r="S91" s="99"/>
      <c r="T91" s="99"/>
      <c r="U91" s="99"/>
      <c r="V91" s="99"/>
      <c r="X91" s="99"/>
      <c r="Y91" s="99"/>
      <c r="AA91" s="99"/>
      <c r="AB91" s="99"/>
      <c r="AC91" s="99"/>
      <c r="AD91" s="99"/>
      <c r="AE91" s="99"/>
      <c r="AF91" s="99"/>
      <c r="AG91" s="99"/>
      <c r="AH91" s="99"/>
      <c r="AI91" s="99"/>
      <c r="AJ91" s="99"/>
      <c r="AK91" s="99"/>
      <c r="AL91" s="99"/>
    </row>
    <row r="92" spans="2:38">
      <c r="B92" s="100">
        <f ca="1">IF(G92="","",OFFSET('VA Front Page'!$I$11,MATCH(G92,'VA Front Page'!$C$12:$C$34,0),0))</f>
        <v>8.929758514950302E-2</v>
      </c>
      <c r="C92" s="100"/>
      <c r="E92" s="106"/>
      <c r="F92" s="99"/>
      <c r="G92" s="99" t="s">
        <v>134</v>
      </c>
      <c r="H92" s="99"/>
      <c r="I92" s="99"/>
      <c r="K92" s="99"/>
      <c r="L92" s="99"/>
      <c r="M92" s="99"/>
      <c r="N92" s="99"/>
      <c r="O92" s="99"/>
      <c r="P92" s="99"/>
      <c r="Q92" s="99"/>
      <c r="R92" s="99"/>
      <c r="S92" s="99"/>
      <c r="T92" s="99"/>
      <c r="U92" s="99"/>
      <c r="V92" s="99"/>
      <c r="X92" s="99"/>
      <c r="Y92" s="99"/>
      <c r="AA92" s="99"/>
      <c r="AB92" s="99"/>
      <c r="AC92" s="99"/>
      <c r="AD92" s="99"/>
      <c r="AE92" s="99"/>
      <c r="AF92" s="99"/>
      <c r="AG92" s="99"/>
      <c r="AH92" s="99"/>
      <c r="AI92" s="99"/>
      <c r="AJ92" s="99"/>
      <c r="AK92" s="99"/>
      <c r="AL92" s="99"/>
    </row>
    <row r="93" spans="2:38">
      <c r="B93" s="100">
        <f ca="1">IF(G93="","",OFFSET('VA Front Page'!$I$11,MATCH(G93,'VA Front Page'!$C$12:$C$34,0),0))</f>
        <v>8.929758514950302E-2</v>
      </c>
      <c r="C93" s="100"/>
      <c r="E93" s="106"/>
      <c r="F93" s="99"/>
      <c r="G93" s="99" t="s">
        <v>134</v>
      </c>
      <c r="H93" s="99"/>
      <c r="I93" s="99"/>
      <c r="K93" s="99"/>
      <c r="L93" s="99"/>
      <c r="M93" s="99"/>
      <c r="N93" s="99"/>
      <c r="O93" s="99"/>
      <c r="P93" s="99"/>
      <c r="Q93" s="99"/>
      <c r="R93" s="99"/>
      <c r="S93" s="99"/>
      <c r="T93" s="99"/>
      <c r="U93" s="99"/>
      <c r="V93" s="99"/>
      <c r="X93" s="99"/>
      <c r="Y93" s="99"/>
      <c r="AA93" s="99"/>
      <c r="AB93" s="99"/>
      <c r="AC93" s="99"/>
      <c r="AD93" s="99"/>
      <c r="AE93" s="99"/>
      <c r="AF93" s="99"/>
      <c r="AG93" s="99"/>
      <c r="AH93" s="99"/>
      <c r="AI93" s="99"/>
      <c r="AJ93" s="99"/>
      <c r="AK93" s="99"/>
      <c r="AL93" s="99"/>
    </row>
    <row r="94" spans="2:38">
      <c r="B94" s="100">
        <f ca="1">IF(G94="","",OFFSET('VA Front Page'!$I$11,MATCH(G94,'VA Front Page'!$C$12:$C$34,0),0))</f>
        <v>8.929758514950302E-2</v>
      </c>
      <c r="C94" s="100"/>
      <c r="E94" s="106"/>
      <c r="F94" s="99"/>
      <c r="G94" s="99" t="s">
        <v>134</v>
      </c>
      <c r="H94" s="99"/>
      <c r="I94" s="99"/>
      <c r="K94" s="99"/>
      <c r="L94" s="99"/>
      <c r="M94" s="99"/>
      <c r="N94" s="99"/>
      <c r="O94" s="99"/>
      <c r="P94" s="99"/>
      <c r="Q94" s="99"/>
      <c r="R94" s="99"/>
      <c r="S94" s="99"/>
      <c r="T94" s="99"/>
      <c r="U94" s="99"/>
      <c r="V94" s="99"/>
      <c r="X94" s="99"/>
      <c r="Y94" s="99"/>
      <c r="AA94" s="99"/>
      <c r="AB94" s="99"/>
      <c r="AC94" s="99"/>
      <c r="AD94" s="99"/>
      <c r="AE94" s="99"/>
      <c r="AF94" s="99"/>
      <c r="AG94" s="99"/>
      <c r="AH94" s="99"/>
      <c r="AI94" s="99"/>
      <c r="AJ94" s="99"/>
      <c r="AK94" s="99"/>
      <c r="AL94" s="99"/>
    </row>
    <row r="95" spans="2:38">
      <c r="B95" s="100">
        <f ca="1">IF(G95="","",OFFSET('VA Front Page'!$I$11,MATCH(G95,'VA Front Page'!$C$12:$C$34,0),0))</f>
        <v>8.929758514950302E-2</v>
      </c>
      <c r="C95" s="100"/>
      <c r="E95" s="106"/>
      <c r="F95" s="99"/>
      <c r="G95" s="99" t="s">
        <v>134</v>
      </c>
      <c r="H95" s="99"/>
      <c r="I95" s="99"/>
      <c r="K95" s="99"/>
      <c r="L95" s="99"/>
      <c r="M95" s="99"/>
      <c r="N95" s="99"/>
      <c r="O95" s="99"/>
      <c r="P95" s="99"/>
      <c r="Q95" s="99"/>
      <c r="R95" s="99"/>
      <c r="S95" s="99"/>
      <c r="T95" s="99"/>
      <c r="U95" s="99"/>
      <c r="V95" s="99"/>
      <c r="X95" s="99"/>
      <c r="Y95" s="99"/>
      <c r="AA95" s="99"/>
      <c r="AB95" s="99"/>
      <c r="AC95" s="99"/>
      <c r="AD95" s="99"/>
      <c r="AE95" s="99"/>
      <c r="AF95" s="99"/>
      <c r="AG95" s="99"/>
      <c r="AH95" s="99"/>
      <c r="AI95" s="99"/>
      <c r="AJ95" s="99"/>
      <c r="AK95" s="99"/>
      <c r="AL95" s="99"/>
    </row>
    <row r="96" spans="2:38">
      <c r="B96" s="100">
        <f ca="1">IF(G96="","",OFFSET('VA Front Page'!$I$11,MATCH(G96,'VA Front Page'!$C$12:$C$34,0),0))</f>
        <v>8.929758514950302E-2</v>
      </c>
      <c r="C96" s="100"/>
      <c r="E96" s="106"/>
      <c r="F96" s="99"/>
      <c r="G96" s="99" t="s">
        <v>134</v>
      </c>
      <c r="H96" s="99"/>
      <c r="I96" s="99"/>
      <c r="K96" s="99"/>
      <c r="L96" s="99"/>
      <c r="M96" s="99"/>
      <c r="N96" s="99"/>
      <c r="O96" s="99"/>
      <c r="P96" s="99"/>
      <c r="Q96" s="99"/>
      <c r="R96" s="99"/>
      <c r="S96" s="99"/>
      <c r="T96" s="99"/>
      <c r="U96" s="99"/>
      <c r="V96" s="99"/>
      <c r="X96" s="99"/>
      <c r="Y96" s="99"/>
      <c r="AA96" s="99"/>
      <c r="AB96" s="99"/>
      <c r="AC96" s="99"/>
      <c r="AD96" s="99"/>
      <c r="AE96" s="99"/>
      <c r="AF96" s="99"/>
      <c r="AG96" s="99"/>
      <c r="AH96" s="99"/>
      <c r="AI96" s="99"/>
      <c r="AJ96" s="99"/>
      <c r="AK96" s="99"/>
      <c r="AL96" s="99"/>
    </row>
    <row r="97" spans="2:38">
      <c r="B97" s="100">
        <f ca="1">IF(G97="","",OFFSET('VA Front Page'!$I$11,MATCH(G97,'VA Front Page'!$C$12:$C$34,0),0))</f>
        <v>8.929758514950302E-2</v>
      </c>
      <c r="C97" s="100"/>
      <c r="E97" s="106"/>
      <c r="F97" s="99"/>
      <c r="G97" s="99" t="s">
        <v>134</v>
      </c>
      <c r="H97" s="99"/>
      <c r="I97" s="99"/>
      <c r="K97" s="99"/>
      <c r="L97" s="99"/>
      <c r="M97" s="99"/>
      <c r="N97" s="99"/>
      <c r="O97" s="99"/>
      <c r="P97" s="99"/>
      <c r="Q97" s="99"/>
      <c r="R97" s="99"/>
      <c r="S97" s="99"/>
      <c r="T97" s="99"/>
      <c r="U97" s="99"/>
      <c r="V97" s="99"/>
      <c r="X97" s="99"/>
      <c r="Y97" s="99"/>
      <c r="AA97" s="99"/>
      <c r="AB97" s="99"/>
      <c r="AC97" s="99"/>
      <c r="AD97" s="99"/>
      <c r="AE97" s="99"/>
      <c r="AF97" s="99"/>
      <c r="AG97" s="99"/>
      <c r="AH97" s="99"/>
      <c r="AI97" s="99"/>
      <c r="AJ97" s="99"/>
      <c r="AK97" s="99"/>
      <c r="AL97" s="99"/>
    </row>
    <row r="98" spans="2:38">
      <c r="B98" s="100">
        <f ca="1">IF(G98="","",OFFSET('VA Front Page'!$I$11,MATCH(G98,'VA Front Page'!$C$12:$C$34,0),0))</f>
        <v>8.929758514950302E-2</v>
      </c>
      <c r="C98" s="100"/>
      <c r="E98" s="106"/>
      <c r="F98" s="99"/>
      <c r="G98" s="99" t="s">
        <v>134</v>
      </c>
      <c r="H98" s="99"/>
      <c r="I98" s="99"/>
      <c r="K98" s="99"/>
      <c r="L98" s="99"/>
      <c r="M98" s="99"/>
      <c r="N98" s="99"/>
      <c r="O98" s="99"/>
      <c r="P98" s="99"/>
      <c r="Q98" s="99"/>
      <c r="R98" s="99"/>
      <c r="S98" s="99"/>
      <c r="T98" s="99"/>
      <c r="U98" s="99"/>
      <c r="V98" s="99"/>
      <c r="X98" s="99"/>
      <c r="Y98" s="99"/>
      <c r="AA98" s="99"/>
      <c r="AB98" s="99"/>
      <c r="AC98" s="99"/>
      <c r="AD98" s="99"/>
      <c r="AE98" s="99"/>
      <c r="AF98" s="99"/>
      <c r="AG98" s="99"/>
      <c r="AH98" s="99"/>
      <c r="AI98" s="99"/>
      <c r="AJ98" s="99"/>
      <c r="AK98" s="99"/>
      <c r="AL98" s="99"/>
    </row>
    <row r="99" spans="2:38">
      <c r="B99" s="100">
        <f ca="1">IF(G99="","",OFFSET('VA Front Page'!$I$11,MATCH(G99,'VA Front Page'!$C$12:$C$34,0),0))</f>
        <v>8.929758514950302E-2</v>
      </c>
      <c r="C99" s="100"/>
      <c r="E99" s="106"/>
      <c r="F99" s="99"/>
      <c r="G99" s="99" t="s">
        <v>134</v>
      </c>
      <c r="H99" s="99"/>
      <c r="I99" s="99"/>
      <c r="K99" s="99"/>
      <c r="L99" s="99"/>
      <c r="M99" s="99"/>
      <c r="N99" s="99"/>
      <c r="O99" s="99"/>
      <c r="P99" s="99"/>
      <c r="Q99" s="99"/>
      <c r="R99" s="99"/>
      <c r="S99" s="99"/>
      <c r="T99" s="99"/>
      <c r="U99" s="99"/>
      <c r="V99" s="99"/>
      <c r="X99" s="99"/>
      <c r="Y99" s="99"/>
      <c r="AA99" s="99"/>
      <c r="AB99" s="99"/>
      <c r="AC99" s="99"/>
      <c r="AD99" s="99"/>
      <c r="AE99" s="99"/>
      <c r="AF99" s="99"/>
      <c r="AG99" s="99"/>
      <c r="AH99" s="99"/>
      <c r="AI99" s="99"/>
      <c r="AJ99" s="99"/>
      <c r="AK99" s="99"/>
      <c r="AL99" s="99"/>
    </row>
    <row r="100" spans="2:38">
      <c r="B100" s="100">
        <f ca="1">IF(G100="","",OFFSET('VA Front Page'!$I$11,MATCH(G100,'VA Front Page'!$C$12:$C$34,0),0))</f>
        <v>8.929758514950302E-2</v>
      </c>
      <c r="C100" s="100"/>
      <c r="E100" s="106"/>
      <c r="F100" s="99"/>
      <c r="G100" s="99" t="s">
        <v>134</v>
      </c>
      <c r="H100" s="99"/>
      <c r="I100" s="99"/>
      <c r="K100" s="99"/>
      <c r="L100" s="99"/>
      <c r="M100" s="99"/>
      <c r="N100" s="99"/>
      <c r="O100" s="99"/>
      <c r="P100" s="99"/>
      <c r="Q100" s="99"/>
      <c r="R100" s="99"/>
      <c r="S100" s="99"/>
      <c r="T100" s="99"/>
      <c r="U100" s="99"/>
      <c r="V100" s="99"/>
      <c r="X100" s="99"/>
      <c r="Y100" s="99"/>
      <c r="AA100" s="99"/>
      <c r="AB100" s="99"/>
      <c r="AC100" s="99"/>
      <c r="AD100" s="99"/>
      <c r="AE100" s="99"/>
      <c r="AF100" s="99"/>
      <c r="AG100" s="99"/>
      <c r="AH100" s="99"/>
      <c r="AI100" s="99"/>
      <c r="AJ100" s="99"/>
      <c r="AK100" s="99"/>
      <c r="AL100" s="99"/>
    </row>
    <row r="101" spans="2:38">
      <c r="B101" s="100">
        <f ca="1">IF(G101="","",OFFSET('VA Front Page'!$I$11,MATCH(G101,'VA Front Page'!$C$12:$C$34,0),0))</f>
        <v>3.702619779955818E-2</v>
      </c>
      <c r="C101" s="100"/>
      <c r="E101" s="106"/>
      <c r="F101" s="99" t="s">
        <v>278</v>
      </c>
      <c r="G101" s="99" t="s">
        <v>139</v>
      </c>
      <c r="H101" s="99"/>
      <c r="I101" s="99"/>
      <c r="K101" s="99"/>
      <c r="L101" s="99"/>
      <c r="M101" s="99"/>
      <c r="N101" s="99"/>
      <c r="O101" s="99"/>
      <c r="P101" s="99"/>
      <c r="Q101" s="99"/>
      <c r="R101" s="99"/>
      <c r="S101" s="99"/>
      <c r="T101" s="99"/>
      <c r="U101" s="99"/>
      <c r="V101" s="99"/>
      <c r="X101" s="99"/>
      <c r="Y101" s="99"/>
      <c r="AA101" s="99"/>
      <c r="AB101" s="99"/>
      <c r="AC101" s="99"/>
      <c r="AD101" s="99"/>
      <c r="AE101" s="99"/>
      <c r="AF101" s="99"/>
      <c r="AG101" s="99"/>
      <c r="AH101" s="99"/>
      <c r="AI101" s="99"/>
      <c r="AJ101" s="99"/>
      <c r="AK101" s="99"/>
      <c r="AL101" s="99"/>
    </row>
    <row r="102" spans="2:38">
      <c r="B102" s="100">
        <f ca="1">IF(G102="","",OFFSET('VA Front Page'!$I$11,MATCH(G102,'VA Front Page'!$C$12:$C$34,0),0))</f>
        <v>3.702619779955818E-2</v>
      </c>
      <c r="C102" s="100"/>
      <c r="E102" s="106"/>
      <c r="F102" s="99"/>
      <c r="G102" s="99" t="s">
        <v>139</v>
      </c>
      <c r="H102" s="99"/>
      <c r="I102" s="99"/>
      <c r="K102" s="99"/>
      <c r="L102" s="99"/>
      <c r="M102" s="99"/>
      <c r="N102" s="99"/>
      <c r="O102" s="99"/>
      <c r="P102" s="99"/>
      <c r="Q102" s="99"/>
      <c r="R102" s="99"/>
      <c r="S102" s="99"/>
      <c r="T102" s="99"/>
      <c r="U102" s="99"/>
      <c r="V102" s="99"/>
      <c r="X102" s="99"/>
      <c r="Y102" s="99"/>
      <c r="AA102" s="99"/>
      <c r="AB102" s="99"/>
      <c r="AC102" s="99"/>
      <c r="AD102" s="99"/>
      <c r="AE102" s="99"/>
      <c r="AF102" s="99"/>
      <c r="AG102" s="99"/>
      <c r="AH102" s="99"/>
      <c r="AI102" s="99"/>
      <c r="AJ102" s="99"/>
      <c r="AK102" s="99"/>
      <c r="AL102" s="99"/>
    </row>
    <row r="103" spans="2:38">
      <c r="B103" s="100">
        <f ca="1">IF(G103="","",OFFSET('VA Front Page'!$I$11,MATCH(G103,'VA Front Page'!$C$12:$C$34,0),0))</f>
        <v>3.702619779955818E-2</v>
      </c>
      <c r="C103" s="100"/>
      <c r="E103" s="106"/>
      <c r="F103" s="99"/>
      <c r="G103" s="99" t="s">
        <v>139</v>
      </c>
      <c r="H103" s="99"/>
      <c r="I103" s="99"/>
      <c r="K103" s="99"/>
      <c r="L103" s="99"/>
      <c r="M103" s="99"/>
      <c r="N103" s="99"/>
      <c r="O103" s="99"/>
      <c r="P103" s="99"/>
      <c r="Q103" s="99"/>
      <c r="R103" s="99"/>
      <c r="S103" s="99"/>
      <c r="T103" s="99"/>
      <c r="U103" s="99"/>
      <c r="V103" s="99"/>
      <c r="X103" s="99"/>
      <c r="Y103" s="99"/>
      <c r="AA103" s="99"/>
      <c r="AB103" s="99"/>
      <c r="AC103" s="99"/>
      <c r="AD103" s="99"/>
      <c r="AE103" s="99"/>
      <c r="AF103" s="99"/>
      <c r="AG103" s="99"/>
      <c r="AH103" s="99"/>
      <c r="AI103" s="99"/>
      <c r="AJ103" s="99"/>
      <c r="AK103" s="99"/>
      <c r="AL103" s="99"/>
    </row>
    <row r="104" spans="2:38">
      <c r="B104" s="100">
        <f ca="1">IF(G104="","",OFFSET('VA Front Page'!$I$11,MATCH(G104,'VA Front Page'!$C$12:$C$34,0),0))</f>
        <v>3.702619779955818E-2</v>
      </c>
      <c r="C104" s="100"/>
      <c r="E104" s="106"/>
      <c r="F104" s="99"/>
      <c r="G104" s="99" t="s">
        <v>139</v>
      </c>
      <c r="H104" s="99"/>
      <c r="I104" s="99"/>
      <c r="K104" s="99"/>
      <c r="L104" s="99"/>
      <c r="M104" s="99"/>
      <c r="N104" s="99"/>
      <c r="O104" s="99"/>
      <c r="P104" s="99"/>
      <c r="Q104" s="99"/>
      <c r="R104" s="99"/>
      <c r="S104" s="99"/>
      <c r="T104" s="99"/>
      <c r="U104" s="99"/>
      <c r="V104" s="99"/>
      <c r="X104" s="99"/>
      <c r="Y104" s="99"/>
      <c r="AA104" s="99"/>
      <c r="AB104" s="99"/>
      <c r="AC104" s="99"/>
      <c r="AD104" s="99"/>
      <c r="AE104" s="99"/>
      <c r="AF104" s="99"/>
      <c r="AG104" s="99"/>
      <c r="AH104" s="99"/>
      <c r="AI104" s="99"/>
      <c r="AJ104" s="99"/>
      <c r="AK104" s="99"/>
      <c r="AL104" s="99"/>
    </row>
    <row r="105" spans="2:38">
      <c r="B105" s="100">
        <f ca="1">IF(G105="","",OFFSET('VA Front Page'!$I$11,MATCH(G105,'VA Front Page'!$C$12:$C$34,0),0))</f>
        <v>3.702619779955818E-2</v>
      </c>
      <c r="C105" s="100"/>
      <c r="E105" s="106"/>
      <c r="F105" s="99"/>
      <c r="G105" s="99" t="s">
        <v>139</v>
      </c>
      <c r="H105" s="99"/>
      <c r="I105" s="99"/>
      <c r="K105" s="99"/>
      <c r="L105" s="99"/>
      <c r="M105" s="99"/>
      <c r="N105" s="99"/>
      <c r="O105" s="99"/>
      <c r="P105" s="99"/>
      <c r="Q105" s="99"/>
      <c r="R105" s="99"/>
      <c r="S105" s="99"/>
      <c r="T105" s="99"/>
      <c r="U105" s="99"/>
      <c r="V105" s="99"/>
      <c r="X105" s="99"/>
      <c r="Y105" s="99"/>
      <c r="AA105" s="99"/>
      <c r="AB105" s="99"/>
      <c r="AC105" s="99"/>
      <c r="AD105" s="99"/>
      <c r="AE105" s="99"/>
      <c r="AF105" s="99"/>
      <c r="AG105" s="99"/>
      <c r="AH105" s="99"/>
      <c r="AI105" s="99"/>
      <c r="AJ105" s="99"/>
      <c r="AK105" s="99"/>
      <c r="AL105" s="99"/>
    </row>
    <row r="106" spans="2:38">
      <c r="B106" s="100">
        <f ca="1">IF(G106="","",OFFSET('VA Front Page'!$I$11,MATCH(G106,'VA Front Page'!$C$12:$C$34,0),0))</f>
        <v>3.702619779955818E-2</v>
      </c>
      <c r="C106" s="100"/>
      <c r="E106" s="106"/>
      <c r="F106" s="99"/>
      <c r="G106" s="99" t="s">
        <v>139</v>
      </c>
      <c r="H106" s="99"/>
      <c r="I106" s="99"/>
      <c r="K106" s="99"/>
      <c r="L106" s="99"/>
      <c r="M106" s="99"/>
      <c r="N106" s="99"/>
      <c r="O106" s="99"/>
      <c r="P106" s="99"/>
      <c r="Q106" s="99"/>
      <c r="R106" s="99"/>
      <c r="S106" s="99"/>
      <c r="T106" s="99"/>
      <c r="U106" s="99"/>
      <c r="V106" s="99"/>
      <c r="X106" s="99"/>
      <c r="Y106" s="99"/>
      <c r="AA106" s="99"/>
      <c r="AB106" s="99"/>
      <c r="AC106" s="99"/>
      <c r="AD106" s="99"/>
      <c r="AE106" s="99"/>
      <c r="AF106" s="99"/>
      <c r="AG106" s="99"/>
      <c r="AH106" s="99"/>
      <c r="AI106" s="99"/>
      <c r="AJ106" s="99"/>
      <c r="AK106" s="99"/>
      <c r="AL106" s="99"/>
    </row>
    <row r="107" spans="2:38">
      <c r="B107" s="100">
        <f ca="1">IF(G107="","",OFFSET('VA Front Page'!$I$11,MATCH(G107,'VA Front Page'!$C$12:$C$34,0),0))</f>
        <v>3.702619779955818E-2</v>
      </c>
      <c r="C107" s="100"/>
      <c r="E107" s="106"/>
      <c r="F107" s="99"/>
      <c r="G107" s="99" t="s">
        <v>139</v>
      </c>
      <c r="H107" s="99"/>
      <c r="I107" s="99"/>
      <c r="K107" s="99"/>
      <c r="L107" s="99"/>
      <c r="M107" s="99"/>
      <c r="N107" s="99"/>
      <c r="O107" s="99"/>
      <c r="P107" s="99"/>
      <c r="Q107" s="99"/>
      <c r="R107" s="99"/>
      <c r="S107" s="99"/>
      <c r="T107" s="99"/>
      <c r="U107" s="99"/>
      <c r="V107" s="99"/>
      <c r="X107" s="99"/>
      <c r="Y107" s="99"/>
      <c r="AA107" s="99"/>
      <c r="AB107" s="99"/>
      <c r="AC107" s="99"/>
      <c r="AD107" s="99"/>
      <c r="AE107" s="99"/>
      <c r="AF107" s="99"/>
      <c r="AG107" s="99"/>
      <c r="AH107" s="99"/>
      <c r="AI107" s="99"/>
      <c r="AJ107" s="99"/>
      <c r="AK107" s="99"/>
      <c r="AL107" s="99"/>
    </row>
    <row r="108" spans="2:38">
      <c r="B108" s="100">
        <f ca="1">IF(G108="","",OFFSET('VA Front Page'!$I$11,MATCH(G108,'VA Front Page'!$C$12:$C$34,0),0))</f>
        <v>3.702619779955818E-2</v>
      </c>
      <c r="C108" s="100"/>
      <c r="E108" s="106"/>
      <c r="F108" s="99"/>
      <c r="G108" s="99" t="s">
        <v>139</v>
      </c>
      <c r="H108" s="99"/>
      <c r="I108" s="99"/>
      <c r="K108" s="99"/>
      <c r="L108" s="99"/>
      <c r="M108" s="99"/>
      <c r="N108" s="99"/>
      <c r="O108" s="99"/>
      <c r="P108" s="99"/>
      <c r="Q108" s="99"/>
      <c r="R108" s="99"/>
      <c r="S108" s="99"/>
      <c r="T108" s="99"/>
      <c r="U108" s="99"/>
      <c r="V108" s="99"/>
      <c r="X108" s="99"/>
      <c r="Y108" s="99"/>
      <c r="AA108" s="99"/>
      <c r="AB108" s="99"/>
      <c r="AC108" s="99"/>
      <c r="AD108" s="99"/>
      <c r="AE108" s="99"/>
      <c r="AF108" s="99"/>
      <c r="AG108" s="99"/>
      <c r="AH108" s="99"/>
      <c r="AI108" s="99"/>
      <c r="AJ108" s="99"/>
      <c r="AK108" s="99"/>
      <c r="AL108" s="99"/>
    </row>
    <row r="109" spans="2:38">
      <c r="B109" s="100">
        <f ca="1">IF(G109="","",OFFSET('VA Front Page'!$I$11,MATCH(G109,'VA Front Page'!$C$12:$C$34,0),0))</f>
        <v>3.702619779955818E-2</v>
      </c>
      <c r="C109" s="100"/>
      <c r="E109" s="106"/>
      <c r="F109" s="99"/>
      <c r="G109" s="99" t="s">
        <v>139</v>
      </c>
      <c r="H109" s="99"/>
      <c r="I109" s="99"/>
      <c r="K109" s="99"/>
      <c r="L109" s="99"/>
      <c r="M109" s="99"/>
      <c r="N109" s="99"/>
      <c r="O109" s="99"/>
      <c r="P109" s="99"/>
      <c r="Q109" s="99"/>
      <c r="R109" s="99"/>
      <c r="S109" s="99"/>
      <c r="T109" s="99"/>
      <c r="U109" s="99"/>
      <c r="V109" s="99"/>
      <c r="X109" s="99"/>
      <c r="Y109" s="99"/>
      <c r="AA109" s="99"/>
      <c r="AB109" s="99"/>
      <c r="AC109" s="99"/>
      <c r="AD109" s="99"/>
      <c r="AE109" s="99"/>
      <c r="AF109" s="99"/>
      <c r="AG109" s="99"/>
      <c r="AH109" s="99"/>
      <c r="AI109" s="99"/>
      <c r="AJ109" s="99"/>
      <c r="AK109" s="99"/>
      <c r="AL109" s="99"/>
    </row>
    <row r="110" spans="2:38">
      <c r="B110" s="100">
        <f ca="1">IF(G110="","",OFFSET('VA Front Page'!$I$11,MATCH(G110,'VA Front Page'!$C$12:$C$34,0),0))</f>
        <v>8.929758514950302E-2</v>
      </c>
      <c r="C110" s="100"/>
      <c r="E110" s="106"/>
      <c r="F110" s="99" t="s">
        <v>278</v>
      </c>
      <c r="G110" s="99" t="s">
        <v>145</v>
      </c>
      <c r="H110" s="99"/>
      <c r="I110" s="99"/>
      <c r="K110" s="99"/>
      <c r="L110" s="99"/>
      <c r="M110" s="99"/>
      <c r="N110" s="99"/>
      <c r="O110" s="99"/>
      <c r="P110" s="99"/>
      <c r="Q110" s="99"/>
      <c r="R110" s="99"/>
      <c r="S110" s="99"/>
      <c r="T110" s="99"/>
      <c r="U110" s="99"/>
      <c r="V110" s="99"/>
      <c r="X110" s="99"/>
      <c r="Y110" s="99"/>
      <c r="AA110" s="99"/>
      <c r="AB110" s="99"/>
      <c r="AC110" s="99"/>
      <c r="AD110" s="99"/>
      <c r="AE110" s="99"/>
      <c r="AF110" s="99"/>
      <c r="AG110" s="99"/>
      <c r="AH110" s="99"/>
      <c r="AI110" s="99"/>
      <c r="AJ110" s="99"/>
      <c r="AK110" s="99"/>
      <c r="AL110" s="99"/>
    </row>
    <row r="111" spans="2:38">
      <c r="B111" s="100" t="str">
        <f ca="1">IF(G111="","",OFFSET('VA Front Page'!$I$11,MATCH(G111,'VA Front Page'!$C$12:$C$34,0),0))</f>
        <v/>
      </c>
      <c r="C111" s="100"/>
      <c r="E111" s="106"/>
      <c r="F111" s="99"/>
      <c r="G111" s="99"/>
      <c r="H111" s="99"/>
      <c r="I111" s="99"/>
      <c r="K111" s="99"/>
      <c r="L111" s="99"/>
      <c r="M111" s="99"/>
      <c r="N111" s="99"/>
      <c r="O111" s="99"/>
      <c r="P111" s="99"/>
      <c r="Q111" s="99"/>
      <c r="R111" s="99"/>
      <c r="S111" s="99"/>
      <c r="T111" s="99"/>
      <c r="U111" s="99"/>
      <c r="V111" s="99"/>
      <c r="X111" s="99"/>
      <c r="Y111" s="99"/>
      <c r="AA111" s="99"/>
      <c r="AB111" s="99"/>
      <c r="AC111" s="99"/>
      <c r="AD111" s="99"/>
      <c r="AE111" s="99"/>
      <c r="AF111" s="99"/>
      <c r="AG111" s="99"/>
      <c r="AH111" s="99"/>
      <c r="AI111" s="99"/>
      <c r="AJ111" s="99"/>
      <c r="AK111" s="99"/>
      <c r="AL111" s="99"/>
    </row>
    <row r="112" spans="2:38">
      <c r="B112" s="100" t="str">
        <f ca="1">IF(G112="","",OFFSET('VA Front Page'!$I$11,MATCH(G112,'VA Front Page'!$C$12:$C$34,0),0))</f>
        <v/>
      </c>
      <c r="C112" s="100"/>
      <c r="E112" s="106"/>
      <c r="F112" s="99"/>
      <c r="G112" s="99"/>
      <c r="H112" s="99"/>
      <c r="I112" s="99"/>
      <c r="K112" s="99"/>
      <c r="L112" s="99"/>
      <c r="M112" s="99"/>
      <c r="N112" s="99"/>
      <c r="O112" s="99"/>
      <c r="P112" s="99"/>
      <c r="Q112" s="99"/>
      <c r="R112" s="99"/>
      <c r="S112" s="99"/>
      <c r="T112" s="99"/>
      <c r="U112" s="99"/>
      <c r="V112" s="99"/>
      <c r="X112" s="99"/>
      <c r="Y112" s="99"/>
      <c r="AA112" s="99"/>
      <c r="AB112" s="99"/>
      <c r="AC112" s="99"/>
      <c r="AD112" s="99"/>
      <c r="AE112" s="99"/>
      <c r="AF112" s="99"/>
      <c r="AG112" s="99"/>
      <c r="AH112" s="99"/>
      <c r="AI112" s="99"/>
      <c r="AJ112" s="99"/>
      <c r="AK112" s="99"/>
      <c r="AL112" s="99"/>
    </row>
    <row r="113" spans="2:38">
      <c r="B113" s="100" t="str">
        <f ca="1">IF(G113="","",OFFSET('VA Front Page'!$I$11,MATCH(G113,'VA Front Page'!$C$12:$C$34,0),0))</f>
        <v/>
      </c>
      <c r="C113" s="100"/>
      <c r="E113" s="106"/>
      <c r="F113" s="99"/>
      <c r="G113" s="99"/>
      <c r="H113" s="99"/>
      <c r="I113" s="99"/>
      <c r="K113" s="99"/>
      <c r="L113" s="99"/>
      <c r="M113" s="99"/>
      <c r="N113" s="99"/>
      <c r="O113" s="99"/>
      <c r="P113" s="99"/>
      <c r="Q113" s="99"/>
      <c r="R113" s="99"/>
      <c r="S113" s="99"/>
      <c r="T113" s="99"/>
      <c r="U113" s="99"/>
      <c r="V113" s="99"/>
      <c r="X113" s="99"/>
      <c r="Y113" s="99"/>
      <c r="AA113" s="99"/>
      <c r="AB113" s="99"/>
      <c r="AC113" s="99"/>
      <c r="AD113" s="99"/>
      <c r="AE113" s="99"/>
      <c r="AF113" s="99"/>
      <c r="AG113" s="99"/>
      <c r="AH113" s="99"/>
      <c r="AI113" s="99"/>
      <c r="AJ113" s="99"/>
      <c r="AK113" s="99"/>
      <c r="AL113" s="99"/>
    </row>
    <row r="114" spans="2:38">
      <c r="B114" s="100" t="str">
        <f ca="1">IF(G114="","",OFFSET('VA Front Page'!$I$11,MATCH(G114,'VA Front Page'!$C$12:$C$34,0),0))</f>
        <v/>
      </c>
      <c r="C114" s="100"/>
      <c r="E114" s="106"/>
      <c r="F114" s="99"/>
      <c r="G114" s="99"/>
      <c r="H114" s="99"/>
      <c r="I114" s="99"/>
      <c r="K114" s="99"/>
      <c r="L114" s="99"/>
      <c r="M114" s="99"/>
      <c r="N114" s="99"/>
      <c r="O114" s="99"/>
      <c r="P114" s="99"/>
      <c r="Q114" s="99"/>
      <c r="R114" s="99"/>
      <c r="S114" s="99"/>
      <c r="T114" s="99"/>
      <c r="U114" s="99"/>
      <c r="V114" s="99"/>
      <c r="X114" s="99"/>
      <c r="Y114" s="99"/>
      <c r="AA114" s="99"/>
      <c r="AB114" s="99"/>
      <c r="AC114" s="99"/>
      <c r="AD114" s="99"/>
      <c r="AE114" s="99"/>
      <c r="AF114" s="99"/>
      <c r="AG114" s="99"/>
      <c r="AH114" s="99"/>
      <c r="AI114" s="99"/>
      <c r="AJ114" s="99"/>
      <c r="AK114" s="99"/>
      <c r="AL114" s="99"/>
    </row>
    <row r="115" spans="2:38">
      <c r="B115" s="100" t="str">
        <f ca="1">IF(G115="","",OFFSET('VA Front Page'!$I$11,MATCH(G115,'VA Front Page'!$C$12:$C$34,0),0))</f>
        <v/>
      </c>
      <c r="C115" s="100"/>
      <c r="E115" s="106"/>
      <c r="F115" s="99"/>
      <c r="G115" s="99"/>
      <c r="H115" s="99"/>
      <c r="I115" s="99"/>
      <c r="K115" s="99"/>
      <c r="L115" s="99"/>
      <c r="M115" s="99"/>
      <c r="N115" s="99"/>
      <c r="O115" s="99"/>
      <c r="P115" s="99"/>
      <c r="Q115" s="99"/>
      <c r="R115" s="99"/>
      <c r="S115" s="99"/>
      <c r="T115" s="99"/>
      <c r="U115" s="99"/>
      <c r="V115" s="99"/>
      <c r="X115" s="99"/>
      <c r="Y115" s="99"/>
      <c r="AA115" s="99"/>
      <c r="AB115" s="99"/>
      <c r="AC115" s="99"/>
      <c r="AD115" s="99"/>
      <c r="AE115" s="99"/>
      <c r="AF115" s="99"/>
      <c r="AG115" s="99"/>
      <c r="AH115" s="99"/>
      <c r="AI115" s="99"/>
      <c r="AJ115" s="99"/>
      <c r="AK115" s="99"/>
      <c r="AL115" s="99"/>
    </row>
    <row r="116" spans="2:38">
      <c r="B116" s="100" t="str">
        <f ca="1">IF(G116="","",OFFSET('VA Front Page'!$I$11,MATCH(G116,'VA Front Page'!$C$12:$C$34,0),0))</f>
        <v/>
      </c>
      <c r="C116" s="100"/>
      <c r="E116" s="106"/>
      <c r="F116" s="99"/>
      <c r="G116" s="99"/>
      <c r="H116" s="99"/>
      <c r="I116" s="99"/>
      <c r="K116" s="99"/>
      <c r="L116" s="99"/>
      <c r="M116" s="99"/>
      <c r="N116" s="99"/>
      <c r="O116" s="99"/>
      <c r="P116" s="99"/>
      <c r="Q116" s="99"/>
      <c r="R116" s="99"/>
      <c r="S116" s="99"/>
      <c r="T116" s="99"/>
      <c r="U116" s="99"/>
      <c r="V116" s="99"/>
      <c r="X116" s="99"/>
      <c r="Y116" s="99"/>
      <c r="AA116" s="99"/>
      <c r="AB116" s="99"/>
      <c r="AC116" s="99"/>
      <c r="AD116" s="99"/>
      <c r="AE116" s="99"/>
      <c r="AF116" s="99"/>
      <c r="AG116" s="99"/>
      <c r="AH116" s="99"/>
      <c r="AI116" s="99"/>
      <c r="AJ116" s="99"/>
      <c r="AK116" s="99"/>
      <c r="AL116" s="99"/>
    </row>
    <row r="117" spans="2:38">
      <c r="B117" s="100" t="str">
        <f ca="1">IF(G117="","",OFFSET('VA Front Page'!$I$11,MATCH(G117,'VA Front Page'!$C$12:$C$34,0),0))</f>
        <v/>
      </c>
      <c r="C117" s="100"/>
      <c r="E117" s="106"/>
      <c r="F117" s="99"/>
      <c r="G117" s="99"/>
      <c r="H117" s="99"/>
      <c r="I117" s="99"/>
      <c r="K117" s="99"/>
      <c r="L117" s="99"/>
      <c r="M117" s="99"/>
      <c r="N117" s="99"/>
      <c r="O117" s="99"/>
      <c r="P117" s="99"/>
      <c r="Q117" s="99"/>
      <c r="R117" s="99"/>
      <c r="S117" s="99"/>
      <c r="T117" s="99"/>
      <c r="U117" s="99"/>
      <c r="V117" s="99"/>
      <c r="X117" s="99"/>
      <c r="Y117" s="99"/>
      <c r="AA117" s="99"/>
      <c r="AB117" s="99"/>
      <c r="AC117" s="99"/>
      <c r="AD117" s="99"/>
      <c r="AE117" s="99"/>
      <c r="AF117" s="99"/>
      <c r="AG117" s="99"/>
      <c r="AH117" s="99"/>
      <c r="AI117" s="99"/>
      <c r="AJ117" s="99"/>
      <c r="AK117" s="99"/>
      <c r="AL117" s="99"/>
    </row>
    <row r="118" spans="2:38">
      <c r="B118" s="100">
        <f ca="1">IF(G118="","",OFFSET('VA Front Page'!$I$11,MATCH(G118,'VA Front Page'!$C$12:$C$34,0),0))</f>
        <v>9.4090681512281112E-3</v>
      </c>
      <c r="C118" s="100"/>
      <c r="E118" s="106"/>
      <c r="F118" s="99" t="s">
        <v>278</v>
      </c>
      <c r="G118" s="99" t="s">
        <v>151</v>
      </c>
      <c r="H118" s="99"/>
      <c r="I118" s="99"/>
      <c r="K118" s="99"/>
      <c r="L118" s="99"/>
      <c r="M118" s="99"/>
      <c r="N118" s="99"/>
      <c r="O118" s="99"/>
      <c r="P118" s="99"/>
      <c r="Q118" s="99"/>
      <c r="R118" s="99"/>
      <c r="S118" s="99"/>
      <c r="T118" s="99"/>
      <c r="U118" s="99"/>
      <c r="V118" s="99"/>
      <c r="X118" s="99"/>
      <c r="Y118" s="99"/>
      <c r="AA118" s="99"/>
      <c r="AB118" s="99"/>
      <c r="AC118" s="99"/>
      <c r="AD118" s="99"/>
      <c r="AE118" s="99"/>
      <c r="AF118" s="99"/>
      <c r="AG118" s="99"/>
      <c r="AH118" s="99"/>
      <c r="AI118" s="99"/>
      <c r="AJ118" s="99"/>
      <c r="AK118" s="99"/>
      <c r="AL118" s="99"/>
    </row>
    <row r="119" spans="2:38">
      <c r="B119" s="100" t="str">
        <f ca="1">IF(G119="","",OFFSET('VA Front Page'!$I$11,MATCH(G119,'VA Front Page'!$C$12:$C$34,0),0))</f>
        <v/>
      </c>
      <c r="C119" s="100"/>
      <c r="E119" s="106"/>
      <c r="F119" s="99"/>
      <c r="G119" s="99"/>
      <c r="H119" s="99"/>
      <c r="I119" s="99"/>
      <c r="K119" s="99"/>
      <c r="L119" s="99"/>
      <c r="M119" s="99"/>
      <c r="N119" s="99"/>
      <c r="O119" s="99"/>
      <c r="P119" s="99"/>
      <c r="Q119" s="99"/>
      <c r="R119" s="99"/>
      <c r="S119" s="99"/>
      <c r="T119" s="99"/>
      <c r="U119" s="99"/>
      <c r="V119" s="99"/>
      <c r="X119" s="99"/>
      <c r="Y119" s="99"/>
      <c r="AA119" s="99"/>
      <c r="AB119" s="99"/>
      <c r="AC119" s="99"/>
      <c r="AD119" s="99"/>
      <c r="AE119" s="99"/>
      <c r="AF119" s="99"/>
      <c r="AG119" s="99"/>
      <c r="AH119" s="99"/>
      <c r="AI119" s="99"/>
      <c r="AJ119" s="99"/>
      <c r="AK119" s="99"/>
      <c r="AL119" s="99"/>
    </row>
    <row r="120" spans="2:38">
      <c r="B120" s="100" t="str">
        <f ca="1">IF(G120="","",OFFSET('VA Front Page'!$I$11,MATCH(G120,'VA Front Page'!$C$12:$C$34,0),0))</f>
        <v/>
      </c>
      <c r="C120" s="100"/>
      <c r="E120" s="106"/>
      <c r="F120" s="99"/>
      <c r="G120" s="99"/>
      <c r="H120" s="99"/>
      <c r="I120" s="99"/>
      <c r="K120" s="99"/>
      <c r="L120" s="99"/>
      <c r="M120" s="99"/>
      <c r="N120" s="99"/>
      <c r="O120" s="99"/>
      <c r="P120" s="99"/>
      <c r="Q120" s="99"/>
      <c r="R120" s="99"/>
      <c r="S120" s="99"/>
      <c r="T120" s="99"/>
      <c r="U120" s="99"/>
      <c r="V120" s="99"/>
      <c r="X120" s="99"/>
      <c r="Y120" s="99"/>
      <c r="AA120" s="99"/>
      <c r="AB120" s="99"/>
      <c r="AC120" s="99"/>
      <c r="AD120" s="99"/>
      <c r="AE120" s="99"/>
      <c r="AF120" s="99"/>
      <c r="AG120" s="99"/>
      <c r="AH120" s="99"/>
      <c r="AI120" s="99"/>
      <c r="AJ120" s="99"/>
      <c r="AK120" s="99"/>
      <c r="AL120" s="99"/>
    </row>
    <row r="121" spans="2:38">
      <c r="B121" s="100" t="str">
        <f ca="1">IF(G121="","",OFFSET('VA Front Page'!$I$11,MATCH(G121,'VA Front Page'!$C$12:$C$34,0),0))</f>
        <v/>
      </c>
      <c r="C121" s="100"/>
      <c r="E121" s="106"/>
      <c r="F121" s="99"/>
      <c r="G121" s="99"/>
      <c r="H121" s="99"/>
      <c r="I121" s="99"/>
      <c r="K121" s="99"/>
      <c r="L121" s="99"/>
      <c r="M121" s="99"/>
      <c r="N121" s="99"/>
      <c r="O121" s="99"/>
      <c r="P121" s="99"/>
      <c r="Q121" s="99"/>
      <c r="R121" s="99"/>
      <c r="S121" s="99"/>
      <c r="T121" s="99"/>
      <c r="U121" s="99"/>
      <c r="V121" s="99"/>
      <c r="X121" s="99"/>
      <c r="Y121" s="99"/>
      <c r="AA121" s="99"/>
      <c r="AB121" s="99"/>
      <c r="AC121" s="99"/>
      <c r="AD121" s="99"/>
      <c r="AE121" s="99"/>
      <c r="AF121" s="99"/>
      <c r="AG121" s="99"/>
      <c r="AH121" s="99"/>
      <c r="AI121" s="99"/>
      <c r="AJ121" s="99"/>
      <c r="AK121" s="99"/>
      <c r="AL121" s="99"/>
    </row>
    <row r="122" spans="2:38">
      <c r="B122" s="100" t="str">
        <f ca="1">IF(G122="","",OFFSET('VA Front Page'!$I$11,MATCH(G122,'VA Front Page'!$C$12:$C$34,0),0))</f>
        <v/>
      </c>
      <c r="C122" s="100"/>
      <c r="E122" s="106"/>
      <c r="F122" s="99"/>
      <c r="G122" s="99"/>
      <c r="H122" s="99"/>
      <c r="I122" s="99"/>
      <c r="K122" s="99"/>
      <c r="L122" s="99"/>
      <c r="M122" s="99"/>
      <c r="N122" s="99"/>
      <c r="O122" s="99"/>
      <c r="P122" s="99"/>
      <c r="Q122" s="99"/>
      <c r="R122" s="99"/>
      <c r="S122" s="99"/>
      <c r="T122" s="99"/>
      <c r="U122" s="99"/>
      <c r="V122" s="99"/>
      <c r="X122" s="99"/>
      <c r="Y122" s="99"/>
      <c r="AA122" s="99"/>
      <c r="AB122" s="99"/>
      <c r="AC122" s="99"/>
      <c r="AD122" s="99"/>
      <c r="AE122" s="99"/>
      <c r="AF122" s="99"/>
      <c r="AG122" s="99"/>
      <c r="AH122" s="99"/>
      <c r="AI122" s="99"/>
      <c r="AJ122" s="99"/>
      <c r="AK122" s="99"/>
      <c r="AL122" s="99"/>
    </row>
    <row r="123" spans="2:38">
      <c r="B123" s="100" t="str">
        <f ca="1">IF(G123="","",OFFSET('VA Front Page'!$I$11,MATCH(G123,'VA Front Page'!$C$12:$C$34,0),0))</f>
        <v/>
      </c>
      <c r="C123" s="100"/>
      <c r="E123" s="106"/>
      <c r="F123" s="99"/>
      <c r="G123" s="99"/>
      <c r="H123" s="99"/>
      <c r="I123" s="99"/>
      <c r="K123" s="99"/>
      <c r="L123" s="99"/>
      <c r="M123" s="99"/>
      <c r="N123" s="99"/>
      <c r="O123" s="99"/>
      <c r="P123" s="99"/>
      <c r="Q123" s="99"/>
      <c r="R123" s="99"/>
      <c r="S123" s="99"/>
      <c r="T123" s="99"/>
      <c r="U123" s="99"/>
      <c r="V123" s="99"/>
      <c r="X123" s="99"/>
      <c r="Y123" s="99"/>
      <c r="AA123" s="99"/>
      <c r="AB123" s="99"/>
      <c r="AC123" s="99"/>
      <c r="AD123" s="99"/>
      <c r="AE123" s="99"/>
      <c r="AF123" s="99"/>
      <c r="AG123" s="99"/>
      <c r="AH123" s="99"/>
      <c r="AI123" s="99"/>
      <c r="AJ123" s="99"/>
      <c r="AK123" s="99"/>
      <c r="AL123" s="99"/>
    </row>
    <row r="124" spans="2:38">
      <c r="B124" s="100" t="str">
        <f ca="1">IF(G124="","",OFFSET('VA Front Page'!$I$11,MATCH(G124,'VA Front Page'!$C$12:$C$34,0),0))</f>
        <v/>
      </c>
      <c r="C124" s="100"/>
      <c r="E124" s="106"/>
      <c r="F124" s="99"/>
      <c r="G124" s="99"/>
      <c r="H124" s="99"/>
      <c r="I124" s="99"/>
      <c r="K124" s="99"/>
      <c r="L124" s="99"/>
      <c r="M124" s="99"/>
      <c r="N124" s="99"/>
      <c r="O124" s="99"/>
      <c r="P124" s="99"/>
      <c r="Q124" s="99"/>
      <c r="R124" s="99"/>
      <c r="S124" s="99"/>
      <c r="T124" s="99"/>
      <c r="U124" s="99"/>
      <c r="V124" s="99"/>
      <c r="X124" s="99"/>
      <c r="Y124" s="99"/>
      <c r="AA124" s="99"/>
      <c r="AB124" s="99"/>
      <c r="AC124" s="99"/>
      <c r="AD124" s="99"/>
      <c r="AE124" s="99"/>
      <c r="AF124" s="99"/>
      <c r="AG124" s="99"/>
      <c r="AH124" s="99"/>
      <c r="AI124" s="99"/>
      <c r="AJ124" s="99"/>
      <c r="AK124" s="99"/>
      <c r="AL124" s="99"/>
    </row>
    <row r="125" spans="2:38">
      <c r="B125" s="100" t="str">
        <f ca="1">IF(G125="","",OFFSET('VA Front Page'!$I$11,MATCH(G125,'VA Front Page'!$C$12:$C$34,0),0))</f>
        <v/>
      </c>
      <c r="C125" s="100"/>
      <c r="E125" s="106"/>
      <c r="F125" s="99"/>
      <c r="G125" s="99"/>
      <c r="H125" s="99"/>
      <c r="I125" s="99"/>
      <c r="K125" s="99"/>
      <c r="L125" s="99"/>
      <c r="M125" s="99"/>
      <c r="N125" s="99"/>
      <c r="O125" s="99"/>
      <c r="P125" s="99"/>
      <c r="Q125" s="99"/>
      <c r="R125" s="99"/>
      <c r="S125" s="99"/>
      <c r="T125" s="99"/>
      <c r="U125" s="99"/>
      <c r="V125" s="99"/>
      <c r="X125" s="99"/>
      <c r="Y125" s="99"/>
      <c r="AA125" s="99"/>
      <c r="AB125" s="99"/>
      <c r="AC125" s="99"/>
      <c r="AD125" s="99"/>
      <c r="AE125" s="99"/>
      <c r="AF125" s="99"/>
      <c r="AG125" s="99"/>
      <c r="AH125" s="99"/>
      <c r="AI125" s="99"/>
      <c r="AJ125" s="99"/>
      <c r="AK125" s="99"/>
      <c r="AL125" s="99"/>
    </row>
    <row r="126" spans="2:38">
      <c r="B126" s="100">
        <f ca="1">IF(G126="","",OFFSET('VA Front Page'!$I$11,MATCH(G126,'VA Front Page'!$C$12:$C$34,0),0))</f>
        <v>9.4090681512281112E-3</v>
      </c>
      <c r="C126" s="100"/>
      <c r="E126" s="106"/>
      <c r="F126" s="99" t="s">
        <v>278</v>
      </c>
      <c r="G126" s="99" t="s">
        <v>160</v>
      </c>
      <c r="H126" s="99"/>
      <c r="I126" s="99"/>
      <c r="K126" s="99"/>
      <c r="L126" s="99"/>
      <c r="M126" s="99"/>
      <c r="N126" s="99"/>
      <c r="O126" s="99"/>
      <c r="P126" s="99"/>
      <c r="Q126" s="99"/>
      <c r="R126" s="99"/>
      <c r="S126" s="99"/>
      <c r="T126" s="99"/>
      <c r="U126" s="99"/>
      <c r="V126" s="99"/>
      <c r="X126" s="99"/>
      <c r="Y126" s="99"/>
      <c r="AA126" s="99"/>
      <c r="AB126" s="99"/>
      <c r="AC126" s="99"/>
      <c r="AD126" s="99"/>
      <c r="AE126" s="99"/>
      <c r="AF126" s="99"/>
      <c r="AG126" s="99"/>
      <c r="AH126" s="99"/>
      <c r="AI126" s="99"/>
      <c r="AJ126" s="99"/>
      <c r="AK126" s="99"/>
      <c r="AL126" s="99"/>
    </row>
    <row r="127" spans="2:38">
      <c r="B127" s="100" t="str">
        <f ca="1">IF(G127="","",OFFSET('VA Front Page'!$I$11,MATCH(G127,'VA Front Page'!$C$12:$C$34,0),0))</f>
        <v/>
      </c>
      <c r="C127" s="100"/>
      <c r="E127" s="106"/>
      <c r="F127" s="99"/>
      <c r="G127" s="99"/>
      <c r="H127" s="99"/>
      <c r="I127" s="99"/>
      <c r="K127" s="99"/>
      <c r="L127" s="99"/>
      <c r="M127" s="99"/>
      <c r="N127" s="99"/>
      <c r="O127" s="99"/>
      <c r="P127" s="99"/>
      <c r="Q127" s="99"/>
      <c r="R127" s="99"/>
      <c r="S127" s="99"/>
      <c r="T127" s="99"/>
      <c r="U127" s="99"/>
      <c r="V127" s="99"/>
      <c r="X127" s="99"/>
      <c r="Y127" s="99"/>
      <c r="AA127" s="99"/>
      <c r="AB127" s="99"/>
      <c r="AC127" s="99"/>
      <c r="AD127" s="99"/>
      <c r="AE127" s="99"/>
      <c r="AF127" s="99"/>
      <c r="AG127" s="99"/>
      <c r="AH127" s="99"/>
      <c r="AI127" s="99"/>
      <c r="AJ127" s="99"/>
      <c r="AK127" s="99"/>
      <c r="AL127" s="99"/>
    </row>
    <row r="128" spans="2:38">
      <c r="B128" s="100" t="str">
        <f ca="1">IF(G128="","",OFFSET('VA Front Page'!$I$11,MATCH(G128,'VA Front Page'!$C$12:$C$34,0),0))</f>
        <v/>
      </c>
      <c r="C128" s="100"/>
      <c r="E128" s="106"/>
      <c r="F128" s="99"/>
      <c r="G128" s="99"/>
      <c r="H128" s="99"/>
      <c r="I128" s="99"/>
      <c r="K128" s="99"/>
      <c r="L128" s="99"/>
      <c r="M128" s="99"/>
      <c r="N128" s="99"/>
      <c r="O128" s="99"/>
      <c r="P128" s="99"/>
      <c r="Q128" s="99"/>
      <c r="R128" s="99"/>
      <c r="S128" s="99"/>
      <c r="T128" s="99"/>
      <c r="U128" s="99"/>
      <c r="V128" s="99"/>
      <c r="X128" s="99"/>
      <c r="Y128" s="99"/>
      <c r="AA128" s="99"/>
      <c r="AB128" s="99"/>
      <c r="AC128" s="99"/>
      <c r="AD128" s="99"/>
      <c r="AE128" s="99"/>
      <c r="AF128" s="99"/>
      <c r="AG128" s="99"/>
      <c r="AH128" s="99"/>
      <c r="AI128" s="99"/>
      <c r="AJ128" s="99"/>
      <c r="AK128" s="99"/>
      <c r="AL128" s="99"/>
    </row>
    <row r="129" spans="2:38">
      <c r="B129" s="100" t="str">
        <f ca="1">IF(G129="","",OFFSET('VA Front Page'!$I$11,MATCH(G129,'VA Front Page'!$C$12:$C$34,0),0))</f>
        <v/>
      </c>
      <c r="C129" s="100"/>
      <c r="E129" s="106"/>
      <c r="F129" s="99"/>
      <c r="G129" s="99"/>
      <c r="H129" s="99"/>
      <c r="I129" s="99"/>
      <c r="K129" s="99"/>
      <c r="L129" s="99"/>
      <c r="M129" s="99"/>
      <c r="N129" s="99"/>
      <c r="O129" s="99"/>
      <c r="P129" s="99"/>
      <c r="Q129" s="99"/>
      <c r="R129" s="99"/>
      <c r="S129" s="99"/>
      <c r="T129" s="99"/>
      <c r="U129" s="99"/>
      <c r="V129" s="99"/>
      <c r="X129" s="99"/>
      <c r="Y129" s="99"/>
      <c r="AA129" s="99"/>
      <c r="AB129" s="99"/>
      <c r="AC129" s="99"/>
      <c r="AD129" s="99"/>
      <c r="AE129" s="99"/>
      <c r="AF129" s="99"/>
      <c r="AG129" s="99"/>
      <c r="AH129" s="99"/>
      <c r="AI129" s="99"/>
      <c r="AJ129" s="99"/>
      <c r="AK129" s="99"/>
      <c r="AL129" s="99"/>
    </row>
    <row r="130" spans="2:38">
      <c r="B130" s="100" t="str">
        <f ca="1">IF(G130="","",OFFSET('VA Front Page'!$I$11,MATCH(G130,'VA Front Page'!$C$12:$C$34,0),0))</f>
        <v/>
      </c>
      <c r="C130" s="100"/>
      <c r="E130" s="106"/>
      <c r="F130" s="99"/>
      <c r="G130" s="99"/>
      <c r="H130" s="99"/>
      <c r="I130" s="99"/>
      <c r="K130" s="99"/>
      <c r="L130" s="99"/>
      <c r="M130" s="99"/>
      <c r="N130" s="99"/>
      <c r="O130" s="99"/>
      <c r="P130" s="99"/>
      <c r="Q130" s="99"/>
      <c r="R130" s="99"/>
      <c r="S130" s="99"/>
      <c r="T130" s="99"/>
      <c r="U130" s="99"/>
      <c r="V130" s="99"/>
      <c r="X130" s="99"/>
      <c r="Y130" s="99"/>
      <c r="AA130" s="99"/>
      <c r="AB130" s="99"/>
      <c r="AC130" s="99"/>
      <c r="AD130" s="99"/>
      <c r="AE130" s="99"/>
      <c r="AF130" s="99"/>
      <c r="AG130" s="99"/>
      <c r="AH130" s="99"/>
      <c r="AI130" s="99"/>
      <c r="AJ130" s="99"/>
      <c r="AK130" s="99"/>
      <c r="AL130" s="99"/>
    </row>
    <row r="131" spans="2:38">
      <c r="B131" s="100" t="str">
        <f ca="1">IF(G131="","",OFFSET('VA Front Page'!$I$11,MATCH(G131,'VA Front Page'!$C$12:$C$34,0),0))</f>
        <v/>
      </c>
      <c r="C131" s="100"/>
      <c r="E131" s="106"/>
      <c r="F131" s="99"/>
      <c r="G131" s="99"/>
      <c r="H131" s="99"/>
      <c r="I131" s="99"/>
      <c r="K131" s="99"/>
      <c r="L131" s="99"/>
      <c r="M131" s="99"/>
      <c r="N131" s="99"/>
      <c r="O131" s="99"/>
      <c r="P131" s="99"/>
      <c r="Q131" s="99"/>
      <c r="R131" s="99"/>
      <c r="S131" s="99"/>
      <c r="T131" s="99"/>
      <c r="U131" s="99"/>
      <c r="V131" s="99"/>
      <c r="X131" s="99"/>
      <c r="Y131" s="99"/>
      <c r="AA131" s="99"/>
      <c r="AB131" s="99"/>
      <c r="AC131" s="99"/>
      <c r="AD131" s="99"/>
      <c r="AE131" s="99"/>
      <c r="AF131" s="99"/>
      <c r="AG131" s="99"/>
      <c r="AH131" s="99"/>
      <c r="AI131" s="99"/>
      <c r="AJ131" s="99"/>
      <c r="AK131" s="99"/>
      <c r="AL131" s="99"/>
    </row>
    <row r="132" spans="2:38">
      <c r="B132" s="100" t="str">
        <f ca="1">IF(G132="","",OFFSET('VA Front Page'!$I$11,MATCH(G132,'VA Front Page'!$C$12:$C$34,0),0))</f>
        <v/>
      </c>
      <c r="C132" s="100"/>
      <c r="E132" s="106"/>
      <c r="F132" s="99"/>
      <c r="G132" s="99"/>
      <c r="H132" s="99"/>
      <c r="I132" s="99"/>
      <c r="K132" s="99"/>
      <c r="L132" s="99"/>
      <c r="M132" s="99"/>
      <c r="N132" s="99"/>
      <c r="O132" s="99"/>
      <c r="P132" s="99"/>
      <c r="Q132" s="99"/>
      <c r="R132" s="99"/>
      <c r="S132" s="99"/>
      <c r="T132" s="99"/>
      <c r="U132" s="99"/>
      <c r="V132" s="99"/>
      <c r="X132" s="99"/>
      <c r="Y132" s="99"/>
      <c r="AA132" s="99"/>
      <c r="AB132" s="99"/>
      <c r="AC132" s="99"/>
      <c r="AD132" s="99"/>
      <c r="AE132" s="99"/>
      <c r="AF132" s="99"/>
      <c r="AG132" s="99"/>
      <c r="AH132" s="99"/>
      <c r="AI132" s="99"/>
      <c r="AJ132" s="99"/>
      <c r="AK132" s="99"/>
      <c r="AL132" s="99"/>
    </row>
    <row r="133" spans="2:38">
      <c r="B133" s="100" t="str">
        <f ca="1">IF(G133="","",OFFSET('VA Front Page'!$I$11,MATCH(G133,'VA Front Page'!$C$12:$C$34,0),0))</f>
        <v/>
      </c>
      <c r="C133" s="100"/>
      <c r="E133" s="106"/>
      <c r="F133" s="99"/>
      <c r="G133" s="99"/>
      <c r="H133" s="99"/>
      <c r="I133" s="99"/>
      <c r="K133" s="99"/>
      <c r="L133" s="99"/>
      <c r="M133" s="99"/>
      <c r="N133" s="99"/>
      <c r="O133" s="99"/>
      <c r="P133" s="99"/>
      <c r="Q133" s="99"/>
      <c r="R133" s="99"/>
      <c r="S133" s="99"/>
      <c r="T133" s="99"/>
      <c r="U133" s="99"/>
      <c r="V133" s="99"/>
      <c r="X133" s="99"/>
      <c r="Y133" s="99"/>
      <c r="AA133" s="99"/>
      <c r="AB133" s="99"/>
      <c r="AC133" s="99"/>
      <c r="AD133" s="99"/>
      <c r="AE133" s="99"/>
      <c r="AF133" s="99"/>
      <c r="AG133" s="99"/>
      <c r="AH133" s="99"/>
      <c r="AI133" s="99"/>
      <c r="AJ133" s="99"/>
      <c r="AK133" s="99"/>
      <c r="AL133" s="99"/>
    </row>
    <row r="134" spans="2:38">
      <c r="B134" s="100" t="str">
        <f ca="1">IF(G134="","",OFFSET('VA Front Page'!$I$11,MATCH(G134,'VA Front Page'!$C$12:$C$34,0),0))</f>
        <v/>
      </c>
      <c r="C134" s="100"/>
      <c r="E134" s="106"/>
      <c r="F134" s="99"/>
      <c r="G134" s="99"/>
      <c r="H134" s="99"/>
      <c r="I134" s="99"/>
      <c r="K134" s="99"/>
      <c r="L134" s="99"/>
      <c r="M134" s="99"/>
      <c r="N134" s="99"/>
      <c r="O134" s="99"/>
      <c r="P134" s="99"/>
      <c r="Q134" s="99"/>
      <c r="R134" s="99"/>
      <c r="S134" s="99"/>
      <c r="T134" s="99"/>
      <c r="U134" s="99"/>
      <c r="V134" s="99"/>
      <c r="X134" s="99"/>
      <c r="Y134" s="99"/>
      <c r="AA134" s="99"/>
      <c r="AB134" s="99"/>
      <c r="AC134" s="99"/>
      <c r="AD134" s="99"/>
      <c r="AE134" s="99"/>
      <c r="AF134" s="99"/>
      <c r="AG134" s="99"/>
      <c r="AH134" s="99"/>
      <c r="AI134" s="99"/>
      <c r="AJ134" s="99"/>
      <c r="AK134" s="99"/>
      <c r="AL134" s="99"/>
    </row>
    <row r="135" spans="2:38">
      <c r="B135" s="100">
        <f ca="1">IF(G135="","",OFFSET('VA Front Page'!$I$11,MATCH(G135,'VA Front Page'!$C$12:$C$34,0),0))</f>
        <v>6.1281523698651225E-2</v>
      </c>
      <c r="C135" s="100"/>
      <c r="E135" s="106"/>
      <c r="F135" s="99" t="s">
        <v>169</v>
      </c>
      <c r="G135" s="99" t="s">
        <v>248</v>
      </c>
      <c r="H135" s="99"/>
      <c r="I135" s="99"/>
      <c r="K135" s="99"/>
      <c r="L135" s="99"/>
      <c r="M135" s="99"/>
      <c r="N135" s="99"/>
      <c r="O135" s="99"/>
      <c r="P135" s="99"/>
      <c r="Q135" s="99"/>
      <c r="R135" s="99"/>
      <c r="S135" s="99"/>
      <c r="T135" s="99"/>
      <c r="U135" s="99"/>
      <c r="V135" s="99"/>
      <c r="X135" s="99"/>
      <c r="Y135" s="99"/>
      <c r="AA135" s="99"/>
      <c r="AB135" s="99"/>
      <c r="AC135" s="99"/>
      <c r="AD135" s="99"/>
      <c r="AE135" s="99"/>
      <c r="AF135" s="99"/>
      <c r="AG135" s="99"/>
      <c r="AH135" s="99"/>
      <c r="AI135" s="99"/>
      <c r="AJ135" s="99"/>
      <c r="AK135" s="99"/>
      <c r="AL135" s="99"/>
    </row>
    <row r="136" spans="2:38">
      <c r="B136" s="100" t="str">
        <f ca="1">IF(G136="","",OFFSET('VA Front Page'!$I$11,MATCH(G136,'VA Front Page'!$C$12:$C$34,0),0))</f>
        <v/>
      </c>
      <c r="C136" s="100"/>
      <c r="E136" s="106"/>
      <c r="F136" s="99"/>
      <c r="G136" s="99"/>
      <c r="H136" s="99"/>
      <c r="I136" s="99"/>
      <c r="K136" s="99"/>
      <c r="L136" s="99"/>
      <c r="M136" s="99"/>
      <c r="N136" s="99"/>
      <c r="O136" s="99"/>
      <c r="P136" s="99"/>
      <c r="Q136" s="99"/>
      <c r="R136" s="99"/>
      <c r="S136" s="99"/>
      <c r="T136" s="99"/>
      <c r="U136" s="99"/>
      <c r="V136" s="99"/>
      <c r="X136" s="99"/>
      <c r="Y136" s="99"/>
      <c r="AA136" s="99"/>
      <c r="AB136" s="99"/>
      <c r="AC136" s="99"/>
      <c r="AD136" s="99"/>
      <c r="AE136" s="99"/>
      <c r="AF136" s="99"/>
      <c r="AG136" s="99"/>
      <c r="AH136" s="99"/>
      <c r="AI136" s="99"/>
      <c r="AJ136" s="99"/>
      <c r="AK136" s="99"/>
      <c r="AL136" s="99"/>
    </row>
    <row r="137" spans="2:38">
      <c r="B137" s="100" t="str">
        <f ca="1">IF(G137="","",OFFSET('VA Front Page'!$I$11,MATCH(G137,'VA Front Page'!$C$12:$C$34,0),0))</f>
        <v/>
      </c>
      <c r="C137" s="100"/>
      <c r="E137" s="106"/>
      <c r="F137" s="99"/>
      <c r="G137" s="99"/>
      <c r="H137" s="99"/>
      <c r="I137" s="99"/>
      <c r="K137" s="99"/>
      <c r="L137" s="99"/>
      <c r="M137" s="99"/>
      <c r="N137" s="99"/>
      <c r="O137" s="99"/>
      <c r="P137" s="99"/>
      <c r="Q137" s="99"/>
      <c r="R137" s="99"/>
      <c r="S137" s="99"/>
      <c r="T137" s="99"/>
      <c r="U137" s="99"/>
      <c r="V137" s="99"/>
      <c r="X137" s="99"/>
      <c r="Y137" s="99"/>
      <c r="AA137" s="99"/>
      <c r="AB137" s="99"/>
      <c r="AC137" s="99"/>
      <c r="AD137" s="99"/>
      <c r="AE137" s="99"/>
      <c r="AF137" s="99"/>
      <c r="AG137" s="99"/>
      <c r="AH137" s="99"/>
      <c r="AI137" s="99"/>
      <c r="AJ137" s="99"/>
      <c r="AK137" s="99"/>
      <c r="AL137" s="99"/>
    </row>
    <row r="138" spans="2:38">
      <c r="B138" s="100" t="str">
        <f ca="1">IF(G138="","",OFFSET('VA Front Page'!$I$11,MATCH(G138,'VA Front Page'!$C$12:$C$34,0),0))</f>
        <v/>
      </c>
      <c r="C138" s="100"/>
      <c r="E138" s="106"/>
      <c r="F138" s="99"/>
      <c r="G138" s="99"/>
      <c r="H138" s="99"/>
      <c r="I138" s="99"/>
      <c r="K138" s="99"/>
      <c r="L138" s="99"/>
      <c r="M138" s="99"/>
      <c r="N138" s="99"/>
      <c r="O138" s="99"/>
      <c r="P138" s="99"/>
      <c r="Q138" s="99"/>
      <c r="R138" s="99"/>
      <c r="S138" s="99"/>
      <c r="T138" s="99"/>
      <c r="U138" s="99"/>
      <c r="V138" s="99"/>
      <c r="X138" s="99"/>
      <c r="Y138" s="99"/>
      <c r="AA138" s="99"/>
      <c r="AB138" s="99"/>
      <c r="AC138" s="99"/>
      <c r="AD138" s="99"/>
      <c r="AE138" s="99"/>
      <c r="AF138" s="99"/>
      <c r="AG138" s="99"/>
      <c r="AH138" s="99"/>
      <c r="AI138" s="99"/>
      <c r="AJ138" s="99"/>
      <c r="AK138" s="99"/>
      <c r="AL138" s="99"/>
    </row>
    <row r="139" spans="2:38">
      <c r="B139" s="100" t="str">
        <f ca="1">IF(G139="","",OFFSET('VA Front Page'!$I$11,MATCH(G139,'VA Front Page'!$C$12:$C$34,0),0))</f>
        <v/>
      </c>
      <c r="C139" s="100"/>
      <c r="E139" s="106"/>
      <c r="F139" s="99"/>
      <c r="G139" s="99"/>
      <c r="H139" s="99"/>
      <c r="I139" s="99"/>
      <c r="K139" s="99"/>
      <c r="L139" s="99"/>
      <c r="M139" s="99"/>
      <c r="N139" s="99"/>
      <c r="O139" s="99"/>
      <c r="P139" s="99"/>
      <c r="Q139" s="99"/>
      <c r="R139" s="99"/>
      <c r="S139" s="99"/>
      <c r="T139" s="99"/>
      <c r="U139" s="99"/>
      <c r="V139" s="99"/>
      <c r="X139" s="99"/>
      <c r="Y139" s="99"/>
      <c r="AA139" s="99"/>
      <c r="AB139" s="99"/>
      <c r="AC139" s="99"/>
      <c r="AD139" s="99"/>
      <c r="AE139" s="99"/>
      <c r="AF139" s="99"/>
      <c r="AG139" s="99"/>
      <c r="AH139" s="99"/>
      <c r="AI139" s="99"/>
      <c r="AJ139" s="99"/>
      <c r="AK139" s="99"/>
      <c r="AL139" s="99"/>
    </row>
    <row r="140" spans="2:38">
      <c r="B140" s="100" t="str">
        <f ca="1">IF(G140="","",OFFSET('VA Front Page'!$I$11,MATCH(G140,'VA Front Page'!$C$12:$C$34,0),0))</f>
        <v/>
      </c>
      <c r="C140" s="100"/>
      <c r="E140" s="106"/>
      <c r="F140" s="99"/>
      <c r="G140" s="99"/>
      <c r="H140" s="99"/>
      <c r="I140" s="99"/>
      <c r="K140" s="99"/>
      <c r="L140" s="99"/>
      <c r="M140" s="99"/>
      <c r="N140" s="99"/>
      <c r="O140" s="99"/>
      <c r="P140" s="99"/>
      <c r="Q140" s="99"/>
      <c r="R140" s="99"/>
      <c r="S140" s="99"/>
      <c r="T140" s="99"/>
      <c r="U140" s="99"/>
      <c r="V140" s="99"/>
      <c r="X140" s="99"/>
      <c r="Y140" s="99"/>
      <c r="AA140" s="99"/>
      <c r="AB140" s="99"/>
      <c r="AC140" s="99"/>
      <c r="AD140" s="99"/>
      <c r="AE140" s="99"/>
      <c r="AF140" s="99"/>
      <c r="AG140" s="99"/>
      <c r="AH140" s="99"/>
      <c r="AI140" s="99"/>
      <c r="AJ140" s="99"/>
      <c r="AK140" s="99"/>
      <c r="AL140" s="99"/>
    </row>
    <row r="141" spans="2:38">
      <c r="B141" s="100" t="str">
        <f ca="1">IF(G141="","",OFFSET('VA Front Page'!$I$11,MATCH(G141,'VA Front Page'!$C$12:$C$34,0),0))</f>
        <v/>
      </c>
      <c r="C141" s="100"/>
      <c r="E141" s="106"/>
      <c r="F141" s="99"/>
      <c r="G141" s="99"/>
      <c r="H141" s="99"/>
      <c r="I141" s="99"/>
      <c r="K141" s="99"/>
      <c r="L141" s="99"/>
      <c r="M141" s="99"/>
      <c r="N141" s="99"/>
      <c r="O141" s="99"/>
      <c r="P141" s="99"/>
      <c r="Q141" s="99"/>
      <c r="R141" s="99"/>
      <c r="S141" s="99"/>
      <c r="T141" s="99"/>
      <c r="U141" s="99"/>
      <c r="V141" s="99"/>
      <c r="X141" s="99"/>
      <c r="Y141" s="99"/>
      <c r="AA141" s="99"/>
      <c r="AB141" s="99"/>
      <c r="AC141" s="99"/>
      <c r="AD141" s="99"/>
      <c r="AE141" s="99"/>
      <c r="AF141" s="99"/>
      <c r="AG141" s="99"/>
      <c r="AH141" s="99"/>
      <c r="AI141" s="99"/>
      <c r="AJ141" s="99"/>
      <c r="AK141" s="99"/>
      <c r="AL141" s="99"/>
    </row>
    <row r="142" spans="2:38">
      <c r="B142" s="100" t="str">
        <f ca="1">IF(G142="","",OFFSET('VA Front Page'!$I$11,MATCH(G142,'VA Front Page'!$C$12:$C$34,0),0))</f>
        <v/>
      </c>
      <c r="C142" s="100"/>
      <c r="E142" s="106"/>
      <c r="F142" s="99"/>
      <c r="G142" s="99"/>
      <c r="H142" s="99"/>
      <c r="I142" s="99"/>
      <c r="K142" s="99"/>
      <c r="L142" s="99"/>
      <c r="M142" s="99"/>
      <c r="N142" s="99"/>
      <c r="O142" s="99"/>
      <c r="P142" s="99"/>
      <c r="Q142" s="99"/>
      <c r="R142" s="99"/>
      <c r="S142" s="99"/>
      <c r="T142" s="99"/>
      <c r="U142" s="99"/>
      <c r="V142" s="99"/>
      <c r="X142" s="99"/>
      <c r="Y142" s="99"/>
      <c r="AA142" s="99"/>
      <c r="AB142" s="99"/>
      <c r="AC142" s="99"/>
      <c r="AD142" s="99"/>
      <c r="AE142" s="99"/>
      <c r="AF142" s="99"/>
      <c r="AG142" s="99"/>
      <c r="AH142" s="99"/>
      <c r="AI142" s="99"/>
      <c r="AJ142" s="99"/>
      <c r="AK142" s="99"/>
      <c r="AL142" s="99"/>
    </row>
    <row r="143" spans="2:38">
      <c r="B143" s="100" t="str">
        <f ca="1">IF(G143="","",OFFSET('VA Front Page'!$I$11,MATCH(G143,'VA Front Page'!$C$12:$C$34,0),0))</f>
        <v/>
      </c>
      <c r="C143" s="100"/>
      <c r="E143" s="106"/>
      <c r="F143" s="99"/>
      <c r="G143" s="99"/>
      <c r="H143" s="99"/>
      <c r="I143" s="99"/>
      <c r="K143" s="99"/>
      <c r="L143" s="99"/>
      <c r="M143" s="99"/>
      <c r="N143" s="99"/>
      <c r="O143" s="99"/>
      <c r="P143" s="99"/>
      <c r="Q143" s="99"/>
      <c r="R143" s="99"/>
      <c r="S143" s="99"/>
      <c r="T143" s="99"/>
      <c r="U143" s="99"/>
      <c r="V143" s="99"/>
      <c r="X143" s="99"/>
      <c r="Y143" s="99"/>
      <c r="AA143" s="99"/>
      <c r="AB143" s="99"/>
      <c r="AC143" s="99"/>
      <c r="AD143" s="99"/>
      <c r="AE143" s="99"/>
      <c r="AF143" s="99"/>
      <c r="AG143" s="99"/>
      <c r="AH143" s="99"/>
      <c r="AI143" s="99"/>
      <c r="AJ143" s="99"/>
      <c r="AK143" s="99"/>
      <c r="AL143" s="99"/>
    </row>
    <row r="144" spans="2:38">
      <c r="B144" s="100" t="str">
        <f ca="1">IF(G144="","",OFFSET('VA Front Page'!$I$11,MATCH(G144,'VA Front Page'!$C$12:$C$34,0),0))</f>
        <v/>
      </c>
      <c r="C144" s="100"/>
      <c r="E144" s="106"/>
      <c r="F144" s="99"/>
      <c r="G144" s="99"/>
      <c r="H144" s="99"/>
      <c r="I144" s="99"/>
      <c r="K144" s="99"/>
      <c r="L144" s="99"/>
      <c r="M144" s="99"/>
      <c r="N144" s="99"/>
      <c r="O144" s="99"/>
      <c r="P144" s="99"/>
      <c r="Q144" s="99"/>
      <c r="R144" s="99"/>
      <c r="S144" s="99"/>
      <c r="T144" s="99"/>
      <c r="U144" s="99"/>
      <c r="V144" s="99"/>
      <c r="X144" s="99"/>
      <c r="Y144" s="99"/>
      <c r="AA144" s="99"/>
      <c r="AB144" s="99"/>
      <c r="AC144" s="99"/>
      <c r="AD144" s="99"/>
      <c r="AE144" s="99"/>
      <c r="AF144" s="99"/>
      <c r="AG144" s="99"/>
      <c r="AH144" s="99"/>
      <c r="AI144" s="99"/>
      <c r="AJ144" s="99"/>
      <c r="AK144" s="99"/>
      <c r="AL144" s="99"/>
    </row>
    <row r="145" spans="2:38">
      <c r="B145" s="100" t="str">
        <f ca="1">IF(G145="","",OFFSET('VA Front Page'!$I$11,MATCH(G145,'VA Front Page'!$C$12:$C$34,0),0))</f>
        <v/>
      </c>
      <c r="C145" s="100"/>
      <c r="E145" s="106"/>
      <c r="F145" s="99"/>
      <c r="G145" s="99"/>
      <c r="H145" s="99"/>
      <c r="I145" s="99"/>
      <c r="K145" s="99"/>
      <c r="L145" s="99"/>
      <c r="M145" s="99"/>
      <c r="N145" s="99"/>
      <c r="O145" s="99"/>
      <c r="P145" s="99"/>
      <c r="Q145" s="99"/>
      <c r="R145" s="99"/>
      <c r="S145" s="99"/>
      <c r="T145" s="99"/>
      <c r="U145" s="99"/>
      <c r="V145" s="99"/>
      <c r="X145" s="99"/>
      <c r="Y145" s="99"/>
      <c r="AA145" s="99"/>
      <c r="AB145" s="99"/>
      <c r="AC145" s="99"/>
      <c r="AD145" s="99"/>
      <c r="AE145" s="99"/>
      <c r="AF145" s="99"/>
      <c r="AG145" s="99"/>
      <c r="AH145" s="99"/>
      <c r="AI145" s="99"/>
      <c r="AJ145" s="99"/>
      <c r="AK145" s="99"/>
      <c r="AL145" s="99"/>
    </row>
    <row r="146" spans="2:38">
      <c r="B146" s="100" t="str">
        <f ca="1">IF(G146="","",OFFSET('VA Front Page'!$I$11,MATCH(G146,'VA Front Page'!$C$12:$C$34,0),0))</f>
        <v/>
      </c>
      <c r="C146" s="100"/>
      <c r="E146" s="106"/>
      <c r="F146" s="99"/>
      <c r="G146" s="99"/>
      <c r="H146" s="99"/>
      <c r="I146" s="99"/>
      <c r="K146" s="99"/>
      <c r="L146" s="99"/>
      <c r="M146" s="99"/>
      <c r="N146" s="99"/>
      <c r="O146" s="99"/>
      <c r="P146" s="99"/>
      <c r="Q146" s="99"/>
      <c r="R146" s="99"/>
      <c r="S146" s="99"/>
      <c r="T146" s="99"/>
      <c r="U146" s="99"/>
      <c r="V146" s="99"/>
      <c r="X146" s="99"/>
      <c r="Y146" s="99"/>
      <c r="AA146" s="99"/>
      <c r="AB146" s="99"/>
      <c r="AC146" s="99"/>
      <c r="AD146" s="99"/>
      <c r="AE146" s="99"/>
      <c r="AF146" s="99"/>
      <c r="AG146" s="99"/>
      <c r="AH146" s="99"/>
      <c r="AI146" s="99"/>
      <c r="AJ146" s="99"/>
      <c r="AK146" s="99"/>
      <c r="AL146" s="99"/>
    </row>
    <row r="147" spans="2:38">
      <c r="B147" s="100">
        <f ca="1">IF(G147="","",OFFSET('VA Front Page'!$I$11,MATCH(G147,'VA Front Page'!$C$12:$C$34,0),0))</f>
        <v>3.3514642314796299E-3</v>
      </c>
      <c r="C147" s="100"/>
      <c r="E147" s="106"/>
      <c r="F147" s="99" t="s">
        <v>169</v>
      </c>
      <c r="G147" s="99" t="s">
        <v>245</v>
      </c>
      <c r="H147" s="99"/>
      <c r="I147" s="99"/>
      <c r="K147" s="99"/>
      <c r="L147" s="99"/>
      <c r="M147" s="99"/>
      <c r="N147" s="99"/>
      <c r="O147" s="99"/>
      <c r="P147" s="99"/>
      <c r="Q147" s="99"/>
      <c r="R147" s="99"/>
      <c r="S147" s="99"/>
      <c r="T147" s="99"/>
      <c r="U147" s="99"/>
      <c r="V147" s="99"/>
      <c r="X147" s="99"/>
      <c r="Y147" s="99"/>
      <c r="AA147" s="99"/>
      <c r="AB147" s="99"/>
      <c r="AC147" s="99"/>
      <c r="AD147" s="99"/>
      <c r="AE147" s="99"/>
      <c r="AF147" s="99"/>
      <c r="AG147" s="99"/>
      <c r="AH147" s="99"/>
      <c r="AI147" s="99"/>
      <c r="AJ147" s="99"/>
      <c r="AK147" s="99"/>
      <c r="AL147" s="99"/>
    </row>
    <row r="148" spans="2:38">
      <c r="B148" s="100" t="str">
        <f ca="1">IF(G148="","",OFFSET('VA Front Page'!$I$11,MATCH(G148,'VA Front Page'!$C$12:$C$34,0),0))</f>
        <v/>
      </c>
      <c r="C148" s="100"/>
      <c r="E148" s="106"/>
      <c r="F148" s="99"/>
      <c r="G148" s="99"/>
      <c r="H148" s="99"/>
      <c r="I148" s="99"/>
      <c r="K148" s="99"/>
      <c r="L148" s="99"/>
      <c r="M148" s="99"/>
      <c r="N148" s="99"/>
      <c r="O148" s="99"/>
      <c r="P148" s="99"/>
      <c r="Q148" s="99"/>
      <c r="R148" s="99"/>
      <c r="S148" s="99"/>
      <c r="T148" s="99"/>
      <c r="U148" s="99"/>
      <c r="V148" s="99"/>
      <c r="X148" s="99"/>
      <c r="Y148" s="99"/>
      <c r="AA148" s="99"/>
      <c r="AB148" s="99"/>
      <c r="AC148" s="99"/>
      <c r="AD148" s="99"/>
      <c r="AE148" s="99"/>
      <c r="AF148" s="99"/>
      <c r="AG148" s="99"/>
      <c r="AH148" s="99"/>
      <c r="AI148" s="99"/>
      <c r="AJ148" s="99"/>
      <c r="AK148" s="99"/>
      <c r="AL148" s="99"/>
    </row>
    <row r="149" spans="2:38">
      <c r="B149" s="100" t="str">
        <f ca="1">IF(G149="","",OFFSET('VA Front Page'!$I$11,MATCH(G149,'VA Front Page'!$C$12:$C$34,0),0))</f>
        <v/>
      </c>
      <c r="C149" s="100"/>
      <c r="E149" s="106"/>
      <c r="F149" s="99"/>
      <c r="G149" s="99"/>
      <c r="H149" s="99"/>
      <c r="I149" s="99"/>
      <c r="K149" s="99"/>
      <c r="L149" s="99"/>
      <c r="M149" s="99"/>
      <c r="N149" s="99"/>
      <c r="O149" s="99"/>
      <c r="P149" s="99"/>
      <c r="Q149" s="99"/>
      <c r="R149" s="99"/>
      <c r="S149" s="99"/>
      <c r="T149" s="99"/>
      <c r="U149" s="99"/>
      <c r="V149" s="99"/>
      <c r="X149" s="99"/>
      <c r="Y149" s="99"/>
      <c r="AA149" s="99"/>
      <c r="AB149" s="99"/>
      <c r="AC149" s="99"/>
      <c r="AD149" s="99"/>
      <c r="AE149" s="99"/>
      <c r="AF149" s="99"/>
      <c r="AG149" s="99"/>
      <c r="AH149" s="99"/>
      <c r="AI149" s="99"/>
      <c r="AJ149" s="99"/>
      <c r="AK149" s="99"/>
      <c r="AL149" s="99"/>
    </row>
    <row r="150" spans="2:38">
      <c r="B150" s="100" t="str">
        <f ca="1">IF(G150="","",OFFSET('VA Front Page'!$I$11,MATCH(G150,'VA Front Page'!$C$12:$C$34,0),0))</f>
        <v/>
      </c>
      <c r="C150" s="100"/>
      <c r="E150" s="106"/>
      <c r="F150" s="99"/>
      <c r="G150" s="99"/>
      <c r="H150" s="99"/>
      <c r="I150" s="99"/>
      <c r="K150" s="99"/>
      <c r="L150" s="99"/>
      <c r="M150" s="99"/>
      <c r="N150" s="99"/>
      <c r="O150" s="99"/>
      <c r="P150" s="99"/>
      <c r="Q150" s="99"/>
      <c r="R150" s="99"/>
      <c r="S150" s="99"/>
      <c r="T150" s="99"/>
      <c r="U150" s="99"/>
      <c r="V150" s="99"/>
      <c r="X150" s="99"/>
      <c r="Y150" s="99"/>
      <c r="AA150" s="99"/>
      <c r="AB150" s="99"/>
      <c r="AC150" s="99"/>
      <c r="AD150" s="99"/>
      <c r="AE150" s="99"/>
      <c r="AF150" s="99"/>
      <c r="AG150" s="99"/>
      <c r="AH150" s="99"/>
      <c r="AI150" s="99"/>
      <c r="AJ150" s="99"/>
      <c r="AK150" s="99"/>
      <c r="AL150" s="99"/>
    </row>
    <row r="151" spans="2:38">
      <c r="B151" s="100" t="str">
        <f ca="1">IF(G151="","",OFFSET('VA Front Page'!$I$11,MATCH(G151,'VA Front Page'!$C$12:$C$34,0),0))</f>
        <v/>
      </c>
      <c r="C151" s="100"/>
      <c r="E151" s="106"/>
      <c r="F151" s="99"/>
      <c r="G151" s="99"/>
      <c r="H151" s="99"/>
      <c r="I151" s="99"/>
      <c r="K151" s="99"/>
      <c r="L151" s="99"/>
      <c r="M151" s="99"/>
      <c r="N151" s="99"/>
      <c r="O151" s="99"/>
      <c r="P151" s="99"/>
      <c r="Q151" s="99"/>
      <c r="R151" s="99"/>
      <c r="S151" s="99"/>
      <c r="T151" s="99"/>
      <c r="U151" s="99"/>
      <c r="V151" s="99"/>
      <c r="X151" s="99"/>
      <c r="Y151" s="99"/>
      <c r="AA151" s="99"/>
      <c r="AB151" s="99"/>
      <c r="AC151" s="99"/>
      <c r="AD151" s="99"/>
      <c r="AE151" s="99"/>
      <c r="AF151" s="99"/>
      <c r="AG151" s="99"/>
      <c r="AH151" s="99"/>
      <c r="AI151" s="99"/>
      <c r="AJ151" s="99"/>
      <c r="AK151" s="99"/>
      <c r="AL151" s="99"/>
    </row>
    <row r="152" spans="2:38">
      <c r="B152" s="100" t="str">
        <f ca="1">IF(G152="","",OFFSET('VA Front Page'!$I$11,MATCH(G152,'VA Front Page'!$C$12:$C$34,0),0))</f>
        <v/>
      </c>
      <c r="C152" s="100"/>
      <c r="E152" s="106"/>
      <c r="F152" s="99"/>
      <c r="G152" s="99"/>
      <c r="H152" s="99"/>
      <c r="I152" s="99"/>
      <c r="K152" s="99"/>
      <c r="L152" s="99"/>
      <c r="M152" s="99"/>
      <c r="N152" s="99"/>
      <c r="O152" s="99"/>
      <c r="P152" s="99"/>
      <c r="Q152" s="99"/>
      <c r="R152" s="99"/>
      <c r="S152" s="99"/>
      <c r="T152" s="99"/>
      <c r="U152" s="99"/>
      <c r="V152" s="99"/>
      <c r="X152" s="99"/>
      <c r="Y152" s="99"/>
      <c r="AA152" s="99"/>
      <c r="AB152" s="99"/>
      <c r="AC152" s="99"/>
      <c r="AD152" s="99"/>
      <c r="AE152" s="99"/>
      <c r="AF152" s="99"/>
      <c r="AG152" s="99"/>
      <c r="AH152" s="99"/>
      <c r="AI152" s="99"/>
      <c r="AJ152" s="99"/>
      <c r="AK152" s="99"/>
      <c r="AL152" s="99"/>
    </row>
    <row r="153" spans="2:38">
      <c r="B153" s="100" t="str">
        <f ca="1">IF(G153="","",OFFSET('VA Front Page'!$I$11,MATCH(G153,'VA Front Page'!$C$12:$C$34,0),0))</f>
        <v/>
      </c>
      <c r="C153" s="100"/>
      <c r="E153" s="106"/>
      <c r="F153" s="99"/>
      <c r="G153" s="99"/>
      <c r="H153" s="99"/>
      <c r="I153" s="99"/>
      <c r="K153" s="99"/>
      <c r="L153" s="99"/>
      <c r="M153" s="99"/>
      <c r="N153" s="99"/>
      <c r="O153" s="99"/>
      <c r="P153" s="99"/>
      <c r="Q153" s="99"/>
      <c r="R153" s="99"/>
      <c r="S153" s="99"/>
      <c r="T153" s="99"/>
      <c r="U153" s="99"/>
      <c r="V153" s="99"/>
      <c r="X153" s="99"/>
      <c r="Y153" s="99"/>
      <c r="AA153" s="99"/>
      <c r="AB153" s="99"/>
      <c r="AC153" s="99"/>
      <c r="AD153" s="99"/>
      <c r="AE153" s="99"/>
      <c r="AF153" s="99"/>
      <c r="AG153" s="99"/>
      <c r="AH153" s="99"/>
      <c r="AI153" s="99"/>
      <c r="AJ153" s="99"/>
      <c r="AK153" s="99"/>
      <c r="AL153" s="99"/>
    </row>
    <row r="154" spans="2:38">
      <c r="B154" s="100" t="str">
        <f ca="1">IF(G154="","",OFFSET('VA Front Page'!$I$11,MATCH(G154,'VA Front Page'!$C$12:$C$34,0),0))</f>
        <v/>
      </c>
      <c r="C154" s="100"/>
      <c r="E154" s="106"/>
      <c r="F154" s="99"/>
      <c r="G154" s="99"/>
      <c r="H154" s="99"/>
      <c r="I154" s="99"/>
      <c r="K154" s="99"/>
      <c r="L154" s="99"/>
      <c r="M154" s="99"/>
      <c r="N154" s="99"/>
      <c r="O154" s="99"/>
      <c r="P154" s="99"/>
      <c r="Q154" s="99"/>
      <c r="R154" s="99"/>
      <c r="S154" s="99"/>
      <c r="T154" s="99"/>
      <c r="U154" s="99"/>
      <c r="V154" s="99"/>
      <c r="X154" s="99"/>
      <c r="Y154" s="99"/>
      <c r="AA154" s="99"/>
      <c r="AB154" s="99"/>
      <c r="AC154" s="99"/>
      <c r="AD154" s="99"/>
      <c r="AE154" s="99"/>
      <c r="AF154" s="99"/>
      <c r="AG154" s="99"/>
      <c r="AH154" s="99"/>
      <c r="AI154" s="99"/>
      <c r="AJ154" s="99"/>
      <c r="AK154" s="99"/>
      <c r="AL154" s="99"/>
    </row>
    <row r="155" spans="2:38">
      <c r="B155" s="100">
        <f ca="1">IF(G155="","",OFFSET('VA Front Page'!$I$11,MATCH(G155,'VA Front Page'!$C$12:$C$34,0),0))</f>
        <v>7.4851636900749169E-2</v>
      </c>
      <c r="C155" s="100"/>
      <c r="E155" s="106"/>
      <c r="F155" s="99" t="s">
        <v>169</v>
      </c>
      <c r="G155" s="99" t="s">
        <v>242</v>
      </c>
      <c r="H155" s="99"/>
      <c r="I155" s="99"/>
      <c r="K155" s="99"/>
      <c r="L155" s="99"/>
      <c r="M155" s="99"/>
      <c r="N155" s="99"/>
      <c r="O155" s="99"/>
      <c r="P155" s="99"/>
      <c r="Q155" s="99"/>
      <c r="R155" s="99"/>
      <c r="S155" s="99"/>
      <c r="T155" s="99"/>
      <c r="U155" s="99"/>
      <c r="V155" s="99"/>
      <c r="X155" s="99"/>
      <c r="Y155" s="99"/>
      <c r="AA155" s="99"/>
      <c r="AB155" s="99"/>
      <c r="AC155" s="99"/>
      <c r="AD155" s="99"/>
      <c r="AE155" s="99"/>
      <c r="AF155" s="99"/>
      <c r="AG155" s="99"/>
      <c r="AH155" s="99"/>
      <c r="AI155" s="99"/>
      <c r="AJ155" s="99"/>
      <c r="AK155" s="99"/>
      <c r="AL155" s="99"/>
    </row>
    <row r="156" spans="2:38">
      <c r="B156" s="100" t="str">
        <f ca="1">IF(G156="","",OFFSET('VA Front Page'!$I$11,MATCH(G156,'VA Front Page'!$C$12:$C$34,0),0))</f>
        <v/>
      </c>
      <c r="C156" s="100"/>
      <c r="E156" s="106"/>
      <c r="F156" s="99"/>
      <c r="G156" s="99"/>
      <c r="H156" s="99"/>
      <c r="I156" s="99"/>
      <c r="K156" s="99"/>
      <c r="L156" s="99"/>
      <c r="M156" s="99"/>
      <c r="N156" s="99"/>
      <c r="O156" s="99"/>
      <c r="P156" s="99"/>
      <c r="Q156" s="99"/>
      <c r="R156" s="99"/>
      <c r="S156" s="99"/>
      <c r="T156" s="99"/>
      <c r="U156" s="99"/>
      <c r="V156" s="99"/>
      <c r="X156" s="99"/>
      <c r="Y156" s="99"/>
      <c r="AA156" s="99"/>
      <c r="AB156" s="99"/>
      <c r="AC156" s="99"/>
      <c r="AD156" s="99"/>
      <c r="AE156" s="99"/>
      <c r="AF156" s="99"/>
      <c r="AG156" s="99"/>
      <c r="AH156" s="99"/>
      <c r="AI156" s="99"/>
      <c r="AJ156" s="99"/>
      <c r="AK156" s="99"/>
      <c r="AL156" s="99"/>
    </row>
    <row r="157" spans="2:38">
      <c r="B157" s="100" t="str">
        <f ca="1">IF(G157="","",OFFSET('VA Front Page'!$I$11,MATCH(G157,'VA Front Page'!$C$12:$C$34,0),0))</f>
        <v/>
      </c>
      <c r="C157" s="100"/>
      <c r="E157" s="106"/>
      <c r="F157" s="99"/>
      <c r="G157" s="99"/>
      <c r="H157" s="99"/>
      <c r="I157" s="99"/>
      <c r="K157" s="99"/>
      <c r="L157" s="99"/>
      <c r="M157" s="99"/>
      <c r="N157" s="99"/>
      <c r="O157" s="99"/>
      <c r="P157" s="99"/>
      <c r="Q157" s="99"/>
      <c r="R157" s="99"/>
      <c r="S157" s="99"/>
      <c r="T157" s="99"/>
      <c r="U157" s="99"/>
      <c r="V157" s="99"/>
      <c r="X157" s="99"/>
      <c r="Y157" s="99"/>
      <c r="AA157" s="99"/>
      <c r="AB157" s="99"/>
      <c r="AC157" s="99"/>
      <c r="AD157" s="99"/>
      <c r="AE157" s="99"/>
      <c r="AF157" s="99"/>
      <c r="AG157" s="99"/>
      <c r="AH157" s="99"/>
      <c r="AI157" s="99"/>
      <c r="AJ157" s="99"/>
      <c r="AK157" s="99"/>
      <c r="AL157" s="99"/>
    </row>
    <row r="158" spans="2:38">
      <c r="B158" s="100" t="str">
        <f ca="1">IF(G158="","",OFFSET('VA Front Page'!$I$11,MATCH(G158,'VA Front Page'!$C$12:$C$34,0),0))</f>
        <v/>
      </c>
      <c r="C158" s="100"/>
      <c r="E158" s="106"/>
      <c r="F158" s="99"/>
      <c r="G158" s="99"/>
      <c r="H158" s="99"/>
      <c r="I158" s="99"/>
      <c r="K158" s="99"/>
      <c r="L158" s="99"/>
      <c r="M158" s="99"/>
      <c r="N158" s="99"/>
      <c r="O158" s="99"/>
      <c r="P158" s="99"/>
      <c r="Q158" s="99"/>
      <c r="R158" s="99"/>
      <c r="S158" s="99"/>
      <c r="T158" s="99"/>
      <c r="U158" s="99"/>
      <c r="V158" s="99"/>
      <c r="X158" s="99"/>
      <c r="Y158" s="99"/>
      <c r="AA158" s="99"/>
      <c r="AB158" s="99"/>
      <c r="AC158" s="99"/>
      <c r="AD158" s="99"/>
      <c r="AE158" s="99"/>
      <c r="AF158" s="99"/>
      <c r="AG158" s="99"/>
      <c r="AH158" s="99"/>
      <c r="AI158" s="99"/>
      <c r="AJ158" s="99"/>
      <c r="AK158" s="99"/>
      <c r="AL158" s="99"/>
    </row>
    <row r="159" spans="2:38">
      <c r="B159" s="100" t="str">
        <f ca="1">IF(G159="","",OFFSET('VA Front Page'!$I$11,MATCH(G159,'VA Front Page'!$C$12:$C$34,0),0))</f>
        <v/>
      </c>
      <c r="C159" s="100"/>
      <c r="E159" s="106"/>
      <c r="F159" s="99"/>
      <c r="G159" s="99"/>
      <c r="H159" s="99"/>
      <c r="I159" s="99"/>
      <c r="K159" s="99"/>
      <c r="L159" s="99"/>
      <c r="M159" s="99"/>
      <c r="N159" s="99"/>
      <c r="O159" s="99"/>
      <c r="P159" s="99"/>
      <c r="Q159" s="99"/>
      <c r="R159" s="99"/>
      <c r="S159" s="99"/>
      <c r="T159" s="99"/>
      <c r="U159" s="99"/>
      <c r="V159" s="99"/>
      <c r="X159" s="99"/>
      <c r="Y159" s="99"/>
      <c r="AA159" s="99"/>
      <c r="AB159" s="99"/>
      <c r="AC159" s="99"/>
      <c r="AD159" s="99"/>
      <c r="AE159" s="99"/>
      <c r="AF159" s="99"/>
      <c r="AG159" s="99"/>
      <c r="AH159" s="99"/>
      <c r="AI159" s="99"/>
      <c r="AJ159" s="99"/>
      <c r="AK159" s="99"/>
      <c r="AL159" s="99"/>
    </row>
    <row r="160" spans="2:38">
      <c r="B160" s="100" t="str">
        <f ca="1">IF(G160="","",OFFSET('VA Front Page'!$I$11,MATCH(G160,'VA Front Page'!$C$12:$C$34,0),0))</f>
        <v/>
      </c>
      <c r="C160" s="100"/>
      <c r="E160" s="106"/>
      <c r="F160" s="99"/>
      <c r="G160" s="99"/>
      <c r="H160" s="99"/>
      <c r="I160" s="99"/>
      <c r="K160" s="99"/>
      <c r="L160" s="99"/>
      <c r="M160" s="99"/>
      <c r="N160" s="99"/>
      <c r="O160" s="99"/>
      <c r="P160" s="99"/>
      <c r="Q160" s="99"/>
      <c r="R160" s="99"/>
      <c r="S160" s="99"/>
      <c r="T160" s="99"/>
      <c r="U160" s="99"/>
      <c r="V160" s="99"/>
      <c r="X160" s="99"/>
      <c r="Y160" s="99"/>
      <c r="AA160" s="99"/>
      <c r="AB160" s="99"/>
      <c r="AC160" s="99"/>
      <c r="AD160" s="99"/>
      <c r="AE160" s="99"/>
      <c r="AF160" s="99"/>
      <c r="AG160" s="99"/>
      <c r="AH160" s="99"/>
      <c r="AI160" s="99"/>
      <c r="AJ160" s="99"/>
      <c r="AK160" s="99"/>
      <c r="AL160" s="99"/>
    </row>
    <row r="161" spans="2:38">
      <c r="B161" s="100" t="str">
        <f ca="1">IF(G161="","",OFFSET('VA Front Page'!$I$11,MATCH(G161,'VA Front Page'!$C$12:$C$34,0),0))</f>
        <v/>
      </c>
      <c r="C161" s="100"/>
      <c r="E161" s="106"/>
      <c r="F161" s="99"/>
      <c r="G161" s="99"/>
      <c r="H161" s="99"/>
      <c r="I161" s="99"/>
      <c r="K161" s="99"/>
      <c r="L161" s="99"/>
      <c r="M161" s="99"/>
      <c r="N161" s="99"/>
      <c r="O161" s="99"/>
      <c r="P161" s="99"/>
      <c r="Q161" s="99"/>
      <c r="R161" s="99"/>
      <c r="S161" s="99"/>
      <c r="T161" s="99"/>
      <c r="U161" s="99"/>
      <c r="V161" s="99"/>
      <c r="X161" s="99"/>
      <c r="Y161" s="99"/>
      <c r="AA161" s="99"/>
      <c r="AB161" s="99"/>
      <c r="AC161" s="99"/>
      <c r="AD161" s="99"/>
      <c r="AE161" s="99"/>
      <c r="AF161" s="99"/>
      <c r="AG161" s="99"/>
      <c r="AH161" s="99"/>
      <c r="AI161" s="99"/>
      <c r="AJ161" s="99"/>
      <c r="AK161" s="99"/>
      <c r="AL161" s="99"/>
    </row>
    <row r="162" spans="2:38">
      <c r="B162" s="100" t="str">
        <f ca="1">IF(G162="","",OFFSET('VA Front Page'!$I$11,MATCH(G162,'VA Front Page'!$C$12:$C$34,0),0))</f>
        <v/>
      </c>
      <c r="C162" s="100"/>
      <c r="E162" s="106"/>
      <c r="F162" s="99"/>
      <c r="G162" s="99"/>
      <c r="H162" s="99"/>
      <c r="I162" s="99"/>
      <c r="K162" s="99"/>
      <c r="L162" s="99"/>
      <c r="M162" s="99"/>
      <c r="N162" s="99"/>
      <c r="O162" s="99"/>
      <c r="P162" s="99"/>
      <c r="Q162" s="99"/>
      <c r="R162" s="99"/>
      <c r="S162" s="99"/>
      <c r="T162" s="99"/>
      <c r="U162" s="99"/>
      <c r="V162" s="99"/>
      <c r="X162" s="99"/>
      <c r="Y162" s="99"/>
      <c r="AA162" s="99"/>
      <c r="AB162" s="99"/>
      <c r="AC162" s="99"/>
      <c r="AD162" s="99"/>
      <c r="AE162" s="99"/>
      <c r="AF162" s="99"/>
      <c r="AG162" s="99"/>
      <c r="AH162" s="99"/>
      <c r="AI162" s="99"/>
      <c r="AJ162" s="99"/>
      <c r="AK162" s="99"/>
      <c r="AL162" s="99"/>
    </row>
    <row r="163" spans="2:38">
      <c r="B163" s="100">
        <f ca="1">IF(G163="","",OFFSET('VA Front Page'!$I$11,MATCH(G163,'VA Front Page'!$C$12:$C$34,0),0))</f>
        <v>3.3514642314796299E-3</v>
      </c>
      <c r="C163" s="100"/>
      <c r="E163" s="106"/>
      <c r="F163" s="99" t="s">
        <v>169</v>
      </c>
      <c r="G163" s="99" t="s">
        <v>240</v>
      </c>
      <c r="H163" s="99"/>
      <c r="I163" s="99"/>
      <c r="K163" s="99"/>
      <c r="L163" s="99"/>
      <c r="M163" s="99"/>
      <c r="N163" s="99"/>
      <c r="O163" s="99"/>
      <c r="P163" s="99"/>
      <c r="Q163" s="99"/>
      <c r="R163" s="99"/>
      <c r="S163" s="99"/>
      <c r="T163" s="99"/>
      <c r="U163" s="99"/>
      <c r="V163" s="99"/>
      <c r="X163" s="99"/>
      <c r="Y163" s="99"/>
      <c r="AA163" s="99"/>
      <c r="AB163" s="99"/>
      <c r="AC163" s="99"/>
      <c r="AD163" s="99"/>
      <c r="AE163" s="99"/>
      <c r="AF163" s="99"/>
      <c r="AG163" s="99"/>
      <c r="AH163" s="99"/>
      <c r="AI163" s="99"/>
      <c r="AJ163" s="99"/>
      <c r="AK163" s="99"/>
      <c r="AL163" s="99"/>
    </row>
    <row r="164" spans="2:38">
      <c r="B164" s="100" t="str">
        <f ca="1">IF(G164="","",OFFSET('VA Front Page'!$I$11,MATCH(G164,'VA Front Page'!$C$12:$C$34,0),0))</f>
        <v/>
      </c>
      <c r="C164" s="100"/>
      <c r="E164" s="106"/>
      <c r="F164" s="99"/>
      <c r="G164" s="99"/>
      <c r="H164" s="99"/>
      <c r="I164" s="99"/>
      <c r="K164" s="99"/>
      <c r="L164" s="99"/>
      <c r="M164" s="99"/>
      <c r="N164" s="99"/>
      <c r="O164" s="99"/>
      <c r="P164" s="99"/>
      <c r="Q164" s="99"/>
      <c r="R164" s="99"/>
      <c r="S164" s="99"/>
      <c r="T164" s="99"/>
      <c r="U164" s="99"/>
      <c r="V164" s="99"/>
      <c r="X164" s="99"/>
      <c r="Y164" s="99"/>
      <c r="AA164" s="99"/>
      <c r="AB164" s="99"/>
      <c r="AC164" s="99"/>
      <c r="AD164" s="99"/>
      <c r="AE164" s="99"/>
      <c r="AF164" s="99"/>
      <c r="AG164" s="99"/>
      <c r="AH164" s="99"/>
      <c r="AI164" s="99"/>
      <c r="AJ164" s="99"/>
      <c r="AK164" s="99"/>
      <c r="AL164" s="99"/>
    </row>
    <row r="165" spans="2:38">
      <c r="B165" s="100" t="str">
        <f ca="1">IF(G165="","",OFFSET('VA Front Page'!$I$11,MATCH(G165,'VA Front Page'!$C$12:$C$34,0),0))</f>
        <v/>
      </c>
      <c r="C165" s="100"/>
      <c r="E165" s="106"/>
      <c r="F165" s="99"/>
      <c r="G165" s="99"/>
      <c r="H165" s="99"/>
      <c r="I165" s="99"/>
      <c r="K165" s="99"/>
      <c r="L165" s="99"/>
      <c r="M165" s="99"/>
      <c r="N165" s="99"/>
      <c r="O165" s="99"/>
      <c r="P165" s="99"/>
      <c r="Q165" s="99"/>
      <c r="R165" s="99"/>
      <c r="S165" s="99"/>
      <c r="T165" s="99"/>
      <c r="U165" s="99"/>
      <c r="V165" s="99"/>
      <c r="X165" s="99"/>
      <c r="Y165" s="99"/>
      <c r="AA165" s="99"/>
      <c r="AB165" s="99"/>
      <c r="AC165" s="99"/>
      <c r="AD165" s="99"/>
      <c r="AE165" s="99"/>
      <c r="AF165" s="99"/>
      <c r="AG165" s="99"/>
      <c r="AH165" s="99"/>
      <c r="AI165" s="99"/>
      <c r="AJ165" s="99"/>
      <c r="AK165" s="99"/>
      <c r="AL165" s="99"/>
    </row>
    <row r="166" spans="2:38">
      <c r="B166" s="100" t="str">
        <f ca="1">IF(G166="","",OFFSET('VA Front Page'!$I$11,MATCH(G166,'VA Front Page'!$C$12:$C$34,0),0))</f>
        <v/>
      </c>
      <c r="C166" s="100"/>
      <c r="E166" s="106"/>
      <c r="F166" s="99"/>
      <c r="G166" s="99"/>
      <c r="H166" s="99"/>
      <c r="I166" s="99"/>
      <c r="K166" s="99"/>
      <c r="L166" s="99"/>
      <c r="M166" s="99"/>
      <c r="N166" s="99"/>
      <c r="O166" s="99"/>
      <c r="P166" s="99"/>
      <c r="Q166" s="99"/>
      <c r="R166" s="99"/>
      <c r="S166" s="99"/>
      <c r="T166" s="99"/>
      <c r="U166" s="99"/>
      <c r="V166" s="99"/>
      <c r="X166" s="99"/>
      <c r="Y166" s="99"/>
      <c r="AA166" s="99"/>
      <c r="AB166" s="99"/>
      <c r="AC166" s="99"/>
      <c r="AD166" s="99"/>
      <c r="AE166" s="99"/>
      <c r="AF166" s="99"/>
      <c r="AG166" s="99"/>
      <c r="AH166" s="99"/>
      <c r="AI166" s="99"/>
      <c r="AJ166" s="99"/>
      <c r="AK166" s="99"/>
      <c r="AL166" s="99"/>
    </row>
    <row r="167" spans="2:38">
      <c r="B167" s="100" t="str">
        <f ca="1">IF(G167="","",OFFSET('VA Front Page'!$I$11,MATCH(G167,'VA Front Page'!$C$12:$C$34,0),0))</f>
        <v/>
      </c>
      <c r="C167" s="100"/>
      <c r="E167" s="106"/>
      <c r="F167" s="99"/>
      <c r="G167" s="99"/>
      <c r="H167" s="99"/>
      <c r="I167" s="99"/>
      <c r="K167" s="99"/>
      <c r="L167" s="99"/>
      <c r="M167" s="99"/>
      <c r="N167" s="99"/>
      <c r="O167" s="99"/>
      <c r="P167" s="99"/>
      <c r="Q167" s="99"/>
      <c r="R167" s="99"/>
      <c r="S167" s="99"/>
      <c r="T167" s="99"/>
      <c r="U167" s="99"/>
      <c r="V167" s="99"/>
      <c r="X167" s="99"/>
      <c r="Y167" s="99"/>
      <c r="AA167" s="99"/>
      <c r="AB167" s="99"/>
      <c r="AC167" s="99"/>
      <c r="AD167" s="99"/>
      <c r="AE167" s="99"/>
      <c r="AF167" s="99"/>
      <c r="AG167" s="99"/>
      <c r="AH167" s="99"/>
      <c r="AI167" s="99"/>
      <c r="AJ167" s="99"/>
      <c r="AK167" s="99"/>
      <c r="AL167" s="99"/>
    </row>
    <row r="168" spans="2:38">
      <c r="B168" s="100" t="str">
        <f ca="1">IF(G168="","",OFFSET('VA Front Page'!$I$11,MATCH(G168,'VA Front Page'!$C$12:$C$34,0),0))</f>
        <v/>
      </c>
      <c r="C168" s="100"/>
      <c r="E168" s="106"/>
      <c r="F168" s="99"/>
      <c r="G168" s="99"/>
      <c r="H168" s="99"/>
      <c r="I168" s="99"/>
      <c r="K168" s="99"/>
      <c r="L168" s="99"/>
      <c r="M168" s="99"/>
      <c r="N168" s="99"/>
      <c r="O168" s="99"/>
      <c r="P168" s="99"/>
      <c r="Q168" s="99"/>
      <c r="R168" s="99"/>
      <c r="S168" s="99"/>
      <c r="T168" s="99"/>
      <c r="U168" s="99"/>
      <c r="V168" s="99"/>
      <c r="X168" s="99"/>
      <c r="Y168" s="99"/>
      <c r="AA168" s="99"/>
      <c r="AB168" s="99"/>
      <c r="AC168" s="99"/>
      <c r="AD168" s="99"/>
      <c r="AE168" s="99"/>
      <c r="AF168" s="99"/>
      <c r="AG168" s="99"/>
      <c r="AH168" s="99"/>
      <c r="AI168" s="99"/>
      <c r="AJ168" s="99"/>
      <c r="AK168" s="99"/>
      <c r="AL168" s="99"/>
    </row>
    <row r="169" spans="2:38">
      <c r="B169" s="100" t="str">
        <f ca="1">IF(G169="","",OFFSET('VA Front Page'!$I$11,MATCH(G169,'VA Front Page'!$C$12:$C$34,0),0))</f>
        <v/>
      </c>
      <c r="C169" s="100"/>
      <c r="E169" s="106"/>
      <c r="F169" s="99"/>
      <c r="G169" s="99"/>
      <c r="H169" s="99"/>
      <c r="I169" s="99"/>
      <c r="K169" s="99"/>
      <c r="L169" s="99"/>
      <c r="M169" s="99"/>
      <c r="N169" s="99"/>
      <c r="O169" s="99"/>
      <c r="P169" s="99"/>
      <c r="Q169" s="99"/>
      <c r="R169" s="99"/>
      <c r="S169" s="99"/>
      <c r="T169" s="99"/>
      <c r="U169" s="99"/>
      <c r="V169" s="99"/>
      <c r="X169" s="99"/>
      <c r="Y169" s="99"/>
      <c r="AA169" s="99"/>
      <c r="AB169" s="99"/>
      <c r="AC169" s="99"/>
      <c r="AD169" s="99"/>
      <c r="AE169" s="99"/>
      <c r="AF169" s="99"/>
      <c r="AG169" s="99"/>
      <c r="AH169" s="99"/>
      <c r="AI169" s="99"/>
      <c r="AJ169" s="99"/>
      <c r="AK169" s="99"/>
      <c r="AL169" s="99"/>
    </row>
    <row r="170" spans="2:38">
      <c r="B170" s="100">
        <f ca="1">IF(G170="","",OFFSET('VA Front Page'!$I$11,MATCH(G170,'VA Front Page'!$C$12:$C$34,0),0))</f>
        <v>3.702619779955818E-2</v>
      </c>
      <c r="C170" s="100"/>
      <c r="E170" s="106"/>
      <c r="F170" s="99" t="s">
        <v>781</v>
      </c>
      <c r="G170" s="99" t="s">
        <v>180</v>
      </c>
      <c r="H170" s="99"/>
      <c r="I170" s="99"/>
      <c r="K170" s="99"/>
      <c r="L170" s="99"/>
      <c r="M170" s="99"/>
      <c r="N170" s="99"/>
      <c r="O170" s="99"/>
      <c r="P170" s="99"/>
      <c r="Q170" s="99"/>
      <c r="R170" s="99"/>
      <c r="S170" s="99"/>
      <c r="T170" s="99"/>
      <c r="U170" s="99"/>
      <c r="V170" s="99"/>
      <c r="X170" s="99"/>
      <c r="Y170" s="99"/>
      <c r="AA170" s="99"/>
      <c r="AB170" s="99"/>
      <c r="AC170" s="99"/>
      <c r="AD170" s="99"/>
      <c r="AE170" s="99"/>
      <c r="AF170" s="99"/>
      <c r="AG170" s="99"/>
      <c r="AH170" s="99"/>
      <c r="AI170" s="99"/>
      <c r="AJ170" s="99"/>
      <c r="AK170" s="99"/>
      <c r="AL170" s="99"/>
    </row>
    <row r="171" spans="2:38">
      <c r="B171" s="100" t="str">
        <f ca="1">IF(G171="","",OFFSET('VA Front Page'!$I$11,MATCH(G171,'VA Front Page'!$C$12:$C$34,0),0))</f>
        <v/>
      </c>
      <c r="C171" s="100"/>
      <c r="E171" s="106"/>
      <c r="F171" s="99"/>
      <c r="G171" s="99"/>
      <c r="H171" s="99"/>
      <c r="I171" s="99"/>
      <c r="K171" s="99"/>
      <c r="L171" s="99"/>
      <c r="M171" s="99"/>
      <c r="N171" s="99"/>
      <c r="O171" s="99"/>
      <c r="P171" s="99"/>
      <c r="Q171" s="99"/>
      <c r="R171" s="99"/>
      <c r="S171" s="99"/>
      <c r="T171" s="99"/>
      <c r="U171" s="99"/>
      <c r="V171" s="99"/>
      <c r="X171" s="99"/>
      <c r="Y171" s="99"/>
      <c r="AA171" s="99"/>
      <c r="AB171" s="99"/>
      <c r="AC171" s="99"/>
      <c r="AD171" s="99"/>
      <c r="AE171" s="99"/>
      <c r="AF171" s="99"/>
      <c r="AG171" s="99"/>
      <c r="AH171" s="99"/>
      <c r="AI171" s="99"/>
      <c r="AJ171" s="99"/>
      <c r="AK171" s="99"/>
      <c r="AL171" s="99"/>
    </row>
    <row r="172" spans="2:38">
      <c r="B172" s="100" t="str">
        <f ca="1">IF(G172="","",OFFSET('VA Front Page'!$I$11,MATCH(G172,'VA Front Page'!$C$12:$C$34,0),0))</f>
        <v/>
      </c>
      <c r="C172" s="100"/>
      <c r="E172" s="106"/>
      <c r="F172" s="99"/>
      <c r="G172" s="99"/>
      <c r="H172" s="99"/>
      <c r="I172" s="99"/>
      <c r="K172" s="99"/>
      <c r="L172" s="99"/>
      <c r="M172" s="99"/>
      <c r="N172" s="99"/>
      <c r="O172" s="99"/>
      <c r="P172" s="99"/>
      <c r="Q172" s="99"/>
      <c r="R172" s="99"/>
      <c r="S172" s="99"/>
      <c r="T172" s="99"/>
      <c r="U172" s="99"/>
      <c r="V172" s="99"/>
      <c r="X172" s="99"/>
      <c r="Y172" s="99"/>
      <c r="AA172" s="99"/>
      <c r="AB172" s="99"/>
      <c r="AC172" s="99"/>
      <c r="AD172" s="99"/>
      <c r="AE172" s="99"/>
      <c r="AF172" s="99"/>
      <c r="AG172" s="99"/>
      <c r="AH172" s="99"/>
      <c r="AI172" s="99"/>
      <c r="AJ172" s="99"/>
      <c r="AK172" s="99"/>
      <c r="AL172" s="99"/>
    </row>
    <row r="173" spans="2:38">
      <c r="B173" s="100" t="str">
        <f ca="1">IF(G173="","",OFFSET('VA Front Page'!$I$11,MATCH(G173,'VA Front Page'!$C$12:$C$34,0),0))</f>
        <v/>
      </c>
      <c r="C173" s="100"/>
      <c r="E173" s="106"/>
      <c r="F173" s="99"/>
      <c r="G173" s="99"/>
      <c r="H173" s="99"/>
      <c r="I173" s="99"/>
      <c r="K173" s="99"/>
      <c r="L173" s="99"/>
      <c r="M173" s="99"/>
      <c r="N173" s="99"/>
      <c r="O173" s="99"/>
      <c r="P173" s="99"/>
      <c r="Q173" s="99"/>
      <c r="R173" s="99"/>
      <c r="S173" s="99"/>
      <c r="T173" s="99"/>
      <c r="U173" s="99"/>
      <c r="V173" s="99"/>
      <c r="X173" s="99"/>
      <c r="Y173" s="99"/>
      <c r="AA173" s="99"/>
      <c r="AB173" s="99"/>
      <c r="AC173" s="99"/>
      <c r="AD173" s="99"/>
      <c r="AE173" s="99"/>
      <c r="AF173" s="99"/>
      <c r="AG173" s="99"/>
      <c r="AH173" s="99"/>
      <c r="AI173" s="99"/>
      <c r="AJ173" s="99"/>
      <c r="AK173" s="99"/>
      <c r="AL173" s="99"/>
    </row>
    <row r="174" spans="2:38">
      <c r="B174" s="100" t="str">
        <f ca="1">IF(G174="","",OFFSET('VA Front Page'!$I$11,MATCH(G174,'VA Front Page'!$C$12:$C$34,0),0))</f>
        <v/>
      </c>
      <c r="C174" s="100"/>
      <c r="E174" s="106"/>
      <c r="F174" s="99"/>
      <c r="G174" s="99"/>
      <c r="H174" s="99"/>
      <c r="I174" s="99"/>
      <c r="K174" s="99"/>
      <c r="L174" s="99"/>
      <c r="M174" s="99"/>
      <c r="N174" s="99"/>
      <c r="O174" s="99"/>
      <c r="P174" s="99"/>
      <c r="Q174" s="99"/>
      <c r="R174" s="99"/>
      <c r="S174" s="99"/>
      <c r="T174" s="99"/>
      <c r="U174" s="99"/>
      <c r="V174" s="99"/>
      <c r="X174" s="99"/>
      <c r="Y174" s="99"/>
      <c r="AA174" s="99"/>
      <c r="AB174" s="99"/>
      <c r="AC174" s="99"/>
      <c r="AD174" s="99"/>
      <c r="AE174" s="99"/>
      <c r="AF174" s="99"/>
      <c r="AG174" s="99"/>
      <c r="AH174" s="99"/>
      <c r="AI174" s="99"/>
      <c r="AJ174" s="99"/>
      <c r="AK174" s="99"/>
      <c r="AL174" s="99"/>
    </row>
    <row r="175" spans="2:38">
      <c r="B175" s="100" t="str">
        <f ca="1">IF(G175="","",OFFSET('VA Front Page'!$I$11,MATCH(G175,'VA Front Page'!$C$12:$C$34,0),0))</f>
        <v/>
      </c>
      <c r="C175" s="100"/>
      <c r="E175" s="106"/>
      <c r="F175" s="99"/>
      <c r="G175" s="99"/>
      <c r="H175" s="99"/>
      <c r="I175" s="99"/>
      <c r="K175" s="99"/>
      <c r="L175" s="99"/>
      <c r="M175" s="99"/>
      <c r="N175" s="99"/>
      <c r="O175" s="99"/>
      <c r="P175" s="99"/>
      <c r="Q175" s="99"/>
      <c r="R175" s="99"/>
      <c r="S175" s="99"/>
      <c r="T175" s="99"/>
      <c r="U175" s="99"/>
      <c r="V175" s="99"/>
      <c r="X175" s="99"/>
      <c r="Y175" s="99"/>
      <c r="AA175" s="99"/>
      <c r="AB175" s="99"/>
      <c r="AC175" s="99"/>
      <c r="AD175" s="99"/>
      <c r="AE175" s="99"/>
      <c r="AF175" s="99"/>
      <c r="AG175" s="99"/>
      <c r="AH175" s="99"/>
      <c r="AI175" s="99"/>
      <c r="AJ175" s="99"/>
      <c r="AK175" s="99"/>
      <c r="AL175" s="99"/>
    </row>
    <row r="176" spans="2:38">
      <c r="B176" s="100" t="str">
        <f ca="1">IF(G176="","",OFFSET('VA Front Page'!$I$11,MATCH(G176,'VA Front Page'!$C$12:$C$34,0),0))</f>
        <v/>
      </c>
      <c r="C176" s="100"/>
      <c r="E176" s="106"/>
      <c r="F176" s="99"/>
      <c r="G176" s="99"/>
      <c r="H176" s="99"/>
      <c r="I176" s="99"/>
      <c r="K176" s="99"/>
      <c r="L176" s="99"/>
      <c r="M176" s="99"/>
      <c r="N176" s="99"/>
      <c r="O176" s="99"/>
      <c r="P176" s="99"/>
      <c r="Q176" s="99"/>
      <c r="R176" s="99"/>
      <c r="S176" s="99"/>
      <c r="T176" s="99"/>
      <c r="U176" s="99"/>
      <c r="V176" s="99"/>
      <c r="X176" s="99"/>
      <c r="Y176" s="99"/>
      <c r="AA176" s="99"/>
      <c r="AB176" s="99"/>
      <c r="AC176" s="99"/>
      <c r="AD176" s="99"/>
      <c r="AE176" s="99"/>
      <c r="AF176" s="99"/>
      <c r="AG176" s="99"/>
      <c r="AH176" s="99"/>
      <c r="AI176" s="99"/>
      <c r="AJ176" s="99"/>
      <c r="AK176" s="99"/>
      <c r="AL176" s="99"/>
    </row>
    <row r="177" spans="2:38">
      <c r="B177" s="100" t="str">
        <f ca="1">IF(G177="","",OFFSET('VA Front Page'!$I$11,MATCH(G177,'VA Front Page'!$C$12:$C$34,0),0))</f>
        <v/>
      </c>
      <c r="C177" s="100"/>
      <c r="E177" s="106"/>
      <c r="F177" s="99"/>
      <c r="G177" s="99"/>
      <c r="H177" s="99"/>
      <c r="I177" s="99"/>
      <c r="K177" s="99"/>
      <c r="L177" s="99"/>
      <c r="M177" s="99"/>
      <c r="N177" s="99"/>
      <c r="O177" s="99"/>
      <c r="P177" s="99"/>
      <c r="Q177" s="99"/>
      <c r="R177" s="99"/>
      <c r="S177" s="99"/>
      <c r="T177" s="99"/>
      <c r="U177" s="99"/>
      <c r="V177" s="99"/>
      <c r="X177" s="99"/>
      <c r="Y177" s="99"/>
      <c r="AA177" s="99"/>
      <c r="AB177" s="99"/>
      <c r="AC177" s="99"/>
      <c r="AD177" s="99"/>
      <c r="AE177" s="99"/>
      <c r="AF177" s="99"/>
      <c r="AG177" s="99"/>
      <c r="AH177" s="99"/>
      <c r="AI177" s="99"/>
      <c r="AJ177" s="99"/>
      <c r="AK177" s="99"/>
      <c r="AL177" s="99"/>
    </row>
    <row r="178" spans="2:38">
      <c r="B178" s="100">
        <f ca="1">IF(G178="","",OFFSET('VA Front Page'!$I$11,MATCH(G178,'VA Front Page'!$C$12:$C$34,0),0))</f>
        <v>1.7242580865884573E-2</v>
      </c>
      <c r="C178" s="100"/>
      <c r="E178" s="106"/>
      <c r="F178" s="99" t="s">
        <v>781</v>
      </c>
      <c r="G178" s="99" t="s">
        <v>190</v>
      </c>
      <c r="H178" s="99"/>
      <c r="I178" s="99"/>
      <c r="K178" s="99"/>
      <c r="L178" s="99"/>
      <c r="M178" s="99"/>
      <c r="N178" s="99"/>
      <c r="O178" s="99"/>
      <c r="P178" s="99"/>
      <c r="Q178" s="99"/>
      <c r="R178" s="99"/>
      <c r="S178" s="99"/>
      <c r="T178" s="99"/>
      <c r="U178" s="99"/>
      <c r="V178" s="99"/>
      <c r="X178" s="99"/>
      <c r="Y178" s="99"/>
      <c r="AA178" s="99"/>
      <c r="AB178" s="99"/>
      <c r="AC178" s="99"/>
      <c r="AD178" s="99"/>
      <c r="AE178" s="99"/>
      <c r="AF178" s="99"/>
      <c r="AG178" s="99"/>
      <c r="AH178" s="99"/>
      <c r="AI178" s="99"/>
      <c r="AJ178" s="99"/>
      <c r="AK178" s="99"/>
      <c r="AL178" s="99"/>
    </row>
    <row r="179" spans="2:38">
      <c r="B179" s="100" t="str">
        <f ca="1">IF(G179="","",OFFSET('VA Front Page'!$I$11,MATCH(G179,'VA Front Page'!$C$12:$C$34,0),0))</f>
        <v/>
      </c>
      <c r="C179" s="100"/>
      <c r="E179" s="106"/>
      <c r="F179" s="99"/>
      <c r="G179" s="99"/>
      <c r="H179" s="99"/>
      <c r="I179" s="99"/>
      <c r="K179" s="99"/>
      <c r="L179" s="99"/>
      <c r="M179" s="99"/>
      <c r="N179" s="99"/>
      <c r="O179" s="99"/>
      <c r="P179" s="99"/>
      <c r="Q179" s="99"/>
      <c r="R179" s="99"/>
      <c r="S179" s="99"/>
      <c r="T179" s="99"/>
      <c r="U179" s="99"/>
      <c r="V179" s="99"/>
      <c r="X179" s="99"/>
      <c r="Y179" s="99"/>
      <c r="AA179" s="99"/>
      <c r="AB179" s="99"/>
      <c r="AC179" s="99"/>
      <c r="AD179" s="99"/>
      <c r="AE179" s="99"/>
      <c r="AF179" s="99"/>
      <c r="AG179" s="99"/>
      <c r="AH179" s="99"/>
      <c r="AI179" s="99"/>
      <c r="AJ179" s="99"/>
      <c r="AK179" s="99"/>
      <c r="AL179" s="99"/>
    </row>
    <row r="180" spans="2:38">
      <c r="B180" s="100" t="str">
        <f ca="1">IF(G180="","",OFFSET('VA Front Page'!$I$11,MATCH(G180,'VA Front Page'!$C$12:$C$34,0),0))</f>
        <v/>
      </c>
      <c r="C180" s="100"/>
      <c r="E180" s="106"/>
      <c r="F180" s="99"/>
      <c r="G180" s="99"/>
      <c r="H180" s="99"/>
      <c r="I180" s="99"/>
      <c r="K180" s="99"/>
      <c r="L180" s="99"/>
      <c r="M180" s="99"/>
      <c r="N180" s="99"/>
      <c r="O180" s="99"/>
      <c r="P180" s="99"/>
      <c r="Q180" s="99"/>
      <c r="R180" s="99"/>
      <c r="S180" s="99"/>
      <c r="T180" s="99"/>
      <c r="U180" s="99"/>
      <c r="V180" s="99"/>
      <c r="X180" s="99"/>
      <c r="Y180" s="99"/>
      <c r="AA180" s="99"/>
      <c r="AB180" s="99"/>
      <c r="AC180" s="99"/>
      <c r="AD180" s="99"/>
      <c r="AE180" s="99"/>
      <c r="AF180" s="99"/>
      <c r="AG180" s="99"/>
      <c r="AH180" s="99"/>
      <c r="AI180" s="99"/>
      <c r="AJ180" s="99"/>
      <c r="AK180" s="99"/>
      <c r="AL180" s="99"/>
    </row>
    <row r="181" spans="2:38">
      <c r="B181" s="100" t="str">
        <f ca="1">IF(G181="","",OFFSET('VA Front Page'!$I$11,MATCH(G181,'VA Front Page'!$C$12:$C$34,0),0))</f>
        <v/>
      </c>
      <c r="C181" s="100"/>
      <c r="E181" s="106"/>
      <c r="F181" s="99"/>
      <c r="G181" s="99"/>
      <c r="H181" s="99"/>
      <c r="I181" s="99"/>
      <c r="K181" s="99"/>
      <c r="L181" s="99"/>
      <c r="M181" s="99"/>
      <c r="N181" s="99"/>
      <c r="O181" s="99"/>
      <c r="P181" s="99"/>
      <c r="Q181" s="99"/>
      <c r="R181" s="99"/>
      <c r="S181" s="99"/>
      <c r="T181" s="99"/>
      <c r="U181" s="99"/>
      <c r="V181" s="99"/>
      <c r="X181" s="99"/>
      <c r="Y181" s="99"/>
      <c r="AA181" s="99"/>
      <c r="AB181" s="99"/>
      <c r="AC181" s="99"/>
      <c r="AD181" s="99"/>
      <c r="AE181" s="99"/>
      <c r="AF181" s="99"/>
      <c r="AG181" s="99"/>
      <c r="AH181" s="99"/>
      <c r="AI181" s="99"/>
      <c r="AJ181" s="99"/>
      <c r="AK181" s="99"/>
      <c r="AL181" s="99"/>
    </row>
    <row r="182" spans="2:38">
      <c r="B182" s="100" t="str">
        <f ca="1">IF(G182="","",OFFSET('VA Front Page'!$I$11,MATCH(G182,'VA Front Page'!$C$12:$C$34,0),0))</f>
        <v/>
      </c>
      <c r="C182" s="100"/>
      <c r="E182" s="106"/>
      <c r="F182" s="99"/>
      <c r="G182" s="99"/>
      <c r="H182" s="99"/>
      <c r="I182" s="99"/>
      <c r="K182" s="99"/>
      <c r="L182" s="99"/>
      <c r="M182" s="99"/>
      <c r="N182" s="99"/>
      <c r="O182" s="99"/>
      <c r="P182" s="99"/>
      <c r="Q182" s="99"/>
      <c r="R182" s="99"/>
      <c r="S182" s="99"/>
      <c r="T182" s="99"/>
      <c r="U182" s="99"/>
      <c r="V182" s="99"/>
      <c r="X182" s="99"/>
      <c r="Y182" s="99"/>
      <c r="AA182" s="99"/>
      <c r="AB182" s="99"/>
      <c r="AC182" s="99"/>
      <c r="AD182" s="99"/>
      <c r="AE182" s="99"/>
      <c r="AF182" s="99"/>
      <c r="AG182" s="99"/>
      <c r="AH182" s="99"/>
      <c r="AI182" s="99"/>
      <c r="AJ182" s="99"/>
      <c r="AK182" s="99"/>
      <c r="AL182" s="99"/>
    </row>
    <row r="183" spans="2:38">
      <c r="B183" s="100" t="str">
        <f ca="1">IF(G183="","",OFFSET('VA Front Page'!$I$11,MATCH(G183,'VA Front Page'!$C$12:$C$34,0),0))</f>
        <v/>
      </c>
      <c r="C183" s="100"/>
      <c r="E183" s="106"/>
      <c r="F183" s="99"/>
      <c r="G183" s="99"/>
      <c r="H183" s="99"/>
      <c r="I183" s="99"/>
      <c r="K183" s="99"/>
      <c r="L183" s="99"/>
      <c r="M183" s="99"/>
      <c r="N183" s="99"/>
      <c r="O183" s="99"/>
      <c r="P183" s="99"/>
      <c r="Q183" s="99"/>
      <c r="R183" s="99"/>
      <c r="S183" s="99"/>
      <c r="T183" s="99"/>
      <c r="U183" s="99"/>
      <c r="V183" s="99"/>
      <c r="X183" s="99"/>
      <c r="Y183" s="99"/>
      <c r="AA183" s="99"/>
      <c r="AB183" s="99"/>
      <c r="AC183" s="99"/>
      <c r="AD183" s="99"/>
      <c r="AE183" s="99"/>
      <c r="AF183" s="99"/>
      <c r="AG183" s="99"/>
      <c r="AH183" s="99"/>
      <c r="AI183" s="99"/>
      <c r="AJ183" s="99"/>
      <c r="AK183" s="99"/>
      <c r="AL183" s="99"/>
    </row>
    <row r="184" spans="2:38">
      <c r="B184" s="100">
        <f ca="1">IF(G184="","",OFFSET('VA Front Page'!$I$11,MATCH(G184,'VA Front Page'!$C$12:$C$34,0),0))</f>
        <v>6.1281523698651225E-2</v>
      </c>
      <c r="C184" s="100"/>
      <c r="E184" s="106"/>
      <c r="F184" s="99" t="s">
        <v>781</v>
      </c>
      <c r="G184" s="99" t="s">
        <v>199</v>
      </c>
      <c r="H184" s="99"/>
      <c r="I184" s="99"/>
      <c r="K184" s="99"/>
      <c r="L184" s="99"/>
      <c r="M184" s="99"/>
      <c r="N184" s="99"/>
      <c r="O184" s="99"/>
      <c r="P184" s="99"/>
      <c r="Q184" s="99"/>
      <c r="R184" s="99"/>
      <c r="S184" s="99"/>
      <c r="T184" s="99"/>
      <c r="U184" s="99"/>
      <c r="V184" s="99"/>
      <c r="X184" s="99"/>
      <c r="Y184" s="99"/>
      <c r="AA184" s="99"/>
      <c r="AB184" s="99"/>
      <c r="AC184" s="99"/>
      <c r="AD184" s="99"/>
      <c r="AE184" s="99"/>
      <c r="AF184" s="99"/>
      <c r="AG184" s="99"/>
      <c r="AH184" s="99"/>
      <c r="AI184" s="99"/>
      <c r="AJ184" s="99"/>
      <c r="AK184" s="99"/>
      <c r="AL184" s="99"/>
    </row>
    <row r="185" spans="2:38">
      <c r="B185" s="100" t="str">
        <f ca="1">IF(G185="","",OFFSET('VA Front Page'!$I$11,MATCH(G185,'VA Front Page'!$C$12:$C$34,0),0))</f>
        <v/>
      </c>
      <c r="C185" s="100"/>
      <c r="E185" s="106"/>
      <c r="F185" s="99"/>
      <c r="G185" s="99"/>
      <c r="H185" s="99"/>
      <c r="I185" s="99"/>
      <c r="K185" s="99"/>
      <c r="L185" s="99"/>
      <c r="M185" s="99"/>
      <c r="N185" s="99"/>
      <c r="O185" s="99"/>
      <c r="P185" s="99"/>
      <c r="Q185" s="99"/>
      <c r="R185" s="99"/>
      <c r="S185" s="99"/>
      <c r="T185" s="99"/>
      <c r="U185" s="99"/>
      <c r="V185" s="99"/>
      <c r="X185" s="99"/>
      <c r="Y185" s="99"/>
      <c r="AA185" s="99"/>
      <c r="AB185" s="99"/>
      <c r="AC185" s="99"/>
      <c r="AD185" s="99"/>
      <c r="AE185" s="99"/>
      <c r="AF185" s="99"/>
      <c r="AG185" s="99"/>
      <c r="AH185" s="99"/>
      <c r="AI185" s="99"/>
      <c r="AJ185" s="99"/>
      <c r="AK185" s="99"/>
      <c r="AL185" s="99"/>
    </row>
    <row r="186" spans="2:38">
      <c r="B186" s="100" t="str">
        <f ca="1">IF(G186="","",OFFSET('VA Front Page'!$I$11,MATCH(G186,'VA Front Page'!$C$12:$C$34,0),0))</f>
        <v/>
      </c>
      <c r="C186" s="100"/>
      <c r="E186" s="106"/>
      <c r="F186" s="99"/>
      <c r="G186" s="99"/>
      <c r="H186" s="99"/>
      <c r="I186" s="99"/>
      <c r="K186" s="99"/>
      <c r="L186" s="99"/>
      <c r="M186" s="99"/>
      <c r="N186" s="99"/>
      <c r="O186" s="99"/>
      <c r="P186" s="99"/>
      <c r="Q186" s="99"/>
      <c r="R186" s="99"/>
      <c r="S186" s="99"/>
      <c r="T186" s="99"/>
      <c r="U186" s="99"/>
      <c r="V186" s="99"/>
      <c r="X186" s="99"/>
      <c r="Y186" s="99"/>
      <c r="AA186" s="99"/>
      <c r="AB186" s="99"/>
      <c r="AC186" s="99"/>
      <c r="AD186" s="99"/>
      <c r="AE186" s="99"/>
      <c r="AF186" s="99"/>
      <c r="AG186" s="99"/>
      <c r="AH186" s="99"/>
      <c r="AI186" s="99"/>
      <c r="AJ186" s="99"/>
      <c r="AK186" s="99"/>
      <c r="AL186" s="99"/>
    </row>
    <row r="187" spans="2:38">
      <c r="B187" s="100" t="str">
        <f ca="1">IF(G187="","",OFFSET('VA Front Page'!$I$11,MATCH(G187,'VA Front Page'!$C$12:$C$34,0),0))</f>
        <v/>
      </c>
      <c r="C187" s="100"/>
      <c r="E187" s="106"/>
      <c r="F187" s="99"/>
      <c r="G187" s="99"/>
      <c r="H187" s="99"/>
      <c r="I187" s="99"/>
      <c r="K187" s="99"/>
      <c r="L187" s="99"/>
      <c r="M187" s="99"/>
      <c r="N187" s="99"/>
      <c r="O187" s="99"/>
      <c r="P187" s="99"/>
      <c r="Q187" s="99"/>
      <c r="R187" s="99"/>
      <c r="S187" s="99"/>
      <c r="T187" s="99"/>
      <c r="U187" s="99"/>
      <c r="V187" s="99"/>
      <c r="X187" s="99"/>
      <c r="Y187" s="99"/>
      <c r="AA187" s="99"/>
      <c r="AB187" s="99"/>
      <c r="AC187" s="99"/>
      <c r="AD187" s="99"/>
      <c r="AE187" s="99"/>
      <c r="AF187" s="99"/>
      <c r="AG187" s="99"/>
      <c r="AH187" s="99"/>
      <c r="AI187" s="99"/>
      <c r="AJ187" s="99"/>
      <c r="AK187" s="99"/>
      <c r="AL187" s="99"/>
    </row>
    <row r="188" spans="2:38">
      <c r="B188" s="100" t="str">
        <f ca="1">IF(G188="","",OFFSET('VA Front Page'!$I$11,MATCH(G188,'VA Front Page'!$C$12:$C$34,0),0))</f>
        <v/>
      </c>
      <c r="C188" s="100"/>
      <c r="E188" s="106"/>
      <c r="F188" s="99"/>
      <c r="G188" s="99"/>
      <c r="H188" s="99"/>
      <c r="I188" s="99"/>
      <c r="K188" s="99"/>
      <c r="L188" s="99"/>
      <c r="M188" s="99"/>
      <c r="N188" s="99"/>
      <c r="O188" s="99"/>
      <c r="P188" s="99"/>
      <c r="Q188" s="99"/>
      <c r="R188" s="99"/>
      <c r="S188" s="99"/>
      <c r="T188" s="99"/>
      <c r="U188" s="99"/>
      <c r="V188" s="99"/>
      <c r="X188" s="99"/>
      <c r="Y188" s="99"/>
      <c r="AA188" s="99"/>
      <c r="AB188" s="99"/>
      <c r="AC188" s="99"/>
      <c r="AD188" s="99"/>
      <c r="AE188" s="99"/>
      <c r="AF188" s="99"/>
      <c r="AG188" s="99"/>
      <c r="AH188" s="99"/>
      <c r="AI188" s="99"/>
      <c r="AJ188" s="99"/>
      <c r="AK188" s="99"/>
      <c r="AL188" s="99"/>
    </row>
    <row r="189" spans="2:38">
      <c r="B189" s="100" t="str">
        <f ca="1">IF(G189="","",OFFSET('VA Front Page'!$I$11,MATCH(G189,'VA Front Page'!$C$12:$C$34,0),0))</f>
        <v/>
      </c>
      <c r="C189" s="100"/>
      <c r="E189" s="106"/>
      <c r="F189" s="99"/>
      <c r="G189" s="99"/>
      <c r="H189" s="99"/>
      <c r="I189" s="99"/>
      <c r="K189" s="99"/>
      <c r="L189" s="99"/>
      <c r="M189" s="99"/>
      <c r="N189" s="99"/>
      <c r="O189" s="99"/>
      <c r="P189" s="99"/>
      <c r="Q189" s="99"/>
      <c r="R189" s="99"/>
      <c r="S189" s="99"/>
      <c r="T189" s="99"/>
      <c r="U189" s="99"/>
      <c r="V189" s="99"/>
      <c r="X189" s="99"/>
      <c r="Y189" s="99"/>
      <c r="AA189" s="99"/>
      <c r="AB189" s="99"/>
      <c r="AC189" s="99"/>
      <c r="AD189" s="99"/>
      <c r="AE189" s="99"/>
      <c r="AF189" s="99"/>
      <c r="AG189" s="99"/>
      <c r="AH189" s="99"/>
      <c r="AI189" s="99"/>
      <c r="AJ189" s="99"/>
      <c r="AK189" s="99"/>
      <c r="AL189" s="99"/>
    </row>
    <row r="190" spans="2:38">
      <c r="B190" s="100" t="str">
        <f ca="1">IF(G190="","",OFFSET('VA Front Page'!$I$11,MATCH(G190,'VA Front Page'!$C$12:$C$34,0),0))</f>
        <v/>
      </c>
      <c r="C190" s="100"/>
      <c r="E190" s="106"/>
      <c r="F190" s="99"/>
      <c r="G190" s="99"/>
      <c r="H190" s="99"/>
      <c r="I190" s="99"/>
      <c r="K190" s="99"/>
      <c r="L190" s="99"/>
      <c r="M190" s="99"/>
      <c r="N190" s="99"/>
      <c r="O190" s="99"/>
      <c r="P190" s="99"/>
      <c r="Q190" s="99"/>
      <c r="R190" s="99"/>
      <c r="S190" s="99"/>
      <c r="T190" s="99"/>
      <c r="U190" s="99"/>
      <c r="V190" s="99"/>
      <c r="X190" s="99"/>
      <c r="Y190" s="99"/>
      <c r="AA190" s="99"/>
      <c r="AB190" s="99"/>
      <c r="AC190" s="99"/>
      <c r="AD190" s="99"/>
      <c r="AE190" s="99"/>
      <c r="AF190" s="99"/>
      <c r="AG190" s="99"/>
      <c r="AH190" s="99"/>
      <c r="AI190" s="99"/>
      <c r="AJ190" s="99"/>
      <c r="AK190" s="99"/>
      <c r="AL190" s="99"/>
    </row>
    <row r="191" spans="2:38">
      <c r="B191" s="100" t="str">
        <f ca="1">IF(G191="","",OFFSET('VA Front Page'!$I$11,MATCH(G191,'VA Front Page'!$C$12:$C$34,0),0))</f>
        <v/>
      </c>
      <c r="C191" s="100"/>
      <c r="E191" s="106"/>
      <c r="F191" s="99"/>
      <c r="G191" s="99"/>
      <c r="H191" s="99"/>
      <c r="I191" s="99"/>
      <c r="K191" s="99"/>
      <c r="L191" s="99"/>
      <c r="M191" s="99"/>
      <c r="N191" s="99"/>
      <c r="O191" s="99"/>
      <c r="P191" s="99"/>
      <c r="Q191" s="99"/>
      <c r="R191" s="99"/>
      <c r="S191" s="99"/>
      <c r="T191" s="99"/>
      <c r="U191" s="99"/>
      <c r="V191" s="99"/>
      <c r="X191" s="99"/>
      <c r="Y191" s="99"/>
      <c r="AA191" s="99"/>
      <c r="AB191" s="99"/>
      <c r="AC191" s="99"/>
      <c r="AD191" s="99"/>
      <c r="AE191" s="99"/>
      <c r="AF191" s="99"/>
      <c r="AG191" s="99"/>
      <c r="AH191" s="99"/>
      <c r="AI191" s="99"/>
      <c r="AJ191" s="99"/>
      <c r="AK191" s="99"/>
      <c r="AL191" s="99"/>
    </row>
    <row r="192" spans="2:38">
      <c r="B192" s="100">
        <f ca="1">IF(G192="","",OFFSET('VA Front Page'!$I$11,MATCH(G192,'VA Front Page'!$C$12:$C$34,0),0))</f>
        <v>6.1281523698651225E-2</v>
      </c>
      <c r="C192" s="100"/>
      <c r="E192" s="106"/>
      <c r="F192" s="99" t="s">
        <v>781</v>
      </c>
      <c r="G192" s="99" t="s">
        <v>204</v>
      </c>
      <c r="H192" s="99"/>
      <c r="I192" s="99"/>
      <c r="K192" s="99"/>
      <c r="L192" s="99"/>
      <c r="M192" s="99"/>
      <c r="N192" s="99"/>
      <c r="O192" s="99"/>
      <c r="P192" s="99"/>
      <c r="Q192" s="99"/>
      <c r="R192" s="99"/>
      <c r="S192" s="99"/>
      <c r="T192" s="99"/>
      <c r="U192" s="99"/>
      <c r="V192" s="99"/>
      <c r="X192" s="99"/>
      <c r="Y192" s="99"/>
      <c r="AA192" s="99"/>
      <c r="AB192" s="99"/>
      <c r="AC192" s="99"/>
      <c r="AD192" s="99"/>
      <c r="AE192" s="99"/>
      <c r="AF192" s="99"/>
      <c r="AG192" s="99"/>
      <c r="AH192" s="99"/>
      <c r="AI192" s="99"/>
      <c r="AJ192" s="99"/>
      <c r="AK192" s="99"/>
      <c r="AL192" s="99"/>
    </row>
  </sheetData>
  <mergeCells count="9">
    <mergeCell ref="K2:V2"/>
    <mergeCell ref="B2:D2"/>
    <mergeCell ref="AA2:AL2"/>
    <mergeCell ref="Y2:Y3"/>
    <mergeCell ref="F2:F3"/>
    <mergeCell ref="G2:G3"/>
    <mergeCell ref="I2:I3"/>
    <mergeCell ref="H2:H3"/>
    <mergeCell ref="X2:X3"/>
  </mergeCells>
  <phoneticPr fontId="3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outlinePr summaryBelow="0" summaryRight="0"/>
    <pageSetUpPr fitToPage="1"/>
  </sheetPr>
  <dimension ref="A1:Z220"/>
  <sheetViews>
    <sheetView workbookViewId="0">
      <selection sqref="A1:H1"/>
    </sheetView>
  </sheetViews>
  <sheetFormatPr defaultColWidth="12.5703125" defaultRowHeight="15" customHeight="1" outlineLevelRow="2"/>
  <cols>
    <col min="1" max="1" width="12.28515625" customWidth="1"/>
    <col min="2" max="2" width="18.7109375" customWidth="1"/>
    <col min="3" max="3" width="103.42578125" customWidth="1"/>
    <col min="4" max="4" width="29.5703125" customWidth="1"/>
    <col min="5" max="5" width="38.140625" customWidth="1"/>
    <col min="6" max="6" width="13.5703125" customWidth="1"/>
    <col min="7" max="7" width="14.7109375" customWidth="1"/>
    <col min="8" max="8" width="22.7109375" customWidth="1"/>
    <col min="9" max="26" width="12.5703125" style="37"/>
  </cols>
  <sheetData>
    <row r="1" spans="1:8" ht="27" customHeight="1">
      <c r="A1" s="607" t="s">
        <v>0</v>
      </c>
      <c r="B1" s="608"/>
      <c r="C1" s="608"/>
      <c r="D1" s="608"/>
      <c r="E1" s="608"/>
      <c r="F1" s="608"/>
      <c r="G1" s="608"/>
      <c r="H1" s="609"/>
    </row>
    <row r="2" spans="1:8" ht="22.5" customHeight="1">
      <c r="A2" s="610" t="s">
        <v>1</v>
      </c>
      <c r="B2" s="611"/>
      <c r="C2" s="611"/>
      <c r="D2" s="611"/>
      <c r="E2" s="611"/>
      <c r="F2" s="611"/>
      <c r="G2" s="611"/>
      <c r="H2" s="612"/>
    </row>
    <row r="3" spans="1:8" ht="24.75" customHeight="1">
      <c r="A3" s="1" t="s">
        <v>2</v>
      </c>
      <c r="B3" s="2" t="s">
        <v>3</v>
      </c>
      <c r="C3" s="1" t="s">
        <v>4</v>
      </c>
      <c r="D3" s="2" t="s">
        <v>5</v>
      </c>
      <c r="E3" s="3" t="s">
        <v>6</v>
      </c>
      <c r="F3" s="4" t="s">
        <v>7</v>
      </c>
      <c r="G3" s="1" t="s">
        <v>5</v>
      </c>
      <c r="H3" s="1" t="s">
        <v>8</v>
      </c>
    </row>
    <row r="4" spans="1:8" ht="15" customHeight="1">
      <c r="A4" s="605" t="s">
        <v>9</v>
      </c>
      <c r="B4" s="602"/>
      <c r="C4" s="602"/>
      <c r="D4" s="602"/>
      <c r="E4" s="602"/>
      <c r="F4" s="602"/>
      <c r="G4" s="602"/>
      <c r="H4" s="603"/>
    </row>
    <row r="5" spans="1:8" ht="15" customHeight="1" outlineLevel="1">
      <c r="A5" s="5"/>
      <c r="B5" s="595" t="s">
        <v>10</v>
      </c>
      <c r="C5" s="6"/>
      <c r="D5" s="7"/>
      <c r="E5" s="8"/>
      <c r="F5" s="8"/>
      <c r="G5" s="8"/>
      <c r="H5" s="8"/>
    </row>
    <row r="6" spans="1:8" ht="15" customHeight="1" outlineLevel="2">
      <c r="A6" s="9"/>
      <c r="B6" s="604"/>
      <c r="C6" s="10" t="s">
        <v>11</v>
      </c>
      <c r="D6" s="11" t="s">
        <v>12</v>
      </c>
      <c r="E6" s="12" t="s">
        <v>13</v>
      </c>
      <c r="F6" s="8"/>
      <c r="G6" s="12" t="s">
        <v>12</v>
      </c>
      <c r="H6" s="13" t="s">
        <v>14</v>
      </c>
    </row>
    <row r="7" spans="1:8" ht="15" customHeight="1" outlineLevel="2">
      <c r="A7" s="9"/>
      <c r="B7" s="604"/>
      <c r="C7" s="6" t="s">
        <v>1313</v>
      </c>
      <c r="D7" s="11" t="s">
        <v>12</v>
      </c>
      <c r="E7" s="12"/>
      <c r="F7" s="8"/>
      <c r="G7" s="13"/>
      <c r="H7" s="13"/>
    </row>
    <row r="8" spans="1:8" ht="15" customHeight="1" outlineLevel="2">
      <c r="A8" s="150"/>
      <c r="B8" s="604"/>
      <c r="C8" s="10" t="s">
        <v>1314</v>
      </c>
      <c r="D8" s="31" t="s">
        <v>12</v>
      </c>
      <c r="E8" s="13"/>
      <c r="F8" s="17"/>
      <c r="G8" s="13"/>
      <c r="H8" s="13"/>
    </row>
    <row r="9" spans="1:8" ht="15" customHeight="1" outlineLevel="2">
      <c r="A9" s="9"/>
      <c r="B9" s="604"/>
      <c r="C9" s="6" t="s">
        <v>16</v>
      </c>
      <c r="D9" s="7" t="s">
        <v>17</v>
      </c>
      <c r="E9" s="12" t="s">
        <v>18</v>
      </c>
      <c r="F9" s="8"/>
      <c r="G9" s="13"/>
      <c r="H9" s="13"/>
    </row>
    <row r="10" spans="1:8" ht="15" customHeight="1" outlineLevel="2">
      <c r="A10" s="9"/>
      <c r="B10" s="604"/>
      <c r="C10" s="10" t="s">
        <v>19</v>
      </c>
      <c r="D10" s="14" t="s">
        <v>20</v>
      </c>
      <c r="E10" s="12" t="s">
        <v>21</v>
      </c>
      <c r="F10" s="8"/>
      <c r="G10" s="13"/>
      <c r="H10" s="13"/>
    </row>
    <row r="11" spans="1:8" ht="15" customHeight="1" outlineLevel="2">
      <c r="A11" s="9"/>
      <c r="B11" s="604"/>
      <c r="C11" s="6" t="s">
        <v>22</v>
      </c>
      <c r="D11" s="11" t="s">
        <v>23</v>
      </c>
      <c r="E11" s="13"/>
      <c r="F11" s="8"/>
      <c r="G11" s="13"/>
      <c r="H11" s="13"/>
    </row>
    <row r="12" spans="1:8" ht="15" customHeight="1" outlineLevel="2">
      <c r="A12" s="9"/>
      <c r="B12" s="604"/>
      <c r="C12" s="6" t="s">
        <v>24</v>
      </c>
      <c r="D12" s="7" t="s">
        <v>25</v>
      </c>
      <c r="E12" s="13"/>
      <c r="F12" s="8"/>
      <c r="G12" s="13"/>
      <c r="H12" s="13"/>
    </row>
    <row r="13" spans="1:8" ht="15" customHeight="1" outlineLevel="2">
      <c r="A13" s="9"/>
      <c r="B13" s="604"/>
      <c r="C13" s="10" t="s">
        <v>26</v>
      </c>
      <c r="D13" s="7"/>
      <c r="E13" s="13"/>
      <c r="F13" s="8"/>
      <c r="G13" s="13"/>
      <c r="H13" s="13"/>
    </row>
    <row r="14" spans="1:8" ht="15" customHeight="1" outlineLevel="2">
      <c r="A14" s="9"/>
      <c r="B14" s="604"/>
      <c r="C14" s="10" t="s">
        <v>27</v>
      </c>
      <c r="D14" s="11" t="s">
        <v>28</v>
      </c>
      <c r="E14" s="12" t="s">
        <v>18</v>
      </c>
      <c r="F14" s="8"/>
      <c r="G14" s="13"/>
      <c r="H14" s="13"/>
    </row>
    <row r="15" spans="1:8" ht="15" customHeight="1" outlineLevel="2">
      <c r="A15" s="9"/>
      <c r="B15" s="604"/>
      <c r="C15" s="15" t="s">
        <v>29</v>
      </c>
      <c r="D15" s="16" t="s">
        <v>30</v>
      </c>
      <c r="E15" s="17"/>
      <c r="F15" s="17"/>
      <c r="G15" s="13"/>
      <c r="H15" s="13"/>
    </row>
    <row r="16" spans="1:8" ht="15" customHeight="1" outlineLevel="2">
      <c r="A16" s="9"/>
      <c r="B16" s="604"/>
      <c r="C16" s="18" t="s">
        <v>211</v>
      </c>
      <c r="D16" s="11" t="s">
        <v>369</v>
      </c>
      <c r="E16" s="17"/>
      <c r="F16" s="17"/>
      <c r="G16" s="13"/>
      <c r="H16" s="13"/>
    </row>
    <row r="17" spans="1:8" ht="15" customHeight="1" outlineLevel="2">
      <c r="A17" s="9"/>
      <c r="B17" s="604"/>
      <c r="C17" s="18" t="s">
        <v>31</v>
      </c>
      <c r="D17" s="31" t="s">
        <v>369</v>
      </c>
      <c r="E17" s="12"/>
      <c r="F17" s="17"/>
      <c r="G17" s="13"/>
      <c r="H17" s="13"/>
    </row>
    <row r="18" spans="1:8" ht="15" customHeight="1" outlineLevel="2">
      <c r="A18" s="9"/>
      <c r="B18" s="604"/>
      <c r="C18" s="18" t="s">
        <v>32</v>
      </c>
      <c r="D18" s="11" t="s">
        <v>12</v>
      </c>
      <c r="E18" s="12" t="s">
        <v>33</v>
      </c>
      <c r="F18" s="17"/>
      <c r="G18" s="13"/>
      <c r="H18" s="13"/>
    </row>
    <row r="19" spans="1:8" ht="15" customHeight="1" outlineLevel="2">
      <c r="A19" s="9"/>
      <c r="B19" s="604"/>
      <c r="C19" s="18" t="s">
        <v>34</v>
      </c>
      <c r="D19" s="11" t="s">
        <v>12</v>
      </c>
      <c r="E19" s="17"/>
      <c r="F19" s="17"/>
      <c r="G19" s="13"/>
      <c r="H19" s="13"/>
    </row>
    <row r="20" spans="1:8" ht="15" customHeight="1" outlineLevel="2">
      <c r="A20" s="9"/>
      <c r="B20" s="604"/>
      <c r="C20" s="18" t="s">
        <v>35</v>
      </c>
      <c r="D20" s="11" t="s">
        <v>12</v>
      </c>
      <c r="E20" s="17"/>
      <c r="F20" s="17"/>
      <c r="G20" s="13"/>
      <c r="H20" s="13"/>
    </row>
    <row r="21" spans="1:8" ht="15" customHeight="1" outlineLevel="2">
      <c r="A21" s="9"/>
      <c r="B21" s="604"/>
      <c r="C21" s="18" t="s">
        <v>36</v>
      </c>
      <c r="D21" s="11" t="s">
        <v>12</v>
      </c>
      <c r="E21" s="17"/>
      <c r="F21" s="17"/>
      <c r="G21" s="13"/>
      <c r="H21" s="13"/>
    </row>
    <row r="22" spans="1:8" ht="15" customHeight="1" outlineLevel="2">
      <c r="A22" s="9"/>
      <c r="B22" s="604"/>
      <c r="C22" s="18" t="s">
        <v>37</v>
      </c>
      <c r="D22" s="11" t="s">
        <v>12</v>
      </c>
      <c r="E22" s="17"/>
      <c r="F22" s="17"/>
      <c r="G22" s="13"/>
      <c r="H22" s="13"/>
    </row>
    <row r="23" spans="1:8" ht="15" customHeight="1" outlineLevel="2">
      <c r="A23" s="9"/>
      <c r="B23" s="604"/>
      <c r="C23" s="18" t="s">
        <v>38</v>
      </c>
      <c r="D23" s="11" t="s">
        <v>12</v>
      </c>
      <c r="E23" s="17"/>
      <c r="F23" s="17"/>
      <c r="G23" s="13"/>
      <c r="H23" s="13"/>
    </row>
    <row r="24" spans="1:8" ht="15" customHeight="1" outlineLevel="2">
      <c r="A24" s="9"/>
      <c r="B24" s="604"/>
      <c r="C24" s="18" t="s">
        <v>39</v>
      </c>
      <c r="D24" s="11" t="s">
        <v>12</v>
      </c>
      <c r="E24" s="17"/>
      <c r="F24" s="17"/>
      <c r="G24" s="13"/>
      <c r="H24" s="13"/>
    </row>
    <row r="25" spans="1:8" ht="15" customHeight="1" outlineLevel="2">
      <c r="A25" s="9"/>
      <c r="B25" s="604"/>
      <c r="C25" s="18" t="s">
        <v>40</v>
      </c>
      <c r="D25" s="11" t="s">
        <v>41</v>
      </c>
      <c r="E25" s="17"/>
      <c r="F25" s="17"/>
      <c r="G25" s="13"/>
      <c r="H25" s="13"/>
    </row>
    <row r="26" spans="1:8" ht="15" customHeight="1" outlineLevel="2">
      <c r="A26" s="9"/>
      <c r="B26" s="604"/>
      <c r="C26" s="18" t="s">
        <v>42</v>
      </c>
      <c r="D26" s="11" t="s">
        <v>43</v>
      </c>
      <c r="E26" s="17"/>
      <c r="F26" s="17"/>
      <c r="G26" s="13"/>
      <c r="H26" s="13"/>
    </row>
    <row r="27" spans="1:8" ht="15" customHeight="1" outlineLevel="2">
      <c r="A27" s="9"/>
      <c r="B27" s="606"/>
      <c r="C27" s="19" t="s">
        <v>44</v>
      </c>
      <c r="D27" s="11" t="s">
        <v>17</v>
      </c>
      <c r="E27" s="20" t="s">
        <v>45</v>
      </c>
      <c r="F27" s="17"/>
      <c r="G27" s="13"/>
      <c r="H27" s="13"/>
    </row>
    <row r="28" spans="1:8" ht="15" customHeight="1" outlineLevel="1">
      <c r="A28" s="9"/>
      <c r="B28" s="595" t="s">
        <v>46</v>
      </c>
      <c r="C28" s="6"/>
      <c r="D28" s="7"/>
      <c r="E28" s="13"/>
      <c r="F28" s="8"/>
      <c r="G28" s="13"/>
      <c r="H28" s="13"/>
    </row>
    <row r="29" spans="1:8" ht="15" customHeight="1" outlineLevel="2">
      <c r="A29" s="9"/>
      <c r="B29" s="596"/>
      <c r="C29" s="10" t="s">
        <v>47</v>
      </c>
      <c r="D29" s="21" t="s">
        <v>48</v>
      </c>
      <c r="E29" s="13"/>
      <c r="F29" s="8"/>
      <c r="G29" s="13"/>
      <c r="H29" s="13"/>
    </row>
    <row r="30" spans="1:8" ht="15" customHeight="1" outlineLevel="2">
      <c r="A30" s="9"/>
      <c r="B30" s="596"/>
      <c r="C30" s="6" t="s">
        <v>49</v>
      </c>
      <c r="D30" s="11" t="s">
        <v>50</v>
      </c>
      <c r="E30" s="13"/>
      <c r="F30" s="8"/>
      <c r="G30" s="13"/>
      <c r="H30" s="13"/>
    </row>
    <row r="31" spans="1:8" ht="15" customHeight="1" outlineLevel="2">
      <c r="A31" s="9"/>
      <c r="B31" s="596"/>
      <c r="C31" s="10" t="s">
        <v>51</v>
      </c>
      <c r="D31" s="11" t="s">
        <v>52</v>
      </c>
      <c r="E31" s="13"/>
      <c r="F31" s="8"/>
      <c r="G31" s="13"/>
      <c r="H31" s="13"/>
    </row>
    <row r="32" spans="1:8" ht="15" customHeight="1" outlineLevel="2">
      <c r="A32" s="9"/>
      <c r="B32" s="596"/>
      <c r="C32" s="10" t="s">
        <v>53</v>
      </c>
      <c r="D32" s="11" t="s">
        <v>12</v>
      </c>
      <c r="E32" s="13"/>
      <c r="F32" s="8"/>
      <c r="G32" s="13"/>
      <c r="H32" s="13"/>
    </row>
    <row r="33" spans="1:8" ht="15" customHeight="1" outlineLevel="2">
      <c r="A33" s="9"/>
      <c r="B33" s="596"/>
      <c r="C33" s="10" t="s">
        <v>54</v>
      </c>
      <c r="D33" s="11" t="s">
        <v>12</v>
      </c>
      <c r="E33" s="13"/>
      <c r="F33" s="8"/>
      <c r="G33" s="13"/>
      <c r="H33" s="13"/>
    </row>
    <row r="34" spans="1:8" ht="15" customHeight="1" outlineLevel="2">
      <c r="A34" s="9"/>
      <c r="B34" s="596"/>
      <c r="C34" s="22" t="s">
        <v>55</v>
      </c>
      <c r="D34" s="11" t="s">
        <v>12</v>
      </c>
      <c r="E34" s="13"/>
      <c r="F34" s="8"/>
      <c r="G34" s="13"/>
      <c r="H34" s="13"/>
    </row>
    <row r="35" spans="1:8" ht="15" customHeight="1" outlineLevel="2">
      <c r="A35" s="9"/>
      <c r="B35" s="596"/>
      <c r="C35" s="22" t="s">
        <v>56</v>
      </c>
      <c r="D35" s="11" t="s">
        <v>57</v>
      </c>
      <c r="E35" s="13"/>
      <c r="F35" s="8"/>
      <c r="G35" s="13"/>
      <c r="H35" s="13"/>
    </row>
    <row r="36" spans="1:8" ht="15" customHeight="1" outlineLevel="2">
      <c r="A36" s="9"/>
      <c r="B36" s="597"/>
      <c r="C36" s="10" t="s">
        <v>58</v>
      </c>
      <c r="D36" s="11" t="s">
        <v>57</v>
      </c>
      <c r="E36" s="13"/>
      <c r="F36" s="8"/>
      <c r="G36" s="13"/>
      <c r="H36" s="13"/>
    </row>
    <row r="37" spans="1:8" ht="15" customHeight="1" outlineLevel="1">
      <c r="A37" s="23"/>
      <c r="B37" s="595" t="s">
        <v>59</v>
      </c>
      <c r="C37" s="6"/>
      <c r="D37" s="11"/>
      <c r="E37" s="13"/>
      <c r="F37" s="8"/>
      <c r="G37" s="13"/>
      <c r="H37" s="13"/>
    </row>
    <row r="38" spans="1:8" ht="15" customHeight="1" outlineLevel="2">
      <c r="A38" s="23"/>
      <c r="B38" s="596"/>
      <c r="C38" s="6" t="s">
        <v>60</v>
      </c>
      <c r="D38" s="31" t="s">
        <v>17</v>
      </c>
      <c r="E38" s="13"/>
      <c r="F38" s="8"/>
      <c r="G38" s="13"/>
      <c r="H38" s="13"/>
    </row>
    <row r="39" spans="1:8" ht="15" customHeight="1" outlineLevel="2">
      <c r="A39" s="23"/>
      <c r="B39" s="596"/>
      <c r="C39" s="10" t="s">
        <v>62</v>
      </c>
      <c r="D39" s="11" t="s">
        <v>61</v>
      </c>
      <c r="E39" s="13"/>
      <c r="F39" s="8"/>
      <c r="G39" s="13"/>
      <c r="H39" s="13"/>
    </row>
    <row r="40" spans="1:8" ht="15" customHeight="1" outlineLevel="2">
      <c r="A40" s="23"/>
      <c r="B40" s="596"/>
      <c r="C40" s="6" t="s">
        <v>1331</v>
      </c>
      <c r="D40" s="11" t="s">
        <v>64</v>
      </c>
      <c r="E40" s="13"/>
      <c r="F40" s="8"/>
      <c r="G40" s="13"/>
      <c r="H40" s="13"/>
    </row>
    <row r="41" spans="1:8" ht="15" customHeight="1" outlineLevel="2">
      <c r="A41" s="23"/>
      <c r="B41" s="596"/>
      <c r="C41" s="10" t="s">
        <v>65</v>
      </c>
      <c r="D41" s="7" t="s">
        <v>17</v>
      </c>
      <c r="E41" s="13"/>
      <c r="F41" s="8"/>
      <c r="G41" s="13"/>
      <c r="H41" s="13"/>
    </row>
    <row r="42" spans="1:8" ht="15" customHeight="1" outlineLevel="2">
      <c r="A42" s="23"/>
      <c r="B42" s="596"/>
      <c r="C42" s="10" t="s">
        <v>67</v>
      </c>
      <c r="D42" s="7" t="s">
        <v>17</v>
      </c>
      <c r="E42" s="13"/>
      <c r="F42" s="8"/>
      <c r="G42" s="13"/>
      <c r="H42" s="13"/>
    </row>
    <row r="43" spans="1:8" ht="15" customHeight="1" outlineLevel="2">
      <c r="A43" s="23"/>
      <c r="B43" s="596"/>
      <c r="C43" s="22" t="s">
        <v>68</v>
      </c>
      <c r="D43" s="11" t="s">
        <v>69</v>
      </c>
      <c r="E43" s="13"/>
      <c r="F43" s="8"/>
      <c r="G43" s="13"/>
      <c r="H43" s="13"/>
    </row>
    <row r="44" spans="1:8" ht="15" customHeight="1" outlineLevel="2">
      <c r="A44" s="23"/>
      <c r="B44" s="596"/>
      <c r="C44" s="22" t="s">
        <v>70</v>
      </c>
      <c r="D44" s="7" t="s">
        <v>17</v>
      </c>
      <c r="E44" s="13"/>
      <c r="F44" s="8"/>
      <c r="G44" s="13"/>
      <c r="H44" s="13"/>
    </row>
    <row r="45" spans="1:8" ht="15" customHeight="1" outlineLevel="2">
      <c r="A45" s="23"/>
      <c r="B45" s="596"/>
      <c r="C45" s="6" t="s">
        <v>71</v>
      </c>
      <c r="D45" s="14" t="s">
        <v>72</v>
      </c>
      <c r="E45" s="8"/>
      <c r="F45" s="8"/>
      <c r="G45" s="8"/>
      <c r="H45" s="13"/>
    </row>
    <row r="46" spans="1:8" ht="15" customHeight="1" outlineLevel="2">
      <c r="A46" s="23"/>
      <c r="B46" s="596"/>
      <c r="C46" s="10" t="s">
        <v>73</v>
      </c>
      <c r="D46" s="7" t="s">
        <v>17</v>
      </c>
      <c r="E46" s="13"/>
      <c r="F46" s="8"/>
      <c r="G46" s="13"/>
      <c r="H46" s="13"/>
    </row>
    <row r="47" spans="1:8" ht="15" customHeight="1" outlineLevel="2">
      <c r="A47" s="23"/>
      <c r="B47" s="597"/>
      <c r="C47" s="22" t="s">
        <v>74</v>
      </c>
      <c r="D47" s="7" t="s">
        <v>17</v>
      </c>
      <c r="E47" s="13"/>
      <c r="F47" s="8"/>
      <c r="G47" s="13"/>
      <c r="H47" s="13"/>
    </row>
    <row r="48" spans="1:8" ht="15" customHeight="1" outlineLevel="1">
      <c r="A48" s="9"/>
      <c r="B48" s="595" t="s">
        <v>75</v>
      </c>
      <c r="C48" s="6" t="s">
        <v>76</v>
      </c>
      <c r="D48" s="7"/>
      <c r="E48" s="13"/>
      <c r="F48" s="8"/>
      <c r="G48" s="13"/>
      <c r="H48" s="13"/>
    </row>
    <row r="49" spans="1:8" ht="15" customHeight="1" outlineLevel="2">
      <c r="A49" s="9"/>
      <c r="B49" s="596"/>
      <c r="C49" s="6" t="s">
        <v>77</v>
      </c>
      <c r="D49" s="7" t="s">
        <v>17</v>
      </c>
      <c r="E49" s="13"/>
      <c r="F49" s="24" t="s">
        <v>78</v>
      </c>
      <c r="G49" s="13"/>
      <c r="H49" s="13"/>
    </row>
    <row r="50" spans="1:8" ht="15" customHeight="1" outlineLevel="2">
      <c r="A50" s="9"/>
      <c r="B50" s="596"/>
      <c r="C50" s="6" t="s">
        <v>79</v>
      </c>
      <c r="D50" s="7" t="s">
        <v>17</v>
      </c>
      <c r="E50" s="13"/>
      <c r="F50" s="24" t="s">
        <v>80</v>
      </c>
      <c r="G50" s="13"/>
      <c r="H50" s="13"/>
    </row>
    <row r="51" spans="1:8" ht="15" customHeight="1" outlineLevel="2">
      <c r="A51" s="9"/>
      <c r="B51" s="597"/>
      <c r="C51" s="6" t="s">
        <v>81</v>
      </c>
      <c r="D51" s="11" t="s">
        <v>82</v>
      </c>
      <c r="E51" s="13"/>
      <c r="F51" s="8"/>
      <c r="G51" s="13"/>
      <c r="H51" s="13"/>
    </row>
    <row r="52" spans="1:8" ht="15" customHeight="1" outlineLevel="1">
      <c r="A52" s="9"/>
      <c r="B52" s="595" t="s">
        <v>83</v>
      </c>
      <c r="C52" s="6"/>
      <c r="D52" s="7"/>
      <c r="E52" s="13"/>
      <c r="F52" s="8"/>
      <c r="G52" s="13"/>
      <c r="H52" s="13"/>
    </row>
    <row r="53" spans="1:8" ht="15" customHeight="1" outlineLevel="2">
      <c r="A53" s="9"/>
      <c r="B53" s="596"/>
      <c r="C53" s="6" t="s">
        <v>84</v>
      </c>
      <c r="D53" s="7" t="s">
        <v>17</v>
      </c>
      <c r="E53" s="13"/>
      <c r="F53" s="8"/>
      <c r="G53" s="13"/>
      <c r="H53" s="13"/>
    </row>
    <row r="54" spans="1:8" ht="15" customHeight="1" outlineLevel="2">
      <c r="A54" s="9"/>
      <c r="B54" s="596"/>
      <c r="C54" s="10" t="s">
        <v>85</v>
      </c>
      <c r="D54" s="11" t="s">
        <v>12</v>
      </c>
      <c r="E54" s="13"/>
      <c r="F54" s="8"/>
      <c r="G54" s="13"/>
      <c r="H54" s="13"/>
    </row>
    <row r="55" spans="1:8" ht="15" customHeight="1" outlineLevel="2">
      <c r="A55" s="9"/>
      <c r="B55" s="596"/>
      <c r="C55" s="10" t="s">
        <v>86</v>
      </c>
      <c r="D55" s="7" t="s">
        <v>17</v>
      </c>
      <c r="E55" s="13"/>
      <c r="F55" s="8"/>
      <c r="G55" s="13"/>
      <c r="H55" s="13"/>
    </row>
    <row r="56" spans="1:8" ht="15" customHeight="1" outlineLevel="2">
      <c r="A56" s="9"/>
      <c r="B56" s="596"/>
      <c r="C56" s="20" t="s">
        <v>87</v>
      </c>
      <c r="D56" s="11" t="s">
        <v>12</v>
      </c>
      <c r="E56" s="13"/>
      <c r="F56" s="8"/>
      <c r="G56" s="13"/>
      <c r="H56" s="13"/>
    </row>
    <row r="57" spans="1:8" ht="15" customHeight="1" outlineLevel="2">
      <c r="A57" s="25"/>
      <c r="B57" s="597"/>
      <c r="C57" s="26" t="s">
        <v>88</v>
      </c>
      <c r="D57" s="7"/>
      <c r="E57" s="13"/>
      <c r="F57" s="8"/>
      <c r="G57" s="13"/>
      <c r="H57" s="13"/>
    </row>
    <row r="58" spans="1:8" ht="15" customHeight="1">
      <c r="A58" s="605" t="s">
        <v>89</v>
      </c>
      <c r="B58" s="602"/>
      <c r="C58" s="602"/>
      <c r="D58" s="602"/>
      <c r="E58" s="602"/>
      <c r="F58" s="602"/>
      <c r="G58" s="602"/>
      <c r="H58" s="603"/>
    </row>
    <row r="59" spans="1:8" ht="15" customHeight="1" outlineLevel="1">
      <c r="A59" s="5"/>
      <c r="B59" s="598" t="s">
        <v>90</v>
      </c>
      <c r="C59" s="6"/>
      <c r="D59" s="7"/>
      <c r="E59" s="13"/>
      <c r="F59" s="8"/>
      <c r="G59" s="13"/>
      <c r="H59" s="13"/>
    </row>
    <row r="60" spans="1:8" ht="15" customHeight="1" outlineLevel="2">
      <c r="A60" s="9"/>
      <c r="B60" s="599"/>
      <c r="C60" s="10" t="s">
        <v>91</v>
      </c>
      <c r="D60" s="11" t="s">
        <v>92</v>
      </c>
      <c r="E60" s="13"/>
      <c r="F60" s="8"/>
      <c r="G60" s="13"/>
      <c r="H60" s="13"/>
    </row>
    <row r="61" spans="1:8" ht="15" customHeight="1" outlineLevel="2">
      <c r="A61" s="9"/>
      <c r="B61" s="599"/>
      <c r="C61" s="10" t="s">
        <v>93</v>
      </c>
      <c r="D61" s="11" t="s">
        <v>17</v>
      </c>
      <c r="E61" s="13"/>
      <c r="F61" s="8"/>
      <c r="G61" s="13"/>
      <c r="H61" s="13"/>
    </row>
    <row r="62" spans="1:8" ht="15" customHeight="1" outlineLevel="2">
      <c r="A62" s="9"/>
      <c r="B62" s="599"/>
      <c r="C62" s="10" t="s">
        <v>94</v>
      </c>
      <c r="D62" s="11" t="s">
        <v>17</v>
      </c>
      <c r="E62" s="13"/>
      <c r="F62" s="8"/>
      <c r="G62" s="13"/>
      <c r="H62" s="13"/>
    </row>
    <row r="63" spans="1:8" ht="15" customHeight="1" outlineLevel="2">
      <c r="A63" s="9"/>
      <c r="B63" s="599"/>
      <c r="C63" s="10" t="s">
        <v>95</v>
      </c>
      <c r="D63" s="11" t="s">
        <v>17</v>
      </c>
      <c r="E63" s="13"/>
      <c r="F63" s="8"/>
      <c r="G63" s="13"/>
      <c r="H63" s="13"/>
    </row>
    <row r="64" spans="1:8" ht="15" customHeight="1" outlineLevel="2">
      <c r="A64" s="9"/>
      <c r="B64" s="599"/>
      <c r="C64" s="10" t="s">
        <v>96</v>
      </c>
      <c r="D64" s="7" t="s">
        <v>17</v>
      </c>
      <c r="E64" s="13"/>
      <c r="F64" s="8"/>
      <c r="G64" s="13"/>
      <c r="H64" s="13"/>
    </row>
    <row r="65" spans="1:8" ht="15" customHeight="1" outlineLevel="2">
      <c r="A65" s="9"/>
      <c r="B65" s="600"/>
      <c r="C65" s="6" t="s">
        <v>97</v>
      </c>
      <c r="D65" s="7" t="s">
        <v>17</v>
      </c>
      <c r="E65" s="12" t="s">
        <v>98</v>
      </c>
      <c r="F65" s="8"/>
      <c r="G65" s="12" t="s">
        <v>99</v>
      </c>
      <c r="H65" s="13"/>
    </row>
    <row r="66" spans="1:8" ht="15" customHeight="1" outlineLevel="1">
      <c r="A66" s="9"/>
      <c r="B66" s="598" t="s">
        <v>100</v>
      </c>
      <c r="C66" s="6"/>
      <c r="D66" s="7"/>
      <c r="E66" s="13"/>
      <c r="F66" s="8"/>
      <c r="G66" s="13"/>
      <c r="H66" s="13"/>
    </row>
    <row r="67" spans="1:8" ht="15" customHeight="1" outlineLevel="2">
      <c r="A67" s="9"/>
      <c r="B67" s="599"/>
      <c r="C67" s="10" t="s">
        <v>101</v>
      </c>
      <c r="D67" s="11" t="s">
        <v>102</v>
      </c>
      <c r="E67" s="13"/>
      <c r="F67" s="8"/>
      <c r="G67" s="13"/>
      <c r="H67" s="13"/>
    </row>
    <row r="68" spans="1:8" ht="15" customHeight="1" outlineLevel="2">
      <c r="A68" s="9"/>
      <c r="B68" s="599"/>
      <c r="C68" s="10" t="s">
        <v>103</v>
      </c>
      <c r="D68" s="11" t="s">
        <v>104</v>
      </c>
      <c r="E68" s="13"/>
      <c r="F68" s="8"/>
      <c r="G68" s="13"/>
      <c r="H68" s="13"/>
    </row>
    <row r="69" spans="1:8" ht="15" customHeight="1" outlineLevel="2">
      <c r="A69" s="9"/>
      <c r="B69" s="599"/>
      <c r="C69" s="10" t="s">
        <v>105</v>
      </c>
      <c r="D69" s="11" t="s">
        <v>106</v>
      </c>
      <c r="E69" s="13"/>
      <c r="F69" s="8"/>
      <c r="G69" s="13"/>
      <c r="H69" s="13"/>
    </row>
    <row r="70" spans="1:8" ht="15" customHeight="1" outlineLevel="2">
      <c r="A70" s="9"/>
      <c r="B70" s="599"/>
      <c r="C70" s="10" t="s">
        <v>107</v>
      </c>
      <c r="D70" s="7" t="s">
        <v>17</v>
      </c>
      <c r="E70" s="12" t="s">
        <v>108</v>
      </c>
      <c r="F70" s="8"/>
      <c r="G70" s="12" t="s">
        <v>109</v>
      </c>
      <c r="H70" s="12" t="s">
        <v>110</v>
      </c>
    </row>
    <row r="71" spans="1:8" ht="15" customHeight="1" outlineLevel="2">
      <c r="A71" s="9"/>
      <c r="B71" s="600"/>
      <c r="C71" s="10" t="s">
        <v>111</v>
      </c>
      <c r="D71" s="7" t="s">
        <v>17</v>
      </c>
      <c r="E71" s="13"/>
      <c r="F71" s="8"/>
      <c r="G71" s="13"/>
      <c r="H71" s="13"/>
    </row>
    <row r="72" spans="1:8" ht="15" customHeight="1" outlineLevel="1">
      <c r="A72" s="9"/>
      <c r="B72" s="598" t="s">
        <v>112</v>
      </c>
      <c r="C72" s="6"/>
      <c r="D72" s="7"/>
      <c r="E72" s="13"/>
      <c r="F72" s="8"/>
      <c r="G72" s="13"/>
      <c r="H72" s="13"/>
    </row>
    <row r="73" spans="1:8" ht="15" customHeight="1" outlineLevel="2">
      <c r="A73" s="9"/>
      <c r="B73" s="599"/>
      <c r="C73" s="6" t="s">
        <v>113</v>
      </c>
      <c r="D73" s="11" t="s">
        <v>12</v>
      </c>
      <c r="E73" s="13"/>
      <c r="F73" s="8"/>
      <c r="G73" s="13"/>
      <c r="H73" s="13"/>
    </row>
    <row r="74" spans="1:8" ht="15" customHeight="1" outlineLevel="2">
      <c r="A74" s="150"/>
      <c r="B74" s="599"/>
      <c r="C74" s="10" t="s">
        <v>804</v>
      </c>
      <c r="D74" s="31"/>
      <c r="E74" s="13"/>
      <c r="F74" s="17"/>
      <c r="G74" s="13"/>
      <c r="H74" s="13"/>
    </row>
    <row r="75" spans="1:8" ht="15" customHeight="1" outlineLevel="2">
      <c r="A75" s="150"/>
      <c r="B75" s="599"/>
      <c r="C75" s="10" t="s">
        <v>805</v>
      </c>
      <c r="D75" s="31"/>
      <c r="E75" s="13"/>
      <c r="F75" s="17"/>
      <c r="G75" s="13"/>
      <c r="H75" s="13"/>
    </row>
    <row r="76" spans="1:8" ht="15" customHeight="1" outlineLevel="2">
      <c r="A76" s="9"/>
      <c r="B76" s="599"/>
      <c r="C76" s="10" t="s">
        <v>114</v>
      </c>
      <c r="D76" s="11" t="s">
        <v>115</v>
      </c>
      <c r="E76" s="12" t="s">
        <v>116</v>
      </c>
      <c r="F76" s="27"/>
      <c r="G76" s="13"/>
      <c r="H76" s="13"/>
    </row>
    <row r="77" spans="1:8" ht="15" customHeight="1" outlineLevel="2">
      <c r="A77" s="9"/>
      <c r="B77" s="599"/>
      <c r="C77" s="10" t="s">
        <v>117</v>
      </c>
      <c r="D77" s="11" t="s">
        <v>118</v>
      </c>
      <c r="E77" s="13"/>
      <c r="F77" s="20" t="s">
        <v>119</v>
      </c>
      <c r="G77" s="13"/>
      <c r="H77" s="13"/>
    </row>
    <row r="78" spans="1:8" ht="15" customHeight="1" outlineLevel="2">
      <c r="A78" s="9"/>
      <c r="B78" s="600"/>
      <c r="C78" s="28" t="s">
        <v>120</v>
      </c>
      <c r="D78" s="11" t="s">
        <v>121</v>
      </c>
      <c r="E78" s="13"/>
      <c r="F78" s="20" t="s">
        <v>122</v>
      </c>
      <c r="G78" s="13"/>
      <c r="H78" s="13"/>
    </row>
    <row r="79" spans="1:8" ht="15" customHeight="1" outlineLevel="1">
      <c r="A79" s="9"/>
      <c r="B79" s="598" t="s">
        <v>123</v>
      </c>
      <c r="C79" s="6"/>
      <c r="D79" s="7"/>
      <c r="E79" s="13"/>
      <c r="F79" s="8"/>
      <c r="G79" s="13"/>
      <c r="H79" s="13"/>
    </row>
    <row r="80" spans="1:8" ht="15" customHeight="1" outlineLevel="2">
      <c r="A80" s="9"/>
      <c r="B80" s="599"/>
      <c r="C80" s="10" t="s">
        <v>124</v>
      </c>
      <c r="D80" s="11" t="s">
        <v>125</v>
      </c>
      <c r="E80" s="13"/>
      <c r="F80" s="8"/>
      <c r="G80" s="13"/>
      <c r="H80" s="13"/>
    </row>
    <row r="81" spans="1:8" ht="15" customHeight="1" outlineLevel="2">
      <c r="A81" s="9"/>
      <c r="B81" s="599"/>
      <c r="C81" s="6" t="s">
        <v>126</v>
      </c>
      <c r="D81" s="7" t="s">
        <v>127</v>
      </c>
      <c r="E81" s="12" t="s">
        <v>128</v>
      </c>
      <c r="F81" s="8"/>
      <c r="G81" s="12" t="s">
        <v>129</v>
      </c>
      <c r="H81" s="13"/>
    </row>
    <row r="82" spans="1:8" ht="15" customHeight="1" outlineLevel="2">
      <c r="A82" s="9"/>
      <c r="B82" s="599"/>
      <c r="C82" s="6" t="s">
        <v>130</v>
      </c>
      <c r="D82" s="11" t="s">
        <v>131</v>
      </c>
      <c r="E82" s="13"/>
      <c r="F82" s="8"/>
      <c r="G82" s="13"/>
      <c r="H82" s="13"/>
    </row>
    <row r="83" spans="1:8" ht="15" customHeight="1" outlineLevel="2">
      <c r="A83" s="9"/>
      <c r="B83" s="600"/>
      <c r="C83" s="10" t="s">
        <v>132</v>
      </c>
      <c r="D83" s="11" t="s">
        <v>133</v>
      </c>
      <c r="E83" s="13"/>
      <c r="F83" s="8"/>
      <c r="G83" s="13"/>
      <c r="H83" s="13"/>
    </row>
    <row r="84" spans="1:8" ht="15" customHeight="1" outlineLevel="1">
      <c r="A84" s="9"/>
      <c r="B84" s="598" t="s">
        <v>134</v>
      </c>
      <c r="C84" s="6"/>
      <c r="D84" s="7"/>
      <c r="E84" s="13"/>
      <c r="F84" s="8"/>
      <c r="G84" s="13"/>
      <c r="H84" s="13"/>
    </row>
    <row r="85" spans="1:8" ht="15" customHeight="1" outlineLevel="2">
      <c r="A85" s="9"/>
      <c r="B85" s="599"/>
      <c r="C85" s="6" t="s">
        <v>135</v>
      </c>
      <c r="D85" s="11" t="s">
        <v>136</v>
      </c>
      <c r="E85" s="29"/>
      <c r="F85" s="8"/>
      <c r="G85" s="29"/>
      <c r="H85" s="13"/>
    </row>
    <row r="86" spans="1:8" ht="15" customHeight="1" outlineLevel="2">
      <c r="A86" s="9"/>
      <c r="B86" s="600"/>
      <c r="C86" s="10" t="s">
        <v>137</v>
      </c>
      <c r="D86" s="7" t="s">
        <v>17</v>
      </c>
      <c r="E86" s="30" t="s">
        <v>138</v>
      </c>
      <c r="F86" s="8"/>
      <c r="G86" s="13"/>
      <c r="H86" s="13"/>
    </row>
    <row r="87" spans="1:8" ht="15" customHeight="1">
      <c r="A87" s="605" t="s">
        <v>278</v>
      </c>
      <c r="B87" s="602"/>
      <c r="C87" s="602"/>
      <c r="D87" s="602"/>
      <c r="E87" s="602"/>
      <c r="F87" s="602"/>
      <c r="G87" s="602"/>
      <c r="H87" s="603"/>
    </row>
    <row r="88" spans="1:8" ht="15" customHeight="1" outlineLevel="1">
      <c r="A88" s="9"/>
      <c r="B88" s="598" t="s">
        <v>139</v>
      </c>
      <c r="C88" s="6"/>
      <c r="D88" s="7"/>
      <c r="E88" s="13"/>
      <c r="F88" s="8"/>
      <c r="G88" s="13"/>
      <c r="H88" s="13"/>
    </row>
    <row r="89" spans="1:8" ht="15" customHeight="1" outlineLevel="2">
      <c r="A89" s="9"/>
      <c r="B89" s="599"/>
      <c r="C89" s="6" t="s">
        <v>140</v>
      </c>
      <c r="D89" s="11" t="s">
        <v>141</v>
      </c>
      <c r="E89" s="13"/>
      <c r="F89" s="8"/>
      <c r="G89" s="13"/>
      <c r="H89" s="13"/>
    </row>
    <row r="90" spans="1:8" ht="15" customHeight="1" outlineLevel="2">
      <c r="A90" s="9"/>
      <c r="B90" s="599"/>
      <c r="C90" s="10" t="s">
        <v>142</v>
      </c>
      <c r="D90" s="7" t="s">
        <v>17</v>
      </c>
      <c r="E90" s="12" t="s">
        <v>143</v>
      </c>
      <c r="F90" s="8"/>
      <c r="G90" s="13"/>
      <c r="H90" s="13"/>
    </row>
    <row r="91" spans="1:8" ht="15" customHeight="1" outlineLevel="2">
      <c r="A91" s="9"/>
      <c r="B91" s="600"/>
      <c r="C91" s="26" t="s">
        <v>144</v>
      </c>
      <c r="D91" s="31"/>
      <c r="E91" s="17"/>
      <c r="F91" s="17"/>
      <c r="G91" s="13"/>
      <c r="H91" s="13"/>
    </row>
    <row r="92" spans="1:8" ht="15" customHeight="1" outlineLevel="1">
      <c r="A92" s="9"/>
      <c r="B92" s="598" t="s">
        <v>145</v>
      </c>
      <c r="C92" s="6"/>
      <c r="D92" s="7"/>
      <c r="E92" s="13"/>
      <c r="F92" s="8"/>
      <c r="G92" s="13"/>
      <c r="H92" s="13"/>
    </row>
    <row r="93" spans="1:8" ht="15" customHeight="1" outlineLevel="2">
      <c r="A93" s="9"/>
      <c r="B93" s="599"/>
      <c r="C93" s="10" t="s">
        <v>146</v>
      </c>
      <c r="D93" s="7" t="s">
        <v>17</v>
      </c>
      <c r="E93" s="13"/>
      <c r="F93" s="8"/>
      <c r="G93" s="13"/>
      <c r="H93" s="13"/>
    </row>
    <row r="94" spans="1:8" ht="15" customHeight="1" outlineLevel="2">
      <c r="A94" s="9"/>
      <c r="B94" s="599"/>
      <c r="C94" s="10" t="s">
        <v>147</v>
      </c>
      <c r="D94" s="11" t="s">
        <v>148</v>
      </c>
      <c r="E94" s="13"/>
      <c r="F94" s="8"/>
      <c r="G94" s="13"/>
      <c r="H94" s="13"/>
    </row>
    <row r="95" spans="1:8" ht="15" customHeight="1" outlineLevel="2">
      <c r="A95" s="9"/>
      <c r="B95" s="600"/>
      <c r="C95" s="6" t="s">
        <v>149</v>
      </c>
      <c r="D95" s="32" t="s">
        <v>150</v>
      </c>
      <c r="E95" s="13"/>
      <c r="F95" s="8"/>
      <c r="G95" s="13"/>
      <c r="H95" s="13"/>
    </row>
    <row r="96" spans="1:8" ht="15" customHeight="1" outlineLevel="1">
      <c r="A96" s="9"/>
      <c r="B96" s="598" t="s">
        <v>151</v>
      </c>
      <c r="C96" s="6"/>
      <c r="D96" s="7"/>
      <c r="E96" s="13"/>
      <c r="F96" s="8"/>
      <c r="G96" s="13"/>
      <c r="H96" s="13"/>
    </row>
    <row r="97" spans="1:8" ht="15" customHeight="1" outlineLevel="2">
      <c r="A97" s="9"/>
      <c r="B97" s="599"/>
      <c r="C97" s="10" t="s">
        <v>152</v>
      </c>
      <c r="D97" s="11" t="s">
        <v>153</v>
      </c>
      <c r="E97" s="13"/>
      <c r="F97" s="8"/>
      <c r="G97" s="13"/>
      <c r="H97" s="13"/>
    </row>
    <row r="98" spans="1:8" ht="15" customHeight="1" outlineLevel="2">
      <c r="A98" s="9"/>
      <c r="B98" s="599"/>
      <c r="C98" s="6" t="s">
        <v>154</v>
      </c>
      <c r="D98" s="7" t="s">
        <v>17</v>
      </c>
      <c r="E98" s="33" t="s">
        <v>155</v>
      </c>
      <c r="F98" s="8"/>
      <c r="G98" s="20" t="s">
        <v>156</v>
      </c>
      <c r="H98" s="13"/>
    </row>
    <row r="99" spans="1:8" ht="15" customHeight="1" outlineLevel="2">
      <c r="A99" s="9"/>
      <c r="B99" s="599"/>
      <c r="C99" s="6" t="s">
        <v>157</v>
      </c>
      <c r="D99" s="7" t="s">
        <v>17</v>
      </c>
      <c r="E99" s="33" t="s">
        <v>155</v>
      </c>
      <c r="F99" s="8"/>
      <c r="G99" s="27" t="s">
        <v>158</v>
      </c>
      <c r="H99" s="13"/>
    </row>
    <row r="100" spans="1:8" ht="15" customHeight="1" outlineLevel="2">
      <c r="A100" s="9"/>
      <c r="B100" s="600"/>
      <c r="C100" s="6" t="s">
        <v>159</v>
      </c>
      <c r="D100" s="7" t="s">
        <v>17</v>
      </c>
      <c r="E100" s="33" t="s">
        <v>155</v>
      </c>
      <c r="F100" s="8"/>
      <c r="G100" s="27" t="s">
        <v>158</v>
      </c>
      <c r="H100" s="13"/>
    </row>
    <row r="101" spans="1:8" ht="15" customHeight="1" outlineLevel="1">
      <c r="A101" s="9"/>
      <c r="B101" s="598" t="s">
        <v>160</v>
      </c>
      <c r="C101" s="6"/>
      <c r="D101" s="7"/>
      <c r="E101" s="13"/>
      <c r="F101" s="8"/>
      <c r="G101" s="13"/>
      <c r="H101" s="13"/>
    </row>
    <row r="102" spans="1:8" ht="15" customHeight="1" outlineLevel="2">
      <c r="A102" s="9"/>
      <c r="B102" s="599"/>
      <c r="C102" s="6" t="s">
        <v>161</v>
      </c>
      <c r="D102" s="7" t="s">
        <v>17</v>
      </c>
      <c r="E102" s="12" t="s">
        <v>162</v>
      </c>
      <c r="F102" s="8"/>
      <c r="G102" s="20" t="s">
        <v>163</v>
      </c>
      <c r="H102" s="17"/>
    </row>
    <row r="103" spans="1:8" ht="15" customHeight="1" outlineLevel="2">
      <c r="A103" s="9"/>
      <c r="B103" s="599"/>
      <c r="C103" s="10" t="s">
        <v>164</v>
      </c>
      <c r="D103" s="11" t="s">
        <v>165</v>
      </c>
      <c r="E103" s="12" t="s">
        <v>162</v>
      </c>
      <c r="F103" s="8"/>
      <c r="G103" s="12" t="s">
        <v>163</v>
      </c>
      <c r="H103" s="8"/>
    </row>
    <row r="104" spans="1:8" ht="15" customHeight="1" outlineLevel="2">
      <c r="A104" s="9"/>
      <c r="B104" s="599"/>
      <c r="C104" s="6" t="s">
        <v>166</v>
      </c>
      <c r="D104" s="7" t="s">
        <v>17</v>
      </c>
      <c r="E104" s="12" t="s">
        <v>167</v>
      </c>
      <c r="F104" s="8"/>
      <c r="G104" s="13"/>
      <c r="H104" s="13"/>
    </row>
    <row r="105" spans="1:8" ht="15" customHeight="1" outlineLevel="2">
      <c r="A105" s="25"/>
      <c r="B105" s="600"/>
      <c r="C105" s="10" t="s">
        <v>168</v>
      </c>
      <c r="D105" s="7" t="s">
        <v>92</v>
      </c>
      <c r="E105" s="17"/>
      <c r="F105" s="17"/>
      <c r="G105" s="13"/>
      <c r="H105" s="13"/>
    </row>
    <row r="106" spans="1:8" ht="15" customHeight="1">
      <c r="A106" s="601" t="s">
        <v>169</v>
      </c>
      <c r="B106" s="602"/>
      <c r="C106" s="602"/>
      <c r="D106" s="602"/>
      <c r="E106" s="602"/>
      <c r="F106" s="602"/>
      <c r="G106" s="602"/>
      <c r="H106" s="603"/>
    </row>
    <row r="107" spans="1:8" ht="15" customHeight="1" outlineLevel="1">
      <c r="A107" s="34"/>
      <c r="B107" s="604" t="str">
        <f>A106</f>
        <v>Endorsements</v>
      </c>
      <c r="C107" s="10" t="s">
        <v>170</v>
      </c>
      <c r="D107" s="7" t="s">
        <v>17</v>
      </c>
      <c r="E107" s="20" t="s">
        <v>171</v>
      </c>
      <c r="F107" s="8"/>
      <c r="G107" s="20" t="s">
        <v>172</v>
      </c>
      <c r="H107" s="12"/>
    </row>
    <row r="108" spans="1:8" ht="15" customHeight="1" outlineLevel="2">
      <c r="A108" s="34"/>
      <c r="B108" s="596"/>
      <c r="C108" s="10" t="s">
        <v>173</v>
      </c>
      <c r="D108" s="7" t="s">
        <v>17</v>
      </c>
      <c r="E108" s="20" t="s">
        <v>171</v>
      </c>
      <c r="F108" s="8"/>
      <c r="G108" s="20" t="s">
        <v>172</v>
      </c>
      <c r="H108" s="12"/>
    </row>
    <row r="109" spans="1:8" ht="15" customHeight="1" outlineLevel="2">
      <c r="A109" s="34"/>
      <c r="B109" s="596"/>
      <c r="C109" s="6" t="s">
        <v>174</v>
      </c>
      <c r="D109" s="7" t="s">
        <v>17</v>
      </c>
      <c r="E109" s="20" t="s">
        <v>171</v>
      </c>
      <c r="F109" s="8"/>
      <c r="G109" s="20" t="s">
        <v>172</v>
      </c>
      <c r="H109" s="12"/>
    </row>
    <row r="110" spans="1:8" ht="15" customHeight="1" outlineLevel="2">
      <c r="A110" s="34"/>
      <c r="B110" s="596"/>
      <c r="C110" s="10" t="s">
        <v>175</v>
      </c>
      <c r="D110" s="7" t="s">
        <v>17</v>
      </c>
      <c r="E110" s="12" t="s">
        <v>176</v>
      </c>
      <c r="F110" s="8"/>
      <c r="G110" s="20" t="s">
        <v>177</v>
      </c>
      <c r="H110" s="12"/>
    </row>
    <row r="111" spans="1:8" ht="15" customHeight="1" outlineLevel="2">
      <c r="A111" s="34"/>
      <c r="B111" s="597"/>
      <c r="C111" s="6" t="s">
        <v>178</v>
      </c>
      <c r="D111" s="11" t="s">
        <v>12</v>
      </c>
      <c r="E111" s="13"/>
      <c r="F111" s="8"/>
      <c r="G111" s="13"/>
      <c r="H111" s="13"/>
    </row>
    <row r="112" spans="1:8" ht="15" customHeight="1">
      <c r="A112" s="605" t="s">
        <v>179</v>
      </c>
      <c r="B112" s="602"/>
      <c r="C112" s="602"/>
      <c r="D112" s="602"/>
      <c r="E112" s="602"/>
      <c r="F112" s="602"/>
      <c r="G112" s="602"/>
      <c r="H112" s="603"/>
    </row>
    <row r="113" spans="1:8" ht="15" customHeight="1" outlineLevel="1">
      <c r="A113" s="35"/>
      <c r="B113" s="595" t="s">
        <v>180</v>
      </c>
      <c r="C113" s="10" t="s">
        <v>181</v>
      </c>
      <c r="D113" s="7" t="s">
        <v>182</v>
      </c>
      <c r="E113" s="12" t="s">
        <v>183</v>
      </c>
      <c r="F113" s="8"/>
      <c r="G113" s="13"/>
      <c r="H113" s="13"/>
    </row>
    <row r="114" spans="1:8" ht="15" customHeight="1" outlineLevel="2">
      <c r="A114" s="36"/>
      <c r="B114" s="596"/>
      <c r="C114" s="6" t="s">
        <v>184</v>
      </c>
      <c r="D114" s="7" t="s">
        <v>185</v>
      </c>
      <c r="E114" s="13"/>
      <c r="F114" s="8"/>
      <c r="G114" s="13"/>
      <c r="H114" s="13"/>
    </row>
    <row r="115" spans="1:8" ht="15" customHeight="1" outlineLevel="2">
      <c r="A115" s="36"/>
      <c r="B115" s="596"/>
      <c r="C115" s="6" t="s">
        <v>186</v>
      </c>
      <c r="D115" s="7" t="s">
        <v>17</v>
      </c>
      <c r="E115" s="13"/>
      <c r="F115" s="8"/>
      <c r="G115" s="13"/>
      <c r="H115" s="13"/>
    </row>
    <row r="116" spans="1:8" ht="15" customHeight="1" outlineLevel="2">
      <c r="A116" s="36"/>
      <c r="B116" s="596"/>
      <c r="C116" s="6" t="s">
        <v>187</v>
      </c>
      <c r="D116" s="7" t="s">
        <v>17</v>
      </c>
      <c r="E116" s="13"/>
      <c r="F116" s="8"/>
      <c r="G116" s="13"/>
      <c r="H116" s="13"/>
    </row>
    <row r="117" spans="1:8" ht="15" customHeight="1" outlineLevel="2">
      <c r="A117" s="36"/>
      <c r="B117" s="596"/>
      <c r="C117" s="10" t="s">
        <v>188</v>
      </c>
      <c r="D117" s="7" t="s">
        <v>17</v>
      </c>
      <c r="E117" s="12" t="s">
        <v>807</v>
      </c>
      <c r="F117" s="8"/>
      <c r="G117" s="13"/>
      <c r="H117" s="13"/>
    </row>
    <row r="118" spans="1:8" ht="15" customHeight="1" outlineLevel="2">
      <c r="A118" s="36"/>
      <c r="B118" s="597"/>
      <c r="C118" s="10" t="s">
        <v>189</v>
      </c>
      <c r="D118" s="7" t="s">
        <v>17</v>
      </c>
      <c r="E118" s="13" t="s">
        <v>807</v>
      </c>
      <c r="F118" s="8"/>
      <c r="G118" s="13"/>
      <c r="H118" s="13"/>
    </row>
    <row r="119" spans="1:8" ht="15" customHeight="1" outlineLevel="1">
      <c r="A119" s="36"/>
      <c r="B119" s="595" t="s">
        <v>190</v>
      </c>
      <c r="C119" s="6"/>
      <c r="D119" s="7"/>
      <c r="E119" s="13"/>
      <c r="F119" s="8"/>
      <c r="G119" s="13"/>
      <c r="H119" s="13"/>
    </row>
    <row r="120" spans="1:8" ht="15" customHeight="1" outlineLevel="2">
      <c r="A120" s="36"/>
      <c r="B120" s="596"/>
      <c r="C120" s="10" t="s">
        <v>191</v>
      </c>
      <c r="D120" s="7" t="s">
        <v>17</v>
      </c>
      <c r="E120" s="20" t="s">
        <v>192</v>
      </c>
      <c r="F120" s="8"/>
      <c r="G120" s="13"/>
      <c r="H120" s="30" t="s">
        <v>193</v>
      </c>
    </row>
    <row r="121" spans="1:8" ht="15" customHeight="1" outlineLevel="2">
      <c r="A121" s="36"/>
      <c r="B121" s="596"/>
      <c r="C121" s="6" t="s">
        <v>194</v>
      </c>
      <c r="D121" s="7" t="s">
        <v>17</v>
      </c>
      <c r="E121" s="20" t="s">
        <v>195</v>
      </c>
      <c r="F121" s="8"/>
      <c r="G121" s="13"/>
      <c r="H121" s="13"/>
    </row>
    <row r="122" spans="1:8" ht="15" customHeight="1" outlineLevel="2">
      <c r="A122" s="36"/>
      <c r="B122" s="596"/>
      <c r="C122" s="6" t="s">
        <v>196</v>
      </c>
      <c r="D122" s="7" t="s">
        <v>197</v>
      </c>
      <c r="E122" s="13"/>
      <c r="F122" s="8"/>
      <c r="G122" s="13"/>
      <c r="H122" s="13"/>
    </row>
    <row r="123" spans="1:8" ht="15" customHeight="1" outlineLevel="2">
      <c r="A123" s="36"/>
      <c r="B123" s="597"/>
      <c r="C123" s="10" t="s">
        <v>198</v>
      </c>
      <c r="D123" s="7" t="s">
        <v>197</v>
      </c>
      <c r="E123" s="13"/>
      <c r="F123" s="8"/>
      <c r="G123" s="13"/>
      <c r="H123" s="13"/>
    </row>
    <row r="124" spans="1:8" ht="15" customHeight="1" outlineLevel="1">
      <c r="A124" s="36"/>
      <c r="B124" s="595" t="s">
        <v>199</v>
      </c>
      <c r="C124" s="6"/>
      <c r="D124" s="7"/>
      <c r="E124" s="13"/>
      <c r="F124" s="8"/>
      <c r="G124" s="13"/>
      <c r="H124" s="13"/>
    </row>
    <row r="125" spans="1:8" ht="15" customHeight="1" outlineLevel="2">
      <c r="A125" s="36"/>
      <c r="B125" s="596"/>
      <c r="C125" s="10" t="s">
        <v>200</v>
      </c>
      <c r="D125" s="7" t="s">
        <v>17</v>
      </c>
      <c r="E125" s="30" t="s">
        <v>193</v>
      </c>
      <c r="F125" s="8"/>
      <c r="G125" s="13"/>
      <c r="H125" s="13"/>
    </row>
    <row r="126" spans="1:8" ht="15" customHeight="1" outlineLevel="2">
      <c r="A126" s="36"/>
      <c r="B126" s="596"/>
      <c r="C126" s="10" t="s">
        <v>201</v>
      </c>
      <c r="D126" s="7" t="s">
        <v>17</v>
      </c>
      <c r="E126" s="30"/>
      <c r="F126" s="8"/>
      <c r="G126" s="13"/>
      <c r="H126" s="13"/>
    </row>
    <row r="127" spans="1:8" ht="15" customHeight="1" outlineLevel="2">
      <c r="A127" s="36"/>
      <c r="B127" s="596"/>
      <c r="C127" s="10" t="s">
        <v>202</v>
      </c>
      <c r="D127" s="7" t="s">
        <v>17</v>
      </c>
      <c r="E127" s="13"/>
      <c r="F127" s="8"/>
      <c r="G127" s="13"/>
      <c r="H127" s="13"/>
    </row>
    <row r="128" spans="1:8" ht="15" customHeight="1" outlineLevel="2">
      <c r="A128" s="36"/>
      <c r="B128" s="597"/>
      <c r="C128" s="6" t="s">
        <v>203</v>
      </c>
      <c r="D128" s="7" t="s">
        <v>17</v>
      </c>
      <c r="E128" s="13"/>
      <c r="F128" s="8"/>
      <c r="G128" s="13"/>
      <c r="H128" s="13"/>
    </row>
    <row r="129" spans="1:8" ht="15" customHeight="1" outlineLevel="1">
      <c r="A129" s="36"/>
      <c r="B129" s="595" t="s">
        <v>204</v>
      </c>
      <c r="C129" s="6"/>
      <c r="D129" s="7"/>
      <c r="E129" s="13"/>
      <c r="F129" s="8"/>
      <c r="G129" s="13"/>
      <c r="H129" s="13"/>
    </row>
    <row r="130" spans="1:8" ht="15" customHeight="1" outlineLevel="2">
      <c r="A130" s="36"/>
      <c r="B130" s="596"/>
      <c r="C130" s="10" t="s">
        <v>205</v>
      </c>
      <c r="D130" s="7" t="s">
        <v>17</v>
      </c>
      <c r="E130" s="20" t="s">
        <v>206</v>
      </c>
      <c r="F130" s="17"/>
      <c r="G130" s="13"/>
      <c r="H130" s="30" t="s">
        <v>193</v>
      </c>
    </row>
    <row r="131" spans="1:8" ht="15" customHeight="1" outlineLevel="2">
      <c r="A131" s="36"/>
      <c r="B131" s="596"/>
      <c r="C131" s="10" t="s">
        <v>207</v>
      </c>
      <c r="D131" s="7" t="s">
        <v>17</v>
      </c>
      <c r="E131" s="13"/>
      <c r="F131" s="8"/>
      <c r="G131" s="13"/>
      <c r="H131" s="13"/>
    </row>
    <row r="132" spans="1:8" ht="15" customHeight="1" outlineLevel="2">
      <c r="A132" s="36"/>
      <c r="B132" s="596"/>
      <c r="C132" s="10" t="s">
        <v>208</v>
      </c>
      <c r="D132" s="11" t="s">
        <v>197</v>
      </c>
      <c r="E132" s="20" t="s">
        <v>206</v>
      </c>
      <c r="F132" s="8"/>
      <c r="G132" s="13"/>
      <c r="H132" s="30" t="s">
        <v>193</v>
      </c>
    </row>
    <row r="133" spans="1:8" ht="15" customHeight="1" outlineLevel="2">
      <c r="A133" s="36"/>
      <c r="B133" s="597"/>
      <c r="C133" s="10" t="s">
        <v>209</v>
      </c>
      <c r="D133" s="11" t="s">
        <v>210</v>
      </c>
      <c r="E133" s="13"/>
      <c r="F133" s="8"/>
      <c r="G133" s="13"/>
      <c r="H133" s="13"/>
    </row>
    <row r="134" spans="1:8" s="37" customFormat="1" ht="15" customHeight="1"/>
    <row r="135" spans="1:8" s="37" customFormat="1" ht="15" customHeight="1"/>
    <row r="136" spans="1:8" s="37" customFormat="1" ht="15" customHeight="1"/>
    <row r="137" spans="1:8" s="37" customFormat="1" ht="15" customHeight="1"/>
    <row r="138" spans="1:8" s="37" customFormat="1" ht="15" customHeight="1"/>
    <row r="139" spans="1:8" s="37" customFormat="1" ht="15" customHeight="1"/>
    <row r="140" spans="1:8" s="37" customFormat="1" ht="15" customHeight="1"/>
    <row r="141" spans="1:8" s="37" customFormat="1" ht="15" customHeight="1"/>
    <row r="142" spans="1:8" s="37" customFormat="1" ht="15" customHeight="1"/>
    <row r="143" spans="1:8" s="37" customFormat="1" ht="15" customHeight="1"/>
    <row r="144" spans="1:8" s="37" customFormat="1" ht="15" customHeight="1"/>
    <row r="145" s="37" customFormat="1" ht="15" customHeight="1"/>
    <row r="146" s="37" customFormat="1" ht="15" customHeight="1"/>
    <row r="147" s="37" customFormat="1" ht="15" customHeight="1"/>
    <row r="148" s="37" customFormat="1" ht="15" customHeight="1"/>
    <row r="149" s="37" customFormat="1" ht="15" customHeight="1"/>
    <row r="150" s="37" customFormat="1" ht="15" customHeight="1"/>
    <row r="151" s="37" customFormat="1" ht="15" customHeight="1"/>
    <row r="152" s="37" customFormat="1" ht="15" customHeight="1"/>
    <row r="153" s="37" customFormat="1" ht="15" customHeight="1"/>
    <row r="154" s="37" customFormat="1" ht="15" customHeight="1"/>
    <row r="155" s="37" customFormat="1" ht="15" customHeight="1"/>
    <row r="156" s="37" customFormat="1" ht="15" customHeight="1"/>
    <row r="157" s="37" customFormat="1" ht="15" customHeight="1"/>
    <row r="158" s="37" customFormat="1" ht="15" customHeight="1"/>
    <row r="159" s="37" customFormat="1" ht="15" customHeight="1"/>
    <row r="160" s="37" customFormat="1" ht="15" customHeight="1"/>
    <row r="161" s="37" customFormat="1" ht="15" customHeight="1"/>
    <row r="162" s="37" customFormat="1" ht="15" customHeight="1"/>
    <row r="163" s="37" customFormat="1" ht="15" customHeight="1"/>
    <row r="164" s="37" customFormat="1" ht="15" customHeight="1"/>
    <row r="165" s="37" customFormat="1" ht="15" customHeight="1"/>
    <row r="166" s="37" customFormat="1" ht="15" customHeight="1"/>
    <row r="167" s="37" customFormat="1" ht="15" customHeight="1"/>
    <row r="168" s="37" customFormat="1" ht="15" customHeight="1"/>
    <row r="169" s="37" customFormat="1" ht="15" customHeight="1"/>
    <row r="170" s="37" customFormat="1" ht="15" customHeight="1"/>
    <row r="171" s="37" customFormat="1" ht="15" customHeight="1"/>
    <row r="172" s="37" customFormat="1" ht="15" customHeight="1"/>
    <row r="173" s="37" customFormat="1" ht="15" customHeight="1"/>
    <row r="174" s="37" customFormat="1" ht="15" customHeight="1"/>
    <row r="175" s="37" customFormat="1" ht="15" customHeight="1"/>
    <row r="176" s="37" customFormat="1" ht="15" customHeight="1"/>
    <row r="177" s="37" customFormat="1" ht="15" customHeight="1"/>
    <row r="178" s="37" customFormat="1" ht="15" customHeight="1"/>
    <row r="179" s="37" customFormat="1" ht="15" customHeight="1"/>
    <row r="180" s="37" customFormat="1" ht="15" customHeight="1"/>
    <row r="181" s="37" customFormat="1" ht="15" customHeight="1"/>
    <row r="182" s="37" customFormat="1" ht="15" customHeight="1"/>
    <row r="183" s="37" customFormat="1" ht="15" customHeight="1"/>
    <row r="184" s="37" customFormat="1" ht="15" customHeight="1"/>
    <row r="185" s="37" customFormat="1" ht="15" customHeight="1"/>
    <row r="186" s="37" customFormat="1" ht="15" customHeight="1"/>
    <row r="187" s="37" customFormat="1" ht="15" customHeight="1"/>
    <row r="188" s="37" customFormat="1" ht="15" customHeight="1"/>
    <row r="189" s="37" customFormat="1" ht="15" customHeight="1"/>
    <row r="190" s="37" customFormat="1" ht="15" customHeight="1"/>
    <row r="191" s="37" customFormat="1" ht="15" customHeight="1"/>
    <row r="192" s="37" customFormat="1" ht="15" customHeight="1"/>
    <row r="193" s="37" customFormat="1" ht="15" customHeight="1"/>
    <row r="194" s="37" customFormat="1" ht="15" customHeight="1"/>
    <row r="195" s="37" customFormat="1" ht="15" customHeight="1"/>
    <row r="196" s="37" customFormat="1" ht="15" customHeight="1"/>
    <row r="197" s="37" customFormat="1" ht="15" customHeight="1"/>
    <row r="198" s="37" customFormat="1" ht="15" customHeight="1"/>
    <row r="199" s="37" customFormat="1" ht="15" customHeight="1"/>
    <row r="200" s="37" customFormat="1" ht="15" customHeight="1"/>
    <row r="201" s="37" customFormat="1" ht="15" customHeight="1"/>
    <row r="202" s="37" customFormat="1" ht="15" customHeight="1"/>
    <row r="203" s="37" customFormat="1" ht="15" customHeight="1"/>
    <row r="204" s="37" customFormat="1" ht="15" customHeight="1"/>
    <row r="205" s="37" customFormat="1" ht="15" customHeight="1"/>
    <row r="206" s="37" customFormat="1" ht="15" customHeight="1"/>
    <row r="207" s="37" customFormat="1" ht="15" customHeight="1"/>
    <row r="208" s="37" customFormat="1" ht="15" customHeight="1"/>
    <row r="209" s="37" customFormat="1" ht="15" customHeight="1"/>
    <row r="210" s="37" customFormat="1" ht="15" customHeight="1"/>
    <row r="211" s="37" customFormat="1" ht="15" customHeight="1"/>
    <row r="212" s="37" customFormat="1" ht="15" customHeight="1"/>
    <row r="213" s="37" customFormat="1" ht="15" customHeight="1"/>
    <row r="214" s="37" customFormat="1" ht="15" customHeight="1"/>
    <row r="215" s="37" customFormat="1" ht="15" customHeight="1"/>
    <row r="216" s="37" customFormat="1" ht="15" customHeight="1"/>
    <row r="217" s="37" customFormat="1" ht="15" customHeight="1"/>
    <row r="218" s="37" customFormat="1" ht="15" customHeight="1"/>
    <row r="219" s="37" customFormat="1" ht="15" customHeight="1"/>
    <row r="220" s="37" customFormat="1" ht="15" customHeight="1"/>
  </sheetData>
  <mergeCells count="26">
    <mergeCell ref="A1:H1"/>
    <mergeCell ref="A2:H2"/>
    <mergeCell ref="A4:H4"/>
    <mergeCell ref="B28:B36"/>
    <mergeCell ref="B37:B47"/>
    <mergeCell ref="B48:B51"/>
    <mergeCell ref="B5:B27"/>
    <mergeCell ref="B52:B57"/>
    <mergeCell ref="A58:H58"/>
    <mergeCell ref="B59:B65"/>
    <mergeCell ref="B66:B71"/>
    <mergeCell ref="B72:B78"/>
    <mergeCell ref="B79:B83"/>
    <mergeCell ref="B84:B86"/>
    <mergeCell ref="B113:B118"/>
    <mergeCell ref="A87:H87"/>
    <mergeCell ref="B119:B123"/>
    <mergeCell ref="B124:B128"/>
    <mergeCell ref="B129:B133"/>
    <mergeCell ref="B88:B91"/>
    <mergeCell ref="B92:B95"/>
    <mergeCell ref="B96:B100"/>
    <mergeCell ref="B101:B105"/>
    <mergeCell ref="A106:H106"/>
    <mergeCell ref="B107:B111"/>
    <mergeCell ref="A112:H112"/>
  </mergeCells>
  <printOptions horizontalCentered="1" gridLines="1"/>
  <pageMargins left="0.7" right="0.7" top="0.75" bottom="0.75" header="0" footer="0"/>
  <pageSetup fitToHeight="0" pageOrder="overThenDown" orientation="landscape" cellComments="atEnd"/>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C7FDB-EB7A-4B6D-A8DA-51A5E8207EC2}">
  <sheetPr>
    <tabColor theme="4" tint="0.79998168889431442"/>
    <outlinePr summaryBelow="0" summaryRight="0"/>
    <pageSetUpPr fitToPage="1"/>
  </sheetPr>
  <dimension ref="A1:K91"/>
  <sheetViews>
    <sheetView workbookViewId="0">
      <selection sqref="A1:J1"/>
    </sheetView>
  </sheetViews>
  <sheetFormatPr defaultColWidth="12.5703125" defaultRowHeight="15" customHeight="1" outlineLevelRow="2"/>
  <cols>
    <col min="1" max="1" width="19.42578125" style="41" customWidth="1"/>
    <col min="2" max="2" width="21.42578125" style="41" customWidth="1"/>
    <col min="3" max="3" width="73.42578125" style="41" customWidth="1"/>
    <col min="4" max="6" width="13.5703125" style="41" customWidth="1"/>
    <col min="7" max="7" width="24.85546875" style="41" customWidth="1"/>
    <col min="8" max="8" width="14.42578125" style="41" customWidth="1"/>
    <col min="9" max="9" width="47.85546875" style="41" customWidth="1"/>
    <col min="10" max="11" width="52.28515625" style="41" customWidth="1"/>
    <col min="12" max="16384" width="12.5703125" style="41"/>
  </cols>
  <sheetData>
    <row r="1" spans="1:11" ht="34.5" customHeight="1">
      <c r="A1" s="613" t="s">
        <v>0</v>
      </c>
      <c r="B1" s="614"/>
      <c r="C1" s="614"/>
      <c r="D1" s="614"/>
      <c r="E1" s="614"/>
      <c r="F1" s="614"/>
      <c r="G1" s="614"/>
      <c r="H1" s="614"/>
      <c r="I1" s="614"/>
      <c r="J1" s="614"/>
      <c r="K1" s="60"/>
    </row>
    <row r="2" spans="1:11" ht="30.75" customHeight="1">
      <c r="A2" s="613" t="s">
        <v>368</v>
      </c>
      <c r="B2" s="614"/>
      <c r="C2" s="614"/>
      <c r="D2" s="614"/>
      <c r="E2" s="614"/>
      <c r="F2" s="614"/>
      <c r="G2" s="614"/>
      <c r="H2" s="614"/>
      <c r="I2" s="614"/>
      <c r="J2" s="614"/>
      <c r="K2" s="60"/>
    </row>
    <row r="3" spans="1:11" ht="15.75" customHeight="1">
      <c r="A3" s="57" t="s">
        <v>2</v>
      </c>
      <c r="B3" s="57" t="s">
        <v>3</v>
      </c>
      <c r="C3" s="59" t="s">
        <v>4</v>
      </c>
      <c r="D3" s="57" t="s">
        <v>5</v>
      </c>
      <c r="E3" s="57" t="s">
        <v>367</v>
      </c>
      <c r="F3" s="57" t="s">
        <v>366</v>
      </c>
      <c r="G3" s="58" t="s">
        <v>365</v>
      </c>
      <c r="H3" s="58" t="s">
        <v>5</v>
      </c>
      <c r="I3" s="58" t="s">
        <v>8</v>
      </c>
      <c r="J3" s="57" t="s">
        <v>364</v>
      </c>
      <c r="K3" s="57"/>
    </row>
    <row r="4" spans="1:11" ht="15.75" customHeight="1">
      <c r="A4" s="45" t="s">
        <v>9</v>
      </c>
      <c r="B4" s="45"/>
      <c r="C4" s="44"/>
      <c r="D4" s="42"/>
      <c r="E4" s="42"/>
      <c r="F4" s="42"/>
      <c r="G4" s="42"/>
      <c r="H4" s="42"/>
      <c r="I4" s="42"/>
      <c r="J4" s="42"/>
      <c r="K4" s="42"/>
    </row>
    <row r="5" spans="1:11" ht="15.75" customHeight="1" outlineLevel="1">
      <c r="A5" s="52"/>
      <c r="B5" s="368" t="s">
        <v>10</v>
      </c>
      <c r="C5" s="369" t="s">
        <v>711</v>
      </c>
      <c r="D5" s="47" t="s">
        <v>710</v>
      </c>
      <c r="E5" s="47"/>
      <c r="F5" s="47"/>
      <c r="G5" s="47"/>
      <c r="H5" s="47"/>
      <c r="I5" s="47"/>
      <c r="J5" s="47"/>
      <c r="K5" s="47"/>
    </row>
    <row r="6" spans="1:11" outlineLevel="2">
      <c r="A6" s="52"/>
      <c r="B6" s="370"/>
      <c r="C6" s="369" t="s">
        <v>712</v>
      </c>
      <c r="D6" s="47" t="s">
        <v>710</v>
      </c>
      <c r="E6" s="47"/>
      <c r="F6" s="47"/>
      <c r="G6" s="48"/>
      <c r="H6" s="48"/>
      <c r="I6" s="48"/>
      <c r="J6" s="47"/>
      <c r="K6" s="47"/>
    </row>
    <row r="7" spans="1:11" ht="16.5" customHeight="1" outlineLevel="2">
      <c r="A7" s="52"/>
      <c r="B7" s="368"/>
      <c r="C7" s="369" t="s">
        <v>713</v>
      </c>
      <c r="D7" s="47" t="s">
        <v>710</v>
      </c>
      <c r="E7" s="47"/>
      <c r="F7" s="47"/>
      <c r="G7" s="48"/>
      <c r="H7" s="48"/>
      <c r="I7" s="48"/>
      <c r="J7" s="47"/>
      <c r="K7" s="47"/>
    </row>
    <row r="8" spans="1:11" ht="15.75" customHeight="1" outlineLevel="2">
      <c r="A8" s="52"/>
      <c r="B8" s="368"/>
      <c r="C8" s="369" t="s">
        <v>714</v>
      </c>
      <c r="D8" s="47" t="s">
        <v>710</v>
      </c>
      <c r="E8" s="47"/>
      <c r="F8" s="47"/>
      <c r="G8" s="48"/>
      <c r="H8" s="48"/>
      <c r="I8" s="48"/>
      <c r="J8" s="47"/>
      <c r="K8" s="47"/>
    </row>
    <row r="9" spans="1:11" ht="15.75" customHeight="1" outlineLevel="2">
      <c r="A9" s="52"/>
      <c r="B9" s="368"/>
      <c r="C9" s="369" t="s">
        <v>715</v>
      </c>
      <c r="D9" s="47" t="s">
        <v>710</v>
      </c>
      <c r="E9" s="47"/>
      <c r="F9" s="47"/>
      <c r="G9" s="48"/>
      <c r="H9" s="48"/>
      <c r="I9" s="48"/>
      <c r="J9" s="47"/>
      <c r="K9" s="47"/>
    </row>
    <row r="10" spans="1:11" outlineLevel="2">
      <c r="A10" s="52"/>
      <c r="B10" s="368"/>
      <c r="C10" s="369" t="s">
        <v>716</v>
      </c>
      <c r="D10" s="47" t="s">
        <v>710</v>
      </c>
      <c r="E10" s="47"/>
      <c r="F10" s="47"/>
      <c r="G10" s="56"/>
      <c r="H10" s="48"/>
      <c r="I10" s="48"/>
      <c r="J10" s="47"/>
      <c r="K10" s="47"/>
    </row>
    <row r="11" spans="1:11" ht="15.75" customHeight="1" outlineLevel="1">
      <c r="A11" s="52"/>
      <c r="B11" s="52" t="s">
        <v>46</v>
      </c>
      <c r="C11" s="369" t="s">
        <v>717</v>
      </c>
      <c r="D11" s="47" t="s">
        <v>283</v>
      </c>
      <c r="E11" s="47"/>
      <c r="F11" s="47"/>
      <c r="G11" s="48"/>
      <c r="H11" s="48"/>
      <c r="I11" s="48"/>
      <c r="J11" s="47"/>
      <c r="K11" s="47"/>
    </row>
    <row r="12" spans="1:11" ht="15.75" customHeight="1" outlineLevel="1">
      <c r="A12" s="52"/>
      <c r="B12" s="52"/>
      <c r="C12" s="372" t="s">
        <v>719</v>
      </c>
      <c r="D12" s="47" t="s">
        <v>718</v>
      </c>
      <c r="E12" s="47"/>
      <c r="F12" s="47"/>
      <c r="G12" s="48"/>
      <c r="H12" s="48"/>
      <c r="I12" s="48"/>
      <c r="J12" s="47"/>
      <c r="K12" s="47"/>
    </row>
    <row r="13" spans="1:11" ht="15.75" customHeight="1" outlineLevel="1">
      <c r="A13" s="52"/>
      <c r="B13" s="52"/>
      <c r="C13" s="369" t="s">
        <v>725</v>
      </c>
      <c r="D13" s="47" t="s">
        <v>718</v>
      </c>
      <c r="E13" s="47"/>
      <c r="F13" s="47"/>
      <c r="G13" s="48"/>
      <c r="H13" s="48"/>
      <c r="I13" s="48"/>
      <c r="J13" s="47"/>
      <c r="K13" s="47"/>
    </row>
    <row r="14" spans="1:11" ht="15.75" customHeight="1" outlineLevel="2">
      <c r="A14" s="52"/>
      <c r="B14" s="371"/>
      <c r="C14" s="369" t="s">
        <v>723</v>
      </c>
      <c r="D14" s="47" t="s">
        <v>718</v>
      </c>
      <c r="E14" s="47"/>
      <c r="F14" s="47"/>
      <c r="G14" s="48"/>
      <c r="H14" s="48"/>
      <c r="I14" s="48"/>
      <c r="J14" s="47"/>
      <c r="K14" s="47"/>
    </row>
    <row r="15" spans="1:11" ht="15.75" customHeight="1" outlineLevel="1">
      <c r="A15" s="52"/>
      <c r="B15" s="368" t="s">
        <v>59</v>
      </c>
      <c r="C15" s="369" t="s">
        <v>720</v>
      </c>
      <c r="D15" s="47" t="s">
        <v>721</v>
      </c>
      <c r="E15" s="47"/>
      <c r="F15" s="47"/>
      <c r="G15" s="48"/>
      <c r="H15" s="48"/>
      <c r="I15" s="48"/>
      <c r="J15" s="47"/>
      <c r="K15" s="47"/>
    </row>
    <row r="16" spans="1:11" ht="15.75" customHeight="1" outlineLevel="2">
      <c r="A16" s="52"/>
      <c r="B16" s="368"/>
      <c r="C16" s="369" t="s">
        <v>722</v>
      </c>
      <c r="D16" s="47" t="s">
        <v>733</v>
      </c>
      <c r="E16" s="47"/>
      <c r="F16" s="47"/>
      <c r="G16" s="48"/>
      <c r="H16" s="48"/>
      <c r="I16" s="48"/>
      <c r="J16" s="47"/>
      <c r="K16" s="47"/>
    </row>
    <row r="17" spans="1:11" ht="15.75" customHeight="1" outlineLevel="2">
      <c r="A17" s="52"/>
      <c r="B17" s="368"/>
      <c r="C17" s="369" t="s">
        <v>724</v>
      </c>
      <c r="D17" s="47" t="s">
        <v>732</v>
      </c>
      <c r="E17" s="47"/>
      <c r="F17" s="47"/>
      <c r="G17" s="48"/>
      <c r="H17" s="48"/>
      <c r="I17" s="48"/>
      <c r="J17" s="47"/>
      <c r="K17" s="47"/>
    </row>
    <row r="18" spans="1:11" ht="15.75" customHeight="1" outlineLevel="2">
      <c r="A18" s="52"/>
      <c r="B18" s="368"/>
      <c r="C18" s="369" t="s">
        <v>734</v>
      </c>
      <c r="D18" s="47" t="s">
        <v>710</v>
      </c>
      <c r="E18" s="47"/>
      <c r="F18" s="47"/>
      <c r="G18" s="48"/>
      <c r="H18" s="48"/>
      <c r="I18" s="48"/>
      <c r="J18" s="47"/>
      <c r="K18" s="47"/>
    </row>
    <row r="19" spans="1:11" ht="15.75" customHeight="1" outlineLevel="2">
      <c r="A19" s="52"/>
      <c r="B19" s="368"/>
      <c r="C19" s="369" t="s">
        <v>726</v>
      </c>
      <c r="D19" s="47" t="s">
        <v>732</v>
      </c>
      <c r="E19" s="47"/>
      <c r="F19" s="47"/>
      <c r="G19" s="48"/>
      <c r="H19" s="48"/>
      <c r="I19" s="48"/>
      <c r="J19" s="47"/>
      <c r="K19" s="47"/>
    </row>
    <row r="20" spans="1:11" ht="15.75" customHeight="1" outlineLevel="1">
      <c r="A20" s="52"/>
      <c r="B20" s="368" t="s">
        <v>75</v>
      </c>
      <c r="C20" s="369" t="s">
        <v>727</v>
      </c>
      <c r="D20" s="47" t="s">
        <v>710</v>
      </c>
      <c r="E20" s="47"/>
      <c r="F20" s="47"/>
      <c r="G20" s="48"/>
      <c r="H20" s="48"/>
      <c r="I20" s="48"/>
      <c r="J20" s="47"/>
      <c r="K20" s="47"/>
    </row>
    <row r="21" spans="1:11" ht="15.75" customHeight="1" outlineLevel="2">
      <c r="A21" s="52"/>
      <c r="B21" s="368"/>
      <c r="C21" s="374" t="s">
        <v>728</v>
      </c>
      <c r="D21" s="47" t="s">
        <v>710</v>
      </c>
      <c r="E21" s="55"/>
      <c r="F21" s="55"/>
      <c r="G21" s="48"/>
      <c r="H21" s="48"/>
      <c r="I21" s="48"/>
      <c r="J21" s="47"/>
      <c r="K21" s="47"/>
    </row>
    <row r="22" spans="1:11" ht="15.75" customHeight="1" outlineLevel="2">
      <c r="A22" s="52"/>
      <c r="B22" s="368"/>
      <c r="C22" s="369" t="s">
        <v>729</v>
      </c>
      <c r="D22" s="47" t="s">
        <v>710</v>
      </c>
      <c r="E22" s="47"/>
      <c r="F22" s="47"/>
      <c r="G22" s="48"/>
      <c r="H22" s="48"/>
      <c r="I22" s="48"/>
      <c r="J22" s="47"/>
      <c r="K22" s="47"/>
    </row>
    <row r="23" spans="1:11" ht="15.75" customHeight="1" outlineLevel="2">
      <c r="A23" s="52"/>
      <c r="B23" s="368"/>
      <c r="C23" s="369" t="s">
        <v>731</v>
      </c>
      <c r="D23" s="47" t="s">
        <v>710</v>
      </c>
      <c r="E23" s="47"/>
      <c r="F23" s="47"/>
      <c r="G23" s="48"/>
      <c r="H23" s="48"/>
      <c r="I23" s="48"/>
      <c r="J23" s="47"/>
      <c r="K23" s="47"/>
    </row>
    <row r="24" spans="1:11" ht="15.75" customHeight="1" outlineLevel="2">
      <c r="A24" s="52"/>
      <c r="B24" s="368"/>
      <c r="C24" s="369" t="s">
        <v>730</v>
      </c>
      <c r="D24" s="47" t="s">
        <v>710</v>
      </c>
      <c r="E24" s="47"/>
      <c r="F24" s="47"/>
      <c r="G24" s="48"/>
      <c r="H24" s="48"/>
      <c r="I24" s="48"/>
      <c r="J24" s="47"/>
      <c r="K24" s="47"/>
    </row>
    <row r="25" spans="1:11" ht="15.75" customHeight="1" outlineLevel="1">
      <c r="A25" s="52"/>
      <c r="B25" s="52" t="s">
        <v>83</v>
      </c>
      <c r="C25" s="369" t="s">
        <v>735</v>
      </c>
      <c r="D25" s="47" t="s">
        <v>710</v>
      </c>
      <c r="E25" s="47"/>
      <c r="F25" s="47"/>
      <c r="G25" s="48"/>
      <c r="H25" s="48"/>
      <c r="I25" s="48"/>
      <c r="J25" s="47"/>
      <c r="K25" s="47"/>
    </row>
    <row r="26" spans="1:11" ht="16.5" customHeight="1" outlineLevel="2">
      <c r="A26" s="52"/>
      <c r="B26" s="52"/>
      <c r="C26" s="369" t="s">
        <v>736</v>
      </c>
      <c r="D26" s="47" t="s">
        <v>710</v>
      </c>
      <c r="E26" s="51"/>
      <c r="F26" s="47"/>
      <c r="G26" s="48"/>
      <c r="H26" s="48"/>
      <c r="I26" s="48"/>
      <c r="J26" s="47"/>
      <c r="K26" s="47"/>
    </row>
    <row r="27" spans="1:11" ht="15.75" customHeight="1">
      <c r="A27" s="52" t="s">
        <v>89</v>
      </c>
      <c r="B27" s="52"/>
      <c r="C27" s="51"/>
      <c r="D27" s="47"/>
      <c r="E27" s="47"/>
      <c r="F27" s="47"/>
      <c r="G27" s="47"/>
      <c r="H27" s="47"/>
      <c r="I27" s="47"/>
      <c r="J27" s="47"/>
      <c r="K27" s="47"/>
    </row>
    <row r="28" spans="1:11" ht="15.75" customHeight="1" outlineLevel="1">
      <c r="A28" s="52"/>
      <c r="B28" s="52" t="s">
        <v>90</v>
      </c>
      <c r="C28" s="376" t="s">
        <v>737</v>
      </c>
      <c r="D28" s="47" t="s">
        <v>710</v>
      </c>
      <c r="E28" s="47"/>
      <c r="F28" s="47"/>
      <c r="G28" s="48"/>
      <c r="H28" s="48"/>
      <c r="I28" s="48"/>
      <c r="J28" s="47"/>
      <c r="K28" s="47"/>
    </row>
    <row r="29" spans="1:11" ht="15.75" customHeight="1" outlineLevel="2">
      <c r="A29" s="52"/>
      <c r="B29" s="47"/>
      <c r="C29" s="376" t="s">
        <v>738</v>
      </c>
      <c r="D29" s="47" t="s">
        <v>710</v>
      </c>
      <c r="E29" s="47"/>
      <c r="F29" s="47"/>
      <c r="G29" s="48"/>
      <c r="H29" s="48"/>
      <c r="I29" s="48"/>
      <c r="J29" s="47"/>
      <c r="K29" s="47"/>
    </row>
    <row r="30" spans="1:11" ht="15.75" customHeight="1" outlineLevel="2">
      <c r="A30" s="52"/>
      <c r="B30" s="52"/>
      <c r="C30" s="376" t="s">
        <v>739</v>
      </c>
      <c r="D30" s="47" t="s">
        <v>710</v>
      </c>
      <c r="E30" s="47"/>
      <c r="F30" s="47"/>
      <c r="G30" s="48"/>
      <c r="H30" s="48"/>
      <c r="I30" s="48"/>
      <c r="J30" s="47"/>
      <c r="K30" s="47"/>
    </row>
    <row r="31" spans="1:11" ht="15.75" customHeight="1" outlineLevel="2">
      <c r="A31" s="52"/>
      <c r="B31" s="52"/>
      <c r="C31" s="376" t="s">
        <v>740</v>
      </c>
      <c r="D31" s="47" t="s">
        <v>710</v>
      </c>
      <c r="E31" s="47"/>
      <c r="F31" s="47"/>
      <c r="G31" s="48"/>
      <c r="H31" s="48"/>
      <c r="I31" s="48"/>
      <c r="J31" s="47"/>
      <c r="K31" s="47"/>
    </row>
    <row r="32" spans="1:11" ht="15.75" customHeight="1" outlineLevel="1">
      <c r="A32" s="52"/>
      <c r="B32" s="52" t="s">
        <v>100</v>
      </c>
      <c r="C32" s="369" t="s">
        <v>742</v>
      </c>
      <c r="D32" s="47" t="s">
        <v>710</v>
      </c>
      <c r="E32" s="47"/>
      <c r="F32" s="47"/>
      <c r="G32" s="48"/>
      <c r="H32" s="48"/>
      <c r="I32" s="48"/>
      <c r="J32" s="47"/>
      <c r="K32" s="47"/>
    </row>
    <row r="33" spans="1:11" ht="15.75" customHeight="1" outlineLevel="2">
      <c r="A33" s="52"/>
      <c r="B33" s="52"/>
      <c r="C33" s="372" t="s">
        <v>743</v>
      </c>
      <c r="D33" s="47" t="s">
        <v>710</v>
      </c>
      <c r="E33" s="47"/>
      <c r="F33" s="47"/>
      <c r="G33" s="48"/>
      <c r="H33" s="48"/>
      <c r="I33" s="48"/>
      <c r="J33" s="47"/>
      <c r="K33" s="47"/>
    </row>
    <row r="34" spans="1:11" ht="15.75" customHeight="1" outlineLevel="2">
      <c r="A34" s="52"/>
      <c r="B34" s="47"/>
      <c r="C34" s="369" t="s">
        <v>741</v>
      </c>
      <c r="D34" s="47" t="s">
        <v>710</v>
      </c>
      <c r="E34" s="47"/>
      <c r="F34" s="47"/>
      <c r="G34" s="48"/>
      <c r="H34" s="48"/>
      <c r="I34" s="48"/>
      <c r="J34" s="47"/>
      <c r="K34" s="47"/>
    </row>
    <row r="35" spans="1:11" ht="15.75" customHeight="1" outlineLevel="2">
      <c r="A35" s="52"/>
      <c r="B35" s="52"/>
      <c r="C35" s="372" t="s">
        <v>744</v>
      </c>
      <c r="D35" s="47" t="s">
        <v>710</v>
      </c>
      <c r="E35" s="47"/>
      <c r="F35" s="47"/>
      <c r="G35" s="48"/>
      <c r="H35" s="48"/>
      <c r="I35" s="48"/>
      <c r="J35" s="47"/>
      <c r="K35" s="47"/>
    </row>
    <row r="36" spans="1:11" ht="15.75" customHeight="1" outlineLevel="1">
      <c r="A36" s="52"/>
      <c r="B36" s="52" t="s">
        <v>112</v>
      </c>
      <c r="C36" s="369" t="s">
        <v>745</v>
      </c>
      <c r="D36" s="47" t="s">
        <v>710</v>
      </c>
      <c r="E36" s="47"/>
      <c r="F36" s="47"/>
      <c r="G36" s="48"/>
      <c r="H36" s="48"/>
      <c r="I36" s="48"/>
      <c r="J36" s="47"/>
      <c r="K36" s="47"/>
    </row>
    <row r="37" spans="1:11" ht="15.75" customHeight="1" outlineLevel="2">
      <c r="A37" s="52"/>
      <c r="B37" s="47"/>
      <c r="C37" s="372" t="s">
        <v>746</v>
      </c>
      <c r="D37" s="47" t="s">
        <v>710</v>
      </c>
      <c r="E37" s="47"/>
      <c r="F37" s="47"/>
      <c r="G37" s="48"/>
      <c r="H37" s="48"/>
      <c r="I37" s="48"/>
      <c r="J37" s="47"/>
      <c r="K37" s="47"/>
    </row>
    <row r="38" spans="1:11" ht="15.75" customHeight="1" outlineLevel="2">
      <c r="A38" s="52"/>
      <c r="B38" s="52"/>
      <c r="C38" s="369" t="s">
        <v>747</v>
      </c>
      <c r="D38" s="47" t="s">
        <v>710</v>
      </c>
      <c r="E38" s="47"/>
      <c r="F38" s="47"/>
      <c r="G38" s="48"/>
      <c r="H38" s="48"/>
      <c r="I38" s="48"/>
      <c r="J38" s="47"/>
      <c r="K38" s="47"/>
    </row>
    <row r="39" spans="1:11" ht="15.75" customHeight="1">
      <c r="A39" s="52" t="s">
        <v>278</v>
      </c>
      <c r="B39" s="52"/>
      <c r="C39" s="51"/>
      <c r="D39" s="47"/>
      <c r="E39" s="47"/>
      <c r="F39" s="47"/>
      <c r="G39" s="48"/>
      <c r="H39" s="48"/>
      <c r="I39" s="48"/>
      <c r="J39" s="47"/>
      <c r="K39" s="47"/>
    </row>
    <row r="40" spans="1:11" ht="15.75" customHeight="1" outlineLevel="1">
      <c r="A40" s="52"/>
      <c r="B40" s="52" t="s">
        <v>277</v>
      </c>
      <c r="C40" s="369" t="s">
        <v>748</v>
      </c>
      <c r="D40" s="47" t="s">
        <v>710</v>
      </c>
      <c r="E40" s="47"/>
      <c r="F40" s="47"/>
      <c r="G40" s="48"/>
      <c r="H40" s="48"/>
      <c r="I40" s="48"/>
      <c r="J40" s="47"/>
      <c r="K40" s="47"/>
    </row>
    <row r="41" spans="1:11" ht="15.75" customHeight="1" outlineLevel="2">
      <c r="A41" s="52"/>
      <c r="B41" s="47"/>
      <c r="C41" s="369" t="s">
        <v>749</v>
      </c>
      <c r="D41" s="47" t="s">
        <v>710</v>
      </c>
      <c r="E41" s="47"/>
      <c r="F41" s="47"/>
      <c r="G41" s="48"/>
      <c r="H41" s="48"/>
      <c r="I41" s="48"/>
      <c r="J41" s="47"/>
      <c r="K41" s="47"/>
    </row>
    <row r="42" spans="1:11" ht="15.75" customHeight="1" outlineLevel="2">
      <c r="A42" s="52"/>
      <c r="B42" s="52"/>
      <c r="C42" s="369" t="s">
        <v>750</v>
      </c>
      <c r="D42" s="47" t="s">
        <v>710</v>
      </c>
      <c r="E42" s="47"/>
      <c r="F42" s="47"/>
      <c r="G42" s="48"/>
      <c r="H42" s="48"/>
      <c r="I42" s="48"/>
      <c r="J42" s="47"/>
      <c r="K42" s="47"/>
    </row>
    <row r="43" spans="1:11" ht="15.75" customHeight="1" outlineLevel="2">
      <c r="A43" s="52"/>
      <c r="B43" s="52"/>
      <c r="C43" s="369" t="s">
        <v>751</v>
      </c>
      <c r="D43" s="47" t="s">
        <v>710</v>
      </c>
      <c r="E43" s="47"/>
      <c r="F43" s="47"/>
      <c r="G43" s="48"/>
      <c r="H43" s="48"/>
      <c r="I43" s="48"/>
      <c r="J43" s="47"/>
      <c r="K43" s="47"/>
    </row>
    <row r="44" spans="1:11" ht="15.75" customHeight="1" outlineLevel="1">
      <c r="A44" s="52"/>
      <c r="B44" s="52" t="s">
        <v>139</v>
      </c>
      <c r="C44" s="369" t="s">
        <v>752</v>
      </c>
      <c r="D44" s="47" t="s">
        <v>710</v>
      </c>
      <c r="E44" s="47"/>
      <c r="F44" s="47"/>
      <c r="G44" s="48"/>
      <c r="H44" s="48"/>
      <c r="I44" s="48"/>
      <c r="J44" s="47"/>
      <c r="K44" s="47"/>
    </row>
    <row r="45" spans="1:11" ht="15.75" customHeight="1" outlineLevel="2">
      <c r="A45" s="52"/>
      <c r="B45" s="52"/>
      <c r="C45" s="369" t="s">
        <v>753</v>
      </c>
      <c r="D45" s="47" t="s">
        <v>710</v>
      </c>
      <c r="E45" s="47"/>
      <c r="F45" s="47"/>
      <c r="G45" s="48"/>
      <c r="H45" s="48"/>
      <c r="I45" s="48"/>
      <c r="J45" s="47"/>
      <c r="K45" s="47"/>
    </row>
    <row r="46" spans="1:11" ht="15.75" customHeight="1" outlineLevel="2">
      <c r="A46" s="52"/>
      <c r="B46" s="52"/>
      <c r="C46" s="369" t="s">
        <v>754</v>
      </c>
      <c r="D46" s="47" t="s">
        <v>710</v>
      </c>
      <c r="E46" s="47"/>
      <c r="F46" s="47"/>
      <c r="G46" s="48"/>
      <c r="H46" s="48"/>
      <c r="I46" s="48"/>
      <c r="J46" s="47"/>
      <c r="K46" s="47"/>
    </row>
    <row r="47" spans="1:11" ht="15.75" customHeight="1" outlineLevel="1">
      <c r="A47" s="52"/>
      <c r="B47" s="52" t="s">
        <v>263</v>
      </c>
      <c r="C47" s="369" t="s">
        <v>755</v>
      </c>
      <c r="D47" s="47" t="s">
        <v>732</v>
      </c>
      <c r="E47" s="47"/>
      <c r="F47" s="47"/>
      <c r="G47" s="48"/>
      <c r="H47" s="48"/>
      <c r="I47" s="48"/>
      <c r="J47" s="47"/>
      <c r="K47" s="47"/>
    </row>
    <row r="48" spans="1:11" ht="15.75" customHeight="1" outlineLevel="1">
      <c r="A48" s="52"/>
      <c r="B48" s="52"/>
      <c r="C48" s="369" t="s">
        <v>762</v>
      </c>
      <c r="D48" s="47" t="s">
        <v>759</v>
      </c>
      <c r="E48" s="47"/>
      <c r="F48" s="47"/>
      <c r="G48" s="48"/>
      <c r="H48" s="48"/>
      <c r="I48" s="48"/>
      <c r="J48" s="47"/>
      <c r="K48" s="47"/>
    </row>
    <row r="49" spans="1:11" ht="15.75" customHeight="1" outlineLevel="2">
      <c r="A49" s="52"/>
      <c r="B49" s="52"/>
      <c r="C49" s="372" t="s">
        <v>758</v>
      </c>
      <c r="D49" s="47" t="s">
        <v>732</v>
      </c>
      <c r="E49" s="47"/>
      <c r="F49" s="47"/>
      <c r="G49" s="48"/>
      <c r="H49" s="48"/>
      <c r="I49" s="48"/>
      <c r="J49" s="47"/>
      <c r="K49" s="47"/>
    </row>
    <row r="50" spans="1:11" ht="15.75" customHeight="1" outlineLevel="2">
      <c r="A50" s="52"/>
      <c r="B50" s="52"/>
      <c r="C50" s="372" t="s">
        <v>762</v>
      </c>
      <c r="D50" s="47" t="s">
        <v>759</v>
      </c>
      <c r="E50" s="47"/>
      <c r="F50" s="47"/>
      <c r="G50" s="48"/>
      <c r="H50" s="48"/>
      <c r="I50" s="48"/>
      <c r="J50" s="47"/>
      <c r="K50" s="47"/>
    </row>
    <row r="51" spans="1:11" ht="15.75" customHeight="1" outlineLevel="2">
      <c r="A51" s="52"/>
      <c r="B51" s="47"/>
      <c r="C51" s="369" t="s">
        <v>756</v>
      </c>
      <c r="D51" s="47" t="s">
        <v>732</v>
      </c>
      <c r="E51" s="47"/>
      <c r="F51" s="47"/>
      <c r="G51" s="48"/>
      <c r="H51" s="48"/>
      <c r="I51" s="48"/>
      <c r="J51" s="47"/>
      <c r="K51" s="47"/>
    </row>
    <row r="52" spans="1:11" ht="15.75" customHeight="1" outlineLevel="2">
      <c r="A52" s="52"/>
      <c r="B52" s="47"/>
      <c r="C52" s="369" t="s">
        <v>761</v>
      </c>
      <c r="D52" s="47" t="s">
        <v>759</v>
      </c>
      <c r="E52" s="47"/>
      <c r="F52" s="47"/>
      <c r="G52" s="48"/>
      <c r="H52" s="48"/>
      <c r="I52" s="48"/>
      <c r="J52" s="47"/>
      <c r="K52" s="47"/>
    </row>
    <row r="53" spans="1:11" ht="15.75" customHeight="1" outlineLevel="2">
      <c r="A53" s="52"/>
      <c r="B53" s="52"/>
      <c r="C53" s="372" t="s">
        <v>757</v>
      </c>
      <c r="D53" s="47" t="s">
        <v>732</v>
      </c>
      <c r="E53" s="47"/>
      <c r="F53" s="47"/>
      <c r="G53" s="48"/>
      <c r="H53" s="48"/>
      <c r="I53" s="48"/>
      <c r="J53" s="47"/>
      <c r="K53" s="47"/>
    </row>
    <row r="54" spans="1:11" ht="15.75" customHeight="1" outlineLevel="2">
      <c r="A54" s="52"/>
      <c r="B54" s="52"/>
      <c r="C54" s="372" t="s">
        <v>760</v>
      </c>
      <c r="D54" s="47" t="s">
        <v>759</v>
      </c>
      <c r="E54" s="47"/>
      <c r="F54" s="47"/>
      <c r="G54" s="48"/>
      <c r="H54" s="48"/>
      <c r="I54" s="48"/>
      <c r="J54" s="47"/>
      <c r="K54" s="47"/>
    </row>
    <row r="55" spans="1:11" ht="15.75" customHeight="1" outlineLevel="1">
      <c r="A55" s="52"/>
      <c r="B55" s="52" t="s">
        <v>145</v>
      </c>
      <c r="C55" s="369" t="s">
        <v>764</v>
      </c>
      <c r="D55" s="47" t="s">
        <v>710</v>
      </c>
      <c r="E55" s="47"/>
      <c r="F55" s="47"/>
      <c r="G55" s="48"/>
      <c r="H55" s="48"/>
      <c r="I55" s="48"/>
      <c r="J55" s="47"/>
      <c r="K55" s="47"/>
    </row>
    <row r="56" spans="1:11" ht="15.75" customHeight="1" outlineLevel="2">
      <c r="A56" s="52"/>
      <c r="B56" s="47"/>
      <c r="C56" s="369" t="s">
        <v>763</v>
      </c>
      <c r="D56" s="47" t="s">
        <v>710</v>
      </c>
      <c r="E56" s="47"/>
      <c r="F56" s="47"/>
      <c r="G56" s="48"/>
      <c r="H56" s="48"/>
      <c r="I56" s="48"/>
      <c r="J56" s="47"/>
      <c r="K56" s="47"/>
    </row>
    <row r="57" spans="1:11" ht="15.75" customHeight="1" outlineLevel="2">
      <c r="A57" s="52"/>
      <c r="B57" s="52"/>
      <c r="C57" s="369" t="s">
        <v>765</v>
      </c>
      <c r="D57" s="47" t="s">
        <v>710</v>
      </c>
      <c r="E57" s="47"/>
      <c r="F57" s="47"/>
      <c r="G57" s="48"/>
      <c r="H57" s="48"/>
      <c r="I57" s="48"/>
      <c r="J57" s="47"/>
      <c r="K57" s="47"/>
    </row>
    <row r="58" spans="1:11" ht="15.75" customHeight="1" outlineLevel="2">
      <c r="A58" s="52"/>
      <c r="B58" s="52"/>
      <c r="C58" s="369" t="s">
        <v>766</v>
      </c>
      <c r="D58" s="47" t="s">
        <v>710</v>
      </c>
      <c r="E58" s="47"/>
      <c r="F58" s="47"/>
      <c r="G58" s="48"/>
      <c r="H58" s="48"/>
      <c r="I58" s="48"/>
      <c r="J58" s="47"/>
      <c r="K58" s="47"/>
    </row>
    <row r="59" spans="1:11" ht="15.75" customHeight="1" outlineLevel="2">
      <c r="A59" s="52"/>
      <c r="B59" s="52"/>
      <c r="C59" s="369" t="s">
        <v>767</v>
      </c>
      <c r="D59" s="47" t="s">
        <v>710</v>
      </c>
      <c r="E59" s="47"/>
      <c r="F59" s="47"/>
      <c r="G59" s="48"/>
      <c r="H59" s="48"/>
      <c r="I59" s="48"/>
      <c r="J59" s="47"/>
      <c r="K59" s="47"/>
    </row>
    <row r="60" spans="1:11" ht="15.75" customHeight="1" outlineLevel="1">
      <c r="A60" s="52"/>
      <c r="B60" s="52" t="s">
        <v>160</v>
      </c>
      <c r="C60" s="369" t="s">
        <v>768</v>
      </c>
      <c r="D60" s="47" t="s">
        <v>710</v>
      </c>
      <c r="E60" s="47"/>
      <c r="F60" s="47"/>
      <c r="G60" s="48"/>
      <c r="H60" s="48"/>
      <c r="I60" s="48"/>
      <c r="J60" s="47"/>
      <c r="K60" s="47"/>
    </row>
    <row r="61" spans="1:11" ht="15.75" customHeight="1" outlineLevel="2">
      <c r="A61" s="52"/>
      <c r="B61" s="47"/>
      <c r="C61" s="369" t="s">
        <v>769</v>
      </c>
      <c r="D61" s="47" t="s">
        <v>710</v>
      </c>
      <c r="E61" s="47"/>
      <c r="F61" s="47"/>
      <c r="G61" s="48"/>
      <c r="H61" s="48"/>
      <c r="I61" s="48"/>
      <c r="J61" s="47"/>
      <c r="K61" s="47"/>
    </row>
    <row r="62" spans="1:11" ht="15.75" customHeight="1" outlineLevel="2">
      <c r="A62" s="52"/>
      <c r="B62" s="52"/>
      <c r="C62" s="369" t="s">
        <v>770</v>
      </c>
      <c r="D62" s="47" t="s">
        <v>710</v>
      </c>
      <c r="E62" s="47"/>
      <c r="F62" s="47"/>
      <c r="G62" s="48"/>
      <c r="H62" s="48"/>
      <c r="I62" s="48"/>
      <c r="J62" s="47"/>
      <c r="K62" s="47"/>
    </row>
    <row r="63" spans="1:11" ht="15.75" customHeight="1" outlineLevel="2">
      <c r="A63" s="52"/>
      <c r="B63" s="52"/>
      <c r="C63" s="369" t="s">
        <v>771</v>
      </c>
      <c r="D63" s="47" t="s">
        <v>710</v>
      </c>
      <c r="E63" s="47"/>
      <c r="F63" s="47"/>
      <c r="G63" s="47"/>
      <c r="H63" s="47"/>
      <c r="I63" s="47"/>
      <c r="J63" s="47"/>
      <c r="K63" s="47"/>
    </row>
    <row r="64" spans="1:11" ht="15.75" customHeight="1" outlineLevel="2">
      <c r="A64" s="52"/>
      <c r="B64" s="52"/>
      <c r="C64" s="369" t="s">
        <v>772</v>
      </c>
      <c r="D64" s="47" t="s">
        <v>710</v>
      </c>
      <c r="E64" s="47"/>
      <c r="F64" s="47"/>
      <c r="G64" s="47"/>
      <c r="H64" s="47"/>
      <c r="I64" s="47"/>
      <c r="J64" s="47"/>
      <c r="K64" s="47"/>
    </row>
    <row r="65" spans="1:11" ht="15.75" customHeight="1">
      <c r="A65" s="52" t="s">
        <v>169</v>
      </c>
      <c r="B65" s="52"/>
      <c r="C65" s="51"/>
      <c r="D65" s="47"/>
      <c r="E65" s="47"/>
      <c r="F65" s="47"/>
      <c r="G65" s="47"/>
      <c r="H65" s="47"/>
      <c r="I65" s="47"/>
      <c r="J65" s="47"/>
      <c r="K65" s="47"/>
    </row>
    <row r="66" spans="1:11" ht="15.75" customHeight="1" outlineLevel="1">
      <c r="A66" s="52"/>
      <c r="B66" s="52" t="s">
        <v>248</v>
      </c>
      <c r="C66" s="369" t="s">
        <v>773</v>
      </c>
      <c r="D66" s="47" t="s">
        <v>710</v>
      </c>
      <c r="E66" s="47"/>
      <c r="F66" s="47"/>
      <c r="G66" s="48"/>
      <c r="H66" s="48"/>
      <c r="I66" s="48"/>
      <c r="J66" s="47"/>
      <c r="K66" s="47"/>
    </row>
    <row r="67" spans="1:11" ht="15.75" customHeight="1" outlineLevel="1">
      <c r="A67" s="52"/>
      <c r="B67" s="52"/>
      <c r="C67" s="369" t="s">
        <v>774</v>
      </c>
      <c r="D67" s="47" t="s">
        <v>710</v>
      </c>
      <c r="E67" s="47"/>
      <c r="F67" s="47"/>
      <c r="G67" s="47"/>
      <c r="H67" s="47"/>
      <c r="I67" s="48"/>
      <c r="J67" s="47"/>
      <c r="K67" s="47"/>
    </row>
    <row r="68" spans="1:11" ht="15.75" customHeight="1" outlineLevel="1">
      <c r="A68" s="52"/>
      <c r="B68" s="52" t="s">
        <v>245</v>
      </c>
      <c r="C68" s="369" t="s">
        <v>775</v>
      </c>
      <c r="D68" s="47" t="s">
        <v>776</v>
      </c>
      <c r="E68" s="47"/>
      <c r="F68" s="47"/>
      <c r="G68" s="48"/>
      <c r="H68" s="48"/>
      <c r="I68" s="48"/>
      <c r="J68" s="47"/>
      <c r="K68" s="47"/>
    </row>
    <row r="69" spans="1:11" ht="15.75" customHeight="1" outlineLevel="1">
      <c r="A69" s="52"/>
      <c r="B69" s="52" t="s">
        <v>242</v>
      </c>
      <c r="C69" s="369" t="s">
        <v>777</v>
      </c>
      <c r="D69" s="47" t="s">
        <v>710</v>
      </c>
      <c r="E69" s="47"/>
      <c r="F69" s="47"/>
      <c r="G69" s="47"/>
      <c r="H69" s="47"/>
      <c r="I69" s="48"/>
      <c r="J69" s="47"/>
      <c r="K69" s="47"/>
    </row>
    <row r="70" spans="1:11" ht="15.75" customHeight="1" outlineLevel="1">
      <c r="A70" s="52"/>
      <c r="B70" s="52" t="s">
        <v>240</v>
      </c>
      <c r="C70" s="369" t="s">
        <v>778</v>
      </c>
      <c r="D70" s="47" t="s">
        <v>710</v>
      </c>
      <c r="E70" s="47"/>
      <c r="F70" s="47"/>
      <c r="G70" s="48"/>
      <c r="H70" s="48"/>
      <c r="I70" s="48"/>
      <c r="J70" s="47"/>
      <c r="K70" s="47"/>
    </row>
    <row r="71" spans="1:11" ht="15.75" customHeight="1" outlineLevel="1">
      <c r="A71" s="52"/>
      <c r="B71" s="52"/>
      <c r="C71" s="51"/>
      <c r="D71" s="47"/>
      <c r="E71" s="47"/>
      <c r="F71" s="47"/>
      <c r="G71" s="48"/>
      <c r="H71" s="48"/>
      <c r="I71" s="48"/>
      <c r="J71" s="47"/>
      <c r="K71" s="47"/>
    </row>
    <row r="72" spans="1:11" ht="15.75" customHeight="1">
      <c r="A72" s="52" t="s">
        <v>179</v>
      </c>
      <c r="B72" s="52"/>
      <c r="C72" s="51"/>
      <c r="D72" s="47"/>
      <c r="E72" s="47"/>
      <c r="F72" s="47"/>
      <c r="G72" s="47"/>
      <c r="H72" s="47"/>
      <c r="I72" s="47"/>
      <c r="J72" s="47"/>
      <c r="K72" s="47"/>
    </row>
    <row r="73" spans="1:11" ht="15.75" customHeight="1" outlineLevel="1">
      <c r="A73" s="53"/>
      <c r="B73" s="52" t="s">
        <v>180</v>
      </c>
      <c r="C73" s="51"/>
      <c r="D73" s="47"/>
      <c r="E73" s="47"/>
      <c r="F73" s="47"/>
      <c r="G73" s="48"/>
      <c r="H73" s="48"/>
      <c r="I73" s="48"/>
      <c r="J73" s="47"/>
      <c r="K73" s="47"/>
    </row>
    <row r="74" spans="1:11" ht="15.75" customHeight="1" outlineLevel="2">
      <c r="A74" s="53"/>
      <c r="B74" s="47" t="s">
        <v>236</v>
      </c>
      <c r="C74" s="372" t="s">
        <v>235</v>
      </c>
      <c r="D74" s="47" t="s">
        <v>182</v>
      </c>
      <c r="E74" s="47"/>
      <c r="F74" s="47"/>
      <c r="G74" s="48" t="s">
        <v>234</v>
      </c>
      <c r="H74" s="48" t="s">
        <v>233</v>
      </c>
      <c r="I74" s="48"/>
      <c r="J74" s="47"/>
      <c r="K74" s="47"/>
    </row>
    <row r="75" spans="1:11" ht="15.75" customHeight="1" outlineLevel="2">
      <c r="A75" s="53"/>
      <c r="B75" s="52"/>
      <c r="C75" s="372" t="s">
        <v>186</v>
      </c>
      <c r="D75" s="47" t="s">
        <v>17</v>
      </c>
      <c r="E75" s="47"/>
      <c r="F75" s="47"/>
      <c r="G75" s="48"/>
      <c r="H75" s="48"/>
      <c r="I75" s="48"/>
      <c r="J75" s="47"/>
      <c r="K75" s="47"/>
    </row>
    <row r="76" spans="1:11" ht="15.75" customHeight="1" outlineLevel="2">
      <c r="A76" s="53"/>
      <c r="B76" s="52"/>
      <c r="C76" s="372" t="s">
        <v>232</v>
      </c>
      <c r="D76" s="47" t="s">
        <v>17</v>
      </c>
      <c r="E76" s="47"/>
      <c r="F76" s="47"/>
      <c r="G76" s="48"/>
      <c r="H76" s="48"/>
      <c r="I76" s="48"/>
      <c r="J76" s="47"/>
      <c r="K76" s="47"/>
    </row>
    <row r="77" spans="1:11" ht="15.75" customHeight="1" outlineLevel="1">
      <c r="A77" s="53"/>
      <c r="B77" s="52" t="s">
        <v>190</v>
      </c>
      <c r="C77" s="372"/>
      <c r="D77" s="47"/>
      <c r="E77" s="47"/>
      <c r="F77" s="47"/>
      <c r="G77" s="48"/>
      <c r="H77" s="48"/>
      <c r="I77" s="48"/>
      <c r="J77" s="47"/>
      <c r="K77" s="47"/>
    </row>
    <row r="78" spans="1:11" ht="15.75" customHeight="1" outlineLevel="2">
      <c r="A78" s="47"/>
      <c r="B78" s="47" t="s">
        <v>231</v>
      </c>
      <c r="C78" s="372" t="s">
        <v>230</v>
      </c>
      <c r="D78" s="47" t="s">
        <v>17</v>
      </c>
      <c r="E78" s="47"/>
      <c r="F78" s="47"/>
      <c r="G78" s="48" t="s">
        <v>229</v>
      </c>
      <c r="H78" s="48" t="s">
        <v>17</v>
      </c>
      <c r="I78" s="48"/>
      <c r="J78" s="47"/>
      <c r="K78" s="47"/>
    </row>
    <row r="79" spans="1:11" ht="15.75" customHeight="1" outlineLevel="2">
      <c r="A79" s="47"/>
      <c r="B79" s="52"/>
      <c r="C79" s="372" t="s">
        <v>228</v>
      </c>
      <c r="D79" s="47" t="s">
        <v>17</v>
      </c>
      <c r="E79" s="47"/>
      <c r="F79" s="47"/>
      <c r="G79" s="48"/>
      <c r="H79" s="48"/>
      <c r="I79" s="48"/>
      <c r="J79" s="47"/>
      <c r="K79" s="47"/>
    </row>
    <row r="80" spans="1:11" ht="15.75" customHeight="1" outlineLevel="2">
      <c r="A80" s="47"/>
      <c r="B80" s="52"/>
      <c r="C80" s="372" t="s">
        <v>227</v>
      </c>
      <c r="D80" s="47" t="s">
        <v>17</v>
      </c>
      <c r="E80" s="47"/>
      <c r="F80" s="47"/>
      <c r="G80" s="48" t="s">
        <v>226</v>
      </c>
      <c r="H80" s="54" t="s">
        <v>225</v>
      </c>
      <c r="I80" s="47" t="s">
        <v>224</v>
      </c>
      <c r="J80" s="47"/>
      <c r="K80" s="47"/>
    </row>
    <row r="81" spans="1:11" ht="15.75" customHeight="1" outlineLevel="1">
      <c r="A81" s="53"/>
      <c r="B81" s="52" t="s">
        <v>199</v>
      </c>
      <c r="C81" s="372"/>
      <c r="D81" s="47"/>
      <c r="E81" s="47"/>
      <c r="F81" s="47"/>
      <c r="G81" s="48"/>
      <c r="H81" s="48"/>
      <c r="I81" s="48"/>
      <c r="J81" s="47"/>
      <c r="K81" s="47"/>
    </row>
    <row r="82" spans="1:11" ht="15.75" customHeight="1" outlineLevel="2">
      <c r="A82" s="53"/>
      <c r="B82" s="47" t="s">
        <v>223</v>
      </c>
      <c r="C82" s="372" t="s">
        <v>222</v>
      </c>
      <c r="D82" s="50" t="s">
        <v>17</v>
      </c>
      <c r="E82" s="50"/>
      <c r="F82" s="50"/>
      <c r="G82" s="48"/>
      <c r="H82" s="48"/>
      <c r="I82" s="48"/>
      <c r="J82" s="47"/>
      <c r="K82" s="47"/>
    </row>
    <row r="83" spans="1:11" ht="15.75" customHeight="1" outlineLevel="2">
      <c r="A83" s="53"/>
      <c r="B83" s="52"/>
      <c r="C83" s="372" t="s">
        <v>221</v>
      </c>
      <c r="D83" s="50" t="s">
        <v>17</v>
      </c>
      <c r="E83" s="50"/>
      <c r="F83" s="50"/>
      <c r="G83" s="48"/>
      <c r="H83" s="48"/>
      <c r="I83" s="48"/>
      <c r="J83" s="47"/>
      <c r="K83" s="47"/>
    </row>
    <row r="84" spans="1:11" ht="15.75" customHeight="1" outlineLevel="2">
      <c r="A84" s="53"/>
      <c r="B84" s="52"/>
      <c r="C84" s="372" t="s">
        <v>220</v>
      </c>
      <c r="D84" s="50" t="s">
        <v>17</v>
      </c>
      <c r="E84" s="50"/>
      <c r="F84" s="49"/>
      <c r="G84" s="48"/>
      <c r="H84" s="48"/>
      <c r="I84" s="48"/>
      <c r="J84" s="47"/>
      <c r="K84" s="47"/>
    </row>
    <row r="85" spans="1:11" ht="15.75" customHeight="1" outlineLevel="2">
      <c r="A85" s="53"/>
      <c r="B85" s="52"/>
      <c r="C85" s="372" t="s">
        <v>219</v>
      </c>
      <c r="D85" s="50" t="s">
        <v>17</v>
      </c>
      <c r="E85" s="50"/>
      <c r="F85" s="49"/>
      <c r="G85" s="48"/>
      <c r="H85" s="48"/>
      <c r="I85" s="48"/>
      <c r="J85" s="47"/>
      <c r="K85" s="47"/>
    </row>
    <row r="86" spans="1:11" ht="15.75" customHeight="1" outlineLevel="2">
      <c r="A86" s="53"/>
      <c r="B86" s="52"/>
      <c r="C86" s="372" t="s">
        <v>218</v>
      </c>
      <c r="D86" s="50" t="s">
        <v>17</v>
      </c>
      <c r="E86" s="50"/>
      <c r="F86" s="49"/>
      <c r="G86" s="48"/>
      <c r="H86" s="48"/>
      <c r="I86" s="48"/>
      <c r="J86" s="47"/>
      <c r="K86" s="47"/>
    </row>
    <row r="87" spans="1:11" ht="15.75" customHeight="1" outlineLevel="2">
      <c r="A87" s="53"/>
      <c r="B87" s="52"/>
      <c r="C87" s="372" t="s">
        <v>217</v>
      </c>
      <c r="D87" s="50" t="s">
        <v>17</v>
      </c>
      <c r="E87" s="50"/>
      <c r="F87" s="49"/>
      <c r="G87" s="48"/>
      <c r="H87" s="48"/>
      <c r="I87" s="48"/>
      <c r="J87" s="47"/>
      <c r="K87" s="47"/>
    </row>
    <row r="88" spans="1:11" ht="15.75" customHeight="1" outlineLevel="2">
      <c r="A88" s="53"/>
      <c r="B88" s="52"/>
      <c r="C88" s="372" t="s">
        <v>216</v>
      </c>
      <c r="D88" s="50" t="s">
        <v>17</v>
      </c>
      <c r="E88" s="50"/>
      <c r="F88" s="49"/>
      <c r="G88" s="48"/>
      <c r="H88" s="48"/>
      <c r="I88" s="48"/>
      <c r="J88" s="47"/>
      <c r="K88" s="47"/>
    </row>
    <row r="89" spans="1:11" ht="15.75" customHeight="1">
      <c r="A89" s="46"/>
      <c r="B89" s="45"/>
      <c r="C89" s="44"/>
      <c r="D89" s="42"/>
      <c r="E89" s="42"/>
      <c r="F89" s="42"/>
      <c r="G89" s="43"/>
      <c r="H89" s="43"/>
      <c r="I89" s="43"/>
      <c r="J89" s="42"/>
      <c r="K89" s="42"/>
    </row>
    <row r="90" spans="1:11" ht="15.75" customHeight="1">
      <c r="A90" s="46"/>
      <c r="B90" s="45"/>
      <c r="C90" s="44"/>
      <c r="D90" s="42"/>
      <c r="E90" s="42"/>
      <c r="F90" s="42"/>
      <c r="G90" s="43"/>
      <c r="H90" s="43"/>
      <c r="I90" s="43"/>
      <c r="J90" s="42"/>
      <c r="K90" s="42"/>
    </row>
    <row r="91" spans="1:11" ht="15.75" customHeight="1">
      <c r="A91" s="46"/>
      <c r="B91" s="45"/>
      <c r="C91" s="44"/>
      <c r="D91" s="42"/>
      <c r="E91" s="42"/>
      <c r="F91" s="42"/>
      <c r="G91" s="43"/>
      <c r="H91" s="43"/>
      <c r="I91" s="43"/>
      <c r="J91" s="42"/>
      <c r="K91" s="42"/>
    </row>
  </sheetData>
  <mergeCells count="2">
    <mergeCell ref="A1:J1"/>
    <mergeCell ref="A2:J2"/>
  </mergeCells>
  <printOptions horizontalCentered="1" gridLines="1"/>
  <pageMargins left="0.7" right="0.7" top="0.75" bottom="0.75" header="0" footer="0"/>
  <pageSetup fitToHeight="0" pageOrder="overThenDown" orientation="landscape" cellComments="atEnd"/>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823CF-5F4B-4F06-BFCC-0493826B2DD7}">
  <sheetPr>
    <tabColor theme="5" tint="0.79998168889431442"/>
    <outlinePr summaryBelow="0" summaryRight="0"/>
    <pageSetUpPr fitToPage="1"/>
  </sheetPr>
  <dimension ref="A1:M274"/>
  <sheetViews>
    <sheetView workbookViewId="0">
      <selection sqref="A1:L1"/>
    </sheetView>
  </sheetViews>
  <sheetFormatPr defaultColWidth="12.5703125" defaultRowHeight="15" customHeight="1" outlineLevelRow="2"/>
  <cols>
    <col min="1" max="1" width="19.42578125" style="41" customWidth="1"/>
    <col min="2" max="2" width="21.42578125" style="41" customWidth="1"/>
    <col min="3" max="3" width="28.42578125" style="41" customWidth="1"/>
    <col min="4" max="4" width="97.7109375" style="41" customWidth="1"/>
    <col min="5" max="5" width="60.28515625" style="41" customWidth="1"/>
    <col min="6" max="6" width="21" style="41" customWidth="1"/>
    <col min="7" max="8" width="13.5703125" style="41" customWidth="1"/>
    <col min="9" max="9" width="47.85546875" style="41" customWidth="1"/>
    <col min="10" max="10" width="13.7109375" style="41" customWidth="1"/>
    <col min="11" max="11" width="47.85546875" style="41" customWidth="1"/>
    <col min="12" max="13" width="52.28515625" style="41" customWidth="1"/>
    <col min="14" max="16384" width="12.5703125" style="41"/>
  </cols>
  <sheetData>
    <row r="1" spans="1:13" ht="34.5" customHeight="1">
      <c r="A1" s="613" t="s">
        <v>0</v>
      </c>
      <c r="B1" s="614"/>
      <c r="C1" s="614"/>
      <c r="D1" s="614"/>
      <c r="E1" s="614"/>
      <c r="F1" s="614"/>
      <c r="G1" s="614"/>
      <c r="H1" s="614"/>
      <c r="I1" s="614"/>
      <c r="J1" s="614"/>
      <c r="K1" s="614"/>
      <c r="L1" s="614"/>
      <c r="M1" s="60"/>
    </row>
    <row r="2" spans="1:13" ht="30.75" customHeight="1">
      <c r="A2" s="613" t="s">
        <v>1</v>
      </c>
      <c r="B2" s="614"/>
      <c r="C2" s="614"/>
      <c r="D2" s="614"/>
      <c r="E2" s="614"/>
      <c r="F2" s="614"/>
      <c r="G2" s="614"/>
      <c r="H2" s="614"/>
      <c r="I2" s="614"/>
      <c r="J2" s="614"/>
      <c r="K2" s="614"/>
      <c r="L2" s="614"/>
      <c r="M2" s="60"/>
    </row>
    <row r="3" spans="1:13" ht="15.75" customHeight="1">
      <c r="A3" s="85" t="s">
        <v>2</v>
      </c>
      <c r="B3" s="86" t="s">
        <v>3</v>
      </c>
      <c r="C3" s="85" t="s">
        <v>687</v>
      </c>
      <c r="D3" s="87" t="s">
        <v>4</v>
      </c>
      <c r="E3" s="87" t="s">
        <v>686</v>
      </c>
      <c r="F3" s="85" t="s">
        <v>5</v>
      </c>
      <c r="G3" s="85" t="s">
        <v>367</v>
      </c>
      <c r="H3" s="85" t="s">
        <v>366</v>
      </c>
      <c r="I3" s="86" t="s">
        <v>365</v>
      </c>
      <c r="J3" s="86" t="s">
        <v>5</v>
      </c>
      <c r="K3" s="86" t="s">
        <v>8</v>
      </c>
      <c r="L3" s="85" t="s">
        <v>364</v>
      </c>
      <c r="M3" s="85"/>
    </row>
    <row r="4" spans="1:13" ht="15.75" customHeight="1">
      <c r="A4" s="45" t="s">
        <v>9</v>
      </c>
      <c r="B4" s="62"/>
      <c r="C4" s="42"/>
      <c r="D4" s="44"/>
      <c r="E4" s="44"/>
      <c r="F4" s="42"/>
      <c r="G4" s="42"/>
      <c r="H4" s="42"/>
      <c r="I4" s="42"/>
      <c r="J4" s="42"/>
      <c r="K4" s="42"/>
      <c r="L4" s="42"/>
      <c r="M4" s="42"/>
    </row>
    <row r="5" spans="1:13" ht="15.75" customHeight="1" outlineLevel="1">
      <c r="A5" s="45"/>
      <c r="B5" s="62" t="s">
        <v>10</v>
      </c>
      <c r="C5" s="42"/>
      <c r="D5" s="44"/>
      <c r="E5" s="44"/>
      <c r="F5" s="42"/>
      <c r="G5" s="42"/>
      <c r="H5" s="42"/>
      <c r="I5" s="42"/>
      <c r="J5" s="42"/>
      <c r="K5" s="42"/>
      <c r="L5" s="42"/>
      <c r="M5" s="42"/>
    </row>
    <row r="6" spans="1:13" ht="60" outlineLevel="2">
      <c r="A6" s="45"/>
      <c r="B6" s="43" t="s">
        <v>363</v>
      </c>
      <c r="C6" s="42" t="s">
        <v>676</v>
      </c>
      <c r="D6" s="44" t="s">
        <v>362</v>
      </c>
      <c r="E6" s="78" t="s">
        <v>685</v>
      </c>
      <c r="F6" s="42" t="s">
        <v>17</v>
      </c>
      <c r="G6" s="42"/>
      <c r="H6" s="42"/>
      <c r="I6" s="43" t="s">
        <v>684</v>
      </c>
      <c r="J6" s="43"/>
      <c r="K6" s="43" t="s">
        <v>14</v>
      </c>
      <c r="L6" s="42"/>
      <c r="M6" s="42"/>
    </row>
    <row r="7" spans="1:13" ht="18" customHeight="1" outlineLevel="2">
      <c r="A7" s="45"/>
      <c r="B7" s="62"/>
      <c r="C7" s="79" t="s">
        <v>676</v>
      </c>
      <c r="D7" s="78" t="s">
        <v>16</v>
      </c>
      <c r="E7" s="78" t="s">
        <v>683</v>
      </c>
      <c r="F7" s="42" t="s">
        <v>17</v>
      </c>
      <c r="G7" s="42"/>
      <c r="H7" s="42"/>
      <c r="I7" s="43" t="s">
        <v>351</v>
      </c>
      <c r="J7" s="43"/>
      <c r="K7" s="43"/>
      <c r="L7" s="42"/>
      <c r="M7" s="42"/>
    </row>
    <row r="8" spans="1:13" outlineLevel="2">
      <c r="A8" s="45"/>
      <c r="B8" s="43"/>
      <c r="C8" s="72" t="s">
        <v>676</v>
      </c>
      <c r="D8" s="71" t="s">
        <v>15</v>
      </c>
      <c r="E8" s="71" t="s">
        <v>682</v>
      </c>
      <c r="F8" s="42"/>
      <c r="G8" s="42"/>
      <c r="H8" s="42"/>
      <c r="I8" s="43"/>
      <c r="J8" s="43"/>
      <c r="K8" s="43"/>
      <c r="L8" s="42"/>
      <c r="M8" s="42"/>
    </row>
    <row r="9" spans="1:13" outlineLevel="2">
      <c r="A9" s="45"/>
      <c r="B9" s="43"/>
      <c r="C9" s="72" t="s">
        <v>676</v>
      </c>
      <c r="D9" s="71" t="s">
        <v>681</v>
      </c>
      <c r="E9" s="71" t="s">
        <v>680</v>
      </c>
      <c r="F9" s="42"/>
      <c r="G9" s="42"/>
      <c r="H9" s="42"/>
      <c r="I9" s="43"/>
      <c r="J9" s="43"/>
      <c r="K9" s="43"/>
      <c r="L9" s="42"/>
      <c r="M9" s="42"/>
    </row>
    <row r="10" spans="1:13" ht="15.75" customHeight="1" outlineLevel="2">
      <c r="A10" s="45"/>
      <c r="B10" s="62"/>
      <c r="C10" s="42" t="s">
        <v>676</v>
      </c>
      <c r="D10" s="44" t="s">
        <v>357</v>
      </c>
      <c r="E10" s="44" t="s">
        <v>679</v>
      </c>
      <c r="F10" s="79" t="s">
        <v>356</v>
      </c>
      <c r="G10" s="42"/>
      <c r="H10" s="42"/>
      <c r="I10" s="43" t="s">
        <v>678</v>
      </c>
      <c r="J10" s="43"/>
      <c r="K10" s="43"/>
      <c r="L10" s="42" t="s">
        <v>355</v>
      </c>
      <c r="M10" s="42"/>
    </row>
    <row r="11" spans="1:13" ht="15.75" customHeight="1" outlineLevel="2">
      <c r="A11" s="45"/>
      <c r="B11" s="43"/>
      <c r="C11" s="42" t="s">
        <v>676</v>
      </c>
      <c r="D11" s="44" t="s">
        <v>22</v>
      </c>
      <c r="E11" s="44"/>
      <c r="F11" s="42" t="s">
        <v>677</v>
      </c>
      <c r="G11" s="42"/>
      <c r="H11" s="42"/>
      <c r="I11" s="43"/>
      <c r="J11" s="43"/>
      <c r="K11" s="43"/>
      <c r="L11" s="42"/>
      <c r="M11" s="42"/>
    </row>
    <row r="12" spans="1:13" ht="15.75" customHeight="1" outlineLevel="2">
      <c r="A12" s="45"/>
      <c r="B12" s="43"/>
      <c r="C12" s="42" t="s">
        <v>676</v>
      </c>
      <c r="D12" s="44" t="s">
        <v>24</v>
      </c>
      <c r="E12" s="44"/>
      <c r="F12" s="42" t="s">
        <v>25</v>
      </c>
      <c r="G12" s="42"/>
      <c r="H12" s="42"/>
      <c r="I12" s="43"/>
      <c r="J12" s="43"/>
      <c r="K12" s="43"/>
      <c r="L12" s="42"/>
      <c r="M12" s="42"/>
    </row>
    <row r="13" spans="1:13" ht="15.75" customHeight="1" outlineLevel="2">
      <c r="A13" s="45"/>
      <c r="B13" s="62"/>
      <c r="C13" s="42" t="s">
        <v>676</v>
      </c>
      <c r="D13" s="44" t="s">
        <v>675</v>
      </c>
      <c r="E13" s="44"/>
      <c r="F13" s="42" t="s">
        <v>261</v>
      </c>
      <c r="G13" s="42"/>
      <c r="H13" s="42"/>
      <c r="I13" s="43"/>
      <c r="J13" s="43"/>
      <c r="K13" s="43"/>
      <c r="L13" s="42"/>
      <c r="M13" s="42"/>
    </row>
    <row r="14" spans="1:13" ht="16.5" customHeight="1" outlineLevel="2">
      <c r="A14" s="45"/>
      <c r="B14" s="62"/>
      <c r="C14" s="79" t="s">
        <v>666</v>
      </c>
      <c r="D14" s="78" t="s">
        <v>361</v>
      </c>
      <c r="E14" s="78" t="s">
        <v>674</v>
      </c>
      <c r="F14" s="42" t="s">
        <v>360</v>
      </c>
      <c r="G14" s="42"/>
      <c r="H14" s="42"/>
      <c r="I14" s="43" t="s">
        <v>359</v>
      </c>
      <c r="J14" s="43"/>
      <c r="K14" s="43"/>
      <c r="L14" s="42"/>
      <c r="M14" s="42"/>
    </row>
    <row r="15" spans="1:13" ht="15.75" customHeight="1" outlineLevel="2">
      <c r="A15" s="45"/>
      <c r="B15" s="62"/>
      <c r="C15" s="79" t="s">
        <v>666</v>
      </c>
      <c r="D15" s="78" t="s">
        <v>673</v>
      </c>
      <c r="E15" s="78" t="s">
        <v>672</v>
      </c>
      <c r="F15" s="42" t="s">
        <v>671</v>
      </c>
      <c r="G15" s="42"/>
      <c r="H15" s="42"/>
      <c r="I15" s="84"/>
      <c r="J15" s="84"/>
      <c r="K15" s="43"/>
      <c r="L15" s="42" t="s">
        <v>662</v>
      </c>
      <c r="M15" s="42"/>
    </row>
    <row r="16" spans="1:13" ht="15.75" customHeight="1" outlineLevel="2">
      <c r="A16" s="45"/>
      <c r="B16" s="62"/>
      <c r="C16" s="79" t="s">
        <v>666</v>
      </c>
      <c r="D16" s="78" t="s">
        <v>670</v>
      </c>
      <c r="E16" s="78" t="s">
        <v>669</v>
      </c>
      <c r="F16" s="42" t="s">
        <v>663</v>
      </c>
      <c r="G16" s="42"/>
      <c r="H16" s="42"/>
      <c r="I16" s="43"/>
      <c r="J16" s="43"/>
      <c r="K16" s="43"/>
      <c r="L16" s="42" t="s">
        <v>662</v>
      </c>
      <c r="M16" s="42"/>
    </row>
    <row r="17" spans="1:13" ht="15.75" customHeight="1" outlineLevel="2">
      <c r="A17" s="45"/>
      <c r="B17" s="62"/>
      <c r="C17" s="79" t="s">
        <v>666</v>
      </c>
      <c r="D17" s="78" t="s">
        <v>668</v>
      </c>
      <c r="E17" s="78" t="s">
        <v>667</v>
      </c>
      <c r="F17" s="42" t="s">
        <v>197</v>
      </c>
      <c r="G17" s="42"/>
      <c r="H17" s="42"/>
      <c r="I17" s="43"/>
      <c r="J17" s="43"/>
      <c r="K17" s="43"/>
      <c r="L17" s="42"/>
      <c r="M17" s="42"/>
    </row>
    <row r="18" spans="1:13" ht="15.75" customHeight="1" outlineLevel="2">
      <c r="A18" s="45"/>
      <c r="B18" s="62"/>
      <c r="C18" s="79" t="s">
        <v>666</v>
      </c>
      <c r="D18" s="78" t="s">
        <v>358</v>
      </c>
      <c r="E18" s="78"/>
      <c r="F18" s="42" t="s">
        <v>197</v>
      </c>
      <c r="G18" s="42"/>
      <c r="H18" s="42"/>
      <c r="I18" s="43"/>
      <c r="J18" s="43"/>
      <c r="K18" s="43"/>
      <c r="L18" s="42"/>
      <c r="M18" s="42"/>
    </row>
    <row r="19" spans="1:13" ht="15.75" customHeight="1" outlineLevel="2">
      <c r="A19" s="45"/>
      <c r="B19" s="62"/>
      <c r="C19" s="77" t="s">
        <v>666</v>
      </c>
      <c r="D19" s="73" t="s">
        <v>665</v>
      </c>
      <c r="E19" s="73" t="s">
        <v>664</v>
      </c>
      <c r="F19" s="42" t="s">
        <v>663</v>
      </c>
      <c r="G19" s="42"/>
      <c r="H19" s="42"/>
      <c r="I19" s="43"/>
      <c r="J19" s="43"/>
      <c r="K19" s="43"/>
      <c r="L19" s="42" t="s">
        <v>662</v>
      </c>
      <c r="M19" s="42"/>
    </row>
    <row r="20" spans="1:13" ht="15.75" customHeight="1" outlineLevel="2">
      <c r="A20" s="45"/>
      <c r="B20" s="62"/>
      <c r="C20" s="77" t="s">
        <v>656</v>
      </c>
      <c r="D20" s="73" t="s">
        <v>661</v>
      </c>
      <c r="E20" s="73"/>
      <c r="F20" s="42" t="s">
        <v>657</v>
      </c>
      <c r="G20" s="42"/>
      <c r="H20" s="42"/>
      <c r="I20" s="43" t="s">
        <v>660</v>
      </c>
      <c r="J20" s="43"/>
      <c r="K20" s="43"/>
      <c r="L20" s="42" t="s">
        <v>350</v>
      </c>
      <c r="M20" s="42"/>
    </row>
    <row r="21" spans="1:13" ht="15.75" customHeight="1" outlineLevel="2">
      <c r="A21" s="45"/>
      <c r="B21" s="62"/>
      <c r="C21" s="77" t="s">
        <v>656</v>
      </c>
      <c r="D21" s="73" t="s">
        <v>659</v>
      </c>
      <c r="E21" s="73"/>
      <c r="F21" s="42" t="s">
        <v>657</v>
      </c>
      <c r="G21" s="42"/>
      <c r="H21" s="42"/>
      <c r="I21" s="43"/>
      <c r="J21" s="43"/>
      <c r="K21" s="43"/>
      <c r="L21" s="42" t="s">
        <v>350</v>
      </c>
      <c r="M21" s="42"/>
    </row>
    <row r="22" spans="1:13" ht="15.75" customHeight="1" outlineLevel="2">
      <c r="A22" s="45"/>
      <c r="B22" s="62"/>
      <c r="C22" s="77" t="s">
        <v>656</v>
      </c>
      <c r="D22" s="73" t="s">
        <v>658</v>
      </c>
      <c r="E22" s="73"/>
      <c r="F22" s="42" t="s">
        <v>657</v>
      </c>
      <c r="G22" s="42"/>
      <c r="H22" s="42"/>
      <c r="I22" s="43"/>
      <c r="J22" s="43"/>
      <c r="K22" s="43"/>
      <c r="L22" s="42" t="s">
        <v>350</v>
      </c>
      <c r="M22" s="42"/>
    </row>
    <row r="23" spans="1:13" ht="14.25" customHeight="1" outlineLevel="2">
      <c r="A23" s="45"/>
      <c r="B23" s="62"/>
      <c r="C23" s="79" t="s">
        <v>656</v>
      </c>
      <c r="D23" s="78" t="s">
        <v>655</v>
      </c>
      <c r="E23" s="78" t="s">
        <v>654</v>
      </c>
      <c r="F23" s="42" t="s">
        <v>17</v>
      </c>
      <c r="G23" s="42"/>
      <c r="H23" s="42"/>
      <c r="I23" s="43" t="s">
        <v>351</v>
      </c>
      <c r="J23" s="43"/>
      <c r="K23" s="43"/>
      <c r="L23" s="42" t="s">
        <v>350</v>
      </c>
      <c r="M23" s="42"/>
    </row>
    <row r="24" spans="1:13" ht="15.75" customHeight="1" outlineLevel="2">
      <c r="A24" s="45"/>
      <c r="B24" s="62"/>
      <c r="C24" s="77" t="s">
        <v>651</v>
      </c>
      <c r="D24" s="73" t="s">
        <v>354</v>
      </c>
      <c r="E24" s="73" t="s">
        <v>653</v>
      </c>
      <c r="F24" s="42" t="s">
        <v>261</v>
      </c>
      <c r="G24" s="42"/>
      <c r="H24" s="42"/>
      <c r="I24" s="43" t="s">
        <v>649</v>
      </c>
      <c r="J24" s="43"/>
      <c r="K24" s="43"/>
      <c r="L24" s="42"/>
      <c r="M24" s="42"/>
    </row>
    <row r="25" spans="1:13" ht="15.75" customHeight="1" outlineLevel="2">
      <c r="A25" s="45"/>
      <c r="B25" s="62"/>
      <c r="C25" s="77" t="s">
        <v>651</v>
      </c>
      <c r="D25" s="73" t="s">
        <v>353</v>
      </c>
      <c r="E25" s="73" t="s">
        <v>652</v>
      </c>
      <c r="F25" s="42" t="s">
        <v>261</v>
      </c>
      <c r="G25" s="42"/>
      <c r="H25" s="42"/>
      <c r="I25" s="43" t="s">
        <v>649</v>
      </c>
      <c r="J25" s="43"/>
      <c r="K25" s="43"/>
      <c r="L25" s="42"/>
      <c r="M25" s="42"/>
    </row>
    <row r="26" spans="1:13" ht="15.75" customHeight="1" outlineLevel="2">
      <c r="A26" s="45"/>
      <c r="B26" s="62"/>
      <c r="C26" s="79" t="s">
        <v>651</v>
      </c>
      <c r="D26" s="78" t="s">
        <v>352</v>
      </c>
      <c r="E26" s="78" t="s">
        <v>650</v>
      </c>
      <c r="F26" s="42" t="s">
        <v>261</v>
      </c>
      <c r="G26" s="42"/>
      <c r="H26" s="42"/>
      <c r="I26" s="43" t="s">
        <v>649</v>
      </c>
      <c r="J26" s="43"/>
      <c r="K26" s="43"/>
      <c r="L26" s="42"/>
      <c r="M26" s="42"/>
    </row>
    <row r="27" spans="1:13" ht="15.75" customHeight="1" outlineLevel="1">
      <c r="A27" s="45"/>
      <c r="B27" s="62" t="s">
        <v>46</v>
      </c>
      <c r="C27" s="42"/>
      <c r="D27" s="44"/>
      <c r="E27" s="44"/>
      <c r="F27" s="42"/>
      <c r="G27" s="42"/>
      <c r="H27" s="42"/>
      <c r="I27" s="43"/>
      <c r="J27" s="43"/>
      <c r="K27" s="43"/>
      <c r="L27" s="42"/>
      <c r="M27" s="42"/>
    </row>
    <row r="28" spans="1:13" ht="15.75" customHeight="1" outlineLevel="2">
      <c r="A28" s="45"/>
      <c r="B28" s="43" t="s">
        <v>648</v>
      </c>
      <c r="C28" s="79" t="s">
        <v>612</v>
      </c>
      <c r="D28" s="78" t="s">
        <v>647</v>
      </c>
      <c r="E28" s="78" t="s">
        <v>646</v>
      </c>
      <c r="F28" s="42" t="s">
        <v>261</v>
      </c>
      <c r="G28" s="42"/>
      <c r="H28" s="42"/>
      <c r="I28" s="43"/>
      <c r="J28" s="43"/>
      <c r="K28" s="43"/>
      <c r="L28" s="42"/>
      <c r="M28" s="42"/>
    </row>
    <row r="29" spans="1:13" ht="15.75" customHeight="1" outlineLevel="2">
      <c r="A29" s="45"/>
      <c r="B29" s="83"/>
      <c r="C29" s="79" t="s">
        <v>612</v>
      </c>
      <c r="D29" s="78" t="s">
        <v>49</v>
      </c>
      <c r="E29" s="78" t="s">
        <v>645</v>
      </c>
      <c r="F29" s="42" t="s">
        <v>349</v>
      </c>
      <c r="G29" s="42"/>
      <c r="H29" s="42"/>
      <c r="I29" s="43"/>
      <c r="J29" s="43"/>
      <c r="K29" s="43"/>
      <c r="L29" s="42"/>
      <c r="M29" s="42"/>
    </row>
    <row r="30" spans="1:13" ht="15.75" customHeight="1" outlineLevel="2">
      <c r="A30" s="45"/>
      <c r="B30" s="62"/>
      <c r="C30" s="77" t="s">
        <v>612</v>
      </c>
      <c r="D30" s="73" t="s">
        <v>348</v>
      </c>
      <c r="E30" s="73" t="s">
        <v>644</v>
      </c>
      <c r="F30" s="42" t="s">
        <v>261</v>
      </c>
      <c r="G30" s="42"/>
      <c r="H30" s="42"/>
      <c r="I30" s="43"/>
      <c r="J30" s="43"/>
      <c r="K30" s="43"/>
      <c r="L30" s="42"/>
      <c r="M30" s="42"/>
    </row>
    <row r="31" spans="1:13" ht="15.75" customHeight="1" outlineLevel="2">
      <c r="A31" s="45"/>
      <c r="B31" s="62"/>
      <c r="C31" s="77" t="s">
        <v>612</v>
      </c>
      <c r="D31" s="73" t="s">
        <v>643</v>
      </c>
      <c r="E31" s="73" t="s">
        <v>642</v>
      </c>
      <c r="F31" s="42" t="s">
        <v>17</v>
      </c>
      <c r="G31" s="42"/>
      <c r="H31" s="42"/>
      <c r="I31" s="42" t="s">
        <v>641</v>
      </c>
      <c r="J31" s="42"/>
      <c r="K31" s="43"/>
      <c r="L31" s="42"/>
      <c r="M31" s="42"/>
    </row>
    <row r="32" spans="1:13" ht="15.75" customHeight="1" outlineLevel="2">
      <c r="A32" s="45"/>
      <c r="B32" s="82"/>
      <c r="C32" s="79" t="s">
        <v>612</v>
      </c>
      <c r="D32" s="78" t="s">
        <v>640</v>
      </c>
      <c r="E32" s="78" t="s">
        <v>639</v>
      </c>
      <c r="F32" s="42" t="s">
        <v>261</v>
      </c>
      <c r="G32" s="42"/>
      <c r="H32" s="63"/>
      <c r="I32" s="63"/>
      <c r="J32" s="63"/>
      <c r="K32" s="63"/>
      <c r="L32" s="63"/>
      <c r="M32" s="81"/>
    </row>
    <row r="33" spans="1:13" ht="15.75" customHeight="1" outlineLevel="2">
      <c r="A33" s="45"/>
      <c r="B33" s="62"/>
      <c r="C33" s="79" t="s">
        <v>612</v>
      </c>
      <c r="D33" s="78" t="s">
        <v>347</v>
      </c>
      <c r="E33" s="78" t="s">
        <v>638</v>
      </c>
      <c r="F33" s="42" t="s">
        <v>262</v>
      </c>
      <c r="G33" s="42"/>
      <c r="H33" s="42"/>
      <c r="I33" s="43"/>
      <c r="J33" s="43"/>
      <c r="K33" s="43"/>
      <c r="L33" s="42"/>
      <c r="M33" s="42"/>
    </row>
    <row r="34" spans="1:13" ht="15.75" customHeight="1" outlineLevel="2">
      <c r="A34" s="45"/>
      <c r="B34" s="62"/>
      <c r="C34" s="79" t="s">
        <v>606</v>
      </c>
      <c r="D34" s="78" t="s">
        <v>345</v>
      </c>
      <c r="E34" s="78" t="s">
        <v>637</v>
      </c>
      <c r="F34" s="42" t="s">
        <v>344</v>
      </c>
      <c r="G34" s="42"/>
      <c r="H34" s="42"/>
      <c r="I34" s="43"/>
      <c r="J34" s="43"/>
      <c r="K34" s="43"/>
      <c r="L34" s="42"/>
      <c r="M34" s="42"/>
    </row>
    <row r="35" spans="1:13" ht="15.75" customHeight="1" outlineLevel="2">
      <c r="A35" s="45"/>
      <c r="B35" s="62"/>
      <c r="C35" s="79" t="s">
        <v>606</v>
      </c>
      <c r="D35" s="78" t="s">
        <v>636</v>
      </c>
      <c r="E35" s="78" t="s">
        <v>635</v>
      </c>
      <c r="F35" s="42" t="s">
        <v>261</v>
      </c>
      <c r="G35" s="42"/>
      <c r="H35" s="42"/>
      <c r="I35" s="43"/>
      <c r="J35" s="43"/>
      <c r="K35" s="43"/>
      <c r="L35" s="42"/>
      <c r="M35" s="42"/>
    </row>
    <row r="36" spans="1:13" ht="15.75" customHeight="1" outlineLevel="2">
      <c r="A36" s="45"/>
      <c r="B36" s="62"/>
      <c r="C36" s="42" t="s">
        <v>606</v>
      </c>
      <c r="D36" s="44" t="s">
        <v>634</v>
      </c>
      <c r="E36" s="44"/>
      <c r="F36" s="42" t="s">
        <v>261</v>
      </c>
      <c r="G36" s="42"/>
      <c r="H36" s="42"/>
      <c r="I36" s="43"/>
      <c r="J36" s="43"/>
      <c r="K36" s="43"/>
      <c r="L36" s="42"/>
      <c r="M36" s="42"/>
    </row>
    <row r="37" spans="1:13" ht="15.75" customHeight="1" outlineLevel="2">
      <c r="A37" s="45"/>
      <c r="B37" s="62"/>
      <c r="C37" s="79" t="s">
        <v>606</v>
      </c>
      <c r="D37" s="78" t="s">
        <v>633</v>
      </c>
      <c r="E37" s="78" t="s">
        <v>632</v>
      </c>
      <c r="F37" s="42" t="s">
        <v>261</v>
      </c>
      <c r="G37" s="42"/>
      <c r="H37" s="42"/>
      <c r="I37" s="43"/>
      <c r="J37" s="43"/>
      <c r="K37" s="43"/>
      <c r="L37" s="42"/>
      <c r="M37" s="42"/>
    </row>
    <row r="38" spans="1:13" ht="15.75" customHeight="1" outlineLevel="2">
      <c r="A38" s="45"/>
      <c r="B38" s="62"/>
      <c r="C38" s="77" t="s">
        <v>606</v>
      </c>
      <c r="D38" s="73" t="s">
        <v>631</v>
      </c>
      <c r="E38" s="73" t="s">
        <v>630</v>
      </c>
      <c r="F38" s="42" t="s">
        <v>261</v>
      </c>
      <c r="G38" s="42"/>
      <c r="H38" s="42"/>
      <c r="I38" s="43"/>
      <c r="J38" s="43"/>
      <c r="K38" s="43"/>
      <c r="L38" s="42"/>
      <c r="M38" s="42"/>
    </row>
    <row r="39" spans="1:13" ht="15.75" customHeight="1" outlineLevel="2">
      <c r="A39" s="45"/>
      <c r="B39" s="62"/>
      <c r="C39" s="42" t="s">
        <v>617</v>
      </c>
      <c r="D39" s="44" t="s">
        <v>629</v>
      </c>
      <c r="E39" s="44"/>
      <c r="F39" s="42" t="s">
        <v>197</v>
      </c>
      <c r="G39" s="42"/>
      <c r="H39" s="42"/>
      <c r="I39" s="43"/>
      <c r="J39" s="43"/>
      <c r="K39" s="43"/>
      <c r="L39" s="42"/>
      <c r="M39" s="42"/>
    </row>
    <row r="40" spans="1:13" ht="15.75" customHeight="1" outlineLevel="2">
      <c r="A40" s="45"/>
      <c r="B40" s="62"/>
      <c r="C40" s="77" t="s">
        <v>617</v>
      </c>
      <c r="D40" s="73" t="s">
        <v>628</v>
      </c>
      <c r="E40" s="73" t="s">
        <v>627</v>
      </c>
      <c r="F40" s="42" t="s">
        <v>197</v>
      </c>
      <c r="G40" s="42"/>
      <c r="H40" s="42"/>
      <c r="I40" s="43"/>
      <c r="J40" s="43"/>
      <c r="K40" s="43"/>
      <c r="L40" s="42"/>
      <c r="M40" s="42"/>
    </row>
    <row r="41" spans="1:13" ht="15.75" customHeight="1" outlineLevel="2">
      <c r="A41" s="45"/>
      <c r="B41" s="62"/>
      <c r="C41" s="79" t="s">
        <v>617</v>
      </c>
      <c r="D41" s="78" t="s">
        <v>626</v>
      </c>
      <c r="E41" s="78" t="s">
        <v>625</v>
      </c>
      <c r="F41" s="42" t="s">
        <v>197</v>
      </c>
      <c r="G41" s="42"/>
      <c r="H41" s="42"/>
      <c r="I41" s="43"/>
      <c r="J41" s="43"/>
      <c r="K41" s="43"/>
      <c r="L41" s="42"/>
      <c r="M41" s="42"/>
    </row>
    <row r="42" spans="1:13" ht="15.75" customHeight="1" outlineLevel="2">
      <c r="A42" s="45"/>
      <c r="B42" s="62"/>
      <c r="C42" s="79" t="s">
        <v>617</v>
      </c>
      <c r="D42" s="78" t="s">
        <v>624</v>
      </c>
      <c r="E42" s="78" t="s">
        <v>623</v>
      </c>
      <c r="F42" s="42" t="s">
        <v>17</v>
      </c>
      <c r="G42" s="42"/>
      <c r="H42" s="42"/>
      <c r="I42" s="43"/>
      <c r="J42" s="43"/>
      <c r="K42" s="43"/>
      <c r="L42" s="42"/>
      <c r="M42" s="42"/>
    </row>
    <row r="43" spans="1:13" ht="15.75" customHeight="1" outlineLevel="2">
      <c r="A43" s="45"/>
      <c r="B43" s="62"/>
      <c r="C43" s="42" t="s">
        <v>606</v>
      </c>
      <c r="D43" s="44" t="s">
        <v>622</v>
      </c>
      <c r="E43" s="44" t="s">
        <v>621</v>
      </c>
      <c r="F43" s="42" t="s">
        <v>261</v>
      </c>
      <c r="G43" s="42"/>
      <c r="H43" s="42"/>
      <c r="I43" s="43"/>
      <c r="J43" s="43"/>
      <c r="K43" s="43"/>
      <c r="L43" s="42" t="s">
        <v>603</v>
      </c>
      <c r="M43" s="42"/>
    </row>
    <row r="44" spans="1:13" ht="15.75" customHeight="1" outlineLevel="2">
      <c r="A44" s="45"/>
      <c r="B44" s="62"/>
      <c r="C44" s="77" t="s">
        <v>617</v>
      </c>
      <c r="D44" s="73" t="s">
        <v>620</v>
      </c>
      <c r="E44" s="73" t="s">
        <v>619</v>
      </c>
      <c r="F44" s="42" t="s">
        <v>17</v>
      </c>
      <c r="G44" s="42"/>
      <c r="H44" s="42"/>
      <c r="I44" s="43"/>
      <c r="J44" s="43"/>
      <c r="K44" s="43"/>
      <c r="L44" s="42" t="s">
        <v>618</v>
      </c>
      <c r="M44" s="42"/>
    </row>
    <row r="45" spans="1:13" ht="15.75" customHeight="1" outlineLevel="2">
      <c r="A45" s="45"/>
      <c r="B45" s="62"/>
      <c r="C45" s="77" t="s">
        <v>617</v>
      </c>
      <c r="D45" s="73" t="s">
        <v>616</v>
      </c>
      <c r="E45" s="73" t="s">
        <v>615</v>
      </c>
      <c r="F45" s="42" t="s">
        <v>17</v>
      </c>
      <c r="G45" s="42"/>
      <c r="H45" s="42"/>
      <c r="I45" s="43" t="s">
        <v>343</v>
      </c>
      <c r="J45" s="43"/>
      <c r="K45" s="43"/>
      <c r="L45" s="42"/>
      <c r="M45" s="42"/>
    </row>
    <row r="46" spans="1:13" ht="15.75" customHeight="1" outlineLevel="2">
      <c r="A46" s="45"/>
      <c r="B46" s="62"/>
      <c r="C46" s="79" t="s">
        <v>612</v>
      </c>
      <c r="D46" s="78" t="s">
        <v>614</v>
      </c>
      <c r="E46" s="78" t="s">
        <v>613</v>
      </c>
      <c r="F46" s="42" t="s">
        <v>609</v>
      </c>
      <c r="G46" s="42"/>
      <c r="H46" s="42"/>
      <c r="I46" s="43" t="s">
        <v>346</v>
      </c>
      <c r="J46" s="43"/>
      <c r="K46" s="43"/>
      <c r="L46" s="42"/>
      <c r="M46" s="42"/>
    </row>
    <row r="47" spans="1:13" ht="15.75" customHeight="1" outlineLevel="2">
      <c r="A47" s="45"/>
      <c r="B47" s="62"/>
      <c r="C47" s="79" t="s">
        <v>612</v>
      </c>
      <c r="D47" s="78" t="s">
        <v>611</v>
      </c>
      <c r="E47" s="78" t="s">
        <v>610</v>
      </c>
      <c r="F47" s="42" t="s">
        <v>609</v>
      </c>
      <c r="G47" s="42"/>
      <c r="H47" s="42"/>
      <c r="I47" s="43" t="s">
        <v>346</v>
      </c>
      <c r="J47" s="43"/>
      <c r="K47" s="43"/>
      <c r="L47" s="42"/>
      <c r="M47" s="42"/>
    </row>
    <row r="48" spans="1:13" ht="15.75" customHeight="1" outlineLevel="2">
      <c r="A48" s="45"/>
      <c r="B48" s="62"/>
      <c r="C48" s="77" t="s">
        <v>606</v>
      </c>
      <c r="D48" s="73" t="s">
        <v>608</v>
      </c>
      <c r="E48" s="73" t="s">
        <v>607</v>
      </c>
      <c r="F48" s="42" t="s">
        <v>197</v>
      </c>
      <c r="G48" s="42"/>
      <c r="H48" s="42"/>
      <c r="I48" s="43"/>
      <c r="J48" s="43"/>
      <c r="K48" s="43"/>
      <c r="L48" s="42" t="s">
        <v>603</v>
      </c>
      <c r="M48" s="42"/>
    </row>
    <row r="49" spans="1:13" ht="15.75" customHeight="1" outlineLevel="2">
      <c r="A49" s="45"/>
      <c r="B49" s="62"/>
      <c r="C49" s="77" t="s">
        <v>606</v>
      </c>
      <c r="D49" s="73" t="s">
        <v>605</v>
      </c>
      <c r="E49" s="73" t="s">
        <v>604</v>
      </c>
      <c r="F49" s="42" t="s">
        <v>197</v>
      </c>
      <c r="G49" s="42"/>
      <c r="H49" s="42"/>
      <c r="I49" s="43"/>
      <c r="J49" s="43"/>
      <c r="K49" s="43"/>
      <c r="L49" s="42" t="s">
        <v>603</v>
      </c>
      <c r="M49" s="42"/>
    </row>
    <row r="50" spans="1:13" ht="15.75" customHeight="1" outlineLevel="1">
      <c r="A50" s="45"/>
      <c r="B50" s="62" t="s">
        <v>59</v>
      </c>
      <c r="C50" s="42"/>
      <c r="D50" s="44"/>
      <c r="E50" s="44"/>
      <c r="F50" s="42"/>
      <c r="G50" s="42"/>
      <c r="H50" s="42"/>
      <c r="I50" s="43"/>
      <c r="J50" s="43"/>
      <c r="K50" s="43"/>
      <c r="L50" s="42" t="s">
        <v>342</v>
      </c>
      <c r="M50" s="42"/>
    </row>
    <row r="51" spans="1:13" ht="15.75" customHeight="1" outlineLevel="2">
      <c r="A51" s="45"/>
      <c r="B51" s="43" t="s">
        <v>602</v>
      </c>
      <c r="C51" s="42"/>
      <c r="D51" s="44" t="s">
        <v>60</v>
      </c>
      <c r="E51" s="44" t="s">
        <v>601</v>
      </c>
      <c r="F51" s="42" t="s">
        <v>17</v>
      </c>
      <c r="G51" s="42"/>
      <c r="H51" s="42"/>
      <c r="I51" s="43"/>
      <c r="J51" s="43"/>
      <c r="K51" s="43"/>
      <c r="L51" s="42"/>
      <c r="M51" s="42"/>
    </row>
    <row r="52" spans="1:13" ht="15.75" customHeight="1" outlineLevel="2">
      <c r="A52" s="45"/>
      <c r="B52" s="62"/>
      <c r="C52" s="77" t="s">
        <v>514</v>
      </c>
      <c r="D52" s="73" t="s">
        <v>341</v>
      </c>
      <c r="E52" s="73" t="s">
        <v>600</v>
      </c>
      <c r="F52" s="42" t="s">
        <v>17</v>
      </c>
      <c r="G52" s="42"/>
      <c r="H52" s="42"/>
      <c r="I52" s="43"/>
      <c r="J52" s="43"/>
      <c r="K52" s="43"/>
      <c r="L52" s="42"/>
      <c r="M52" s="42"/>
    </row>
    <row r="53" spans="1:13" ht="15.75" customHeight="1" outlineLevel="2">
      <c r="A53" s="45"/>
      <c r="B53" s="62"/>
      <c r="C53" s="77" t="s">
        <v>514</v>
      </c>
      <c r="D53" s="73" t="s">
        <v>340</v>
      </c>
      <c r="E53" s="73" t="s">
        <v>600</v>
      </c>
      <c r="F53" s="42" t="s">
        <v>17</v>
      </c>
      <c r="G53" s="42"/>
      <c r="H53" s="42"/>
      <c r="I53" s="43" t="s">
        <v>599</v>
      </c>
      <c r="J53" s="43"/>
      <c r="K53" s="43"/>
      <c r="L53" s="42"/>
      <c r="M53" s="42"/>
    </row>
    <row r="54" spans="1:13" ht="15.75" customHeight="1" outlineLevel="2">
      <c r="A54" s="45"/>
      <c r="B54" s="62"/>
      <c r="C54" s="42" t="s">
        <v>514</v>
      </c>
      <c r="D54" s="44" t="s">
        <v>63</v>
      </c>
      <c r="E54" s="44" t="s">
        <v>598</v>
      </c>
      <c r="F54" s="42" t="s">
        <v>339</v>
      </c>
      <c r="G54" s="42"/>
      <c r="H54" s="42"/>
      <c r="I54" s="43"/>
      <c r="J54" s="43"/>
      <c r="K54" s="43"/>
      <c r="L54" s="42"/>
      <c r="M54" s="42"/>
    </row>
    <row r="55" spans="1:13" ht="15.75" customHeight="1" outlineLevel="2">
      <c r="A55" s="45"/>
      <c r="B55" s="62"/>
      <c r="C55" s="77" t="s">
        <v>514</v>
      </c>
      <c r="D55" s="73" t="s">
        <v>338</v>
      </c>
      <c r="E55" s="73" t="s">
        <v>597</v>
      </c>
      <c r="F55" s="42" t="s">
        <v>17</v>
      </c>
      <c r="G55" s="42"/>
      <c r="H55" s="42"/>
      <c r="I55" s="43"/>
      <c r="J55" s="43"/>
      <c r="K55" s="43"/>
      <c r="L55" s="42"/>
      <c r="M55" s="42"/>
    </row>
    <row r="56" spans="1:13" ht="15.75" customHeight="1" outlineLevel="2">
      <c r="A56" s="45"/>
      <c r="B56" s="62"/>
      <c r="C56" s="79" t="s">
        <v>514</v>
      </c>
      <c r="D56" s="78" t="s">
        <v>337</v>
      </c>
      <c r="E56" s="78" t="s">
        <v>596</v>
      </c>
      <c r="F56" s="42" t="s">
        <v>17</v>
      </c>
      <c r="G56" s="42"/>
      <c r="H56" s="42"/>
      <c r="I56" s="43"/>
      <c r="J56" s="43"/>
      <c r="K56" s="43"/>
      <c r="L56" s="42"/>
      <c r="M56" s="42"/>
    </row>
    <row r="57" spans="1:13" ht="15.75" customHeight="1" outlineLevel="2">
      <c r="A57" s="45"/>
      <c r="B57" s="62"/>
      <c r="C57" s="77" t="s">
        <v>514</v>
      </c>
      <c r="D57" s="73" t="s">
        <v>595</v>
      </c>
      <c r="E57" s="73" t="s">
        <v>594</v>
      </c>
      <c r="F57" s="42" t="s">
        <v>430</v>
      </c>
      <c r="G57" s="42"/>
      <c r="H57" s="42"/>
      <c r="I57" s="43"/>
      <c r="J57" s="43"/>
      <c r="K57" s="43"/>
      <c r="L57" s="42"/>
      <c r="M57" s="42"/>
    </row>
    <row r="58" spans="1:13" ht="15.75" customHeight="1" outlineLevel="2">
      <c r="A58" s="45"/>
      <c r="B58" s="62"/>
      <c r="C58" s="77" t="s">
        <v>514</v>
      </c>
      <c r="D58" s="73" t="s">
        <v>336</v>
      </c>
      <c r="E58" s="73" t="s">
        <v>593</v>
      </c>
      <c r="F58" s="42" t="s">
        <v>17</v>
      </c>
      <c r="G58" s="42"/>
      <c r="H58" s="42"/>
      <c r="I58" s="43"/>
      <c r="J58" s="43"/>
      <c r="K58" s="43"/>
      <c r="L58" s="42"/>
      <c r="M58" s="42"/>
    </row>
    <row r="59" spans="1:13" ht="15.75" customHeight="1" outlineLevel="2">
      <c r="A59" s="45"/>
      <c r="B59" s="62"/>
      <c r="C59" s="77" t="s">
        <v>514</v>
      </c>
      <c r="D59" s="73" t="s">
        <v>335</v>
      </c>
      <c r="E59" s="73" t="s">
        <v>592</v>
      </c>
      <c r="F59" s="42" t="s">
        <v>17</v>
      </c>
      <c r="G59" s="42"/>
      <c r="H59" s="42"/>
      <c r="I59" s="43" t="s">
        <v>332</v>
      </c>
      <c r="J59" s="43"/>
      <c r="K59" s="43"/>
      <c r="L59" s="42"/>
      <c r="M59" s="42"/>
    </row>
    <row r="60" spans="1:13" ht="15.75" customHeight="1" outlineLevel="2">
      <c r="A60" s="45"/>
      <c r="B60" s="62"/>
      <c r="C60" s="77" t="s">
        <v>514</v>
      </c>
      <c r="D60" s="73" t="s">
        <v>334</v>
      </c>
      <c r="E60" s="73" t="s">
        <v>591</v>
      </c>
      <c r="F60" s="42" t="s">
        <v>17</v>
      </c>
      <c r="G60" s="42"/>
      <c r="H60" s="42"/>
      <c r="I60" s="43" t="s">
        <v>332</v>
      </c>
      <c r="J60" s="43"/>
      <c r="K60" s="43"/>
      <c r="L60" s="42"/>
      <c r="M60" s="42"/>
    </row>
    <row r="61" spans="1:13" ht="15.75" customHeight="1" outlineLevel="2">
      <c r="A61" s="45"/>
      <c r="B61" s="62"/>
      <c r="C61" s="77" t="s">
        <v>514</v>
      </c>
      <c r="D61" s="73" t="s">
        <v>333</v>
      </c>
      <c r="E61" s="73" t="s">
        <v>590</v>
      </c>
      <c r="F61" s="42" t="s">
        <v>17</v>
      </c>
      <c r="G61" s="42"/>
      <c r="H61" s="42"/>
      <c r="I61" s="43" t="s">
        <v>332</v>
      </c>
      <c r="J61" s="43"/>
      <c r="K61" s="43"/>
      <c r="L61" s="42"/>
      <c r="M61" s="42"/>
    </row>
    <row r="62" spans="1:13" ht="15.75" customHeight="1" outlineLevel="2">
      <c r="A62" s="45"/>
      <c r="B62" s="62"/>
      <c r="C62" s="79" t="s">
        <v>586</v>
      </c>
      <c r="D62" s="78" t="s">
        <v>589</v>
      </c>
      <c r="E62" s="78" t="s">
        <v>588</v>
      </c>
      <c r="F62" s="42" t="s">
        <v>17</v>
      </c>
      <c r="G62" s="42"/>
      <c r="H62" s="42"/>
      <c r="I62" s="43" t="s">
        <v>587</v>
      </c>
      <c r="J62" s="43"/>
      <c r="K62" s="43"/>
      <c r="L62" s="42"/>
      <c r="M62" s="42"/>
    </row>
    <row r="63" spans="1:13" ht="15.75" customHeight="1" outlineLevel="2">
      <c r="A63" s="45"/>
      <c r="B63" s="62"/>
      <c r="C63" s="79" t="s">
        <v>586</v>
      </c>
      <c r="D63" s="78" t="s">
        <v>585</v>
      </c>
      <c r="E63" s="78"/>
      <c r="F63" s="42" t="s">
        <v>17</v>
      </c>
      <c r="G63" s="42"/>
      <c r="H63" s="42"/>
      <c r="I63" s="43"/>
      <c r="J63" s="43"/>
      <c r="K63" s="43"/>
      <c r="L63" s="42"/>
      <c r="M63" s="42"/>
    </row>
    <row r="64" spans="1:13" ht="15" customHeight="1" outlineLevel="2">
      <c r="A64" s="45"/>
      <c r="B64" s="62"/>
      <c r="C64" s="77" t="s">
        <v>581</v>
      </c>
      <c r="D64" s="73" t="s">
        <v>331</v>
      </c>
      <c r="E64" s="73" t="s">
        <v>580</v>
      </c>
      <c r="F64" s="42" t="s">
        <v>17</v>
      </c>
      <c r="G64" s="42"/>
      <c r="H64" s="42"/>
      <c r="I64" s="43"/>
      <c r="J64" s="43"/>
      <c r="K64" s="43"/>
      <c r="L64" s="42"/>
      <c r="M64" s="42"/>
    </row>
    <row r="65" spans="1:13" ht="17.25" customHeight="1" outlineLevel="2">
      <c r="A65" s="45"/>
      <c r="B65" s="62"/>
      <c r="C65" s="77" t="s">
        <v>581</v>
      </c>
      <c r="D65" s="73" t="s">
        <v>584</v>
      </c>
      <c r="E65" s="73" t="s">
        <v>580</v>
      </c>
      <c r="F65" s="42" t="s">
        <v>17</v>
      </c>
      <c r="G65" s="42"/>
      <c r="H65" s="42"/>
      <c r="I65" s="43" t="s">
        <v>583</v>
      </c>
      <c r="J65" s="43"/>
      <c r="K65" s="43"/>
      <c r="L65" s="42"/>
      <c r="M65" s="42"/>
    </row>
    <row r="66" spans="1:13" ht="17.25" customHeight="1" outlineLevel="2">
      <c r="A66" s="45"/>
      <c r="B66" s="62"/>
      <c r="C66" s="77" t="s">
        <v>581</v>
      </c>
      <c r="D66" s="73" t="s">
        <v>330</v>
      </c>
      <c r="E66" s="73" t="s">
        <v>580</v>
      </c>
      <c r="F66" s="42" t="s">
        <v>17</v>
      </c>
      <c r="G66" s="42"/>
      <c r="H66" s="42"/>
      <c r="I66" s="43"/>
      <c r="J66" s="43"/>
      <c r="K66" s="43"/>
      <c r="L66" s="42"/>
      <c r="M66" s="42"/>
    </row>
    <row r="67" spans="1:13" ht="15.75" customHeight="1" outlineLevel="2">
      <c r="A67" s="45"/>
      <c r="B67" s="62"/>
      <c r="C67" s="77" t="s">
        <v>581</v>
      </c>
      <c r="D67" s="73" t="s">
        <v>582</v>
      </c>
      <c r="E67" s="73" t="s">
        <v>580</v>
      </c>
      <c r="F67" s="42" t="s">
        <v>17</v>
      </c>
      <c r="G67" s="42"/>
      <c r="H67" s="42"/>
      <c r="I67" s="43"/>
      <c r="J67" s="43"/>
      <c r="K67" s="43"/>
      <c r="L67" s="42"/>
      <c r="M67" s="42"/>
    </row>
    <row r="68" spans="1:13" ht="15.75" customHeight="1" outlineLevel="2">
      <c r="A68" s="45"/>
      <c r="B68" s="62"/>
      <c r="C68" s="77" t="s">
        <v>581</v>
      </c>
      <c r="D68" s="73" t="s">
        <v>329</v>
      </c>
      <c r="E68" s="73" t="s">
        <v>580</v>
      </c>
      <c r="F68" s="42" t="s">
        <v>17</v>
      </c>
      <c r="G68" s="42"/>
      <c r="H68" s="42"/>
      <c r="I68" s="43"/>
      <c r="J68" s="43"/>
      <c r="K68" s="43"/>
      <c r="L68" s="42"/>
      <c r="M68" s="42"/>
    </row>
    <row r="69" spans="1:13" ht="15.75" customHeight="1" outlineLevel="2">
      <c r="A69" s="45"/>
      <c r="B69" s="62"/>
      <c r="C69" s="79" t="s">
        <v>577</v>
      </c>
      <c r="D69" s="78" t="s">
        <v>579</v>
      </c>
      <c r="E69" s="78" t="s">
        <v>578</v>
      </c>
      <c r="F69" s="42" t="s">
        <v>17</v>
      </c>
      <c r="G69" s="42"/>
      <c r="H69" s="42"/>
      <c r="I69" s="43"/>
      <c r="J69" s="43"/>
      <c r="K69" s="43"/>
      <c r="L69" s="42"/>
      <c r="M69" s="42"/>
    </row>
    <row r="70" spans="1:13" ht="15.75" customHeight="1" outlineLevel="2">
      <c r="A70" s="45"/>
      <c r="B70" s="62"/>
      <c r="C70" s="79" t="s">
        <v>577</v>
      </c>
      <c r="D70" s="78" t="s">
        <v>576</v>
      </c>
      <c r="E70" s="78" t="s">
        <v>575</v>
      </c>
      <c r="F70" s="42" t="s">
        <v>17</v>
      </c>
      <c r="G70" s="42"/>
      <c r="H70" s="42"/>
      <c r="I70" s="43" t="s">
        <v>574</v>
      </c>
      <c r="J70" s="43"/>
      <c r="K70" s="43"/>
      <c r="L70" s="42"/>
      <c r="M70" s="42"/>
    </row>
    <row r="71" spans="1:13" ht="15.75" customHeight="1" outlineLevel="2">
      <c r="A71" s="45"/>
      <c r="B71" s="62"/>
      <c r="C71" s="77" t="s">
        <v>534</v>
      </c>
      <c r="D71" s="73" t="s">
        <v>573</v>
      </c>
      <c r="E71" s="73" t="s">
        <v>572</v>
      </c>
      <c r="F71" s="42" t="s">
        <v>305</v>
      </c>
      <c r="G71" s="42"/>
      <c r="H71" s="42"/>
      <c r="I71" s="43"/>
      <c r="J71" s="43"/>
      <c r="K71" s="43"/>
      <c r="L71" s="42"/>
      <c r="M71" s="42"/>
    </row>
    <row r="72" spans="1:13" ht="15.75" customHeight="1" outlineLevel="2">
      <c r="A72" s="45"/>
      <c r="B72" s="62"/>
      <c r="C72" s="42" t="s">
        <v>534</v>
      </c>
      <c r="D72" s="44" t="s">
        <v>571</v>
      </c>
      <c r="E72" s="44" t="s">
        <v>570</v>
      </c>
      <c r="F72" s="42" t="s">
        <v>305</v>
      </c>
      <c r="G72" s="42"/>
      <c r="H72" s="42"/>
      <c r="I72" s="43"/>
      <c r="J72" s="43"/>
      <c r="K72" s="43"/>
      <c r="L72" s="42"/>
      <c r="M72" s="42"/>
    </row>
    <row r="73" spans="1:13" ht="15.75" customHeight="1" outlineLevel="2">
      <c r="A73" s="45"/>
      <c r="B73" s="62"/>
      <c r="C73" s="77" t="s">
        <v>534</v>
      </c>
      <c r="D73" s="73" t="s">
        <v>569</v>
      </c>
      <c r="E73" s="73" t="s">
        <v>568</v>
      </c>
      <c r="F73" s="42" t="s">
        <v>305</v>
      </c>
      <c r="G73" s="42"/>
      <c r="H73" s="42"/>
      <c r="I73" s="43"/>
      <c r="J73" s="43"/>
      <c r="K73" s="43"/>
      <c r="L73" s="42"/>
      <c r="M73" s="42"/>
    </row>
    <row r="74" spans="1:13" ht="15.75" customHeight="1" outlineLevel="2">
      <c r="A74" s="45"/>
      <c r="B74" s="62"/>
      <c r="C74" s="42" t="s">
        <v>526</v>
      </c>
      <c r="D74" s="44" t="s">
        <v>567</v>
      </c>
      <c r="E74" s="44"/>
      <c r="F74" s="42" t="s">
        <v>261</v>
      </c>
      <c r="G74" s="42"/>
      <c r="H74" s="42"/>
      <c r="I74" s="43"/>
      <c r="J74" s="43"/>
      <c r="K74" s="43"/>
      <c r="L74" s="42"/>
      <c r="M74" s="42"/>
    </row>
    <row r="75" spans="1:13" ht="15.75" customHeight="1" outlineLevel="2">
      <c r="A75" s="45"/>
      <c r="B75" s="62"/>
      <c r="C75" s="77" t="s">
        <v>526</v>
      </c>
      <c r="D75" s="73" t="s">
        <v>566</v>
      </c>
      <c r="E75" s="73" t="s">
        <v>565</v>
      </c>
      <c r="F75" s="42" t="s">
        <v>564</v>
      </c>
      <c r="G75" s="42"/>
      <c r="H75" s="42"/>
      <c r="I75" s="43"/>
      <c r="J75" s="43"/>
      <c r="K75" s="43"/>
      <c r="L75" s="42"/>
      <c r="M75" s="42"/>
    </row>
    <row r="76" spans="1:13" outlineLevel="2">
      <c r="A76" s="45"/>
      <c r="B76" s="62"/>
      <c r="C76" s="77" t="s">
        <v>526</v>
      </c>
      <c r="D76" s="73" t="s">
        <v>563</v>
      </c>
      <c r="E76" s="73" t="s">
        <v>562</v>
      </c>
      <c r="F76" s="42" t="s">
        <v>17</v>
      </c>
      <c r="G76" s="42"/>
      <c r="H76" s="42"/>
      <c r="I76" s="43"/>
      <c r="J76" s="43"/>
      <c r="K76" s="43"/>
      <c r="L76" s="42"/>
      <c r="M76" s="42"/>
    </row>
    <row r="77" spans="1:13" ht="15.75" customHeight="1" outlineLevel="2">
      <c r="A77" s="45"/>
      <c r="B77" s="62"/>
      <c r="C77" s="77" t="s">
        <v>526</v>
      </c>
      <c r="D77" s="73" t="s">
        <v>328</v>
      </c>
      <c r="E77" s="73" t="s">
        <v>561</v>
      </c>
      <c r="F77" s="42" t="s">
        <v>17</v>
      </c>
      <c r="G77" s="42"/>
      <c r="H77" s="42"/>
      <c r="I77" s="43"/>
      <c r="J77" s="43"/>
      <c r="K77" s="43"/>
      <c r="L77" s="42"/>
      <c r="M77" s="42"/>
    </row>
    <row r="78" spans="1:13" ht="15.75" customHeight="1" outlineLevel="2">
      <c r="A78" s="45"/>
      <c r="B78" s="62"/>
      <c r="C78" s="77" t="s">
        <v>538</v>
      </c>
      <c r="D78" s="73" t="s">
        <v>327</v>
      </c>
      <c r="E78" s="73" t="s">
        <v>560</v>
      </c>
      <c r="F78" s="42" t="s">
        <v>326</v>
      </c>
      <c r="G78" s="42"/>
      <c r="H78" s="42"/>
      <c r="I78" s="43"/>
      <c r="J78" s="43"/>
      <c r="K78" s="43"/>
      <c r="L78" s="42"/>
      <c r="M78" s="42"/>
    </row>
    <row r="79" spans="1:13" ht="15.75" customHeight="1" outlineLevel="2">
      <c r="A79" s="45"/>
      <c r="B79" s="62"/>
      <c r="C79" s="77" t="s">
        <v>526</v>
      </c>
      <c r="D79" s="73" t="s">
        <v>325</v>
      </c>
      <c r="E79" s="73" t="s">
        <v>559</v>
      </c>
      <c r="F79" s="42" t="s">
        <v>17</v>
      </c>
      <c r="G79" s="42"/>
      <c r="H79" s="42"/>
      <c r="I79" s="43"/>
      <c r="J79" s="43"/>
      <c r="K79" s="43"/>
      <c r="L79" s="42"/>
      <c r="M79" s="42"/>
    </row>
    <row r="80" spans="1:13" outlineLevel="2">
      <c r="A80" s="45"/>
      <c r="B80" s="62"/>
      <c r="C80" s="79" t="s">
        <v>558</v>
      </c>
      <c r="D80" s="78" t="s">
        <v>557</v>
      </c>
      <c r="E80" s="78" t="s">
        <v>552</v>
      </c>
      <c r="F80" s="42" t="s">
        <v>556</v>
      </c>
      <c r="G80" s="42"/>
      <c r="H80" s="42"/>
      <c r="I80" s="43" t="s">
        <v>555</v>
      </c>
      <c r="J80" s="43"/>
      <c r="K80" s="43"/>
      <c r="L80" s="42" t="s">
        <v>554</v>
      </c>
      <c r="M80" s="42"/>
    </row>
    <row r="81" spans="1:13" ht="15.75" customHeight="1" outlineLevel="2">
      <c r="A81" s="45"/>
      <c r="B81" s="62"/>
      <c r="C81" s="79" t="s">
        <v>532</v>
      </c>
      <c r="D81" s="78" t="s">
        <v>553</v>
      </c>
      <c r="E81" s="78" t="s">
        <v>552</v>
      </c>
      <c r="F81" s="42" t="s">
        <v>276</v>
      </c>
      <c r="G81" s="42"/>
      <c r="H81" s="42"/>
      <c r="I81" s="43"/>
      <c r="J81" s="43"/>
      <c r="K81" s="43"/>
      <c r="L81" s="42"/>
      <c r="M81" s="42"/>
    </row>
    <row r="82" spans="1:13" ht="15.75" customHeight="1" outlineLevel="2">
      <c r="A82" s="45"/>
      <c r="B82" s="62"/>
      <c r="C82" s="42" t="s">
        <v>532</v>
      </c>
      <c r="D82" s="44" t="s">
        <v>71</v>
      </c>
      <c r="E82" s="44" t="s">
        <v>551</v>
      </c>
      <c r="F82" s="80" t="s">
        <v>550</v>
      </c>
      <c r="G82" s="42"/>
      <c r="H82" s="42"/>
      <c r="I82" s="42" t="s">
        <v>549</v>
      </c>
      <c r="J82" s="42"/>
      <c r="K82" s="43"/>
      <c r="L82" s="42"/>
      <c r="M82" s="42"/>
    </row>
    <row r="83" spans="1:13" ht="15.75" customHeight="1" outlineLevel="2">
      <c r="A83" s="45"/>
      <c r="B83" s="62"/>
      <c r="C83" s="79" t="s">
        <v>538</v>
      </c>
      <c r="D83" s="78" t="s">
        <v>548</v>
      </c>
      <c r="E83" s="78" t="s">
        <v>536</v>
      </c>
      <c r="F83" s="42" t="s">
        <v>17</v>
      </c>
      <c r="G83" s="42"/>
      <c r="H83" s="42"/>
      <c r="I83" s="43" t="s">
        <v>547</v>
      </c>
      <c r="J83" s="43"/>
      <c r="K83" s="43" t="s">
        <v>546</v>
      </c>
      <c r="L83" s="42"/>
      <c r="M83" s="42"/>
    </row>
    <row r="84" spans="1:13" ht="15.75" customHeight="1" outlineLevel="2">
      <c r="A84" s="45"/>
      <c r="B84" s="62"/>
      <c r="C84" s="79" t="s">
        <v>538</v>
      </c>
      <c r="D84" s="78" t="s">
        <v>545</v>
      </c>
      <c r="E84" s="78" t="s">
        <v>536</v>
      </c>
      <c r="F84" s="42" t="s">
        <v>17</v>
      </c>
      <c r="G84" s="42"/>
      <c r="H84" s="42"/>
      <c r="I84" s="43"/>
      <c r="J84" s="43"/>
      <c r="K84" s="43"/>
      <c r="L84" s="42"/>
      <c r="M84" s="42"/>
    </row>
    <row r="85" spans="1:13" ht="15.75" customHeight="1" outlineLevel="2">
      <c r="A85" s="45"/>
      <c r="B85" s="62"/>
      <c r="C85" s="79" t="s">
        <v>538</v>
      </c>
      <c r="D85" s="78" t="s">
        <v>544</v>
      </c>
      <c r="E85" s="78" t="s">
        <v>536</v>
      </c>
      <c r="F85" s="42" t="s">
        <v>17</v>
      </c>
      <c r="G85" s="42"/>
      <c r="H85" s="42"/>
      <c r="I85" s="43"/>
      <c r="J85" s="43"/>
      <c r="K85" s="43"/>
      <c r="L85" s="42"/>
      <c r="M85" s="42"/>
    </row>
    <row r="86" spans="1:13" ht="15.75" customHeight="1" outlineLevel="2">
      <c r="A86" s="45"/>
      <c r="B86" s="62"/>
      <c r="C86" s="79" t="s">
        <v>538</v>
      </c>
      <c r="D86" s="78" t="s">
        <v>543</v>
      </c>
      <c r="E86" s="78" t="s">
        <v>536</v>
      </c>
      <c r="F86" s="42" t="s">
        <v>17</v>
      </c>
      <c r="G86" s="42"/>
      <c r="H86" s="42"/>
      <c r="I86" s="43" t="s">
        <v>539</v>
      </c>
      <c r="J86" s="43"/>
      <c r="K86" s="43"/>
      <c r="L86" s="42"/>
      <c r="M86" s="42"/>
    </row>
    <row r="87" spans="1:13" ht="15.75" customHeight="1" outlineLevel="2">
      <c r="A87" s="45"/>
      <c r="B87" s="62"/>
      <c r="C87" s="47" t="s">
        <v>538</v>
      </c>
      <c r="D87" s="51" t="s">
        <v>542</v>
      </c>
      <c r="E87" s="51" t="s">
        <v>541</v>
      </c>
      <c r="F87" s="42" t="s">
        <v>17</v>
      </c>
      <c r="G87" s="42"/>
      <c r="H87" s="42"/>
      <c r="I87" s="43"/>
      <c r="J87" s="43"/>
      <c r="K87" s="43"/>
      <c r="L87" s="42"/>
      <c r="M87" s="42"/>
    </row>
    <row r="88" spans="1:13" outlineLevel="2">
      <c r="A88" s="45"/>
      <c r="B88" s="62"/>
      <c r="C88" s="79" t="s">
        <v>538</v>
      </c>
      <c r="D88" s="78" t="s">
        <v>540</v>
      </c>
      <c r="E88" s="78" t="s">
        <v>536</v>
      </c>
      <c r="F88" s="42" t="s">
        <v>17</v>
      </c>
      <c r="G88" s="42"/>
      <c r="H88" s="42"/>
      <c r="I88" s="43" t="s">
        <v>539</v>
      </c>
      <c r="J88" s="43"/>
      <c r="K88" s="43"/>
      <c r="L88" s="42"/>
      <c r="M88" s="42"/>
    </row>
    <row r="89" spans="1:13" ht="15.75" customHeight="1" outlineLevel="2">
      <c r="A89" s="45"/>
      <c r="B89" s="62"/>
      <c r="C89" s="79" t="s">
        <v>538</v>
      </c>
      <c r="D89" s="78" t="s">
        <v>537</v>
      </c>
      <c r="E89" s="78" t="s">
        <v>536</v>
      </c>
      <c r="F89" s="42" t="s">
        <v>17</v>
      </c>
      <c r="G89" s="42"/>
      <c r="H89" s="42"/>
      <c r="I89" s="43"/>
      <c r="J89" s="43"/>
      <c r="K89" s="43"/>
      <c r="L89" s="42"/>
      <c r="M89" s="42"/>
    </row>
    <row r="90" spans="1:13" ht="15.75" customHeight="1" outlineLevel="2">
      <c r="A90" s="45"/>
      <c r="B90" s="62"/>
      <c r="C90" s="79" t="s">
        <v>534</v>
      </c>
      <c r="D90" s="78" t="s">
        <v>324</v>
      </c>
      <c r="E90" s="78" t="s">
        <v>535</v>
      </c>
      <c r="F90" s="42" t="s">
        <v>276</v>
      </c>
      <c r="G90" s="42"/>
      <c r="H90" s="42"/>
      <c r="I90" s="43"/>
      <c r="J90" s="43"/>
      <c r="K90" s="43"/>
      <c r="L90" s="42"/>
      <c r="M90" s="42"/>
    </row>
    <row r="91" spans="1:13" ht="15.75" customHeight="1" outlineLevel="2">
      <c r="A91" s="45"/>
      <c r="B91" s="62"/>
      <c r="C91" s="77" t="s">
        <v>534</v>
      </c>
      <c r="D91" s="73" t="s">
        <v>323</v>
      </c>
      <c r="E91" s="73" t="s">
        <v>533</v>
      </c>
      <c r="F91" s="42" t="s">
        <v>276</v>
      </c>
      <c r="G91" s="42"/>
      <c r="H91" s="42"/>
      <c r="I91" s="43"/>
      <c r="J91" s="43"/>
      <c r="K91" s="43"/>
      <c r="L91" s="42"/>
      <c r="M91" s="42"/>
    </row>
    <row r="92" spans="1:13" ht="15.75" customHeight="1" outlineLevel="2">
      <c r="A92" s="45"/>
      <c r="B92" s="62"/>
      <c r="C92" s="77" t="s">
        <v>532</v>
      </c>
      <c r="D92" s="73" t="s">
        <v>531</v>
      </c>
      <c r="E92" s="73" t="s">
        <v>530</v>
      </c>
      <c r="F92" s="42" t="s">
        <v>529</v>
      </c>
      <c r="G92" s="42"/>
      <c r="H92" s="42"/>
      <c r="I92" s="43" t="s">
        <v>528</v>
      </c>
      <c r="J92" s="43"/>
      <c r="K92" s="43"/>
      <c r="L92" s="42" t="s">
        <v>527</v>
      </c>
      <c r="M92" s="42"/>
    </row>
    <row r="93" spans="1:13" ht="15.75" customHeight="1" outlineLevel="2">
      <c r="A93" s="45"/>
      <c r="B93" s="62"/>
      <c r="C93" s="42" t="s">
        <v>526</v>
      </c>
      <c r="D93" s="44" t="s">
        <v>525</v>
      </c>
      <c r="E93" s="44" t="s">
        <v>524</v>
      </c>
      <c r="F93" s="42" t="s">
        <v>17</v>
      </c>
      <c r="G93" s="42"/>
      <c r="H93" s="42"/>
      <c r="I93" s="43"/>
      <c r="J93" s="43"/>
      <c r="K93" s="43"/>
      <c r="L93" s="42"/>
      <c r="M93" s="42"/>
    </row>
    <row r="94" spans="1:13" ht="15.75" customHeight="1" outlineLevel="2">
      <c r="A94" s="45"/>
      <c r="B94" s="62"/>
      <c r="C94" s="79" t="s">
        <v>523</v>
      </c>
      <c r="D94" s="78" t="s">
        <v>522</v>
      </c>
      <c r="E94" s="78" t="s">
        <v>521</v>
      </c>
      <c r="F94" s="42" t="s">
        <v>17</v>
      </c>
      <c r="G94" s="42"/>
      <c r="H94" s="42"/>
      <c r="I94" s="43" t="s">
        <v>520</v>
      </c>
      <c r="J94" s="43"/>
      <c r="K94" s="43"/>
      <c r="L94" s="42"/>
      <c r="M94" s="42"/>
    </row>
    <row r="95" spans="1:13" ht="15.75" customHeight="1" outlineLevel="2">
      <c r="A95" s="45"/>
      <c r="B95" s="62"/>
      <c r="C95" s="77" t="s">
        <v>514</v>
      </c>
      <c r="D95" s="73" t="s">
        <v>322</v>
      </c>
      <c r="E95" s="73" t="s">
        <v>513</v>
      </c>
      <c r="F95" s="42" t="s">
        <v>17</v>
      </c>
      <c r="G95" s="42"/>
      <c r="H95" s="42"/>
      <c r="I95" s="43"/>
      <c r="J95" s="43"/>
      <c r="K95" s="43"/>
      <c r="L95" s="42"/>
      <c r="M95" s="42"/>
    </row>
    <row r="96" spans="1:13" ht="15.75" customHeight="1" outlineLevel="2">
      <c r="A96" s="45"/>
      <c r="B96" s="62"/>
      <c r="C96" s="77" t="s">
        <v>514</v>
      </c>
      <c r="D96" s="73" t="s">
        <v>321</v>
      </c>
      <c r="E96" s="73" t="s">
        <v>513</v>
      </c>
      <c r="F96" s="42" t="s">
        <v>17</v>
      </c>
      <c r="G96" s="42"/>
      <c r="H96" s="42"/>
      <c r="I96" s="43"/>
      <c r="J96" s="43"/>
      <c r="K96" s="43"/>
      <c r="L96" s="42"/>
      <c r="M96" s="42"/>
    </row>
    <row r="97" spans="1:13" ht="15.75" customHeight="1" outlineLevel="2">
      <c r="A97" s="45"/>
      <c r="B97" s="62"/>
      <c r="C97" s="77" t="s">
        <v>517</v>
      </c>
      <c r="D97" s="73" t="s">
        <v>519</v>
      </c>
      <c r="E97" s="73" t="s">
        <v>518</v>
      </c>
      <c r="F97" s="42" t="s">
        <v>17</v>
      </c>
      <c r="G97" s="42"/>
      <c r="H97" s="42"/>
      <c r="I97" s="43"/>
      <c r="J97" s="43"/>
      <c r="K97" s="43"/>
      <c r="L97" s="42"/>
      <c r="M97" s="42"/>
    </row>
    <row r="98" spans="1:13" ht="15.75" customHeight="1" outlineLevel="2">
      <c r="A98" s="45"/>
      <c r="B98" s="62"/>
      <c r="C98" s="77" t="s">
        <v>517</v>
      </c>
      <c r="D98" s="73" t="s">
        <v>516</v>
      </c>
      <c r="E98" s="73" t="s">
        <v>515</v>
      </c>
      <c r="F98" s="42" t="s">
        <v>17</v>
      </c>
      <c r="G98" s="42"/>
      <c r="H98" s="42"/>
      <c r="I98" s="43"/>
      <c r="J98" s="43"/>
      <c r="K98" s="43"/>
      <c r="L98" s="42"/>
      <c r="M98" s="42"/>
    </row>
    <row r="99" spans="1:13" ht="15.75" customHeight="1" outlineLevel="2">
      <c r="A99" s="45"/>
      <c r="B99" s="62"/>
      <c r="C99" s="77" t="s">
        <v>514</v>
      </c>
      <c r="D99" s="73" t="s">
        <v>97</v>
      </c>
      <c r="E99" s="73" t="s">
        <v>513</v>
      </c>
      <c r="F99" s="42" t="s">
        <v>17</v>
      </c>
      <c r="G99" s="42"/>
      <c r="H99" s="42"/>
      <c r="I99" s="43"/>
      <c r="J99" s="43"/>
      <c r="K99" s="43"/>
      <c r="L99" s="42"/>
      <c r="M99" s="42"/>
    </row>
    <row r="100" spans="1:13" ht="15.75" customHeight="1" outlineLevel="1">
      <c r="A100" s="45"/>
      <c r="B100" s="62" t="s">
        <v>75</v>
      </c>
      <c r="C100" s="42"/>
      <c r="D100" s="44" t="s">
        <v>76</v>
      </c>
      <c r="E100" s="44"/>
      <c r="F100" s="42"/>
      <c r="G100" s="42"/>
      <c r="H100" s="42"/>
      <c r="I100" s="43"/>
      <c r="J100" s="43"/>
      <c r="K100" s="43"/>
      <c r="L100" s="42"/>
      <c r="M100" s="42"/>
    </row>
    <row r="101" spans="1:13" ht="15.75" customHeight="1" outlineLevel="2">
      <c r="A101" s="45"/>
      <c r="B101" s="43" t="s">
        <v>512</v>
      </c>
      <c r="C101" s="42"/>
      <c r="D101" s="73" t="s">
        <v>511</v>
      </c>
      <c r="E101" s="615" t="s">
        <v>510</v>
      </c>
      <c r="F101" s="42" t="s">
        <v>17</v>
      </c>
      <c r="G101" s="42"/>
      <c r="H101" s="42"/>
      <c r="I101" s="43"/>
      <c r="J101" s="43"/>
      <c r="K101" s="43" t="s">
        <v>504</v>
      </c>
      <c r="L101" s="42"/>
      <c r="M101" s="42"/>
    </row>
    <row r="102" spans="1:13" ht="15.75" customHeight="1" outlineLevel="2">
      <c r="A102" s="45"/>
      <c r="B102" s="62"/>
      <c r="C102" s="42"/>
      <c r="D102" s="75" t="s">
        <v>509</v>
      </c>
      <c r="E102" s="615"/>
      <c r="F102" s="76" t="s">
        <v>508</v>
      </c>
      <c r="G102" s="76"/>
      <c r="H102" s="65"/>
      <c r="I102" s="42" t="s">
        <v>507</v>
      </c>
      <c r="J102" s="42"/>
      <c r="K102" s="43" t="s">
        <v>504</v>
      </c>
      <c r="L102" s="42"/>
      <c r="M102" s="42"/>
    </row>
    <row r="103" spans="1:13" ht="15.75" customHeight="1" outlineLevel="2">
      <c r="A103" s="45"/>
      <c r="B103" s="62"/>
      <c r="C103" s="42"/>
      <c r="D103" s="75" t="s">
        <v>506</v>
      </c>
      <c r="E103" s="615"/>
      <c r="F103" s="42" t="s">
        <v>17</v>
      </c>
      <c r="G103" s="65"/>
      <c r="H103" s="65"/>
      <c r="I103" s="43"/>
      <c r="J103" s="43"/>
      <c r="K103" s="43"/>
      <c r="L103" s="42"/>
      <c r="M103" s="42"/>
    </row>
    <row r="104" spans="1:13" ht="15.75" customHeight="1" outlineLevel="2">
      <c r="A104" s="45"/>
      <c r="B104" s="62"/>
      <c r="C104" s="42"/>
      <c r="D104" s="75" t="s">
        <v>505</v>
      </c>
      <c r="E104" s="615"/>
      <c r="F104" s="42" t="s">
        <v>17</v>
      </c>
      <c r="G104" s="65"/>
      <c r="H104" s="65"/>
      <c r="I104" s="43"/>
      <c r="J104" s="43"/>
      <c r="K104" s="43" t="s">
        <v>504</v>
      </c>
      <c r="L104" s="42"/>
      <c r="M104" s="42"/>
    </row>
    <row r="105" spans="1:13" ht="15.75" customHeight="1" outlineLevel="2">
      <c r="A105" s="45"/>
      <c r="B105" s="62"/>
      <c r="C105" s="42"/>
      <c r="D105" s="73" t="s">
        <v>503</v>
      </c>
      <c r="E105" s="615"/>
      <c r="F105" s="42" t="s">
        <v>17</v>
      </c>
      <c r="G105" s="42"/>
      <c r="H105" s="42"/>
      <c r="I105" s="42" t="s">
        <v>502</v>
      </c>
      <c r="J105" s="42"/>
      <c r="K105" s="42" t="s">
        <v>501</v>
      </c>
      <c r="L105" s="42"/>
      <c r="M105" s="42"/>
    </row>
    <row r="106" spans="1:13" ht="15.75" customHeight="1" outlineLevel="2">
      <c r="A106" s="45"/>
      <c r="B106" s="62"/>
      <c r="C106" s="42"/>
      <c r="D106" s="73" t="s">
        <v>500</v>
      </c>
      <c r="E106" s="615"/>
      <c r="F106" s="42" t="s">
        <v>17</v>
      </c>
      <c r="G106" s="42"/>
      <c r="H106" s="42"/>
      <c r="I106" s="43"/>
      <c r="J106" s="43"/>
      <c r="K106" s="43"/>
      <c r="L106" s="42"/>
      <c r="M106" s="42"/>
    </row>
    <row r="107" spans="1:13" ht="15.75" customHeight="1" outlineLevel="2">
      <c r="A107" s="45"/>
      <c r="B107" s="62"/>
      <c r="C107" s="42"/>
      <c r="D107" s="73" t="s">
        <v>320</v>
      </c>
      <c r="E107" s="615"/>
      <c r="F107" s="42" t="s">
        <v>17</v>
      </c>
      <c r="G107" s="42"/>
      <c r="H107" s="42"/>
      <c r="I107" s="43"/>
      <c r="J107" s="43"/>
      <c r="K107" s="43"/>
      <c r="L107" s="42"/>
      <c r="M107" s="42"/>
    </row>
    <row r="108" spans="1:13" ht="18.75" customHeight="1" outlineLevel="2">
      <c r="A108" s="45"/>
      <c r="B108" s="62"/>
      <c r="C108" s="42"/>
      <c r="D108" s="73" t="s">
        <v>499</v>
      </c>
      <c r="E108" s="615"/>
      <c r="F108" s="42" t="s">
        <v>498</v>
      </c>
      <c r="G108" s="42"/>
      <c r="H108" s="42"/>
      <c r="I108" s="43" t="s">
        <v>497</v>
      </c>
      <c r="J108" s="43"/>
      <c r="K108" s="43"/>
      <c r="L108" s="42"/>
      <c r="M108" s="42"/>
    </row>
    <row r="109" spans="1:13" ht="15.75" customHeight="1" outlineLevel="2">
      <c r="A109" s="45"/>
      <c r="B109" s="62"/>
      <c r="C109" s="42"/>
      <c r="D109" s="73" t="s">
        <v>319</v>
      </c>
      <c r="E109" s="615"/>
      <c r="F109" s="42" t="s">
        <v>261</v>
      </c>
      <c r="G109" s="42"/>
      <c r="H109" s="42"/>
      <c r="I109" s="43"/>
      <c r="J109" s="43"/>
      <c r="K109" s="43"/>
      <c r="L109" s="42"/>
      <c r="M109" s="42"/>
    </row>
    <row r="110" spans="1:13" ht="15.75" customHeight="1" outlineLevel="2">
      <c r="A110" s="45"/>
      <c r="B110" s="62"/>
      <c r="C110" s="42"/>
      <c r="D110" s="73" t="s">
        <v>496</v>
      </c>
      <c r="E110" s="615"/>
      <c r="F110" s="42" t="s">
        <v>197</v>
      </c>
      <c r="G110" s="42"/>
      <c r="H110" s="42"/>
      <c r="I110" s="43"/>
      <c r="J110" s="43"/>
      <c r="K110" s="43"/>
      <c r="L110" s="42"/>
      <c r="M110" s="42"/>
    </row>
    <row r="111" spans="1:13" ht="15.75" customHeight="1" outlineLevel="2">
      <c r="A111" s="45"/>
      <c r="B111" s="62"/>
      <c r="C111" s="42"/>
      <c r="D111" s="73" t="s">
        <v>495</v>
      </c>
      <c r="E111" s="615"/>
      <c r="F111" s="42" t="s">
        <v>17</v>
      </c>
      <c r="G111" s="42"/>
      <c r="H111" s="42"/>
      <c r="I111" s="43"/>
      <c r="J111" s="43"/>
      <c r="K111" s="43"/>
      <c r="L111" s="42"/>
      <c r="M111" s="42"/>
    </row>
    <row r="112" spans="1:13" ht="15.75" customHeight="1" outlineLevel="2">
      <c r="A112" s="45"/>
      <c r="B112" s="62"/>
      <c r="C112" s="42"/>
      <c r="D112" s="73" t="s">
        <v>494</v>
      </c>
      <c r="E112" s="615"/>
      <c r="F112" s="42" t="s">
        <v>17</v>
      </c>
      <c r="G112" s="42"/>
      <c r="H112" s="42"/>
      <c r="I112" s="74" t="s">
        <v>493</v>
      </c>
      <c r="J112" s="43"/>
      <c r="K112" s="43"/>
      <c r="L112" s="42"/>
      <c r="M112" s="42"/>
    </row>
    <row r="113" spans="1:13" ht="15.75" customHeight="1" outlineLevel="2">
      <c r="A113" s="45"/>
      <c r="B113" s="62"/>
      <c r="C113" s="42"/>
      <c r="D113" s="73" t="s">
        <v>492</v>
      </c>
      <c r="E113" s="615"/>
      <c r="F113" s="42" t="s">
        <v>17</v>
      </c>
      <c r="G113" s="42"/>
      <c r="H113" s="42"/>
      <c r="I113" s="43"/>
      <c r="J113" s="43"/>
      <c r="K113" s="43"/>
      <c r="L113" s="42"/>
      <c r="M113" s="42"/>
    </row>
    <row r="114" spans="1:13" ht="15.75" customHeight="1" outlineLevel="2">
      <c r="A114" s="45"/>
      <c r="B114" s="62"/>
      <c r="C114" s="72"/>
      <c r="D114" s="71" t="s">
        <v>77</v>
      </c>
      <c r="E114" s="70" t="s">
        <v>78</v>
      </c>
      <c r="F114" s="42" t="s">
        <v>17</v>
      </c>
      <c r="G114" s="42"/>
      <c r="H114" s="42"/>
      <c r="I114" s="43"/>
      <c r="J114" s="43"/>
      <c r="K114" s="43"/>
      <c r="L114" s="42"/>
      <c r="M114" s="42"/>
    </row>
    <row r="115" spans="1:13" ht="15.75" customHeight="1" outlineLevel="2">
      <c r="A115" s="45"/>
      <c r="B115" s="62"/>
      <c r="C115" s="72"/>
      <c r="D115" s="71" t="s">
        <v>79</v>
      </c>
      <c r="E115" s="70" t="s">
        <v>80</v>
      </c>
      <c r="F115" s="42" t="s">
        <v>17</v>
      </c>
      <c r="G115" s="42"/>
      <c r="H115" s="42"/>
      <c r="I115" s="43"/>
      <c r="J115" s="43"/>
      <c r="K115" s="43"/>
      <c r="L115" s="42"/>
      <c r="M115" s="42"/>
    </row>
    <row r="116" spans="1:13" ht="15.75" customHeight="1" outlineLevel="2">
      <c r="A116" s="45"/>
      <c r="B116" s="62"/>
      <c r="C116" s="72"/>
      <c r="D116" s="71" t="s">
        <v>81</v>
      </c>
      <c r="E116" s="70" t="s">
        <v>491</v>
      </c>
      <c r="F116" s="42" t="s">
        <v>490</v>
      </c>
      <c r="G116" s="42"/>
      <c r="H116" s="42"/>
      <c r="I116" s="43"/>
      <c r="J116" s="43"/>
      <c r="K116" s="43"/>
      <c r="L116" s="42"/>
      <c r="M116" s="42"/>
    </row>
    <row r="117" spans="1:13" ht="15.75" customHeight="1" outlineLevel="2">
      <c r="A117" s="45"/>
      <c r="B117" s="62"/>
      <c r="C117" s="72"/>
      <c r="D117" s="71"/>
      <c r="E117" s="70"/>
      <c r="F117" s="42"/>
      <c r="G117" s="42"/>
      <c r="H117" s="42"/>
      <c r="I117" s="43"/>
      <c r="J117" s="43"/>
      <c r="K117" s="43"/>
      <c r="L117" s="42"/>
      <c r="M117" s="42"/>
    </row>
    <row r="118" spans="1:13" ht="15.75" customHeight="1" outlineLevel="2">
      <c r="A118" s="45"/>
      <c r="B118" s="62"/>
      <c r="C118" s="72"/>
      <c r="D118" s="71"/>
      <c r="E118" s="70"/>
      <c r="F118" s="42"/>
      <c r="G118" s="42"/>
      <c r="H118" s="42"/>
      <c r="I118" s="43"/>
      <c r="J118" s="43"/>
      <c r="K118" s="43"/>
      <c r="L118" s="42"/>
      <c r="M118" s="42"/>
    </row>
    <row r="119" spans="1:13" ht="15.75" customHeight="1" outlineLevel="1">
      <c r="A119" s="45"/>
      <c r="B119" s="62" t="s">
        <v>83</v>
      </c>
      <c r="C119" s="42"/>
      <c r="D119" s="44"/>
      <c r="E119" s="44"/>
      <c r="F119" s="42"/>
      <c r="G119" s="42"/>
      <c r="H119" s="42"/>
      <c r="I119" s="43"/>
      <c r="J119" s="43"/>
      <c r="K119" s="43"/>
      <c r="L119" s="44" t="s">
        <v>489</v>
      </c>
      <c r="M119" s="42"/>
    </row>
    <row r="120" spans="1:13" ht="15.75" customHeight="1" outlineLevel="2">
      <c r="A120" s="45"/>
      <c r="B120" s="43" t="s">
        <v>488</v>
      </c>
      <c r="C120" s="42"/>
      <c r="D120" s="44" t="s">
        <v>487</v>
      </c>
      <c r="E120" s="44"/>
      <c r="F120" s="42" t="s">
        <v>17</v>
      </c>
      <c r="G120" s="42"/>
      <c r="H120" s="42"/>
      <c r="I120" s="43" t="s">
        <v>485</v>
      </c>
      <c r="J120" s="43"/>
      <c r="K120" s="43"/>
      <c r="L120" s="42"/>
      <c r="M120" s="42"/>
    </row>
    <row r="121" spans="1:13" ht="15.75" customHeight="1" outlineLevel="2">
      <c r="A121" s="45"/>
      <c r="B121" s="43"/>
      <c r="C121" s="42"/>
      <c r="D121" s="44" t="s">
        <v>486</v>
      </c>
      <c r="E121" s="44"/>
      <c r="F121" s="42" t="s">
        <v>17</v>
      </c>
      <c r="G121" s="42"/>
      <c r="H121" s="42"/>
      <c r="I121" s="43" t="s">
        <v>485</v>
      </c>
      <c r="J121" s="43"/>
      <c r="K121" s="43"/>
      <c r="L121" s="42"/>
      <c r="M121" s="42"/>
    </row>
    <row r="122" spans="1:13" ht="15.75" customHeight="1" outlineLevel="2">
      <c r="A122" s="45"/>
      <c r="B122" s="62"/>
      <c r="C122" s="42"/>
      <c r="D122" s="44" t="s">
        <v>484</v>
      </c>
      <c r="E122" s="44"/>
      <c r="F122" s="42" t="s">
        <v>17</v>
      </c>
      <c r="G122" s="42"/>
      <c r="H122" s="42"/>
      <c r="I122" s="43"/>
      <c r="J122" s="43"/>
      <c r="K122" s="43"/>
      <c r="L122" s="42"/>
      <c r="M122" s="42"/>
    </row>
    <row r="123" spans="1:13" ht="15.75" customHeight="1" outlineLevel="2">
      <c r="A123" s="45"/>
      <c r="B123" s="62"/>
      <c r="C123" s="42"/>
      <c r="D123" s="44" t="s">
        <v>483</v>
      </c>
      <c r="E123" s="44"/>
      <c r="F123" s="42" t="s">
        <v>261</v>
      </c>
      <c r="G123" s="42"/>
      <c r="H123" s="42"/>
      <c r="I123" s="43"/>
      <c r="J123" s="43"/>
      <c r="K123" s="43"/>
      <c r="L123" s="42"/>
      <c r="M123" s="42"/>
    </row>
    <row r="124" spans="1:13" ht="15.75" customHeight="1" outlineLevel="2">
      <c r="A124" s="45"/>
      <c r="B124" s="62"/>
      <c r="C124" s="42"/>
      <c r="D124" s="44" t="s">
        <v>482</v>
      </c>
      <c r="E124" s="44"/>
      <c r="F124" s="42" t="s">
        <v>17</v>
      </c>
      <c r="G124" s="42"/>
      <c r="H124" s="42"/>
      <c r="I124" s="43"/>
      <c r="J124" s="43"/>
      <c r="K124" s="43"/>
      <c r="L124" s="42"/>
      <c r="M124" s="42"/>
    </row>
    <row r="125" spans="1:13" ht="15.75" customHeight="1" outlineLevel="2">
      <c r="A125" s="45"/>
      <c r="B125" s="62"/>
      <c r="C125" s="42"/>
      <c r="D125" s="44" t="s">
        <v>481</v>
      </c>
      <c r="E125" s="44"/>
      <c r="F125" s="42" t="s">
        <v>17</v>
      </c>
      <c r="G125" s="42"/>
      <c r="H125" s="42"/>
      <c r="I125" s="43"/>
      <c r="J125" s="43"/>
      <c r="K125" s="43"/>
      <c r="L125" s="42"/>
      <c r="M125" s="42"/>
    </row>
    <row r="126" spans="1:13" ht="15.75" customHeight="1" outlineLevel="2">
      <c r="A126" s="45"/>
      <c r="B126" s="62"/>
      <c r="C126" s="42"/>
      <c r="D126" s="44" t="s">
        <v>480</v>
      </c>
      <c r="E126" s="44"/>
      <c r="F126" s="42" t="s">
        <v>479</v>
      </c>
      <c r="G126" s="42"/>
      <c r="H126" s="42"/>
      <c r="I126" s="43" t="s">
        <v>478</v>
      </c>
      <c r="J126" s="43"/>
      <c r="K126" s="43"/>
      <c r="L126" s="42"/>
      <c r="M126" s="42"/>
    </row>
    <row r="127" spans="1:13" ht="14.25" customHeight="1" outlineLevel="2">
      <c r="A127" s="45"/>
      <c r="B127" s="62"/>
      <c r="C127" s="42"/>
      <c r="D127" s="44" t="s">
        <v>477</v>
      </c>
      <c r="E127" s="44"/>
      <c r="F127" s="42" t="s">
        <v>17</v>
      </c>
      <c r="G127" s="42"/>
      <c r="H127" s="42"/>
      <c r="I127" s="43" t="s">
        <v>476</v>
      </c>
      <c r="J127" s="43"/>
      <c r="K127" s="43"/>
      <c r="L127" s="42"/>
      <c r="M127" s="42"/>
    </row>
    <row r="128" spans="1:13" ht="15.75" customHeight="1" outlineLevel="2">
      <c r="A128" s="45"/>
      <c r="B128" s="62"/>
      <c r="C128" s="42"/>
      <c r="D128" s="44" t="s">
        <v>475</v>
      </c>
      <c r="E128" s="44"/>
      <c r="F128" s="42" t="s">
        <v>17</v>
      </c>
      <c r="G128" s="42"/>
      <c r="H128" s="42"/>
      <c r="I128" s="43"/>
      <c r="J128" s="43"/>
      <c r="K128" s="43"/>
      <c r="L128" s="42"/>
      <c r="M128" s="42"/>
    </row>
    <row r="129" spans="1:13" ht="15.75" customHeight="1" outlineLevel="2">
      <c r="A129" s="45"/>
      <c r="B129" s="62"/>
      <c r="C129" s="42"/>
      <c r="D129" s="44" t="s">
        <v>474</v>
      </c>
      <c r="E129" s="44"/>
      <c r="F129" s="42" t="s">
        <v>261</v>
      </c>
      <c r="G129" s="42"/>
      <c r="H129" s="42"/>
      <c r="I129" s="43"/>
      <c r="J129" s="43"/>
      <c r="K129" s="43"/>
      <c r="L129" s="42"/>
      <c r="M129" s="42"/>
    </row>
    <row r="130" spans="1:13" ht="15.75" customHeight="1" outlineLevel="2">
      <c r="A130" s="45"/>
      <c r="B130" s="62"/>
      <c r="C130" s="42"/>
      <c r="D130" s="44" t="s">
        <v>473</v>
      </c>
      <c r="E130" s="44"/>
      <c r="F130" s="42" t="s">
        <v>472</v>
      </c>
      <c r="G130" s="42"/>
      <c r="H130" s="42"/>
      <c r="I130" s="43" t="s">
        <v>471</v>
      </c>
      <c r="J130" s="43"/>
      <c r="K130" s="43"/>
      <c r="L130" s="42"/>
      <c r="M130" s="42"/>
    </row>
    <row r="131" spans="1:13" ht="15.75" customHeight="1" outlineLevel="2">
      <c r="A131" s="45"/>
      <c r="B131" s="62"/>
      <c r="C131" s="42"/>
      <c r="D131" s="44" t="s">
        <v>470</v>
      </c>
      <c r="E131" s="44"/>
      <c r="F131" s="64" t="s">
        <v>197</v>
      </c>
      <c r="G131" s="64" t="s">
        <v>469</v>
      </c>
      <c r="H131" s="42"/>
      <c r="I131" s="43"/>
      <c r="J131" s="43"/>
      <c r="K131" s="43"/>
      <c r="L131" s="42" t="s">
        <v>468</v>
      </c>
      <c r="M131" s="42"/>
    </row>
    <row r="132" spans="1:13" ht="16.5" customHeight="1" outlineLevel="2">
      <c r="A132" s="45"/>
      <c r="B132" s="62"/>
      <c r="C132" s="42"/>
      <c r="D132" s="44" t="s">
        <v>318</v>
      </c>
      <c r="E132" s="44"/>
      <c r="F132" s="68" t="s">
        <v>261</v>
      </c>
      <c r="G132" s="68" t="s">
        <v>317</v>
      </c>
      <c r="H132" s="42"/>
      <c r="I132" s="43" t="s">
        <v>316</v>
      </c>
      <c r="J132" s="43"/>
      <c r="K132" s="43"/>
      <c r="L132" s="42"/>
      <c r="M132" s="42"/>
    </row>
    <row r="133" spans="1:13" ht="15.75" customHeight="1" outlineLevel="2">
      <c r="A133" s="45"/>
      <c r="B133" s="62"/>
      <c r="C133" s="42"/>
      <c r="D133" s="44" t="s">
        <v>467</v>
      </c>
      <c r="E133" s="44"/>
      <c r="F133" s="42" t="s">
        <v>17</v>
      </c>
      <c r="G133" s="42"/>
      <c r="H133" s="42"/>
      <c r="I133" s="43"/>
      <c r="J133" s="43"/>
      <c r="K133" s="43"/>
      <c r="L133" s="42"/>
      <c r="M133" s="42"/>
    </row>
    <row r="134" spans="1:13" ht="15.75" customHeight="1" outlineLevel="2">
      <c r="A134" s="45"/>
      <c r="B134" s="62"/>
      <c r="C134" s="42"/>
      <c r="D134" s="44" t="s">
        <v>84</v>
      </c>
      <c r="E134" s="44"/>
      <c r="F134" s="42" t="s">
        <v>17</v>
      </c>
      <c r="G134" s="42"/>
      <c r="H134" s="42"/>
      <c r="I134" s="43"/>
      <c r="J134" s="43"/>
      <c r="K134" s="43"/>
      <c r="L134" s="42"/>
      <c r="M134" s="42"/>
    </row>
    <row r="135" spans="1:13" ht="15.75" customHeight="1" outlineLevel="2">
      <c r="A135" s="45"/>
      <c r="B135" s="62"/>
      <c r="C135" s="42"/>
      <c r="D135" s="44" t="s">
        <v>466</v>
      </c>
      <c r="E135" s="44"/>
      <c r="F135" s="42" t="s">
        <v>17</v>
      </c>
      <c r="G135" s="42"/>
      <c r="H135" s="42"/>
      <c r="I135" s="43"/>
      <c r="J135" s="43"/>
      <c r="K135" s="43"/>
      <c r="L135" s="42"/>
      <c r="M135" s="42"/>
    </row>
    <row r="136" spans="1:13" ht="15.75" customHeight="1" outlineLevel="2">
      <c r="A136" s="45"/>
      <c r="B136" s="62"/>
      <c r="C136" s="42"/>
      <c r="D136" s="44" t="s">
        <v>465</v>
      </c>
      <c r="E136" s="44"/>
      <c r="F136" s="42" t="s">
        <v>17</v>
      </c>
      <c r="G136" s="42"/>
      <c r="H136" s="42"/>
      <c r="I136" s="43"/>
      <c r="J136" s="43"/>
      <c r="K136" s="43"/>
      <c r="L136" s="42"/>
      <c r="M136" s="42"/>
    </row>
    <row r="137" spans="1:13" ht="15.75" customHeight="1">
      <c r="A137" s="45" t="s">
        <v>89</v>
      </c>
      <c r="B137" s="62"/>
      <c r="C137" s="42"/>
      <c r="D137" s="44"/>
      <c r="E137" s="44"/>
      <c r="F137" s="42"/>
      <c r="G137" s="42"/>
      <c r="H137" s="42"/>
      <c r="I137" s="42"/>
      <c r="J137" s="42"/>
      <c r="K137" s="42"/>
      <c r="L137" s="42"/>
      <c r="M137" s="42"/>
    </row>
    <row r="138" spans="1:13" ht="15.75" customHeight="1" outlineLevel="1">
      <c r="A138" s="45"/>
      <c r="B138" s="62" t="s">
        <v>90</v>
      </c>
      <c r="C138" s="42"/>
      <c r="D138" s="44"/>
      <c r="E138" s="44"/>
      <c r="F138" s="42"/>
      <c r="G138" s="42"/>
      <c r="H138" s="42"/>
      <c r="I138" s="43"/>
      <c r="J138" s="43"/>
      <c r="K138" s="43"/>
      <c r="L138" s="42"/>
      <c r="M138" s="42"/>
    </row>
    <row r="139" spans="1:13" ht="15.75" customHeight="1" outlineLevel="2">
      <c r="A139" s="45"/>
      <c r="B139" s="43" t="s">
        <v>315</v>
      </c>
      <c r="C139" s="42"/>
      <c r="D139" s="44" t="s">
        <v>314</v>
      </c>
      <c r="E139" s="44"/>
      <c r="F139" s="42" t="s">
        <v>17</v>
      </c>
      <c r="G139" s="42"/>
      <c r="H139" s="42"/>
      <c r="I139" s="43" t="s">
        <v>313</v>
      </c>
      <c r="J139" s="43" t="s">
        <v>312</v>
      </c>
      <c r="K139" s="43"/>
      <c r="L139" s="42"/>
      <c r="M139" s="42"/>
    </row>
    <row r="140" spans="1:13" ht="15.75" customHeight="1" outlineLevel="2">
      <c r="A140" s="45"/>
      <c r="B140" s="62"/>
      <c r="C140" s="42"/>
      <c r="D140" s="44" t="s">
        <v>464</v>
      </c>
      <c r="E140" s="44"/>
      <c r="F140" s="42" t="s">
        <v>17</v>
      </c>
      <c r="G140" s="42"/>
      <c r="H140" s="42"/>
      <c r="I140" s="43" t="s">
        <v>308</v>
      </c>
      <c r="J140" s="43"/>
      <c r="K140" s="43"/>
      <c r="L140" s="42"/>
      <c r="M140" s="42"/>
    </row>
    <row r="141" spans="1:13" ht="15.75" customHeight="1" outlineLevel="2">
      <c r="A141" s="45"/>
      <c r="B141" s="62"/>
      <c r="C141" s="42"/>
      <c r="D141" s="44" t="s">
        <v>311</v>
      </c>
      <c r="E141" s="44"/>
      <c r="F141" s="42" t="s">
        <v>310</v>
      </c>
      <c r="G141" s="42"/>
      <c r="H141" s="42"/>
      <c r="I141" s="43"/>
      <c r="J141" s="43"/>
      <c r="K141" s="43"/>
      <c r="L141" s="42"/>
      <c r="M141" s="42"/>
    </row>
    <row r="142" spans="1:13" ht="15.75" customHeight="1" outlineLevel="2">
      <c r="A142" s="45"/>
      <c r="B142" s="62"/>
      <c r="C142" s="42"/>
      <c r="D142" s="44" t="s">
        <v>309</v>
      </c>
      <c r="E142" s="44"/>
      <c r="F142" s="42" t="s">
        <v>17</v>
      </c>
      <c r="G142" s="42"/>
      <c r="H142" s="42"/>
      <c r="I142" s="43" t="s">
        <v>308</v>
      </c>
      <c r="J142" s="43" t="s">
        <v>307</v>
      </c>
      <c r="K142" s="43"/>
      <c r="L142" s="42"/>
      <c r="M142" s="42"/>
    </row>
    <row r="143" spans="1:13" ht="16.5" customHeight="1" outlineLevel="2">
      <c r="A143" s="45"/>
      <c r="B143" s="62"/>
      <c r="C143" s="42"/>
      <c r="D143" s="44" t="s">
        <v>463</v>
      </c>
      <c r="E143" s="44"/>
      <c r="F143" s="42" t="s">
        <v>17</v>
      </c>
      <c r="G143" s="42"/>
      <c r="H143" s="42"/>
      <c r="I143" s="43" t="s">
        <v>461</v>
      </c>
      <c r="J143" s="43" t="s">
        <v>312</v>
      </c>
      <c r="K143" s="43"/>
      <c r="L143" s="42"/>
      <c r="M143" s="42"/>
    </row>
    <row r="144" spans="1:13" ht="18.75" customHeight="1" outlineLevel="2">
      <c r="A144" s="45"/>
      <c r="B144" s="62"/>
      <c r="C144" s="42"/>
      <c r="D144" s="44" t="s">
        <v>462</v>
      </c>
      <c r="E144" s="44"/>
      <c r="F144" s="42" t="s">
        <v>17</v>
      </c>
      <c r="G144" s="42"/>
      <c r="H144" s="42"/>
      <c r="I144" s="43" t="s">
        <v>461</v>
      </c>
      <c r="J144" s="43" t="s">
        <v>312</v>
      </c>
      <c r="K144" s="43"/>
      <c r="L144" s="42"/>
      <c r="M144" s="42"/>
    </row>
    <row r="145" spans="1:13" ht="15.75" customHeight="1" outlineLevel="2">
      <c r="A145" s="45"/>
      <c r="B145" s="62"/>
      <c r="C145" s="42"/>
      <c r="D145" s="44" t="s">
        <v>306</v>
      </c>
      <c r="E145" s="44"/>
      <c r="F145" s="42" t="s">
        <v>305</v>
      </c>
      <c r="G145" s="42"/>
      <c r="H145" s="42"/>
      <c r="I145" s="43"/>
      <c r="J145" s="43"/>
      <c r="K145" s="43"/>
      <c r="L145" s="42"/>
      <c r="M145" s="42"/>
    </row>
    <row r="146" spans="1:13" ht="13.5" customHeight="1" outlineLevel="2">
      <c r="A146" s="45"/>
      <c r="B146" s="62"/>
      <c r="C146" s="42"/>
      <c r="D146" s="44" t="s">
        <v>460</v>
      </c>
      <c r="E146" s="44"/>
      <c r="F146" s="42" t="s">
        <v>305</v>
      </c>
      <c r="G146" s="42"/>
      <c r="H146" s="42"/>
      <c r="I146" s="43"/>
      <c r="J146" s="43"/>
      <c r="K146" s="43"/>
      <c r="L146" s="42" t="s">
        <v>304</v>
      </c>
      <c r="M146" s="42"/>
    </row>
    <row r="147" spans="1:13" ht="15.75" customHeight="1" outlineLevel="2">
      <c r="A147" s="45"/>
      <c r="B147" s="62"/>
      <c r="C147" s="42"/>
      <c r="D147" s="44" t="s">
        <v>303</v>
      </c>
      <c r="E147" s="44"/>
      <c r="F147" s="42" t="s">
        <v>302</v>
      </c>
      <c r="G147" s="42" t="s">
        <v>301</v>
      </c>
      <c r="H147" s="42"/>
      <c r="I147" s="43"/>
      <c r="J147" s="43"/>
      <c r="K147" s="43"/>
      <c r="L147" s="42" t="s">
        <v>300</v>
      </c>
      <c r="M147" s="42"/>
    </row>
    <row r="148" spans="1:13" ht="15.75" customHeight="1" outlineLevel="1">
      <c r="A148" s="45"/>
      <c r="B148" s="62" t="s">
        <v>100</v>
      </c>
      <c r="C148" s="42"/>
      <c r="D148" s="44"/>
      <c r="E148" s="44"/>
      <c r="F148" s="42"/>
      <c r="G148" s="42"/>
      <c r="H148" s="42"/>
      <c r="I148" s="43"/>
      <c r="J148" s="43"/>
      <c r="K148" s="43"/>
      <c r="L148" s="42"/>
      <c r="M148" s="42"/>
    </row>
    <row r="149" spans="1:13" ht="15.75" customHeight="1" outlineLevel="2">
      <c r="A149" s="45"/>
      <c r="B149" s="43" t="s">
        <v>299</v>
      </c>
      <c r="C149" s="42"/>
      <c r="D149" s="44" t="s">
        <v>298</v>
      </c>
      <c r="E149" s="44"/>
      <c r="F149" s="42" t="s">
        <v>459</v>
      </c>
      <c r="G149" s="42"/>
      <c r="H149" s="42"/>
      <c r="I149" s="43"/>
      <c r="J149" s="43"/>
      <c r="K149" s="43"/>
      <c r="L149" s="42"/>
      <c r="M149" s="42"/>
    </row>
    <row r="150" spans="1:13" ht="15.75" customHeight="1" outlineLevel="2">
      <c r="A150" s="45"/>
      <c r="B150" s="62"/>
      <c r="C150" s="42"/>
      <c r="D150" s="44" t="s">
        <v>458</v>
      </c>
      <c r="E150" s="44"/>
      <c r="F150" s="42" t="s">
        <v>451</v>
      </c>
      <c r="G150" s="42"/>
      <c r="H150" s="42"/>
      <c r="I150" s="43"/>
      <c r="J150" s="43"/>
      <c r="K150" s="43"/>
      <c r="L150" s="42"/>
      <c r="M150" s="42"/>
    </row>
    <row r="151" spans="1:13" ht="15.75" customHeight="1" outlineLevel="2">
      <c r="A151" s="45"/>
      <c r="B151" s="62"/>
      <c r="C151" s="42"/>
      <c r="D151" s="44" t="s">
        <v>297</v>
      </c>
      <c r="E151" s="44"/>
      <c r="F151" s="42" t="s">
        <v>451</v>
      </c>
      <c r="G151" s="42"/>
      <c r="H151" s="42"/>
      <c r="I151" s="43"/>
      <c r="J151" s="43"/>
      <c r="K151" s="43"/>
      <c r="L151" s="42"/>
      <c r="M151" s="42"/>
    </row>
    <row r="152" spans="1:13" ht="15.75" customHeight="1" outlineLevel="2">
      <c r="A152" s="45"/>
      <c r="B152" s="62"/>
      <c r="C152" s="42"/>
      <c r="D152" s="44" t="s">
        <v>457</v>
      </c>
      <c r="E152" s="44"/>
      <c r="F152" s="42" t="s">
        <v>456</v>
      </c>
      <c r="G152" s="42"/>
      <c r="H152" s="42"/>
      <c r="I152" s="43" t="s">
        <v>455</v>
      </c>
      <c r="J152" s="43"/>
      <c r="K152" s="43"/>
      <c r="L152" s="42"/>
      <c r="M152" s="42"/>
    </row>
    <row r="153" spans="1:13" ht="15.75" customHeight="1" outlineLevel="2">
      <c r="A153" s="45"/>
      <c r="B153" s="62"/>
      <c r="C153" s="42"/>
      <c r="D153" s="44" t="s">
        <v>296</v>
      </c>
      <c r="E153" s="44"/>
      <c r="F153" s="42" t="s">
        <v>295</v>
      </c>
      <c r="G153" s="42"/>
      <c r="H153" s="42"/>
      <c r="I153" s="43"/>
      <c r="J153" s="43"/>
      <c r="K153" s="43"/>
      <c r="L153" s="42"/>
      <c r="M153" s="42"/>
    </row>
    <row r="154" spans="1:13" ht="15.75" customHeight="1" outlineLevel="2">
      <c r="A154" s="45"/>
      <c r="B154" s="62"/>
      <c r="C154" s="42"/>
      <c r="D154" s="44" t="s">
        <v>149</v>
      </c>
      <c r="E154" s="44"/>
      <c r="F154" s="42" t="s">
        <v>454</v>
      </c>
      <c r="G154" s="42"/>
      <c r="H154" s="42"/>
      <c r="I154" s="43"/>
      <c r="J154" s="43"/>
      <c r="K154" s="43"/>
      <c r="L154" s="42"/>
      <c r="M154" s="42"/>
    </row>
    <row r="155" spans="1:13" ht="15.75" customHeight="1" outlineLevel="2">
      <c r="A155" s="45"/>
      <c r="B155" s="62"/>
      <c r="C155" s="42"/>
      <c r="D155" s="44" t="s">
        <v>453</v>
      </c>
      <c r="E155" s="44"/>
      <c r="F155" s="42" t="s">
        <v>17</v>
      </c>
      <c r="G155" s="42"/>
      <c r="H155" s="42"/>
      <c r="I155" s="43" t="s">
        <v>452</v>
      </c>
      <c r="J155" s="43"/>
      <c r="K155" s="43"/>
      <c r="L155" s="42"/>
      <c r="M155" s="42"/>
    </row>
    <row r="156" spans="1:13" ht="15.75" customHeight="1" outlineLevel="2">
      <c r="A156" s="45"/>
      <c r="B156" s="62"/>
      <c r="C156" s="42"/>
      <c r="D156" s="44" t="s">
        <v>294</v>
      </c>
      <c r="E156" s="44"/>
      <c r="F156" s="42" t="s">
        <v>451</v>
      </c>
      <c r="G156" s="42"/>
      <c r="H156" s="42"/>
      <c r="I156" s="43" t="s">
        <v>293</v>
      </c>
      <c r="J156" s="43"/>
      <c r="K156" s="43"/>
      <c r="L156" s="42"/>
      <c r="M156" s="42"/>
    </row>
    <row r="157" spans="1:13" ht="15.75" customHeight="1" outlineLevel="2">
      <c r="A157" s="45"/>
      <c r="B157" s="62"/>
      <c r="C157" s="42"/>
      <c r="D157" s="44" t="s">
        <v>450</v>
      </c>
      <c r="E157" s="44"/>
      <c r="F157" s="42" t="s">
        <v>262</v>
      </c>
      <c r="G157" s="42"/>
      <c r="H157" s="42"/>
      <c r="I157" s="43"/>
      <c r="J157" s="43"/>
      <c r="K157" s="43"/>
      <c r="L157" s="42"/>
      <c r="M157" s="42"/>
    </row>
    <row r="158" spans="1:13" ht="15.75" customHeight="1" outlineLevel="2">
      <c r="A158" s="45"/>
      <c r="B158" s="62"/>
      <c r="C158" s="42"/>
      <c r="D158" s="44" t="s">
        <v>449</v>
      </c>
      <c r="E158" s="44"/>
      <c r="F158" s="42" t="s">
        <v>262</v>
      </c>
      <c r="G158" s="42"/>
      <c r="H158" s="42"/>
      <c r="I158" s="43"/>
      <c r="J158" s="43"/>
      <c r="K158" s="43"/>
      <c r="L158" s="42"/>
      <c r="M158" s="42"/>
    </row>
    <row r="159" spans="1:13" ht="15.75" customHeight="1" outlineLevel="2">
      <c r="A159" s="45"/>
      <c r="B159" s="62"/>
      <c r="C159" s="42"/>
      <c r="D159" s="44" t="s">
        <v>292</v>
      </c>
      <c r="E159" s="44"/>
      <c r="F159" s="42" t="s">
        <v>17</v>
      </c>
      <c r="G159" s="42"/>
      <c r="H159" s="42"/>
      <c r="I159" s="43" t="s">
        <v>291</v>
      </c>
      <c r="J159" s="43"/>
      <c r="K159" s="43"/>
      <c r="L159" s="42"/>
      <c r="M159" s="42"/>
    </row>
    <row r="160" spans="1:13" ht="15.75" customHeight="1" outlineLevel="2">
      <c r="A160" s="45"/>
      <c r="B160" s="62"/>
      <c r="C160" s="42"/>
      <c r="D160" s="44" t="s">
        <v>290</v>
      </c>
      <c r="E160" s="44"/>
      <c r="F160" s="42" t="s">
        <v>17</v>
      </c>
      <c r="G160" s="42"/>
      <c r="H160" s="42"/>
      <c r="I160" s="43"/>
      <c r="J160" s="43"/>
      <c r="K160" s="43"/>
      <c r="L160" s="42"/>
      <c r="M160" s="42"/>
    </row>
    <row r="161" spans="1:13" ht="15.75" customHeight="1" outlineLevel="1">
      <c r="A161" s="45"/>
      <c r="B161" s="62" t="s">
        <v>112</v>
      </c>
      <c r="C161" s="42"/>
      <c r="D161" s="44"/>
      <c r="E161" s="44"/>
      <c r="F161" s="42"/>
      <c r="G161" s="42"/>
      <c r="H161" s="42"/>
      <c r="I161" s="43"/>
      <c r="J161" s="43"/>
      <c r="K161" s="43"/>
      <c r="L161" s="42"/>
      <c r="M161" s="42"/>
    </row>
    <row r="162" spans="1:13" ht="15.75" customHeight="1" outlineLevel="2">
      <c r="A162" s="45"/>
      <c r="B162" s="43" t="s">
        <v>289</v>
      </c>
      <c r="C162" s="42"/>
      <c r="D162" s="44" t="s">
        <v>288</v>
      </c>
      <c r="E162" s="44"/>
      <c r="F162" s="42" t="s">
        <v>287</v>
      </c>
      <c r="G162" s="42"/>
      <c r="H162" s="42"/>
      <c r="I162" s="43"/>
      <c r="J162" s="43"/>
      <c r="K162" s="43"/>
      <c r="L162" s="42"/>
      <c r="M162" s="42"/>
    </row>
    <row r="163" spans="1:13" ht="15.75" customHeight="1" outlineLevel="2">
      <c r="A163" s="45"/>
      <c r="B163" s="62"/>
      <c r="C163" s="42"/>
      <c r="D163" s="44" t="s">
        <v>448</v>
      </c>
      <c r="E163" s="44"/>
      <c r="F163" s="42" t="s">
        <v>287</v>
      </c>
      <c r="G163" s="42"/>
      <c r="H163" s="42"/>
      <c r="I163" s="43"/>
      <c r="J163" s="43"/>
      <c r="K163" s="43"/>
      <c r="L163" s="42"/>
      <c r="M163" s="42"/>
    </row>
    <row r="164" spans="1:13" ht="15.75" customHeight="1" outlineLevel="2">
      <c r="A164" s="45"/>
      <c r="B164" s="62"/>
      <c r="C164" s="42"/>
      <c r="D164" s="44" t="s">
        <v>286</v>
      </c>
      <c r="E164" s="44"/>
      <c r="F164" s="42" t="s">
        <v>287</v>
      </c>
      <c r="G164" s="42"/>
      <c r="H164" s="42"/>
      <c r="I164" s="43"/>
      <c r="J164" s="43"/>
      <c r="K164" s="43"/>
      <c r="L164" s="42" t="s">
        <v>285</v>
      </c>
      <c r="M164" s="42"/>
    </row>
    <row r="165" spans="1:13" ht="15.75" customHeight="1" outlineLevel="2">
      <c r="A165" s="45"/>
      <c r="B165" s="62"/>
      <c r="C165" s="42"/>
      <c r="D165" s="44" t="s">
        <v>113</v>
      </c>
      <c r="E165" s="44"/>
      <c r="F165" s="42" t="s">
        <v>283</v>
      </c>
      <c r="G165" s="42"/>
      <c r="H165" s="42"/>
      <c r="I165" s="43"/>
      <c r="J165" s="43"/>
      <c r="K165" s="43"/>
      <c r="L165" s="42"/>
      <c r="M165" s="42"/>
    </row>
    <row r="166" spans="1:13" ht="15.75" customHeight="1" outlineLevel="2">
      <c r="A166" s="45"/>
      <c r="B166" s="62"/>
      <c r="C166" s="42"/>
      <c r="D166" s="44" t="s">
        <v>447</v>
      </c>
      <c r="E166" s="44"/>
      <c r="F166" s="42" t="s">
        <v>283</v>
      </c>
      <c r="G166" s="42"/>
      <c r="H166" s="42"/>
      <c r="I166" s="43"/>
      <c r="J166" s="43"/>
      <c r="K166" s="43"/>
      <c r="L166" s="42"/>
      <c r="M166" s="42"/>
    </row>
    <row r="167" spans="1:13" ht="15.75" customHeight="1" outlineLevel="2">
      <c r="A167" s="45"/>
      <c r="B167" s="62"/>
      <c r="C167" s="42"/>
      <c r="D167" s="44" t="s">
        <v>284</v>
      </c>
      <c r="E167" s="44"/>
      <c r="F167" s="42" t="s">
        <v>283</v>
      </c>
      <c r="G167" s="42"/>
      <c r="H167" s="42"/>
      <c r="I167" s="43"/>
      <c r="J167" s="43"/>
      <c r="K167" s="43"/>
      <c r="L167" s="42"/>
      <c r="M167" s="42"/>
    </row>
    <row r="168" spans="1:13" ht="15.75" customHeight="1" outlineLevel="2">
      <c r="A168" s="45"/>
      <c r="B168" s="62"/>
      <c r="C168" s="42"/>
      <c r="D168" s="44" t="s">
        <v>446</v>
      </c>
      <c r="E168" s="44"/>
      <c r="F168" s="42" t="s">
        <v>445</v>
      </c>
      <c r="G168" s="42"/>
      <c r="H168" s="42"/>
      <c r="I168" s="43"/>
      <c r="J168" s="43"/>
      <c r="K168" s="43"/>
      <c r="L168" s="42"/>
      <c r="M168" s="42"/>
    </row>
    <row r="169" spans="1:13" ht="15.75" customHeight="1" outlineLevel="2">
      <c r="A169" s="45"/>
      <c r="B169" s="62"/>
      <c r="C169" s="42"/>
      <c r="D169" s="44" t="s">
        <v>282</v>
      </c>
      <c r="E169" s="44"/>
      <c r="F169" s="42" t="s">
        <v>281</v>
      </c>
      <c r="G169" s="42"/>
      <c r="H169" s="42"/>
      <c r="I169" s="43"/>
      <c r="J169" s="43"/>
      <c r="K169" s="43"/>
      <c r="L169" s="42"/>
      <c r="M169" s="42"/>
    </row>
    <row r="170" spans="1:13" ht="15.75" customHeight="1" outlineLevel="2">
      <c r="A170" s="45"/>
      <c r="B170" s="62"/>
      <c r="C170" s="42"/>
      <c r="D170" s="44" t="s">
        <v>280</v>
      </c>
      <c r="E170" s="44"/>
      <c r="F170" s="42" t="s">
        <v>287</v>
      </c>
      <c r="G170" s="42"/>
      <c r="H170" s="42"/>
      <c r="I170" s="43"/>
      <c r="J170" s="43"/>
      <c r="K170" s="43"/>
      <c r="L170" s="42"/>
      <c r="M170" s="42"/>
    </row>
    <row r="171" spans="1:13" ht="15.75" customHeight="1" outlineLevel="2">
      <c r="A171" s="45"/>
      <c r="B171" s="62"/>
      <c r="C171" s="42"/>
      <c r="D171" s="44" t="s">
        <v>279</v>
      </c>
      <c r="E171" s="44"/>
      <c r="F171" s="42" t="s">
        <v>287</v>
      </c>
      <c r="G171" s="42"/>
      <c r="H171" s="42"/>
      <c r="I171" s="43"/>
      <c r="J171" s="43"/>
      <c r="K171" s="43"/>
      <c r="L171" s="42"/>
      <c r="M171" s="42"/>
    </row>
    <row r="172" spans="1:13" ht="15.75" customHeight="1" outlineLevel="2">
      <c r="A172" s="45"/>
      <c r="B172" s="62"/>
      <c r="C172" s="42"/>
      <c r="D172" s="44" t="s">
        <v>444</v>
      </c>
      <c r="E172" s="44"/>
      <c r="F172" s="42" t="s">
        <v>287</v>
      </c>
      <c r="G172" s="42"/>
      <c r="H172" s="42"/>
      <c r="I172" s="43"/>
      <c r="J172" s="43"/>
      <c r="K172" s="43"/>
      <c r="L172" s="42"/>
      <c r="M172" s="42"/>
    </row>
    <row r="173" spans="1:13" ht="15.75" customHeight="1" outlineLevel="2">
      <c r="A173" s="45"/>
      <c r="B173" s="62"/>
      <c r="C173" s="42"/>
      <c r="D173" s="44" t="s">
        <v>443</v>
      </c>
      <c r="E173" s="44"/>
      <c r="F173" s="42" t="s">
        <v>287</v>
      </c>
      <c r="G173" s="42"/>
      <c r="H173" s="42"/>
      <c r="I173" s="43"/>
      <c r="J173" s="43"/>
      <c r="K173" s="43"/>
      <c r="L173" s="42"/>
      <c r="M173" s="42"/>
    </row>
    <row r="174" spans="1:13" ht="15.75" customHeight="1" outlineLevel="2">
      <c r="A174" s="45"/>
      <c r="B174" s="62"/>
      <c r="C174" s="42"/>
      <c r="D174" s="44" t="s">
        <v>442</v>
      </c>
      <c r="E174" s="44"/>
      <c r="F174" s="42" t="s">
        <v>287</v>
      </c>
      <c r="G174" s="42"/>
      <c r="H174" s="42"/>
      <c r="I174" s="43"/>
      <c r="J174" s="43"/>
      <c r="K174" s="43"/>
      <c r="L174" s="42"/>
      <c r="M174" s="42"/>
    </row>
    <row r="175" spans="1:13" ht="15.75" customHeight="1" outlineLevel="1">
      <c r="A175" s="45"/>
      <c r="B175" s="62" t="s">
        <v>123</v>
      </c>
      <c r="C175" s="42"/>
      <c r="D175" s="44"/>
      <c r="E175" s="44"/>
      <c r="F175" s="42"/>
      <c r="G175" s="42"/>
      <c r="H175" s="42"/>
      <c r="I175" s="43"/>
      <c r="J175" s="43"/>
      <c r="K175" s="43"/>
      <c r="L175" s="42"/>
      <c r="M175" s="42"/>
    </row>
    <row r="176" spans="1:13" ht="15.75" customHeight="1" outlineLevel="2">
      <c r="A176" s="45"/>
      <c r="B176" s="43" t="s">
        <v>441</v>
      </c>
      <c r="C176" s="42"/>
      <c r="D176" s="44" t="s">
        <v>440</v>
      </c>
      <c r="E176" s="44"/>
      <c r="F176" s="42" t="s">
        <v>439</v>
      </c>
      <c r="G176" s="42"/>
      <c r="H176" s="42"/>
      <c r="I176" s="43"/>
      <c r="J176" s="43"/>
      <c r="K176" s="43"/>
      <c r="L176" s="42"/>
      <c r="M176" s="42"/>
    </row>
    <row r="177" spans="1:13" ht="15.75" customHeight="1" outlineLevel="2">
      <c r="A177" s="45"/>
      <c r="B177" s="62"/>
      <c r="C177" s="42"/>
      <c r="D177" s="66" t="s">
        <v>438</v>
      </c>
      <c r="E177" s="66"/>
      <c r="F177" s="42" t="s">
        <v>437</v>
      </c>
      <c r="G177" s="42"/>
      <c r="H177" s="42"/>
      <c r="I177" s="43"/>
      <c r="J177" s="43"/>
      <c r="K177" s="43"/>
      <c r="L177" s="42"/>
      <c r="M177" s="42"/>
    </row>
    <row r="178" spans="1:13" ht="15.75" customHeight="1" outlineLevel="2">
      <c r="A178" s="45"/>
      <c r="B178" s="62"/>
      <c r="C178" s="42"/>
      <c r="D178" s="44" t="s">
        <v>436</v>
      </c>
      <c r="E178" s="44"/>
      <c r="F178" s="42" t="s">
        <v>433</v>
      </c>
      <c r="G178" s="42"/>
      <c r="H178" s="42"/>
      <c r="I178" s="43"/>
      <c r="J178" s="43"/>
      <c r="K178" s="43"/>
      <c r="L178" s="42"/>
      <c r="M178" s="42"/>
    </row>
    <row r="179" spans="1:13" ht="15.75" customHeight="1" outlineLevel="2">
      <c r="A179" s="45"/>
      <c r="B179" s="62"/>
      <c r="C179" s="42"/>
      <c r="D179" s="44" t="s">
        <v>126</v>
      </c>
      <c r="E179" s="44"/>
      <c r="F179" s="42" t="s">
        <v>127</v>
      </c>
      <c r="G179" s="42"/>
      <c r="H179" s="42"/>
      <c r="I179" s="43"/>
      <c r="J179" s="43"/>
      <c r="K179" s="43"/>
      <c r="L179" s="42"/>
      <c r="M179" s="42"/>
    </row>
    <row r="180" spans="1:13" ht="15.75" customHeight="1" outlineLevel="2">
      <c r="A180" s="45"/>
      <c r="B180" s="62"/>
      <c r="C180" s="42"/>
      <c r="D180" s="44" t="s">
        <v>435</v>
      </c>
      <c r="E180" s="44"/>
      <c r="F180" s="42" t="s">
        <v>127</v>
      </c>
      <c r="G180" s="42"/>
      <c r="H180" s="42"/>
      <c r="I180" s="43"/>
      <c r="J180" s="43"/>
      <c r="K180" s="43"/>
      <c r="L180" s="42"/>
      <c r="M180" s="42"/>
    </row>
    <row r="181" spans="1:13" ht="15.75" customHeight="1" outlineLevel="2">
      <c r="A181" s="45"/>
      <c r="B181" s="62"/>
      <c r="C181" s="42"/>
      <c r="D181" s="44" t="s">
        <v>434</v>
      </c>
      <c r="E181" s="44"/>
      <c r="F181" s="42" t="s">
        <v>127</v>
      </c>
      <c r="G181" s="42"/>
      <c r="H181" s="42"/>
      <c r="I181" s="43"/>
      <c r="J181" s="43"/>
      <c r="K181" s="43"/>
      <c r="L181" s="42"/>
      <c r="M181" s="42"/>
    </row>
    <row r="182" spans="1:13" ht="15.75" customHeight="1" outlineLevel="2">
      <c r="A182" s="45"/>
      <c r="B182" s="62"/>
      <c r="C182" s="42"/>
      <c r="D182" s="44" t="s">
        <v>130</v>
      </c>
      <c r="E182" s="44"/>
      <c r="F182" s="42" t="s">
        <v>433</v>
      </c>
      <c r="G182" s="42"/>
      <c r="H182" s="42"/>
      <c r="I182" s="43"/>
      <c r="J182" s="43"/>
      <c r="K182" s="43"/>
      <c r="L182" s="42"/>
      <c r="M182" s="42"/>
    </row>
    <row r="183" spans="1:13" ht="15.75" customHeight="1" outlineLevel="2">
      <c r="A183" s="45"/>
      <c r="B183" s="62"/>
      <c r="C183" s="42"/>
      <c r="D183" s="44" t="s">
        <v>132</v>
      </c>
      <c r="E183" s="44"/>
      <c r="F183" s="42" t="s">
        <v>432</v>
      </c>
      <c r="G183" s="42"/>
      <c r="H183" s="42"/>
      <c r="I183" s="43"/>
      <c r="J183" s="43"/>
      <c r="K183" s="43"/>
      <c r="L183" s="42"/>
      <c r="M183" s="42"/>
    </row>
    <row r="184" spans="1:13" ht="15.75" customHeight="1" outlineLevel="1">
      <c r="A184" s="45"/>
      <c r="B184" s="62" t="s">
        <v>134</v>
      </c>
      <c r="C184" s="42"/>
      <c r="D184" s="44"/>
      <c r="E184" s="44"/>
      <c r="F184" s="42"/>
      <c r="G184" s="42"/>
      <c r="H184" s="42"/>
      <c r="I184" s="43"/>
      <c r="J184" s="43"/>
      <c r="K184" s="43"/>
      <c r="L184" s="42"/>
      <c r="M184" s="42"/>
    </row>
    <row r="185" spans="1:13" ht="15.75" customHeight="1" outlineLevel="2">
      <c r="A185" s="45"/>
      <c r="B185" s="43" t="s">
        <v>431</v>
      </c>
      <c r="C185" s="42"/>
      <c r="D185" s="44" t="s">
        <v>135</v>
      </c>
      <c r="E185" s="44"/>
      <c r="F185" s="42" t="s">
        <v>430</v>
      </c>
      <c r="G185" s="42"/>
      <c r="H185" s="42"/>
      <c r="I185" s="65" t="s">
        <v>429</v>
      </c>
      <c r="J185" s="65"/>
      <c r="K185" s="43"/>
      <c r="L185" s="42"/>
      <c r="M185" s="42"/>
    </row>
    <row r="186" spans="1:13" ht="15.75" customHeight="1" outlineLevel="2">
      <c r="A186" s="45"/>
      <c r="B186" s="62"/>
      <c r="C186" s="42"/>
      <c r="D186" s="44" t="s">
        <v>428</v>
      </c>
      <c r="E186" s="44"/>
      <c r="F186" s="42" t="s">
        <v>17</v>
      </c>
      <c r="G186" s="42"/>
      <c r="H186" s="42"/>
      <c r="I186" s="43"/>
      <c r="J186" s="43"/>
      <c r="K186" s="43"/>
      <c r="L186" s="42"/>
      <c r="M186" s="42"/>
    </row>
    <row r="187" spans="1:13" ht="15.75" customHeight="1" outlineLevel="2">
      <c r="A187" s="45"/>
      <c r="B187" s="62"/>
      <c r="C187" s="42"/>
      <c r="D187" s="44" t="s">
        <v>427</v>
      </c>
      <c r="E187" s="44"/>
      <c r="F187" s="42" t="s">
        <v>17</v>
      </c>
      <c r="G187" s="42"/>
      <c r="H187" s="42"/>
      <c r="I187" s="43" t="s">
        <v>426</v>
      </c>
      <c r="J187" s="43"/>
      <c r="K187" s="43"/>
      <c r="L187" s="42"/>
      <c r="M187" s="42"/>
    </row>
    <row r="188" spans="1:13" ht="15.75" customHeight="1" outlineLevel="1">
      <c r="A188" s="45"/>
      <c r="B188" s="62" t="s">
        <v>139</v>
      </c>
      <c r="C188" s="42"/>
      <c r="D188" s="44"/>
      <c r="E188" s="44"/>
      <c r="F188" s="42"/>
      <c r="G188" s="42"/>
      <c r="H188" s="42"/>
      <c r="I188" s="43"/>
      <c r="J188" s="43"/>
      <c r="K188" s="43"/>
      <c r="L188" s="42"/>
      <c r="M188" s="42"/>
    </row>
    <row r="189" spans="1:13" ht="15.75" customHeight="1" outlineLevel="2">
      <c r="A189" s="45"/>
      <c r="B189" s="43" t="s">
        <v>425</v>
      </c>
      <c r="C189" s="42"/>
      <c r="D189" s="44" t="s">
        <v>140</v>
      </c>
      <c r="E189" s="44"/>
      <c r="F189" s="42" t="s">
        <v>261</v>
      </c>
      <c r="G189" s="42"/>
      <c r="H189" s="42"/>
      <c r="I189" s="43"/>
      <c r="J189" s="43"/>
      <c r="K189" s="43"/>
      <c r="L189" s="42"/>
      <c r="M189" s="42"/>
    </row>
    <row r="190" spans="1:13" ht="15.75" customHeight="1" outlineLevel="2">
      <c r="A190" s="45"/>
      <c r="B190" s="62"/>
      <c r="C190" s="42"/>
      <c r="D190" s="44" t="s">
        <v>424</v>
      </c>
      <c r="E190" s="44"/>
      <c r="F190" s="42" t="s">
        <v>17</v>
      </c>
      <c r="G190" s="42"/>
      <c r="H190" s="42"/>
      <c r="I190" s="43" t="s">
        <v>423</v>
      </c>
      <c r="J190" s="43"/>
      <c r="K190" s="43"/>
      <c r="L190" s="42"/>
      <c r="M190" s="42"/>
    </row>
    <row r="191" spans="1:13" ht="15.75" customHeight="1" outlineLevel="2">
      <c r="A191" s="45"/>
      <c r="B191" s="62"/>
      <c r="C191" s="42"/>
      <c r="D191" s="44" t="s">
        <v>422</v>
      </c>
      <c r="E191" s="44"/>
      <c r="F191" s="42" t="s">
        <v>17</v>
      </c>
      <c r="G191" s="42"/>
      <c r="H191" s="42"/>
      <c r="I191" s="43"/>
      <c r="J191" s="43"/>
      <c r="K191" s="43"/>
      <c r="L191" s="42"/>
      <c r="M191" s="42"/>
    </row>
    <row r="192" spans="1:13" ht="15.75" customHeight="1" outlineLevel="2">
      <c r="A192" s="45"/>
      <c r="B192" s="62"/>
      <c r="C192" s="69"/>
      <c r="D192" s="44" t="s">
        <v>275</v>
      </c>
      <c r="E192" s="44"/>
      <c r="F192" s="42" t="s">
        <v>262</v>
      </c>
      <c r="G192" s="42"/>
      <c r="H192" s="42"/>
      <c r="I192" s="43"/>
      <c r="J192" s="43"/>
      <c r="K192" s="43"/>
      <c r="L192" s="42"/>
      <c r="M192" s="42"/>
    </row>
    <row r="193" spans="1:13" ht="15.75" customHeight="1" outlineLevel="2">
      <c r="A193" s="45"/>
      <c r="B193" s="62"/>
      <c r="C193" s="42"/>
      <c r="D193" s="44" t="s">
        <v>274</v>
      </c>
      <c r="E193" s="44"/>
      <c r="F193" s="42" t="s">
        <v>17</v>
      </c>
      <c r="G193" s="42"/>
      <c r="H193" s="42"/>
      <c r="I193" s="43"/>
      <c r="J193" s="43"/>
      <c r="K193" s="43"/>
      <c r="L193" s="42"/>
      <c r="M193" s="42"/>
    </row>
    <row r="194" spans="1:13" ht="15.75" customHeight="1" outlineLevel="2">
      <c r="A194" s="45"/>
      <c r="B194" s="62"/>
      <c r="C194" s="42"/>
      <c r="D194" s="44" t="s">
        <v>273</v>
      </c>
      <c r="E194" s="44"/>
      <c r="F194" s="42" t="s">
        <v>272</v>
      </c>
      <c r="G194" s="42"/>
      <c r="H194" s="42"/>
      <c r="I194" s="43"/>
      <c r="J194" s="43"/>
      <c r="K194" s="43"/>
      <c r="L194" s="42"/>
      <c r="M194" s="42"/>
    </row>
    <row r="195" spans="1:13" ht="15.75" customHeight="1" outlineLevel="2">
      <c r="A195" s="45"/>
      <c r="B195" s="62"/>
      <c r="C195" s="42"/>
      <c r="D195" s="66" t="s">
        <v>271</v>
      </c>
      <c r="E195" s="66"/>
      <c r="F195" s="65" t="s">
        <v>270</v>
      </c>
      <c r="G195" s="65"/>
      <c r="H195" s="65"/>
      <c r="I195" s="43"/>
      <c r="J195" s="43"/>
      <c r="K195" s="43"/>
      <c r="L195" s="42"/>
      <c r="M195" s="42"/>
    </row>
    <row r="196" spans="1:13" ht="15.75" customHeight="1" outlineLevel="2">
      <c r="A196" s="45"/>
      <c r="B196" s="62"/>
      <c r="C196" s="42"/>
      <c r="D196" s="66" t="s">
        <v>269</v>
      </c>
      <c r="E196" s="66"/>
      <c r="F196" s="65" t="s">
        <v>268</v>
      </c>
      <c r="G196" s="65"/>
      <c r="H196" s="65"/>
      <c r="I196" s="43"/>
      <c r="J196" s="43"/>
      <c r="K196" s="43"/>
      <c r="L196" s="42"/>
      <c r="M196" s="42"/>
    </row>
    <row r="197" spans="1:13" ht="15.75" customHeight="1" outlineLevel="2">
      <c r="A197" s="45"/>
      <c r="B197" s="62"/>
      <c r="C197" s="42"/>
      <c r="D197" s="66" t="s">
        <v>267</v>
      </c>
      <c r="E197" s="66"/>
      <c r="F197" s="65" t="s">
        <v>17</v>
      </c>
      <c r="G197" s="65"/>
      <c r="H197" s="65"/>
      <c r="I197" s="43"/>
      <c r="J197" s="43"/>
      <c r="K197" s="43"/>
      <c r="L197" s="42"/>
      <c r="M197" s="42"/>
    </row>
    <row r="198" spans="1:13" ht="15.75" customHeight="1" outlineLevel="2">
      <c r="A198" s="45"/>
      <c r="B198" s="62"/>
      <c r="C198" s="42"/>
      <c r="D198" s="44" t="s">
        <v>266</v>
      </c>
      <c r="E198" s="44"/>
      <c r="F198" s="42" t="s">
        <v>17</v>
      </c>
      <c r="G198" s="42"/>
      <c r="H198" s="42"/>
      <c r="I198" s="43"/>
      <c r="J198" s="43"/>
      <c r="K198" s="43"/>
      <c r="L198" s="42"/>
      <c r="M198" s="42"/>
    </row>
    <row r="199" spans="1:13" ht="15.75" customHeight="1" outlineLevel="2">
      <c r="A199" s="45"/>
      <c r="B199" s="62"/>
      <c r="C199" s="42"/>
      <c r="D199" s="44" t="s">
        <v>421</v>
      </c>
      <c r="E199" s="44"/>
      <c r="F199" s="42" t="s">
        <v>17</v>
      </c>
      <c r="G199" s="42"/>
      <c r="H199" s="42"/>
      <c r="I199" s="43"/>
      <c r="J199" s="43"/>
      <c r="K199" s="43"/>
      <c r="L199" s="42"/>
      <c r="M199" s="42"/>
    </row>
    <row r="200" spans="1:13" ht="15.75" customHeight="1" outlineLevel="2">
      <c r="A200" s="45"/>
      <c r="B200" s="62"/>
      <c r="C200" s="42"/>
      <c r="D200" s="44" t="s">
        <v>265</v>
      </c>
      <c r="E200" s="44"/>
      <c r="F200" s="42" t="s">
        <v>17</v>
      </c>
      <c r="G200" s="42"/>
      <c r="H200" s="42"/>
      <c r="I200" s="43"/>
      <c r="J200" s="43"/>
      <c r="K200" s="43"/>
      <c r="L200" s="42" t="s">
        <v>264</v>
      </c>
      <c r="M200" s="42"/>
    </row>
    <row r="201" spans="1:13" ht="15.75" customHeight="1" outlineLevel="1">
      <c r="A201" s="45"/>
      <c r="B201" s="62" t="s">
        <v>145</v>
      </c>
      <c r="C201" s="42"/>
      <c r="D201" s="44"/>
      <c r="E201" s="44"/>
      <c r="F201" s="42"/>
      <c r="G201" s="42"/>
      <c r="H201" s="42"/>
      <c r="I201" s="43"/>
      <c r="J201" s="43"/>
      <c r="K201" s="43"/>
      <c r="L201" s="42"/>
      <c r="M201" s="42"/>
    </row>
    <row r="202" spans="1:13" ht="15.75" customHeight="1" outlineLevel="2">
      <c r="A202" s="45"/>
      <c r="B202" s="43" t="s">
        <v>260</v>
      </c>
      <c r="C202" s="42"/>
      <c r="D202" s="44" t="s">
        <v>420</v>
      </c>
      <c r="E202" s="44"/>
      <c r="F202" s="42" t="s">
        <v>17</v>
      </c>
      <c r="G202" s="42"/>
      <c r="H202" s="42"/>
      <c r="I202" s="43" t="s">
        <v>419</v>
      </c>
      <c r="J202" s="43"/>
      <c r="K202" s="43"/>
      <c r="L202" s="42"/>
      <c r="M202" s="42"/>
    </row>
    <row r="203" spans="1:13" ht="15.75" customHeight="1" outlineLevel="2">
      <c r="A203" s="45"/>
      <c r="B203" s="62"/>
      <c r="C203" s="42"/>
      <c r="D203" s="44" t="s">
        <v>418</v>
      </c>
      <c r="E203" s="44"/>
      <c r="F203" s="42" t="s">
        <v>259</v>
      </c>
      <c r="G203" s="42"/>
      <c r="H203" s="42"/>
      <c r="I203" s="43"/>
      <c r="J203" s="43"/>
      <c r="K203" s="43"/>
      <c r="L203" s="42"/>
      <c r="M203" s="42"/>
    </row>
    <row r="204" spans="1:13" ht="15.75" customHeight="1" outlineLevel="2">
      <c r="A204" s="45"/>
      <c r="B204" s="62"/>
      <c r="C204" s="42"/>
      <c r="D204" s="44" t="s">
        <v>417</v>
      </c>
      <c r="E204" s="44"/>
      <c r="F204" s="42" t="s">
        <v>17</v>
      </c>
      <c r="G204" s="42"/>
      <c r="H204" s="42"/>
      <c r="I204" s="43" t="s">
        <v>416</v>
      </c>
      <c r="J204" s="43"/>
      <c r="K204" s="43"/>
      <c r="L204" s="42"/>
      <c r="M204" s="42"/>
    </row>
    <row r="205" spans="1:13" ht="15.75" customHeight="1" outlineLevel="2">
      <c r="A205" s="45"/>
      <c r="B205" s="62"/>
      <c r="C205" s="42"/>
      <c r="D205" s="44" t="s">
        <v>258</v>
      </c>
      <c r="E205" s="44"/>
      <c r="F205" s="42" t="s">
        <v>92</v>
      </c>
      <c r="G205" s="42"/>
      <c r="H205" s="42"/>
      <c r="I205" s="43" t="s">
        <v>257</v>
      </c>
      <c r="J205" s="43"/>
      <c r="K205" s="43"/>
      <c r="L205" s="42"/>
      <c r="M205" s="42"/>
    </row>
    <row r="206" spans="1:13" ht="15.75" customHeight="1" outlineLevel="2">
      <c r="A206" s="45"/>
      <c r="B206" s="62"/>
      <c r="C206" s="42"/>
      <c r="D206" s="44" t="s">
        <v>256</v>
      </c>
      <c r="E206" s="44"/>
      <c r="F206" s="42" t="s">
        <v>255</v>
      </c>
      <c r="G206" s="42"/>
      <c r="H206" s="42"/>
      <c r="I206" s="43" t="s">
        <v>254</v>
      </c>
      <c r="J206" s="43"/>
      <c r="K206" s="43"/>
      <c r="L206" s="42"/>
      <c r="M206" s="42"/>
    </row>
    <row r="207" spans="1:13" ht="15.75" customHeight="1" outlineLevel="2">
      <c r="A207" s="45"/>
      <c r="B207" s="62"/>
      <c r="C207" s="42"/>
      <c r="D207" s="44" t="s">
        <v>253</v>
      </c>
      <c r="E207" s="44"/>
      <c r="F207" s="42" t="s">
        <v>17</v>
      </c>
      <c r="G207" s="42"/>
      <c r="H207" s="42"/>
      <c r="I207" s="43" t="s">
        <v>252</v>
      </c>
      <c r="J207" s="43"/>
      <c r="K207" s="43"/>
      <c r="L207" s="42"/>
      <c r="M207" s="42"/>
    </row>
    <row r="208" spans="1:13" ht="15.75" customHeight="1" outlineLevel="1">
      <c r="A208" s="45"/>
      <c r="B208" s="62" t="s">
        <v>151</v>
      </c>
      <c r="C208" s="42"/>
      <c r="D208" s="44"/>
      <c r="E208" s="44"/>
      <c r="F208" s="42"/>
      <c r="G208" s="42"/>
      <c r="H208" s="42"/>
      <c r="I208" s="43"/>
      <c r="J208" s="43"/>
      <c r="K208" s="43"/>
      <c r="L208" s="42"/>
      <c r="M208" s="42"/>
    </row>
    <row r="209" spans="1:13" ht="15.75" customHeight="1" outlineLevel="2">
      <c r="A209" s="45"/>
      <c r="B209" s="43" t="s">
        <v>415</v>
      </c>
      <c r="C209" s="42"/>
      <c r="D209" s="44" t="s">
        <v>414</v>
      </c>
      <c r="E209" s="44"/>
      <c r="F209" s="42" t="s">
        <v>413</v>
      </c>
      <c r="G209" s="42"/>
      <c r="H209" s="42"/>
      <c r="I209" s="43" t="s">
        <v>412</v>
      </c>
      <c r="J209" s="43"/>
      <c r="K209" s="43"/>
      <c r="L209" s="42"/>
      <c r="M209" s="42"/>
    </row>
    <row r="210" spans="1:13" ht="15.75" customHeight="1" outlineLevel="2">
      <c r="A210" s="45"/>
      <c r="B210" s="62"/>
      <c r="C210" s="42"/>
      <c r="D210" s="44" t="s">
        <v>154</v>
      </c>
      <c r="E210" s="44"/>
      <c r="F210" s="42" t="s">
        <v>17</v>
      </c>
      <c r="G210" s="42"/>
      <c r="H210" s="42"/>
      <c r="I210" s="43" t="s">
        <v>411</v>
      </c>
      <c r="J210" s="43"/>
      <c r="K210" s="43"/>
      <c r="L210" s="42"/>
      <c r="M210" s="42"/>
    </row>
    <row r="211" spans="1:13" ht="15.75" customHeight="1" outlineLevel="2">
      <c r="A211" s="45"/>
      <c r="B211" s="62"/>
      <c r="C211" s="42"/>
      <c r="D211" s="44" t="s">
        <v>157</v>
      </c>
      <c r="E211" s="44"/>
      <c r="F211" s="42" t="s">
        <v>17</v>
      </c>
      <c r="G211" s="42"/>
      <c r="H211" s="42"/>
      <c r="I211" s="43"/>
      <c r="J211" s="43"/>
      <c r="K211" s="43"/>
      <c r="L211" s="42"/>
      <c r="M211" s="42"/>
    </row>
    <row r="212" spans="1:13" ht="15.75" customHeight="1" outlineLevel="2">
      <c r="A212" s="45"/>
      <c r="B212" s="62"/>
      <c r="C212" s="42"/>
      <c r="D212" s="44" t="s">
        <v>159</v>
      </c>
      <c r="E212" s="44"/>
      <c r="F212" s="42" t="s">
        <v>17</v>
      </c>
      <c r="G212" s="42"/>
      <c r="H212" s="42"/>
      <c r="I212" s="43"/>
      <c r="J212" s="43"/>
      <c r="K212" s="43"/>
      <c r="L212" s="42"/>
      <c r="M212" s="42"/>
    </row>
    <row r="213" spans="1:13" ht="15.75" customHeight="1" outlineLevel="1">
      <c r="A213" s="45"/>
      <c r="B213" s="62" t="s">
        <v>160</v>
      </c>
      <c r="C213" s="42"/>
      <c r="D213" s="44"/>
      <c r="E213" s="44"/>
      <c r="F213" s="42"/>
      <c r="G213" s="42"/>
      <c r="H213" s="42"/>
      <c r="I213" s="43"/>
      <c r="J213" s="43"/>
      <c r="K213" s="43"/>
      <c r="L213" s="42"/>
      <c r="M213" s="42"/>
    </row>
    <row r="214" spans="1:13" ht="15.75" customHeight="1" outlineLevel="2">
      <c r="A214" s="45"/>
      <c r="B214" s="43" t="s">
        <v>251</v>
      </c>
      <c r="C214" s="42"/>
      <c r="D214" s="44" t="s">
        <v>250</v>
      </c>
      <c r="E214" s="44"/>
      <c r="F214" s="42" t="s">
        <v>249</v>
      </c>
      <c r="G214" s="42"/>
      <c r="H214" s="42"/>
      <c r="I214" s="43"/>
      <c r="J214" s="43"/>
      <c r="K214" s="43"/>
      <c r="L214" s="42"/>
      <c r="M214" s="42"/>
    </row>
    <row r="215" spans="1:13" ht="15.75" customHeight="1" outlineLevel="2">
      <c r="A215" s="45"/>
      <c r="B215" s="62"/>
      <c r="C215" s="42"/>
      <c r="D215" s="44" t="s">
        <v>410</v>
      </c>
      <c r="E215" s="44"/>
      <c r="F215" s="42" t="s">
        <v>92</v>
      </c>
      <c r="G215" s="42"/>
      <c r="H215" s="42"/>
      <c r="I215" s="43" t="s">
        <v>409</v>
      </c>
      <c r="J215" s="43"/>
      <c r="K215" s="42" t="s">
        <v>408</v>
      </c>
      <c r="L215" s="42"/>
      <c r="M215" s="42"/>
    </row>
    <row r="216" spans="1:13" ht="15.75" customHeight="1" outlineLevel="2">
      <c r="A216" s="45"/>
      <c r="B216" s="62"/>
      <c r="C216" s="42"/>
      <c r="D216" s="44" t="s">
        <v>166</v>
      </c>
      <c r="E216" s="44"/>
      <c r="F216" s="42" t="s">
        <v>17</v>
      </c>
      <c r="G216" s="42"/>
      <c r="H216" s="42"/>
      <c r="I216" s="43" t="s">
        <v>407</v>
      </c>
      <c r="J216" s="43"/>
      <c r="K216" s="43"/>
      <c r="L216" s="42"/>
      <c r="M216" s="42"/>
    </row>
    <row r="217" spans="1:13" ht="15.75" customHeight="1" outlineLevel="2">
      <c r="A217" s="45"/>
      <c r="B217" s="62"/>
      <c r="C217" s="42"/>
      <c r="D217" s="44" t="s">
        <v>161</v>
      </c>
      <c r="E217" s="44"/>
      <c r="F217" s="42" t="s">
        <v>17</v>
      </c>
      <c r="G217" s="42"/>
      <c r="H217" s="42"/>
      <c r="I217" s="43" t="s">
        <v>407</v>
      </c>
      <c r="J217" s="43"/>
      <c r="K217" s="43"/>
      <c r="L217" s="42"/>
      <c r="M217" s="42"/>
    </row>
    <row r="218" spans="1:13" ht="15.75" customHeight="1" outlineLevel="2">
      <c r="A218" s="45"/>
      <c r="B218" s="62"/>
      <c r="C218" s="42"/>
      <c r="D218" s="44" t="s">
        <v>406</v>
      </c>
      <c r="E218" s="44"/>
      <c r="F218" s="42" t="s">
        <v>92</v>
      </c>
      <c r="G218" s="42"/>
      <c r="H218" s="42"/>
      <c r="I218" s="43"/>
      <c r="J218" s="43"/>
      <c r="K218" s="43"/>
      <c r="L218" s="42"/>
      <c r="M218" s="42"/>
    </row>
    <row r="219" spans="1:13" ht="15.75" customHeight="1" outlineLevel="2">
      <c r="A219" s="45"/>
      <c r="B219" s="62"/>
      <c r="C219" s="42"/>
      <c r="D219" s="44" t="s">
        <v>405</v>
      </c>
      <c r="E219" s="44"/>
      <c r="F219" s="42" t="s">
        <v>17</v>
      </c>
      <c r="G219" s="42"/>
      <c r="H219" s="42"/>
      <c r="I219" s="42" t="s">
        <v>404</v>
      </c>
      <c r="J219" s="42"/>
      <c r="K219" s="42"/>
      <c r="L219" s="42"/>
      <c r="M219" s="42"/>
    </row>
    <row r="220" spans="1:13" ht="15.75" customHeight="1" outlineLevel="2">
      <c r="A220" s="45"/>
      <c r="B220" s="62"/>
      <c r="C220" s="42"/>
      <c r="D220" s="44" t="s">
        <v>403</v>
      </c>
      <c r="E220" s="44"/>
      <c r="F220" s="42" t="s">
        <v>17</v>
      </c>
      <c r="G220" s="42"/>
      <c r="H220" s="42"/>
      <c r="I220" s="42"/>
      <c r="J220" s="42"/>
      <c r="K220" s="42"/>
      <c r="L220" s="42"/>
      <c r="M220" s="42"/>
    </row>
    <row r="221" spans="1:13" ht="15.75" customHeight="1" outlineLevel="2">
      <c r="A221" s="45"/>
      <c r="B221" s="62"/>
      <c r="C221" s="42"/>
      <c r="D221" s="44" t="s">
        <v>402</v>
      </c>
      <c r="E221" s="44"/>
      <c r="F221" s="42" t="s">
        <v>17</v>
      </c>
      <c r="G221" s="42"/>
      <c r="H221" s="42"/>
      <c r="I221" s="42"/>
      <c r="J221" s="42"/>
      <c r="K221" s="42"/>
      <c r="L221" s="42"/>
      <c r="M221" s="42"/>
    </row>
    <row r="222" spans="1:13" ht="15.75" customHeight="1" outlineLevel="2">
      <c r="A222" s="45"/>
      <c r="B222" s="62"/>
      <c r="C222" s="42"/>
      <c r="D222" s="44" t="s">
        <v>401</v>
      </c>
      <c r="E222" s="44"/>
      <c r="F222" s="42" t="s">
        <v>17</v>
      </c>
      <c r="G222" s="42"/>
      <c r="H222" s="42"/>
      <c r="I222" s="42"/>
      <c r="J222" s="42"/>
      <c r="K222" s="42"/>
      <c r="L222" s="42"/>
      <c r="M222" s="42"/>
    </row>
    <row r="223" spans="1:13" ht="15.75" customHeight="1" outlineLevel="1">
      <c r="A223" s="45"/>
      <c r="B223" s="62"/>
      <c r="C223" s="42"/>
      <c r="D223" s="44"/>
      <c r="E223" s="44"/>
      <c r="F223" s="42"/>
      <c r="G223" s="42"/>
      <c r="H223" s="42"/>
      <c r="I223" s="42"/>
      <c r="J223" s="42"/>
      <c r="K223" s="42"/>
      <c r="L223" s="42"/>
      <c r="M223" s="42"/>
    </row>
    <row r="224" spans="1:13" ht="15.75" customHeight="1">
      <c r="A224" s="45" t="s">
        <v>169</v>
      </c>
      <c r="B224" s="62"/>
      <c r="C224" s="42"/>
      <c r="D224" s="44"/>
      <c r="E224" s="44"/>
      <c r="F224" s="42"/>
      <c r="G224" s="42"/>
      <c r="H224" s="42"/>
      <c r="I224" s="42"/>
      <c r="J224" s="42"/>
      <c r="K224" s="42"/>
      <c r="L224" s="42"/>
      <c r="M224" s="42"/>
    </row>
    <row r="225" spans="1:13" ht="15.75" customHeight="1" outlineLevel="1">
      <c r="A225" s="45"/>
      <c r="B225" s="62"/>
      <c r="C225" s="42"/>
      <c r="D225" s="44" t="s">
        <v>247</v>
      </c>
      <c r="E225" s="44"/>
      <c r="F225" s="42" t="s">
        <v>182</v>
      </c>
      <c r="G225" s="42"/>
      <c r="H225" s="42"/>
      <c r="I225" s="42" t="s">
        <v>246</v>
      </c>
      <c r="J225" s="42"/>
      <c r="K225" s="43"/>
      <c r="L225" s="42"/>
      <c r="M225" s="42"/>
    </row>
    <row r="226" spans="1:13" ht="15.75" customHeight="1" outlineLevel="1">
      <c r="A226" s="45"/>
      <c r="B226" s="62"/>
      <c r="C226" s="42"/>
      <c r="D226" s="44" t="s">
        <v>244</v>
      </c>
      <c r="E226" s="44"/>
      <c r="F226" s="42" t="s">
        <v>182</v>
      </c>
      <c r="G226" s="42"/>
      <c r="H226" s="42"/>
      <c r="I226" s="43" t="s">
        <v>243</v>
      </c>
      <c r="J226" s="43"/>
      <c r="K226" s="43"/>
      <c r="L226" s="42"/>
      <c r="M226" s="42"/>
    </row>
    <row r="227" spans="1:13" ht="15.75" customHeight="1" outlineLevel="1">
      <c r="A227" s="45"/>
      <c r="B227" s="62"/>
      <c r="C227" s="42"/>
      <c r="D227" s="44" t="s">
        <v>174</v>
      </c>
      <c r="E227" s="44"/>
      <c r="F227" s="42" t="s">
        <v>182</v>
      </c>
      <c r="G227" s="42"/>
      <c r="H227" s="42"/>
      <c r="I227" s="42" t="s">
        <v>241</v>
      </c>
      <c r="J227" s="42"/>
      <c r="K227" s="43"/>
      <c r="L227" s="42"/>
      <c r="M227" s="42"/>
    </row>
    <row r="228" spans="1:13" ht="15.75" customHeight="1" outlineLevel="1">
      <c r="A228" s="45"/>
      <c r="B228" s="62"/>
      <c r="C228" s="42"/>
      <c r="D228" s="44" t="s">
        <v>239</v>
      </c>
      <c r="E228" s="44"/>
      <c r="F228" s="42" t="s">
        <v>182</v>
      </c>
      <c r="G228" s="42"/>
      <c r="H228" s="42"/>
      <c r="I228" s="43" t="s">
        <v>238</v>
      </c>
      <c r="J228" s="43"/>
      <c r="K228" s="43"/>
      <c r="L228" s="42" t="s">
        <v>237</v>
      </c>
      <c r="M228" s="42"/>
    </row>
    <row r="229" spans="1:13" ht="15.75" customHeight="1" outlineLevel="1">
      <c r="A229" s="45"/>
      <c r="B229" s="62"/>
      <c r="C229" s="42"/>
      <c r="D229" s="68" t="s">
        <v>178</v>
      </c>
      <c r="E229" s="68"/>
      <c r="F229" s="42" t="s">
        <v>261</v>
      </c>
      <c r="G229" s="42"/>
      <c r="H229" s="42"/>
      <c r="I229" s="43"/>
      <c r="J229" s="43"/>
      <c r="K229" s="43"/>
      <c r="L229" s="42"/>
      <c r="M229" s="42"/>
    </row>
    <row r="230" spans="1:13" ht="15.75" customHeight="1">
      <c r="A230" s="45" t="s">
        <v>179</v>
      </c>
      <c r="B230" s="62"/>
      <c r="C230" s="42"/>
      <c r="D230" s="44"/>
      <c r="E230" s="44"/>
      <c r="F230" s="42"/>
      <c r="G230" s="42"/>
      <c r="H230" s="42"/>
      <c r="I230" s="42"/>
      <c r="J230" s="42"/>
      <c r="K230" s="42"/>
      <c r="L230" s="42"/>
      <c r="M230" s="42"/>
    </row>
    <row r="231" spans="1:13" ht="15.75" customHeight="1" outlineLevel="1">
      <c r="A231" s="46"/>
      <c r="B231" s="62" t="s">
        <v>180</v>
      </c>
      <c r="C231" s="42"/>
      <c r="D231" s="44"/>
      <c r="E231" s="44"/>
      <c r="F231" s="42"/>
      <c r="G231" s="42"/>
      <c r="H231" s="42"/>
      <c r="I231" s="43"/>
      <c r="J231" s="43"/>
      <c r="K231" s="43"/>
      <c r="L231" s="42"/>
      <c r="M231" s="42"/>
    </row>
    <row r="232" spans="1:13" ht="15.75" customHeight="1" outlineLevel="2">
      <c r="A232" s="46"/>
      <c r="B232" s="43" t="s">
        <v>236</v>
      </c>
      <c r="C232" s="42"/>
      <c r="D232" s="44" t="s">
        <v>235</v>
      </c>
      <c r="E232" s="44"/>
      <c r="F232" s="42" t="s">
        <v>182</v>
      </c>
      <c r="G232" s="42"/>
      <c r="H232" s="42"/>
      <c r="I232" s="43" t="s">
        <v>234</v>
      </c>
      <c r="J232" s="43" t="s">
        <v>233</v>
      </c>
      <c r="K232" s="43"/>
      <c r="L232" s="42"/>
      <c r="M232" s="42"/>
    </row>
    <row r="233" spans="1:13" ht="15.75" customHeight="1" outlineLevel="2">
      <c r="A233" s="46"/>
      <c r="B233" s="62"/>
      <c r="C233" s="42"/>
      <c r="D233" s="44" t="s">
        <v>184</v>
      </c>
      <c r="E233" s="44"/>
      <c r="F233" s="42" t="s">
        <v>185</v>
      </c>
      <c r="G233" s="42"/>
      <c r="H233" s="42"/>
      <c r="I233" s="43"/>
      <c r="J233" s="43"/>
      <c r="K233" s="43"/>
      <c r="L233" s="42"/>
      <c r="M233" s="42"/>
    </row>
    <row r="234" spans="1:13" ht="15.75" customHeight="1" outlineLevel="2">
      <c r="A234" s="46"/>
      <c r="B234" s="62"/>
      <c r="C234" s="42"/>
      <c r="D234" s="44" t="s">
        <v>186</v>
      </c>
      <c r="E234" s="44"/>
      <c r="F234" s="42" t="s">
        <v>17</v>
      </c>
      <c r="G234" s="42"/>
      <c r="H234" s="42"/>
      <c r="I234" s="43"/>
      <c r="J234" s="43"/>
      <c r="K234" s="43"/>
      <c r="L234" s="42"/>
      <c r="M234" s="42"/>
    </row>
    <row r="235" spans="1:13" ht="15.75" customHeight="1" outlineLevel="2">
      <c r="A235" s="46"/>
      <c r="B235" s="62"/>
      <c r="C235" s="42"/>
      <c r="D235" s="44" t="s">
        <v>187</v>
      </c>
      <c r="E235" s="44"/>
      <c r="F235" s="42" t="s">
        <v>17</v>
      </c>
      <c r="G235" s="42"/>
      <c r="H235" s="42"/>
      <c r="I235" s="43"/>
      <c r="J235" s="43"/>
      <c r="K235" s="43"/>
      <c r="L235" s="42"/>
      <c r="M235" s="42"/>
    </row>
    <row r="236" spans="1:13" ht="15.75" customHeight="1" outlineLevel="2">
      <c r="A236" s="46"/>
      <c r="B236" s="62"/>
      <c r="C236" s="42"/>
      <c r="D236" s="44" t="s">
        <v>400</v>
      </c>
      <c r="E236" s="44"/>
      <c r="F236" s="42" t="s">
        <v>17</v>
      </c>
      <c r="G236" s="42"/>
      <c r="H236" s="42"/>
      <c r="I236" s="43"/>
      <c r="J236" s="43"/>
      <c r="K236" s="43"/>
      <c r="L236" s="42"/>
      <c r="M236" s="42"/>
    </row>
    <row r="237" spans="1:13" ht="15.75" customHeight="1" outlineLevel="2">
      <c r="A237" s="46"/>
      <c r="B237" s="62"/>
      <c r="C237" s="42"/>
      <c r="D237" s="44" t="s">
        <v>232</v>
      </c>
      <c r="E237" s="44"/>
      <c r="F237" s="42" t="s">
        <v>17</v>
      </c>
      <c r="G237" s="42"/>
      <c r="H237" s="42"/>
      <c r="I237" s="43"/>
      <c r="J237" s="43"/>
      <c r="K237" s="43"/>
      <c r="L237" s="42"/>
      <c r="M237" s="42"/>
    </row>
    <row r="238" spans="1:13" ht="15.75" customHeight="1" outlineLevel="1">
      <c r="A238" s="46"/>
      <c r="B238" s="62" t="s">
        <v>190</v>
      </c>
      <c r="C238" s="42"/>
      <c r="D238" s="44"/>
      <c r="E238" s="44"/>
      <c r="F238" s="42"/>
      <c r="G238" s="42"/>
      <c r="H238" s="42"/>
      <c r="I238" s="43"/>
      <c r="J238" s="43"/>
      <c r="K238" s="43"/>
      <c r="L238" s="42"/>
      <c r="M238" s="42"/>
    </row>
    <row r="239" spans="1:13" ht="15.75" customHeight="1" outlineLevel="2">
      <c r="A239" s="42"/>
      <c r="B239" s="43" t="s">
        <v>231</v>
      </c>
      <c r="C239" s="42" t="s">
        <v>390</v>
      </c>
      <c r="D239" s="44" t="s">
        <v>230</v>
      </c>
      <c r="E239" s="44"/>
      <c r="F239" s="42" t="s">
        <v>17</v>
      </c>
      <c r="G239" s="42"/>
      <c r="H239" s="42"/>
      <c r="I239" s="43" t="s">
        <v>229</v>
      </c>
      <c r="J239" s="43" t="s">
        <v>17</v>
      </c>
      <c r="K239" s="43"/>
      <c r="L239" s="42"/>
      <c r="M239" s="42"/>
    </row>
    <row r="240" spans="1:13" ht="15.75" customHeight="1" outlineLevel="2">
      <c r="A240" s="42"/>
      <c r="B240" s="62"/>
      <c r="C240" s="42" t="s">
        <v>390</v>
      </c>
      <c r="D240" s="44" t="s">
        <v>399</v>
      </c>
      <c r="E240" s="44"/>
      <c r="F240" s="42" t="s">
        <v>17</v>
      </c>
      <c r="G240" s="42"/>
      <c r="H240" s="42"/>
      <c r="I240" s="43"/>
      <c r="J240" s="43"/>
      <c r="K240" s="43"/>
      <c r="L240" s="42"/>
      <c r="M240" s="42"/>
    </row>
    <row r="241" spans="1:13" ht="15.75" customHeight="1" outlineLevel="2">
      <c r="A241" s="42"/>
      <c r="B241" s="62"/>
      <c r="C241" s="42" t="s">
        <v>390</v>
      </c>
      <c r="D241" s="44" t="s">
        <v>398</v>
      </c>
      <c r="E241" s="44"/>
      <c r="F241" s="42" t="s">
        <v>17</v>
      </c>
      <c r="G241" s="42"/>
      <c r="H241" s="42"/>
      <c r="I241" s="43"/>
      <c r="J241" s="43"/>
      <c r="K241" s="43"/>
      <c r="L241" s="42"/>
      <c r="M241" s="42"/>
    </row>
    <row r="242" spans="1:13" ht="15.75" customHeight="1" outlineLevel="2">
      <c r="A242" s="42"/>
      <c r="B242" s="62"/>
      <c r="C242" s="42" t="s">
        <v>390</v>
      </c>
      <c r="D242" s="44" t="s">
        <v>228</v>
      </c>
      <c r="E242" s="44"/>
      <c r="F242" s="42" t="s">
        <v>17</v>
      </c>
      <c r="G242" s="42"/>
      <c r="H242" s="42"/>
      <c r="I242" s="43"/>
      <c r="J242" s="43"/>
      <c r="K242" s="43"/>
      <c r="L242" s="42"/>
      <c r="M242" s="42"/>
    </row>
    <row r="243" spans="1:13" ht="15.75" customHeight="1" outlineLevel="2">
      <c r="A243" s="42"/>
      <c r="B243" s="62"/>
      <c r="C243" s="42" t="s">
        <v>390</v>
      </c>
      <c r="D243" s="44" t="s">
        <v>397</v>
      </c>
      <c r="E243" s="44"/>
      <c r="F243" s="42" t="s">
        <v>17</v>
      </c>
      <c r="G243" s="42"/>
      <c r="H243" s="42"/>
      <c r="I243" s="42" t="s">
        <v>396</v>
      </c>
      <c r="J243" s="43"/>
      <c r="K243" s="43"/>
      <c r="L243" s="42"/>
      <c r="M243" s="42"/>
    </row>
    <row r="244" spans="1:13" ht="15.75" customHeight="1" outlineLevel="2">
      <c r="A244" s="42"/>
      <c r="B244" s="62"/>
      <c r="C244" s="42" t="s">
        <v>390</v>
      </c>
      <c r="D244" s="44" t="s">
        <v>194</v>
      </c>
      <c r="E244" s="44"/>
      <c r="F244" s="42" t="s">
        <v>17</v>
      </c>
      <c r="G244" s="42"/>
      <c r="H244" s="42"/>
      <c r="I244" s="67" t="s">
        <v>395</v>
      </c>
      <c r="J244" s="43"/>
      <c r="K244" s="43"/>
      <c r="L244" s="42"/>
      <c r="M244" s="42"/>
    </row>
    <row r="245" spans="1:13" ht="15.75" customHeight="1" outlineLevel="2">
      <c r="A245" s="42"/>
      <c r="B245" s="62"/>
      <c r="C245" s="42" t="s">
        <v>390</v>
      </c>
      <c r="D245" s="66" t="s">
        <v>394</v>
      </c>
      <c r="E245" s="66"/>
      <c r="F245" s="42" t="s">
        <v>17</v>
      </c>
      <c r="G245" s="42"/>
      <c r="H245" s="65"/>
      <c r="I245" s="43"/>
      <c r="J245" s="43"/>
      <c r="K245" s="43"/>
      <c r="L245" s="42"/>
      <c r="M245" s="42"/>
    </row>
    <row r="246" spans="1:13" ht="15.75" customHeight="1" outlineLevel="2">
      <c r="A246" s="42"/>
      <c r="B246" s="62"/>
      <c r="C246" s="42" t="s">
        <v>390</v>
      </c>
      <c r="D246" s="44" t="s">
        <v>393</v>
      </c>
      <c r="E246" s="44"/>
      <c r="F246" s="42" t="s">
        <v>17</v>
      </c>
      <c r="G246" s="42"/>
      <c r="H246" s="42"/>
      <c r="I246" s="43"/>
      <c r="J246" s="43"/>
      <c r="K246" s="43"/>
      <c r="L246" s="42"/>
      <c r="M246" s="42"/>
    </row>
    <row r="247" spans="1:13" ht="15.75" customHeight="1" outlineLevel="2">
      <c r="A247" s="42"/>
      <c r="B247" s="62"/>
      <c r="C247" s="42" t="s">
        <v>390</v>
      </c>
      <c r="D247" s="44" t="s">
        <v>392</v>
      </c>
      <c r="E247" s="44"/>
      <c r="F247" s="42" t="s">
        <v>197</v>
      </c>
      <c r="G247" s="42"/>
      <c r="H247" s="42"/>
      <c r="I247" s="43"/>
      <c r="J247" s="43"/>
      <c r="K247" s="43"/>
      <c r="L247" s="42"/>
      <c r="M247" s="42"/>
    </row>
    <row r="248" spans="1:13" ht="15.75" customHeight="1" outlineLevel="2">
      <c r="A248" s="42"/>
      <c r="B248" s="62"/>
      <c r="C248" s="42" t="s">
        <v>390</v>
      </c>
      <c r="D248" s="44" t="s">
        <v>391</v>
      </c>
      <c r="E248" s="44"/>
      <c r="F248" s="42" t="s">
        <v>255</v>
      </c>
      <c r="G248" s="42"/>
      <c r="H248" s="42"/>
      <c r="I248" s="43"/>
      <c r="J248" s="43"/>
      <c r="K248" s="43"/>
      <c r="L248" s="42"/>
      <c r="M248" s="42"/>
    </row>
    <row r="249" spans="1:13" ht="15.75" customHeight="1" outlineLevel="2">
      <c r="A249" s="42"/>
      <c r="B249" s="62"/>
      <c r="C249" s="42" t="s">
        <v>390</v>
      </c>
      <c r="D249" s="44" t="s">
        <v>196</v>
      </c>
      <c r="E249" s="44"/>
      <c r="F249" s="42" t="s">
        <v>197</v>
      </c>
      <c r="G249" s="42"/>
      <c r="H249" s="42"/>
      <c r="I249" s="43"/>
      <c r="J249" s="43"/>
      <c r="K249" s="43"/>
      <c r="L249" s="42"/>
      <c r="M249" s="42"/>
    </row>
    <row r="250" spans="1:13" ht="15.75" customHeight="1" outlineLevel="2">
      <c r="A250" s="42"/>
      <c r="B250" s="62"/>
      <c r="C250" s="42" t="s">
        <v>386</v>
      </c>
      <c r="D250" s="44" t="s">
        <v>389</v>
      </c>
      <c r="E250" s="44"/>
      <c r="F250" s="42" t="s">
        <v>92</v>
      </c>
      <c r="G250" s="42"/>
      <c r="H250" s="42"/>
      <c r="I250" s="43"/>
      <c r="J250" s="43"/>
      <c r="K250" s="43"/>
      <c r="L250" s="42"/>
      <c r="M250" s="42"/>
    </row>
    <row r="251" spans="1:13" ht="15.75" customHeight="1" outlineLevel="2">
      <c r="A251" s="42"/>
      <c r="B251" s="62"/>
      <c r="C251" s="42" t="s">
        <v>386</v>
      </c>
      <c r="D251" s="44" t="s">
        <v>227</v>
      </c>
      <c r="E251" s="44"/>
      <c r="F251" s="42" t="s">
        <v>17</v>
      </c>
      <c r="G251" s="42"/>
      <c r="H251" s="42"/>
      <c r="I251" s="43" t="s">
        <v>226</v>
      </c>
      <c r="J251" s="64" t="s">
        <v>225</v>
      </c>
      <c r="K251" s="42" t="s">
        <v>224</v>
      </c>
      <c r="L251" s="42"/>
      <c r="M251" s="42"/>
    </row>
    <row r="252" spans="1:13" ht="15.75" customHeight="1" outlineLevel="2">
      <c r="A252" s="42"/>
      <c r="B252" s="62"/>
      <c r="C252" s="42" t="s">
        <v>386</v>
      </c>
      <c r="D252" s="44" t="s">
        <v>388</v>
      </c>
      <c r="E252" s="44"/>
      <c r="F252" s="42" t="s">
        <v>197</v>
      </c>
      <c r="G252" s="42"/>
      <c r="H252" s="42"/>
      <c r="I252" s="43"/>
      <c r="J252" s="43"/>
      <c r="K252" s="43"/>
      <c r="L252" s="42"/>
      <c r="M252" s="42"/>
    </row>
    <row r="253" spans="1:13" ht="15.75" customHeight="1" outlineLevel="2">
      <c r="A253" s="42"/>
      <c r="B253" s="62"/>
      <c r="C253" s="42" t="s">
        <v>386</v>
      </c>
      <c r="D253" s="44" t="s">
        <v>387</v>
      </c>
      <c r="E253" s="44"/>
      <c r="F253" s="42" t="s">
        <v>92</v>
      </c>
      <c r="G253" s="42"/>
      <c r="H253" s="42"/>
      <c r="I253" s="43"/>
      <c r="J253" s="43"/>
      <c r="K253" s="43"/>
      <c r="L253" s="42"/>
      <c r="M253" s="42"/>
    </row>
    <row r="254" spans="1:13" ht="15.75" customHeight="1" outlineLevel="2">
      <c r="A254" s="42"/>
      <c r="B254" s="62"/>
      <c r="C254" s="42" t="s">
        <v>386</v>
      </c>
      <c r="D254" s="44" t="s">
        <v>385</v>
      </c>
      <c r="E254" s="44"/>
      <c r="F254" s="42" t="s">
        <v>17</v>
      </c>
      <c r="G254" s="42"/>
      <c r="H254" s="42"/>
      <c r="I254" s="43"/>
      <c r="J254" s="43"/>
      <c r="K254" s="43"/>
      <c r="L254" s="42"/>
      <c r="M254" s="42"/>
    </row>
    <row r="255" spans="1:13" ht="15.75" customHeight="1" outlineLevel="1">
      <c r="A255" s="46"/>
      <c r="B255" s="62" t="s">
        <v>199</v>
      </c>
      <c r="C255" s="42"/>
      <c r="D255" s="44"/>
      <c r="E255" s="44"/>
      <c r="F255" s="42"/>
      <c r="G255" s="42"/>
      <c r="H255" s="42"/>
      <c r="I255" s="43"/>
      <c r="J255" s="43"/>
      <c r="K255" s="43"/>
      <c r="L255" s="42"/>
      <c r="M255" s="42"/>
    </row>
    <row r="256" spans="1:13" ht="15.75" customHeight="1" outlineLevel="2">
      <c r="A256" s="46"/>
      <c r="B256" s="43" t="s">
        <v>223</v>
      </c>
      <c r="C256" s="42"/>
      <c r="D256" s="44" t="s">
        <v>384</v>
      </c>
      <c r="E256" s="44"/>
      <c r="F256" s="61" t="s">
        <v>17</v>
      </c>
      <c r="G256" s="61"/>
      <c r="H256" s="61"/>
      <c r="I256" s="43"/>
      <c r="J256" s="43"/>
      <c r="K256" s="43"/>
      <c r="L256" s="42"/>
      <c r="M256" s="42"/>
    </row>
    <row r="257" spans="1:13" ht="15.75" customHeight="1" outlineLevel="2">
      <c r="A257" s="46"/>
      <c r="B257" s="62"/>
      <c r="C257" s="42"/>
      <c r="D257" s="44" t="s">
        <v>221</v>
      </c>
      <c r="E257" s="44"/>
      <c r="F257" s="61" t="s">
        <v>17</v>
      </c>
      <c r="G257" s="61"/>
      <c r="H257" s="61"/>
      <c r="I257" s="43"/>
      <c r="J257" s="43"/>
      <c r="K257" s="43"/>
      <c r="L257" s="42"/>
      <c r="M257" s="42"/>
    </row>
    <row r="258" spans="1:13" ht="15.75" customHeight="1" outlineLevel="2">
      <c r="A258" s="46"/>
      <c r="B258" s="62"/>
      <c r="C258" s="42"/>
      <c r="D258" s="44" t="s">
        <v>220</v>
      </c>
      <c r="E258" s="44"/>
      <c r="F258" s="61" t="s">
        <v>17</v>
      </c>
      <c r="G258" s="61"/>
      <c r="H258" s="63"/>
      <c r="I258" s="43"/>
      <c r="J258" s="43"/>
      <c r="K258" s="43"/>
      <c r="L258" s="42"/>
      <c r="M258" s="42"/>
    </row>
    <row r="259" spans="1:13" ht="15.75" customHeight="1" outlineLevel="2">
      <c r="A259" s="46"/>
      <c r="B259" s="62"/>
      <c r="C259" s="42"/>
      <c r="D259" s="44" t="s">
        <v>219</v>
      </c>
      <c r="E259" s="44"/>
      <c r="F259" s="61" t="s">
        <v>17</v>
      </c>
      <c r="G259" s="61"/>
      <c r="H259" s="63"/>
      <c r="I259" s="43"/>
      <c r="J259" s="43"/>
      <c r="K259" s="43"/>
      <c r="L259" s="42"/>
      <c r="M259" s="42"/>
    </row>
    <row r="260" spans="1:13" ht="15.75" customHeight="1" outlineLevel="2">
      <c r="A260" s="46"/>
      <c r="B260" s="62"/>
      <c r="C260" s="42"/>
      <c r="D260" s="44" t="s">
        <v>218</v>
      </c>
      <c r="E260" s="44"/>
      <c r="F260" s="61" t="s">
        <v>17</v>
      </c>
      <c r="G260" s="61"/>
      <c r="H260" s="63"/>
      <c r="I260" s="43"/>
      <c r="J260" s="43"/>
      <c r="K260" s="43"/>
      <c r="L260" s="42"/>
      <c r="M260" s="42"/>
    </row>
    <row r="261" spans="1:13" ht="15.75" customHeight="1" outlineLevel="2">
      <c r="A261" s="46"/>
      <c r="B261" s="62"/>
      <c r="C261" s="42"/>
      <c r="D261" s="44" t="s">
        <v>383</v>
      </c>
      <c r="E261" s="44"/>
      <c r="F261" s="61" t="s">
        <v>17</v>
      </c>
      <c r="G261" s="61"/>
      <c r="H261" s="63"/>
      <c r="I261" s="43"/>
      <c r="J261" s="43"/>
      <c r="K261" s="43"/>
      <c r="L261" s="42"/>
      <c r="M261" s="42"/>
    </row>
    <row r="262" spans="1:13" ht="15.75" customHeight="1" outlineLevel="2">
      <c r="A262" s="46"/>
      <c r="B262" s="62"/>
      <c r="C262" s="42"/>
      <c r="D262" s="44" t="s">
        <v>203</v>
      </c>
      <c r="E262" s="44"/>
      <c r="F262" s="61" t="s">
        <v>17</v>
      </c>
      <c r="G262" s="61"/>
      <c r="H262" s="63"/>
      <c r="I262" s="43"/>
      <c r="J262" s="43"/>
      <c r="K262" s="43"/>
      <c r="L262" s="42"/>
      <c r="M262" s="42"/>
    </row>
    <row r="263" spans="1:13" ht="15.75" customHeight="1" outlineLevel="1">
      <c r="A263" s="46"/>
      <c r="B263" s="62" t="s">
        <v>204</v>
      </c>
      <c r="C263" s="42"/>
      <c r="D263" s="44"/>
      <c r="E263" s="44"/>
      <c r="F263" s="42"/>
      <c r="G263" s="42"/>
      <c r="H263" s="42"/>
      <c r="I263" s="43"/>
      <c r="J263" s="43"/>
      <c r="K263" s="43"/>
      <c r="L263" s="42"/>
      <c r="M263" s="42"/>
    </row>
    <row r="264" spans="1:13" ht="15.75" customHeight="1" outlineLevel="2">
      <c r="A264" s="46"/>
      <c r="B264" s="43" t="s">
        <v>382</v>
      </c>
      <c r="C264" s="42"/>
      <c r="D264" s="44" t="s">
        <v>381</v>
      </c>
      <c r="E264" s="44"/>
      <c r="F264" s="61" t="s">
        <v>17</v>
      </c>
      <c r="G264" s="61"/>
      <c r="H264" s="61"/>
      <c r="I264" s="43"/>
      <c r="J264" s="43"/>
      <c r="K264" s="43"/>
      <c r="L264" s="42"/>
      <c r="M264" s="42"/>
    </row>
    <row r="265" spans="1:13" ht="15.75" customHeight="1" outlineLevel="2">
      <c r="A265" s="46"/>
      <c r="B265" s="62"/>
      <c r="C265" s="42"/>
      <c r="D265" s="44" t="s">
        <v>380</v>
      </c>
      <c r="E265" s="44"/>
      <c r="F265" s="61" t="s">
        <v>17</v>
      </c>
      <c r="G265" s="61"/>
      <c r="H265" s="61"/>
      <c r="I265" s="43"/>
      <c r="J265" s="43"/>
      <c r="K265" s="43"/>
      <c r="L265" s="42"/>
      <c r="M265" s="42"/>
    </row>
    <row r="266" spans="1:13" ht="15.75" customHeight="1" outlineLevel="2">
      <c r="A266" s="46"/>
      <c r="B266" s="62"/>
      <c r="C266" s="42"/>
      <c r="D266" s="44" t="s">
        <v>379</v>
      </c>
      <c r="E266" s="44"/>
      <c r="F266" s="61" t="s">
        <v>17</v>
      </c>
      <c r="G266" s="61"/>
      <c r="H266" s="61"/>
      <c r="I266" s="43"/>
      <c r="J266" s="43"/>
      <c r="K266" s="43"/>
      <c r="L266" s="42"/>
      <c r="M266" s="42"/>
    </row>
    <row r="267" spans="1:13" ht="15.75" customHeight="1" outlineLevel="2">
      <c r="A267" s="46"/>
      <c r="B267" s="62"/>
      <c r="C267" s="42"/>
      <c r="D267" s="44" t="s">
        <v>378</v>
      </c>
      <c r="E267" s="44"/>
      <c r="F267" s="61" t="s">
        <v>17</v>
      </c>
      <c r="G267" s="61"/>
      <c r="H267" s="61"/>
      <c r="I267" s="43"/>
      <c r="J267" s="43"/>
      <c r="K267" s="43"/>
      <c r="L267" s="42"/>
      <c r="M267" s="42"/>
    </row>
    <row r="268" spans="1:13" ht="15.75" customHeight="1" outlineLevel="2">
      <c r="A268" s="46"/>
      <c r="B268" s="62"/>
      <c r="C268" s="42"/>
      <c r="D268" s="44" t="s">
        <v>377</v>
      </c>
      <c r="E268" s="44"/>
      <c r="F268" s="61" t="s">
        <v>305</v>
      </c>
      <c r="G268" s="61"/>
      <c r="H268" s="61"/>
      <c r="I268" s="43"/>
      <c r="J268" s="43"/>
      <c r="K268" s="43"/>
      <c r="L268" s="42"/>
      <c r="M268" s="42"/>
    </row>
    <row r="269" spans="1:13" ht="15.75" customHeight="1" outlineLevel="2">
      <c r="A269" s="46"/>
      <c r="B269" s="62"/>
      <c r="C269" s="42"/>
      <c r="D269" s="44" t="s">
        <v>376</v>
      </c>
      <c r="E269" s="44"/>
      <c r="F269" s="61" t="s">
        <v>17</v>
      </c>
      <c r="G269" s="61"/>
      <c r="H269" s="61"/>
      <c r="I269" s="43"/>
      <c r="J269" s="43"/>
      <c r="K269" s="43"/>
      <c r="L269" s="42"/>
      <c r="M269" s="42"/>
    </row>
    <row r="270" spans="1:13" ht="15.75" customHeight="1" outlineLevel="2">
      <c r="A270" s="46"/>
      <c r="B270" s="62"/>
      <c r="C270" s="42"/>
      <c r="D270" s="44" t="s">
        <v>375</v>
      </c>
      <c r="E270" s="44"/>
      <c r="F270" s="61" t="s">
        <v>17</v>
      </c>
      <c r="G270" s="61"/>
      <c r="H270" s="61"/>
      <c r="I270" s="43"/>
      <c r="J270" s="43"/>
      <c r="K270" s="43"/>
      <c r="L270" s="42"/>
      <c r="M270" s="42"/>
    </row>
    <row r="271" spans="1:13" ht="15.75" customHeight="1" outlineLevel="2">
      <c r="A271" s="46"/>
      <c r="B271" s="62"/>
      <c r="C271" s="42"/>
      <c r="D271" s="44" t="s">
        <v>374</v>
      </c>
      <c r="E271" s="44"/>
      <c r="F271" s="61" t="s">
        <v>17</v>
      </c>
      <c r="G271" s="61"/>
      <c r="H271" s="61"/>
      <c r="I271" s="43"/>
      <c r="J271" s="43"/>
      <c r="K271" s="43"/>
      <c r="L271" s="42"/>
      <c r="M271" s="42"/>
    </row>
    <row r="272" spans="1:13" ht="15.75" customHeight="1" outlineLevel="2">
      <c r="A272" s="46"/>
      <c r="B272" s="62"/>
      <c r="C272" s="42"/>
      <c r="D272" s="44" t="s">
        <v>373</v>
      </c>
      <c r="E272" s="44"/>
      <c r="F272" s="61" t="s">
        <v>17</v>
      </c>
      <c r="G272" s="61"/>
      <c r="H272" s="61"/>
      <c r="I272" s="43"/>
      <c r="J272" s="43"/>
      <c r="K272" s="43"/>
      <c r="L272" s="42"/>
      <c r="M272" s="42"/>
    </row>
    <row r="273" spans="1:13" ht="15.75" customHeight="1" outlineLevel="2">
      <c r="A273" s="46"/>
      <c r="B273" s="62"/>
      <c r="C273" s="42"/>
      <c r="D273" s="44" t="s">
        <v>372</v>
      </c>
      <c r="E273" s="44"/>
      <c r="F273" s="61" t="s">
        <v>17</v>
      </c>
      <c r="G273" s="61"/>
      <c r="H273" s="61"/>
      <c r="I273" s="43"/>
      <c r="J273" s="43"/>
      <c r="K273" s="43"/>
      <c r="L273" s="42"/>
      <c r="M273" s="42"/>
    </row>
    <row r="274" spans="1:13" ht="15.75" customHeight="1" outlineLevel="2">
      <c r="A274" s="46"/>
      <c r="B274" s="62"/>
      <c r="C274" s="42"/>
      <c r="D274" s="44" t="s">
        <v>371</v>
      </c>
      <c r="E274" s="44"/>
      <c r="F274" s="61" t="s">
        <v>17</v>
      </c>
      <c r="G274" s="61"/>
      <c r="H274" s="61"/>
      <c r="I274" s="43" t="s">
        <v>370</v>
      </c>
      <c r="J274" s="43"/>
      <c r="K274" s="43"/>
      <c r="L274" s="42"/>
      <c r="M274" s="42"/>
    </row>
  </sheetData>
  <mergeCells count="3">
    <mergeCell ref="A1:L1"/>
    <mergeCell ref="A2:L2"/>
    <mergeCell ref="E101:E113"/>
  </mergeCells>
  <printOptions horizontalCentered="1" gridLines="1"/>
  <pageMargins left="0.7" right="0.7" top="0.75" bottom="0.75" header="0" footer="0"/>
  <pageSetup fitToHeight="0" pageOrder="overThenDown" orientation="landscape" cellComments="atEnd"/>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93654-9751-45CF-B235-0F3D43F8BC17}">
  <dimension ref="A1:J594"/>
  <sheetViews>
    <sheetView workbookViewId="0">
      <selection activeCell="C261" sqref="C261"/>
    </sheetView>
  </sheetViews>
  <sheetFormatPr defaultRowHeight="14.1" customHeight="1" outlineLevelRow="1"/>
  <cols>
    <col min="1" max="1" width="19.42578125" style="299" customWidth="1"/>
    <col min="2" max="2" width="42.7109375" style="37" customWidth="1"/>
    <col min="3" max="3" width="10.5703125" style="106" bestFit="1" customWidth="1"/>
    <col min="4" max="16384" width="9.140625" style="37"/>
  </cols>
  <sheetData>
    <row r="1" spans="1:4" ht="14.1" customHeight="1">
      <c r="A1" s="295" t="s">
        <v>1318</v>
      </c>
      <c r="B1" s="190" t="s">
        <v>801</v>
      </c>
      <c r="C1" s="232" t="s">
        <v>802</v>
      </c>
    </row>
    <row r="2" spans="1:4" ht="14.1" customHeight="1">
      <c r="A2" s="623" t="s">
        <v>1338</v>
      </c>
      <c r="B2" s="99" t="s">
        <v>784</v>
      </c>
      <c r="C2" s="233">
        <v>1</v>
      </c>
      <c r="D2" s="102" t="s">
        <v>1340</v>
      </c>
    </row>
    <row r="3" spans="1:4" ht="14.1" customHeight="1">
      <c r="A3" s="621"/>
      <c r="B3" s="99" t="s">
        <v>783</v>
      </c>
      <c r="C3" s="233">
        <v>0</v>
      </c>
      <c r="D3" s="102"/>
    </row>
    <row r="4" spans="1:4" ht="14.1" customHeight="1">
      <c r="A4" s="622"/>
      <c r="B4" s="159" t="str">
        <f>""</f>
        <v/>
      </c>
      <c r="C4" s="234">
        <v>0</v>
      </c>
    </row>
    <row r="5" spans="1:4" ht="14.1" customHeight="1">
      <c r="A5" s="619" t="s">
        <v>2180</v>
      </c>
      <c r="B5" s="99" t="s">
        <v>784</v>
      </c>
      <c r="C5" s="233">
        <v>0</v>
      </c>
      <c r="D5" s="102" t="s">
        <v>1341</v>
      </c>
    </row>
    <row r="6" spans="1:4" ht="14.1" customHeight="1">
      <c r="A6" s="621"/>
      <c r="B6" s="99" t="s">
        <v>783</v>
      </c>
      <c r="C6" s="233">
        <v>1</v>
      </c>
      <c r="D6" s="102"/>
    </row>
    <row r="7" spans="1:4" ht="14.1" customHeight="1">
      <c r="A7" s="622"/>
      <c r="B7" s="159" t="str">
        <f>""</f>
        <v/>
      </c>
      <c r="C7" s="234">
        <v>0</v>
      </c>
    </row>
    <row r="8" spans="1:4" ht="14.1" customHeight="1">
      <c r="A8" s="619" t="s">
        <v>1876</v>
      </c>
      <c r="B8" s="99" t="s">
        <v>784</v>
      </c>
      <c r="C8" s="233">
        <v>1</v>
      </c>
      <c r="D8" s="102" t="s">
        <v>1340</v>
      </c>
    </row>
    <row r="9" spans="1:4" ht="14.1" customHeight="1">
      <c r="A9" s="620"/>
      <c r="B9" s="159" t="s">
        <v>1877</v>
      </c>
      <c r="C9" s="233">
        <v>0.5</v>
      </c>
      <c r="D9" s="102"/>
    </row>
    <row r="10" spans="1:4" ht="14.1" customHeight="1">
      <c r="A10" s="621"/>
      <c r="B10" s="99" t="s">
        <v>783</v>
      </c>
      <c r="C10" s="233">
        <v>0</v>
      </c>
      <c r="D10" s="102"/>
    </row>
    <row r="11" spans="1:4" ht="14.1" customHeight="1">
      <c r="A11" s="621"/>
      <c r="B11" s="99" t="s">
        <v>867</v>
      </c>
      <c r="C11" s="233">
        <v>0.5</v>
      </c>
      <c r="D11" s="102"/>
    </row>
    <row r="12" spans="1:4" ht="14.1" customHeight="1">
      <c r="A12" s="622"/>
      <c r="B12" s="159" t="str">
        <f>""</f>
        <v/>
      </c>
      <c r="C12" s="234">
        <v>0</v>
      </c>
    </row>
    <row r="13" spans="1:4" ht="14.1" customHeight="1">
      <c r="A13" s="296" t="s">
        <v>1337</v>
      </c>
      <c r="B13" s="159" t="s">
        <v>799</v>
      </c>
      <c r="C13" s="233">
        <v>1</v>
      </c>
      <c r="D13" s="37" t="s">
        <v>1342</v>
      </c>
    </row>
    <row r="14" spans="1:4" ht="14.1" customHeight="1">
      <c r="A14" s="297"/>
      <c r="B14" s="159" t="s">
        <v>784</v>
      </c>
      <c r="C14" s="233">
        <v>0.25</v>
      </c>
    </row>
    <row r="15" spans="1:4" ht="14.1" customHeight="1">
      <c r="A15" s="297"/>
      <c r="B15" s="159" t="s">
        <v>783</v>
      </c>
      <c r="C15" s="233">
        <v>0</v>
      </c>
    </row>
    <row r="16" spans="1:4" ht="14.1" customHeight="1">
      <c r="A16" s="298"/>
      <c r="B16" s="159" t="str">
        <f>""</f>
        <v/>
      </c>
      <c r="C16" s="234">
        <v>0</v>
      </c>
    </row>
    <row r="17" spans="1:4" ht="14.1" customHeight="1">
      <c r="A17" s="333" t="s">
        <v>1464</v>
      </c>
      <c r="B17" s="159" t="s">
        <v>784</v>
      </c>
      <c r="C17" s="233">
        <v>1</v>
      </c>
    </row>
    <row r="18" spans="1:4" ht="14.1" customHeight="1">
      <c r="A18" s="297"/>
      <c r="B18" s="159" t="s">
        <v>783</v>
      </c>
      <c r="C18" s="233">
        <v>0</v>
      </c>
    </row>
    <row r="19" spans="1:4" ht="14.1" customHeight="1">
      <c r="A19" s="297"/>
      <c r="B19" s="159" t="s">
        <v>867</v>
      </c>
      <c r="C19" s="233">
        <v>1</v>
      </c>
    </row>
    <row r="20" spans="1:4" ht="14.1" customHeight="1">
      <c r="A20" s="298"/>
      <c r="B20" s="99" t="str">
        <f>""</f>
        <v/>
      </c>
      <c r="C20" s="233">
        <v>0</v>
      </c>
      <c r="D20" s="102"/>
    </row>
    <row r="21" spans="1:4" ht="14.1" customHeight="1">
      <c r="A21" s="333" t="s">
        <v>1479</v>
      </c>
      <c r="B21" s="159" t="s">
        <v>784</v>
      </c>
      <c r="C21" s="233">
        <v>1</v>
      </c>
      <c r="D21" s="102" t="s">
        <v>2179</v>
      </c>
    </row>
    <row r="22" spans="1:4" ht="14.1" customHeight="1">
      <c r="A22" s="297"/>
      <c r="B22" s="159" t="s">
        <v>783</v>
      </c>
      <c r="C22" s="233">
        <v>1</v>
      </c>
    </row>
    <row r="23" spans="1:4" ht="14.1" customHeight="1">
      <c r="A23" s="297"/>
      <c r="B23" s="159" t="s">
        <v>1410</v>
      </c>
      <c r="C23" s="233">
        <v>1</v>
      </c>
    </row>
    <row r="24" spans="1:4" ht="14.1" customHeight="1">
      <c r="A24" s="298"/>
      <c r="B24" s="159" t="str">
        <f>""</f>
        <v/>
      </c>
      <c r="C24" s="234">
        <v>0</v>
      </c>
    </row>
    <row r="25" spans="1:4" ht="14.1" customHeight="1">
      <c r="A25" s="619" t="s">
        <v>1382</v>
      </c>
      <c r="B25" s="302">
        <v>1</v>
      </c>
      <c r="C25" s="233">
        <v>1</v>
      </c>
      <c r="D25" s="102"/>
    </row>
    <row r="26" spans="1:4" ht="14.1" customHeight="1">
      <c r="A26" s="620"/>
      <c r="B26" s="303" t="s">
        <v>1384</v>
      </c>
      <c r="C26" s="233">
        <f>AVERAGE(0.75,0.99)</f>
        <v>0.87</v>
      </c>
      <c r="D26" s="102"/>
    </row>
    <row r="27" spans="1:4" ht="14.1" customHeight="1">
      <c r="A27" s="620"/>
      <c r="B27" s="303" t="s">
        <v>1385</v>
      </c>
      <c r="C27" s="233">
        <f>AVERAGE(0.74,0.5)</f>
        <v>0.62</v>
      </c>
      <c r="D27" s="102"/>
    </row>
    <row r="28" spans="1:4" ht="14.1" customHeight="1">
      <c r="A28" s="620"/>
      <c r="B28" s="303" t="s">
        <v>1386</v>
      </c>
      <c r="C28" s="233">
        <f>AVERAGE(0.25,0.49)</f>
        <v>0.37</v>
      </c>
      <c r="D28" s="102"/>
    </row>
    <row r="29" spans="1:4" ht="14.1" customHeight="1">
      <c r="A29" s="620"/>
      <c r="B29" s="303" t="s">
        <v>1387</v>
      </c>
      <c r="C29" s="233">
        <f>AVERAGE(0.01,0.24)</f>
        <v>0.125</v>
      </c>
      <c r="D29" s="102"/>
    </row>
    <row r="30" spans="1:4" ht="14.1" customHeight="1">
      <c r="A30" s="620"/>
      <c r="B30" s="304">
        <v>0</v>
      </c>
      <c r="C30" s="233">
        <v>0</v>
      </c>
      <c r="D30" s="102"/>
    </row>
    <row r="31" spans="1:4" ht="14.1" customHeight="1">
      <c r="A31" s="624"/>
      <c r="B31" s="159" t="str">
        <f>""</f>
        <v/>
      </c>
      <c r="C31" s="234">
        <v>0</v>
      </c>
    </row>
    <row r="32" spans="1:4" ht="14.1" customHeight="1">
      <c r="A32" s="619" t="s">
        <v>1383</v>
      </c>
      <c r="B32" s="302">
        <v>1</v>
      </c>
      <c r="C32" s="233">
        <f t="shared" ref="C32:C37" si="0">1-C25</f>
        <v>0</v>
      </c>
      <c r="D32" s="102"/>
    </row>
    <row r="33" spans="1:10" ht="14.1" customHeight="1">
      <c r="A33" s="620"/>
      <c r="B33" s="303" t="s">
        <v>1384</v>
      </c>
      <c r="C33" s="233">
        <f t="shared" si="0"/>
        <v>0.13</v>
      </c>
      <c r="D33" s="102"/>
    </row>
    <row r="34" spans="1:10" ht="14.1" customHeight="1">
      <c r="A34" s="620"/>
      <c r="B34" s="303" t="s">
        <v>1385</v>
      </c>
      <c r="C34" s="233">
        <f t="shared" si="0"/>
        <v>0.38</v>
      </c>
      <c r="D34" s="102"/>
    </row>
    <row r="35" spans="1:10" ht="14.1" customHeight="1">
      <c r="A35" s="620"/>
      <c r="B35" s="303" t="s">
        <v>1386</v>
      </c>
      <c r="C35" s="233">
        <f t="shared" si="0"/>
        <v>0.63</v>
      </c>
      <c r="D35" s="102"/>
    </row>
    <row r="36" spans="1:10" ht="14.1" customHeight="1">
      <c r="A36" s="620"/>
      <c r="B36" s="303" t="s">
        <v>1387</v>
      </c>
      <c r="C36" s="233">
        <f t="shared" si="0"/>
        <v>0.875</v>
      </c>
      <c r="D36" s="102"/>
    </row>
    <row r="37" spans="1:10" ht="14.1" customHeight="1">
      <c r="A37" s="620"/>
      <c r="B37" s="304">
        <v>0</v>
      </c>
      <c r="C37" s="233">
        <f t="shared" si="0"/>
        <v>1</v>
      </c>
      <c r="D37" s="102"/>
    </row>
    <row r="38" spans="1:10" ht="14.1" customHeight="1">
      <c r="A38" s="624"/>
      <c r="B38" s="159" t="str">
        <f>""</f>
        <v/>
      </c>
      <c r="C38" s="234">
        <v>0</v>
      </c>
    </row>
    <row r="39" spans="1:10" ht="14.1" customHeight="1">
      <c r="A39" s="543" t="s">
        <v>1514</v>
      </c>
      <c r="B39" s="159" t="s">
        <v>1532</v>
      </c>
      <c r="C39" s="107">
        <v>0</v>
      </c>
      <c r="D39" s="102"/>
    </row>
    <row r="40" spans="1:10" ht="14.1" customHeight="1">
      <c r="A40" s="543"/>
      <c r="B40" s="303">
        <v>2</v>
      </c>
      <c r="C40" s="107">
        <v>0.25</v>
      </c>
      <c r="H40" s="100"/>
    </row>
    <row r="41" spans="1:10" ht="14.1" customHeight="1">
      <c r="A41" s="543"/>
      <c r="B41" s="303">
        <v>3</v>
      </c>
      <c r="C41" s="107">
        <v>0.5</v>
      </c>
      <c r="F41" s="102"/>
    </row>
    <row r="42" spans="1:10" ht="14.1" customHeight="1">
      <c r="A42" s="544"/>
      <c r="B42" s="303">
        <v>4</v>
      </c>
      <c r="C42" s="107">
        <v>0.75</v>
      </c>
      <c r="F42" s="106"/>
    </row>
    <row r="43" spans="1:10" ht="14.1" customHeight="1">
      <c r="A43" s="544"/>
      <c r="B43" s="303" t="s">
        <v>1533</v>
      </c>
      <c r="C43" s="107">
        <v>1</v>
      </c>
      <c r="F43" s="100"/>
      <c r="G43" s="100"/>
    </row>
    <row r="44" spans="1:10" ht="14.1" customHeight="1">
      <c r="A44" s="544"/>
      <c r="B44" s="303" t="s">
        <v>2105</v>
      </c>
      <c r="C44" s="107">
        <v>0</v>
      </c>
      <c r="F44" s="100"/>
      <c r="G44" s="100"/>
    </row>
    <row r="45" spans="1:10" ht="14.1" customHeight="1">
      <c r="A45" s="544"/>
      <c r="B45" s="159" t="s">
        <v>1513</v>
      </c>
      <c r="C45" s="107">
        <v>0</v>
      </c>
      <c r="F45" s="100"/>
      <c r="G45" s="100"/>
    </row>
    <row r="46" spans="1:10" ht="14.1" customHeight="1">
      <c r="A46" s="544"/>
      <c r="B46" s="159" t="str">
        <f>""</f>
        <v/>
      </c>
      <c r="C46" s="234">
        <v>0</v>
      </c>
    </row>
    <row r="47" spans="1:10" ht="14.1" customHeight="1">
      <c r="A47" s="543" t="s">
        <v>1903</v>
      </c>
      <c r="B47" s="159" t="s">
        <v>1904</v>
      </c>
      <c r="C47" s="107">
        <v>0</v>
      </c>
      <c r="D47" s="102"/>
      <c r="F47" s="100"/>
      <c r="G47" s="100"/>
      <c r="H47" s="100"/>
      <c r="I47" s="100"/>
      <c r="J47" s="106"/>
    </row>
    <row r="48" spans="1:10" ht="14.1" customHeight="1">
      <c r="A48" s="543"/>
      <c r="B48" s="303">
        <v>2</v>
      </c>
      <c r="C48" s="107">
        <v>0.25</v>
      </c>
    </row>
    <row r="49" spans="1:4" ht="14.1" customHeight="1">
      <c r="A49" s="543"/>
      <c r="B49" s="303">
        <v>3</v>
      </c>
      <c r="C49" s="107">
        <v>0.5</v>
      </c>
    </row>
    <row r="50" spans="1:4" ht="14.1" customHeight="1">
      <c r="A50" s="544"/>
      <c r="B50" s="303">
        <v>4</v>
      </c>
      <c r="C50" s="107">
        <v>0.75</v>
      </c>
    </row>
    <row r="51" spans="1:4" ht="14.1" customHeight="1">
      <c r="A51" s="544"/>
      <c r="B51" s="303" t="s">
        <v>1905</v>
      </c>
      <c r="C51" s="107">
        <v>1</v>
      </c>
    </row>
    <row r="52" spans="1:4" ht="14.1" customHeight="1">
      <c r="A52" s="544"/>
      <c r="B52" s="303" t="s">
        <v>2105</v>
      </c>
      <c r="C52" s="107">
        <v>0</v>
      </c>
    </row>
    <row r="53" spans="1:4" ht="14.1" customHeight="1">
      <c r="A53" s="544"/>
      <c r="B53" s="159" t="s">
        <v>1513</v>
      </c>
      <c r="C53" s="107">
        <v>0</v>
      </c>
    </row>
    <row r="54" spans="1:4" ht="14.1" customHeight="1">
      <c r="A54" s="544"/>
      <c r="B54" s="159" t="str">
        <f>""</f>
        <v/>
      </c>
      <c r="C54" s="234">
        <v>0</v>
      </c>
    </row>
    <row r="55" spans="1:4" ht="14.1" customHeight="1">
      <c r="A55" s="543" t="s">
        <v>1344</v>
      </c>
      <c r="B55" s="159" t="s">
        <v>1107</v>
      </c>
      <c r="C55" s="234">
        <v>0.75</v>
      </c>
    </row>
    <row r="56" spans="1:4" ht="14.1" customHeight="1">
      <c r="A56" s="544"/>
      <c r="B56" s="159" t="s">
        <v>1108</v>
      </c>
      <c r="C56" s="107">
        <v>0.75</v>
      </c>
    </row>
    <row r="57" spans="1:4" ht="14.1" customHeight="1">
      <c r="A57" s="544"/>
      <c r="B57" s="159" t="s">
        <v>2522</v>
      </c>
      <c r="C57" s="107">
        <v>1</v>
      </c>
    </row>
    <row r="58" spans="1:4" ht="14.1" customHeight="1">
      <c r="A58" s="544"/>
      <c r="B58" s="159" t="s">
        <v>1109</v>
      </c>
      <c r="C58" s="107">
        <v>0.75</v>
      </c>
    </row>
    <row r="59" spans="1:4" ht="14.1" customHeight="1">
      <c r="A59" s="544"/>
      <c r="B59" s="159" t="s">
        <v>1111</v>
      </c>
      <c r="C59" s="107">
        <v>1</v>
      </c>
    </row>
    <row r="60" spans="1:4" ht="14.1" customHeight="1">
      <c r="A60" s="544"/>
      <c r="B60" s="159" t="s">
        <v>1112</v>
      </c>
      <c r="C60" s="107">
        <v>1</v>
      </c>
    </row>
    <row r="61" spans="1:4" ht="14.1" customHeight="1">
      <c r="A61" s="544"/>
      <c r="B61" s="159" t="s">
        <v>1110</v>
      </c>
      <c r="C61" s="107">
        <v>0.75</v>
      </c>
    </row>
    <row r="62" spans="1:4" ht="14.1" customHeight="1">
      <c r="A62" s="544"/>
      <c r="B62" s="159" t="s">
        <v>982</v>
      </c>
      <c r="C62" s="107">
        <v>0.75</v>
      </c>
    </row>
    <row r="63" spans="1:4" ht="14.1" customHeight="1">
      <c r="A63" s="544"/>
      <c r="B63" s="159" t="str">
        <f>""</f>
        <v/>
      </c>
      <c r="C63" s="234">
        <v>0</v>
      </c>
    </row>
    <row r="64" spans="1:4" ht="14.1" hidden="1" customHeight="1" outlineLevel="1">
      <c r="A64" s="543" t="s">
        <v>1316</v>
      </c>
      <c r="B64" s="99" t="s">
        <v>1115</v>
      </c>
      <c r="C64" s="107">
        <v>1</v>
      </c>
      <c r="D64" s="37" t="s">
        <v>1339</v>
      </c>
    </row>
    <row r="65" spans="1:3" ht="14.1" hidden="1" customHeight="1" outlineLevel="1">
      <c r="A65" s="544"/>
      <c r="B65" s="99" t="s">
        <v>1116</v>
      </c>
      <c r="C65" s="107">
        <v>1</v>
      </c>
    </row>
    <row r="66" spans="1:3" ht="14.1" hidden="1" customHeight="1" outlineLevel="1">
      <c r="A66" s="544"/>
      <c r="B66" s="99" t="s">
        <v>1117</v>
      </c>
      <c r="C66" s="107">
        <v>1</v>
      </c>
    </row>
    <row r="67" spans="1:3" ht="14.1" hidden="1" customHeight="1" outlineLevel="1">
      <c r="A67" s="544"/>
      <c r="B67" s="99" t="s">
        <v>1118</v>
      </c>
      <c r="C67" s="107">
        <v>1</v>
      </c>
    </row>
    <row r="68" spans="1:3" ht="14.1" hidden="1" customHeight="1" outlineLevel="1">
      <c r="A68" s="544"/>
      <c r="B68" s="99" t="s">
        <v>1119</v>
      </c>
      <c r="C68" s="107">
        <v>1</v>
      </c>
    </row>
    <row r="69" spans="1:3" ht="14.1" hidden="1" customHeight="1" outlineLevel="1">
      <c r="A69" s="544"/>
      <c r="B69" s="99" t="s">
        <v>1120</v>
      </c>
      <c r="C69" s="107">
        <v>1</v>
      </c>
    </row>
    <row r="70" spans="1:3" ht="14.1" hidden="1" customHeight="1" outlineLevel="1">
      <c r="A70" s="544"/>
      <c r="B70" s="99" t="s">
        <v>1121</v>
      </c>
      <c r="C70" s="107">
        <v>1</v>
      </c>
    </row>
    <row r="71" spans="1:3" ht="14.1" hidden="1" customHeight="1" outlineLevel="1">
      <c r="A71" s="544"/>
      <c r="B71" s="99" t="s">
        <v>1122</v>
      </c>
      <c r="C71" s="107">
        <v>1</v>
      </c>
    </row>
    <row r="72" spans="1:3" ht="14.1" hidden="1" customHeight="1" outlineLevel="1">
      <c r="A72" s="544"/>
      <c r="B72" s="99" t="s">
        <v>1123</v>
      </c>
      <c r="C72" s="107">
        <v>1</v>
      </c>
    </row>
    <row r="73" spans="1:3" ht="14.1" hidden="1" customHeight="1" outlineLevel="1">
      <c r="A73" s="544"/>
      <c r="B73" s="99" t="s">
        <v>1124</v>
      </c>
      <c r="C73" s="107">
        <v>1</v>
      </c>
    </row>
    <row r="74" spans="1:3" ht="14.1" hidden="1" customHeight="1" outlineLevel="1">
      <c r="A74" s="544"/>
      <c r="B74" s="99" t="s">
        <v>1125</v>
      </c>
      <c r="C74" s="107">
        <v>1</v>
      </c>
    </row>
    <row r="75" spans="1:3" ht="14.1" hidden="1" customHeight="1" outlineLevel="1">
      <c r="A75" s="544"/>
      <c r="B75" s="99" t="s">
        <v>1126</v>
      </c>
      <c r="C75" s="107">
        <v>1</v>
      </c>
    </row>
    <row r="76" spans="1:3" ht="14.1" hidden="1" customHeight="1" outlineLevel="1">
      <c r="A76" s="544"/>
      <c r="B76" s="99" t="s">
        <v>1127</v>
      </c>
      <c r="C76" s="107">
        <v>1</v>
      </c>
    </row>
    <row r="77" spans="1:3" ht="14.1" hidden="1" customHeight="1" outlineLevel="1">
      <c r="A77" s="544"/>
      <c r="B77" s="99" t="s">
        <v>1128</v>
      </c>
      <c r="C77" s="107">
        <v>0</v>
      </c>
    </row>
    <row r="78" spans="1:3" ht="14.1" hidden="1" customHeight="1" outlineLevel="1">
      <c r="A78" s="544"/>
      <c r="B78" s="99" t="s">
        <v>1129</v>
      </c>
      <c r="C78" s="107">
        <v>1</v>
      </c>
    </row>
    <row r="79" spans="1:3" ht="14.1" hidden="1" customHeight="1" outlineLevel="1">
      <c r="A79" s="544"/>
      <c r="B79" s="99" t="s">
        <v>1130</v>
      </c>
      <c r="C79" s="107">
        <v>1</v>
      </c>
    </row>
    <row r="80" spans="1:3" ht="14.1" hidden="1" customHeight="1" outlineLevel="1">
      <c r="A80" s="544"/>
      <c r="B80" s="99" t="s">
        <v>1131</v>
      </c>
      <c r="C80" s="107">
        <v>1</v>
      </c>
    </row>
    <row r="81" spans="1:3" ht="14.1" hidden="1" customHeight="1" outlineLevel="1">
      <c r="A81" s="544"/>
      <c r="B81" s="99" t="s">
        <v>1132</v>
      </c>
      <c r="C81" s="107">
        <v>1</v>
      </c>
    </row>
    <row r="82" spans="1:3" ht="14.1" hidden="1" customHeight="1" outlineLevel="1">
      <c r="A82" s="544"/>
      <c r="B82" s="99" t="s">
        <v>1133</v>
      </c>
      <c r="C82" s="107">
        <v>1</v>
      </c>
    </row>
    <row r="83" spans="1:3" ht="14.1" hidden="1" customHeight="1" outlineLevel="1">
      <c r="A83" s="544"/>
      <c r="B83" s="99" t="s">
        <v>1134</v>
      </c>
      <c r="C83" s="107">
        <v>1</v>
      </c>
    </row>
    <row r="84" spans="1:3" ht="14.1" hidden="1" customHeight="1" outlineLevel="1">
      <c r="A84" s="544"/>
      <c r="B84" s="99" t="s">
        <v>1135</v>
      </c>
      <c r="C84" s="107">
        <v>1</v>
      </c>
    </row>
    <row r="85" spans="1:3" ht="14.1" hidden="1" customHeight="1" outlineLevel="1">
      <c r="A85" s="544"/>
      <c r="B85" s="99" t="s">
        <v>1136</v>
      </c>
      <c r="C85" s="107">
        <v>1</v>
      </c>
    </row>
    <row r="86" spans="1:3" ht="14.1" hidden="1" customHeight="1" outlineLevel="1">
      <c r="A86" s="544"/>
      <c r="B86" s="99" t="s">
        <v>1137</v>
      </c>
      <c r="C86" s="107">
        <v>1</v>
      </c>
    </row>
    <row r="87" spans="1:3" ht="14.1" hidden="1" customHeight="1" outlineLevel="1">
      <c r="A87" s="544"/>
      <c r="B87" s="99" t="s">
        <v>1138</v>
      </c>
      <c r="C87" s="107">
        <v>1</v>
      </c>
    </row>
    <row r="88" spans="1:3" ht="14.1" hidden="1" customHeight="1" outlineLevel="1">
      <c r="A88" s="544"/>
      <c r="B88" s="99" t="s">
        <v>1139</v>
      </c>
      <c r="C88" s="107">
        <v>1</v>
      </c>
    </row>
    <row r="89" spans="1:3" ht="14.1" hidden="1" customHeight="1" outlineLevel="1">
      <c r="A89" s="544"/>
      <c r="B89" s="99" t="s">
        <v>1140</v>
      </c>
      <c r="C89" s="107">
        <v>1</v>
      </c>
    </row>
    <row r="90" spans="1:3" ht="14.1" hidden="1" customHeight="1" outlineLevel="1">
      <c r="A90" s="544"/>
      <c r="B90" s="99" t="s">
        <v>1141</v>
      </c>
      <c r="C90" s="107">
        <v>1</v>
      </c>
    </row>
    <row r="91" spans="1:3" ht="14.1" hidden="1" customHeight="1" outlineLevel="1">
      <c r="A91" s="544"/>
      <c r="B91" s="99" t="s">
        <v>1142</v>
      </c>
      <c r="C91" s="107">
        <v>1</v>
      </c>
    </row>
    <row r="92" spans="1:3" ht="14.1" hidden="1" customHeight="1" outlineLevel="1">
      <c r="A92" s="544"/>
      <c r="B92" s="99" t="s">
        <v>1143</v>
      </c>
      <c r="C92" s="107">
        <v>1</v>
      </c>
    </row>
    <row r="93" spans="1:3" ht="14.1" hidden="1" customHeight="1" outlineLevel="1">
      <c r="A93" s="544"/>
      <c r="B93" s="99" t="s">
        <v>1144</v>
      </c>
      <c r="C93" s="107">
        <v>1</v>
      </c>
    </row>
    <row r="94" spans="1:3" ht="14.1" hidden="1" customHeight="1" outlineLevel="1">
      <c r="A94" s="544"/>
      <c r="B94" s="99" t="s">
        <v>1145</v>
      </c>
      <c r="C94" s="107">
        <v>1</v>
      </c>
    </row>
    <row r="95" spans="1:3" ht="14.1" hidden="1" customHeight="1" outlineLevel="1">
      <c r="A95" s="544"/>
      <c r="B95" s="99" t="s">
        <v>1146</v>
      </c>
      <c r="C95" s="107">
        <v>1</v>
      </c>
    </row>
    <row r="96" spans="1:3" ht="14.1" hidden="1" customHeight="1" outlineLevel="1">
      <c r="A96" s="544"/>
      <c r="B96" s="99" t="s">
        <v>1147</v>
      </c>
      <c r="C96" s="107">
        <v>1</v>
      </c>
    </row>
    <row r="97" spans="1:3" ht="14.1" hidden="1" customHeight="1" outlineLevel="1">
      <c r="A97" s="544"/>
      <c r="B97" s="99" t="s">
        <v>1148</v>
      </c>
      <c r="C97" s="107">
        <v>1</v>
      </c>
    </row>
    <row r="98" spans="1:3" ht="14.1" hidden="1" customHeight="1" outlineLevel="1">
      <c r="A98" s="544"/>
      <c r="B98" s="99" t="s">
        <v>1149</v>
      </c>
      <c r="C98" s="107">
        <v>1</v>
      </c>
    </row>
    <row r="99" spans="1:3" ht="14.1" hidden="1" customHeight="1" outlineLevel="1">
      <c r="A99" s="544"/>
      <c r="B99" s="99" t="s">
        <v>1150</v>
      </c>
      <c r="C99" s="107">
        <v>1</v>
      </c>
    </row>
    <row r="100" spans="1:3" ht="14.1" hidden="1" customHeight="1" outlineLevel="1">
      <c r="A100" s="544"/>
      <c r="B100" s="99" t="s">
        <v>1151</v>
      </c>
      <c r="C100" s="107">
        <v>1</v>
      </c>
    </row>
    <row r="101" spans="1:3" ht="14.1" hidden="1" customHeight="1" outlineLevel="1">
      <c r="A101" s="544"/>
      <c r="B101" s="99" t="s">
        <v>1152</v>
      </c>
      <c r="C101" s="107">
        <v>1</v>
      </c>
    </row>
    <row r="102" spans="1:3" ht="14.1" hidden="1" customHeight="1" outlineLevel="1">
      <c r="A102" s="544"/>
      <c r="B102" s="99" t="s">
        <v>1153</v>
      </c>
      <c r="C102" s="107">
        <v>1</v>
      </c>
    </row>
    <row r="103" spans="1:3" ht="14.1" hidden="1" customHeight="1" outlineLevel="1">
      <c r="A103" s="544"/>
      <c r="B103" s="99" t="s">
        <v>1154</v>
      </c>
      <c r="C103" s="107">
        <v>1</v>
      </c>
    </row>
    <row r="104" spans="1:3" ht="14.1" hidden="1" customHeight="1" outlineLevel="1">
      <c r="A104" s="544"/>
      <c r="B104" s="99" t="s">
        <v>1155</v>
      </c>
      <c r="C104" s="107">
        <v>1</v>
      </c>
    </row>
    <row r="105" spans="1:3" ht="14.1" hidden="1" customHeight="1" outlineLevel="1">
      <c r="A105" s="544"/>
      <c r="B105" s="99" t="s">
        <v>1156</v>
      </c>
      <c r="C105" s="107">
        <v>0</v>
      </c>
    </row>
    <row r="106" spans="1:3" ht="14.1" hidden="1" customHeight="1" outlineLevel="1">
      <c r="A106" s="544"/>
      <c r="B106" s="99" t="s">
        <v>1157</v>
      </c>
      <c r="C106" s="107">
        <v>1</v>
      </c>
    </row>
    <row r="107" spans="1:3" ht="14.1" hidden="1" customHeight="1" outlineLevel="1">
      <c r="A107" s="544"/>
      <c r="B107" s="99" t="s">
        <v>1158</v>
      </c>
      <c r="C107" s="107">
        <v>1</v>
      </c>
    </row>
    <row r="108" spans="1:3" ht="14.1" hidden="1" customHeight="1" outlineLevel="1">
      <c r="A108" s="544"/>
      <c r="B108" s="99" t="s">
        <v>1159</v>
      </c>
      <c r="C108" s="107">
        <v>1</v>
      </c>
    </row>
    <row r="109" spans="1:3" ht="14.1" hidden="1" customHeight="1" outlineLevel="1">
      <c r="A109" s="544"/>
      <c r="B109" s="99" t="s">
        <v>1160</v>
      </c>
      <c r="C109" s="107">
        <v>1</v>
      </c>
    </row>
    <row r="110" spans="1:3" ht="14.1" hidden="1" customHeight="1" outlineLevel="1">
      <c r="A110" s="544"/>
      <c r="B110" s="99" t="s">
        <v>1161</v>
      </c>
      <c r="C110" s="107">
        <v>1</v>
      </c>
    </row>
    <row r="111" spans="1:3" ht="14.1" hidden="1" customHeight="1" outlineLevel="1">
      <c r="A111" s="544"/>
      <c r="B111" s="99" t="s">
        <v>1162</v>
      </c>
      <c r="C111" s="107">
        <v>1</v>
      </c>
    </row>
    <row r="112" spans="1:3" ht="14.1" hidden="1" customHeight="1" outlineLevel="1">
      <c r="A112" s="544"/>
      <c r="B112" s="99" t="s">
        <v>1163</v>
      </c>
      <c r="C112" s="107">
        <v>1</v>
      </c>
    </row>
    <row r="113" spans="1:3" ht="14.1" hidden="1" customHeight="1" outlineLevel="1">
      <c r="A113" s="544"/>
      <c r="B113" s="99" t="s">
        <v>1164</v>
      </c>
      <c r="C113" s="107">
        <v>1</v>
      </c>
    </row>
    <row r="114" spans="1:3" ht="14.1" hidden="1" customHeight="1" outlineLevel="1">
      <c r="A114" s="544"/>
      <c r="B114" s="99" t="s">
        <v>1165</v>
      </c>
      <c r="C114" s="107">
        <v>1</v>
      </c>
    </row>
    <row r="115" spans="1:3" ht="14.1" hidden="1" customHeight="1" outlineLevel="1">
      <c r="A115" s="544"/>
      <c r="B115" s="99" t="s">
        <v>1166</v>
      </c>
      <c r="C115" s="107">
        <v>1</v>
      </c>
    </row>
    <row r="116" spans="1:3" ht="14.1" hidden="1" customHeight="1" outlineLevel="1">
      <c r="A116" s="544"/>
      <c r="B116" s="99" t="s">
        <v>1167</v>
      </c>
      <c r="C116" s="107">
        <v>1</v>
      </c>
    </row>
    <row r="117" spans="1:3" ht="14.1" hidden="1" customHeight="1" outlineLevel="1">
      <c r="A117" s="544"/>
      <c r="B117" s="99" t="s">
        <v>1168</v>
      </c>
      <c r="C117" s="107">
        <v>0</v>
      </c>
    </row>
    <row r="118" spans="1:3" ht="14.1" hidden="1" customHeight="1" outlineLevel="1">
      <c r="A118" s="544"/>
      <c r="B118" s="99" t="s">
        <v>1169</v>
      </c>
      <c r="C118" s="107">
        <v>1</v>
      </c>
    </row>
    <row r="119" spans="1:3" ht="14.1" hidden="1" customHeight="1" outlineLevel="1">
      <c r="A119" s="544"/>
      <c r="B119" s="99" t="s">
        <v>1170</v>
      </c>
      <c r="C119" s="107">
        <v>1</v>
      </c>
    </row>
    <row r="120" spans="1:3" ht="14.1" hidden="1" customHeight="1" outlineLevel="1">
      <c r="A120" s="544"/>
      <c r="B120" s="99" t="s">
        <v>1171</v>
      </c>
      <c r="C120" s="107">
        <v>1</v>
      </c>
    </row>
    <row r="121" spans="1:3" ht="14.1" hidden="1" customHeight="1" outlineLevel="1">
      <c r="A121" s="544"/>
      <c r="B121" s="99" t="s">
        <v>1172</v>
      </c>
      <c r="C121" s="107">
        <v>1</v>
      </c>
    </row>
    <row r="122" spans="1:3" ht="14.1" hidden="1" customHeight="1" outlineLevel="1">
      <c r="A122" s="544"/>
      <c r="B122" s="99" t="s">
        <v>1173</v>
      </c>
      <c r="C122" s="107">
        <v>1</v>
      </c>
    </row>
    <row r="123" spans="1:3" ht="14.1" hidden="1" customHeight="1" outlineLevel="1">
      <c r="A123" s="544"/>
      <c r="B123" s="99" t="s">
        <v>1174</v>
      </c>
      <c r="C123" s="107">
        <v>1</v>
      </c>
    </row>
    <row r="124" spans="1:3" ht="14.1" hidden="1" customHeight="1" outlineLevel="1">
      <c r="A124" s="544"/>
      <c r="B124" s="99" t="s">
        <v>1175</v>
      </c>
      <c r="C124" s="107">
        <v>1</v>
      </c>
    </row>
    <row r="125" spans="1:3" ht="14.1" hidden="1" customHeight="1" outlineLevel="1">
      <c r="A125" s="544"/>
      <c r="B125" s="99" t="s">
        <v>1176</v>
      </c>
      <c r="C125" s="107">
        <v>1</v>
      </c>
    </row>
    <row r="126" spans="1:3" ht="14.1" hidden="1" customHeight="1" outlineLevel="1">
      <c r="A126" s="544"/>
      <c r="B126" s="99" t="s">
        <v>1177</v>
      </c>
      <c r="C126" s="107">
        <v>1</v>
      </c>
    </row>
    <row r="127" spans="1:3" ht="14.1" hidden="1" customHeight="1" outlineLevel="1">
      <c r="A127" s="544"/>
      <c r="B127" s="99" t="s">
        <v>1178</v>
      </c>
      <c r="C127" s="107">
        <v>1</v>
      </c>
    </row>
    <row r="128" spans="1:3" ht="14.1" hidden="1" customHeight="1" outlineLevel="1">
      <c r="A128" s="544"/>
      <c r="B128" s="99" t="s">
        <v>1179</v>
      </c>
      <c r="C128" s="107">
        <v>1</v>
      </c>
    </row>
    <row r="129" spans="1:3" ht="14.1" hidden="1" customHeight="1" outlineLevel="1">
      <c r="A129" s="544"/>
      <c r="B129" s="99" t="s">
        <v>1180</v>
      </c>
      <c r="C129" s="107">
        <v>1</v>
      </c>
    </row>
    <row r="130" spans="1:3" ht="14.1" hidden="1" customHeight="1" outlineLevel="1">
      <c r="A130" s="544"/>
      <c r="B130" s="99" t="s">
        <v>1181</v>
      </c>
      <c r="C130" s="107">
        <v>1</v>
      </c>
    </row>
    <row r="131" spans="1:3" ht="14.1" hidden="1" customHeight="1" outlineLevel="1">
      <c r="A131" s="544"/>
      <c r="B131" s="99" t="s">
        <v>1182</v>
      </c>
      <c r="C131" s="107">
        <v>1</v>
      </c>
    </row>
    <row r="132" spans="1:3" ht="14.1" hidden="1" customHeight="1" outlineLevel="1">
      <c r="A132" s="544"/>
      <c r="B132" s="99" t="s">
        <v>1183</v>
      </c>
      <c r="C132" s="107">
        <v>1</v>
      </c>
    </row>
    <row r="133" spans="1:3" ht="14.1" hidden="1" customHeight="1" outlineLevel="1">
      <c r="A133" s="544"/>
      <c r="B133" s="99" t="s">
        <v>1184</v>
      </c>
      <c r="C133" s="107">
        <v>1</v>
      </c>
    </row>
    <row r="134" spans="1:3" ht="14.1" hidden="1" customHeight="1" outlineLevel="1">
      <c r="A134" s="544"/>
      <c r="B134" s="99" t="s">
        <v>1185</v>
      </c>
      <c r="C134" s="107">
        <v>1</v>
      </c>
    </row>
    <row r="135" spans="1:3" ht="14.1" hidden="1" customHeight="1" outlineLevel="1">
      <c r="A135" s="544"/>
      <c r="B135" s="99" t="s">
        <v>1186</v>
      </c>
      <c r="C135" s="107">
        <v>1</v>
      </c>
    </row>
    <row r="136" spans="1:3" ht="14.1" hidden="1" customHeight="1" outlineLevel="1">
      <c r="A136" s="544"/>
      <c r="B136" s="99" t="s">
        <v>1187</v>
      </c>
      <c r="C136" s="107">
        <v>1</v>
      </c>
    </row>
    <row r="137" spans="1:3" ht="14.1" hidden="1" customHeight="1" outlineLevel="1">
      <c r="A137" s="544"/>
      <c r="B137" s="99" t="s">
        <v>1188</v>
      </c>
      <c r="C137" s="107">
        <v>1</v>
      </c>
    </row>
    <row r="138" spans="1:3" ht="14.1" hidden="1" customHeight="1" outlineLevel="1">
      <c r="A138" s="544"/>
      <c r="B138" s="99" t="s">
        <v>1189</v>
      </c>
      <c r="C138" s="107">
        <v>1</v>
      </c>
    </row>
    <row r="139" spans="1:3" ht="14.1" hidden="1" customHeight="1" outlineLevel="1">
      <c r="A139" s="544"/>
      <c r="B139" s="99" t="s">
        <v>1190</v>
      </c>
      <c r="C139" s="107">
        <v>1</v>
      </c>
    </row>
    <row r="140" spans="1:3" ht="14.1" hidden="1" customHeight="1" outlineLevel="1">
      <c r="A140" s="544"/>
      <c r="B140" s="99" t="s">
        <v>1191</v>
      </c>
      <c r="C140" s="107">
        <v>1</v>
      </c>
    </row>
    <row r="141" spans="1:3" ht="14.1" hidden="1" customHeight="1" outlineLevel="1">
      <c r="A141" s="544"/>
      <c r="B141" s="99" t="s">
        <v>1192</v>
      </c>
      <c r="C141" s="107">
        <v>1</v>
      </c>
    </row>
    <row r="142" spans="1:3" ht="14.1" hidden="1" customHeight="1" outlineLevel="1">
      <c r="A142" s="544"/>
      <c r="B142" s="99" t="s">
        <v>1193</v>
      </c>
      <c r="C142" s="107">
        <v>1</v>
      </c>
    </row>
    <row r="143" spans="1:3" ht="14.1" hidden="1" customHeight="1" outlineLevel="1">
      <c r="A143" s="544"/>
      <c r="B143" s="99" t="s">
        <v>1194</v>
      </c>
      <c r="C143" s="107">
        <v>1</v>
      </c>
    </row>
    <row r="144" spans="1:3" ht="14.1" hidden="1" customHeight="1" outlineLevel="1">
      <c r="A144" s="544"/>
      <c r="B144" s="99" t="s">
        <v>1195</v>
      </c>
      <c r="C144" s="107">
        <v>1</v>
      </c>
    </row>
    <row r="145" spans="1:3" ht="14.1" hidden="1" customHeight="1" outlineLevel="1">
      <c r="A145" s="544"/>
      <c r="B145" s="99" t="s">
        <v>1196</v>
      </c>
      <c r="C145" s="107">
        <v>0</v>
      </c>
    </row>
    <row r="146" spans="1:3" ht="14.1" hidden="1" customHeight="1" outlineLevel="1">
      <c r="A146" s="544"/>
      <c r="B146" s="99" t="s">
        <v>1197</v>
      </c>
      <c r="C146" s="107">
        <v>1</v>
      </c>
    </row>
    <row r="147" spans="1:3" ht="14.1" hidden="1" customHeight="1" outlineLevel="1">
      <c r="A147" s="544"/>
      <c r="B147" s="99" t="s">
        <v>1198</v>
      </c>
      <c r="C147" s="107">
        <v>1</v>
      </c>
    </row>
    <row r="148" spans="1:3" ht="14.1" hidden="1" customHeight="1" outlineLevel="1">
      <c r="A148" s="544"/>
      <c r="B148" s="99" t="s">
        <v>1199</v>
      </c>
      <c r="C148" s="107">
        <v>1</v>
      </c>
    </row>
    <row r="149" spans="1:3" ht="14.1" hidden="1" customHeight="1" outlineLevel="1">
      <c r="A149" s="544"/>
      <c r="B149" s="99" t="s">
        <v>1200</v>
      </c>
      <c r="C149" s="107">
        <v>1</v>
      </c>
    </row>
    <row r="150" spans="1:3" ht="14.1" hidden="1" customHeight="1" outlineLevel="1">
      <c r="A150" s="544"/>
      <c r="B150" s="99" t="s">
        <v>1201</v>
      </c>
      <c r="C150" s="107">
        <v>1</v>
      </c>
    </row>
    <row r="151" spans="1:3" ht="14.1" hidden="1" customHeight="1" outlineLevel="1">
      <c r="A151" s="544"/>
      <c r="B151" s="99" t="s">
        <v>1202</v>
      </c>
      <c r="C151" s="107">
        <v>1</v>
      </c>
    </row>
    <row r="152" spans="1:3" ht="14.1" hidden="1" customHeight="1" outlineLevel="1">
      <c r="A152" s="544"/>
      <c r="B152" s="99" t="s">
        <v>1203</v>
      </c>
      <c r="C152" s="107">
        <v>1</v>
      </c>
    </row>
    <row r="153" spans="1:3" ht="14.1" hidden="1" customHeight="1" outlineLevel="1">
      <c r="A153" s="544"/>
      <c r="B153" s="99" t="s">
        <v>1204</v>
      </c>
      <c r="C153" s="107">
        <v>1</v>
      </c>
    </row>
    <row r="154" spans="1:3" ht="14.1" hidden="1" customHeight="1" outlineLevel="1">
      <c r="A154" s="544"/>
      <c r="B154" s="99" t="s">
        <v>1205</v>
      </c>
      <c r="C154" s="107">
        <v>1</v>
      </c>
    </row>
    <row r="155" spans="1:3" ht="14.1" hidden="1" customHeight="1" outlineLevel="1">
      <c r="A155" s="544"/>
      <c r="B155" s="99" t="s">
        <v>1206</v>
      </c>
      <c r="C155" s="107">
        <v>1</v>
      </c>
    </row>
    <row r="156" spans="1:3" ht="14.1" hidden="1" customHeight="1" outlineLevel="1">
      <c r="A156" s="544"/>
      <c r="B156" s="99" t="s">
        <v>1207</v>
      </c>
      <c r="C156" s="107">
        <v>1</v>
      </c>
    </row>
    <row r="157" spans="1:3" ht="14.1" hidden="1" customHeight="1" outlineLevel="1">
      <c r="A157" s="544"/>
      <c r="B157" s="99" t="s">
        <v>1208</v>
      </c>
      <c r="C157" s="107">
        <v>1</v>
      </c>
    </row>
    <row r="158" spans="1:3" ht="14.1" hidden="1" customHeight="1" outlineLevel="1">
      <c r="A158" s="544"/>
      <c r="B158" s="99" t="s">
        <v>1209</v>
      </c>
      <c r="C158" s="107">
        <v>1</v>
      </c>
    </row>
    <row r="159" spans="1:3" ht="14.1" hidden="1" customHeight="1" outlineLevel="1">
      <c r="A159" s="544"/>
      <c r="B159" s="99" t="s">
        <v>1210</v>
      </c>
      <c r="C159" s="107">
        <v>1</v>
      </c>
    </row>
    <row r="160" spans="1:3" ht="14.1" hidden="1" customHeight="1" outlineLevel="1">
      <c r="A160" s="544"/>
      <c r="B160" s="99" t="s">
        <v>1211</v>
      </c>
      <c r="C160" s="107">
        <v>1</v>
      </c>
    </row>
    <row r="161" spans="1:3" ht="14.1" hidden="1" customHeight="1" outlineLevel="1">
      <c r="A161" s="544"/>
      <c r="B161" s="99" t="s">
        <v>1212</v>
      </c>
      <c r="C161" s="107">
        <v>1</v>
      </c>
    </row>
    <row r="162" spans="1:3" ht="14.1" hidden="1" customHeight="1" outlineLevel="1">
      <c r="A162" s="544"/>
      <c r="B162" s="99" t="s">
        <v>1213</v>
      </c>
      <c r="C162" s="107">
        <v>1</v>
      </c>
    </row>
    <row r="163" spans="1:3" ht="14.1" hidden="1" customHeight="1" outlineLevel="1">
      <c r="A163" s="544"/>
      <c r="B163" s="99" t="s">
        <v>1214</v>
      </c>
      <c r="C163" s="107">
        <v>1</v>
      </c>
    </row>
    <row r="164" spans="1:3" ht="14.1" hidden="1" customHeight="1" outlineLevel="1">
      <c r="A164" s="544"/>
      <c r="B164" s="99" t="s">
        <v>1215</v>
      </c>
      <c r="C164" s="107">
        <v>1</v>
      </c>
    </row>
    <row r="165" spans="1:3" ht="14.1" hidden="1" customHeight="1" outlineLevel="1">
      <c r="A165" s="544"/>
      <c r="B165" s="99" t="s">
        <v>1216</v>
      </c>
      <c r="C165" s="107">
        <v>1</v>
      </c>
    </row>
    <row r="166" spans="1:3" ht="14.1" hidden="1" customHeight="1" outlineLevel="1">
      <c r="A166" s="544"/>
      <c r="B166" s="99" t="s">
        <v>1217</v>
      </c>
      <c r="C166" s="107">
        <v>1</v>
      </c>
    </row>
    <row r="167" spans="1:3" ht="14.1" hidden="1" customHeight="1" outlineLevel="1">
      <c r="A167" s="544"/>
      <c r="B167" s="99" t="s">
        <v>1218</v>
      </c>
      <c r="C167" s="107">
        <v>1</v>
      </c>
    </row>
    <row r="168" spans="1:3" ht="14.1" hidden="1" customHeight="1" outlineLevel="1">
      <c r="A168" s="544"/>
      <c r="B168" s="99" t="s">
        <v>1219</v>
      </c>
      <c r="C168" s="107">
        <v>1</v>
      </c>
    </row>
    <row r="169" spans="1:3" ht="14.1" hidden="1" customHeight="1" outlineLevel="1">
      <c r="A169" s="544"/>
      <c r="B169" s="99" t="s">
        <v>1220</v>
      </c>
      <c r="C169" s="107">
        <v>1</v>
      </c>
    </row>
    <row r="170" spans="1:3" ht="14.1" hidden="1" customHeight="1" outlineLevel="1">
      <c r="A170" s="544"/>
      <c r="B170" s="99" t="s">
        <v>1221</v>
      </c>
      <c r="C170" s="107">
        <v>1</v>
      </c>
    </row>
    <row r="171" spans="1:3" ht="14.1" hidden="1" customHeight="1" outlineLevel="1">
      <c r="A171" s="544"/>
      <c r="B171" s="99" t="s">
        <v>1222</v>
      </c>
      <c r="C171" s="107">
        <v>1</v>
      </c>
    </row>
    <row r="172" spans="1:3" ht="14.1" hidden="1" customHeight="1" outlineLevel="1">
      <c r="A172" s="544"/>
      <c r="B172" s="99" t="s">
        <v>1223</v>
      </c>
      <c r="C172" s="107">
        <v>1</v>
      </c>
    </row>
    <row r="173" spans="1:3" ht="14.1" hidden="1" customHeight="1" outlineLevel="1">
      <c r="A173" s="544"/>
      <c r="B173" s="99" t="s">
        <v>1224</v>
      </c>
      <c r="C173" s="107">
        <v>1</v>
      </c>
    </row>
    <row r="174" spans="1:3" ht="14.1" hidden="1" customHeight="1" outlineLevel="1">
      <c r="A174" s="544"/>
      <c r="B174" s="99" t="s">
        <v>1225</v>
      </c>
      <c r="C174" s="107">
        <v>1</v>
      </c>
    </row>
    <row r="175" spans="1:3" ht="14.1" hidden="1" customHeight="1" outlineLevel="1">
      <c r="A175" s="544"/>
      <c r="B175" s="99" t="s">
        <v>1226</v>
      </c>
      <c r="C175" s="107">
        <v>1</v>
      </c>
    </row>
    <row r="176" spans="1:3" ht="14.1" hidden="1" customHeight="1" outlineLevel="1">
      <c r="A176" s="544"/>
      <c r="B176" s="99" t="s">
        <v>1227</v>
      </c>
      <c r="C176" s="107">
        <v>1</v>
      </c>
    </row>
    <row r="177" spans="1:3" ht="14.1" hidden="1" customHeight="1" outlineLevel="1">
      <c r="A177" s="544"/>
      <c r="B177" s="99" t="s">
        <v>1228</v>
      </c>
      <c r="C177" s="107">
        <v>1</v>
      </c>
    </row>
    <row r="178" spans="1:3" ht="14.1" hidden="1" customHeight="1" outlineLevel="1">
      <c r="A178" s="544"/>
      <c r="B178" s="99" t="s">
        <v>1229</v>
      </c>
      <c r="C178" s="107">
        <v>1</v>
      </c>
    </row>
    <row r="179" spans="1:3" ht="14.1" hidden="1" customHeight="1" outlineLevel="1">
      <c r="A179" s="544"/>
      <c r="B179" s="99" t="s">
        <v>1230</v>
      </c>
      <c r="C179" s="107">
        <v>1</v>
      </c>
    </row>
    <row r="180" spans="1:3" ht="14.1" hidden="1" customHeight="1" outlineLevel="1">
      <c r="A180" s="544"/>
      <c r="B180" s="99" t="s">
        <v>1231</v>
      </c>
      <c r="C180" s="107">
        <v>1</v>
      </c>
    </row>
    <row r="181" spans="1:3" ht="14.1" hidden="1" customHeight="1" outlineLevel="1">
      <c r="A181" s="544"/>
      <c r="B181" s="99" t="s">
        <v>1232</v>
      </c>
      <c r="C181" s="107">
        <v>1</v>
      </c>
    </row>
    <row r="182" spans="1:3" ht="14.1" hidden="1" customHeight="1" outlineLevel="1">
      <c r="A182" s="544"/>
      <c r="B182" s="99" t="s">
        <v>1233</v>
      </c>
      <c r="C182" s="107">
        <v>1</v>
      </c>
    </row>
    <row r="183" spans="1:3" ht="14.1" hidden="1" customHeight="1" outlineLevel="1">
      <c r="A183" s="544"/>
      <c r="B183" s="99" t="s">
        <v>1234</v>
      </c>
      <c r="C183" s="107">
        <v>1</v>
      </c>
    </row>
    <row r="184" spans="1:3" ht="14.1" hidden="1" customHeight="1" outlineLevel="1">
      <c r="A184" s="544"/>
      <c r="B184" s="99" t="s">
        <v>1235</v>
      </c>
      <c r="C184" s="107">
        <v>1</v>
      </c>
    </row>
    <row r="185" spans="1:3" ht="14.1" hidden="1" customHeight="1" outlineLevel="1">
      <c r="A185" s="544"/>
      <c r="B185" s="99" t="s">
        <v>1236</v>
      </c>
      <c r="C185" s="107">
        <v>1</v>
      </c>
    </row>
    <row r="186" spans="1:3" ht="14.1" hidden="1" customHeight="1" outlineLevel="1">
      <c r="A186" s="544"/>
      <c r="B186" s="99" t="s">
        <v>1237</v>
      </c>
      <c r="C186" s="107">
        <v>1</v>
      </c>
    </row>
    <row r="187" spans="1:3" ht="14.1" hidden="1" customHeight="1" outlineLevel="1">
      <c r="A187" s="544"/>
      <c r="B187" s="99" t="s">
        <v>1238</v>
      </c>
      <c r="C187" s="107">
        <v>1</v>
      </c>
    </row>
    <row r="188" spans="1:3" ht="14.1" hidden="1" customHeight="1" outlineLevel="1">
      <c r="A188" s="544"/>
      <c r="B188" s="99" t="s">
        <v>1239</v>
      </c>
      <c r="C188" s="107">
        <v>1</v>
      </c>
    </row>
    <row r="189" spans="1:3" ht="14.1" hidden="1" customHeight="1" outlineLevel="1">
      <c r="A189" s="544"/>
      <c r="B189" s="99" t="s">
        <v>1240</v>
      </c>
      <c r="C189" s="107">
        <v>1</v>
      </c>
    </row>
    <row r="190" spans="1:3" ht="14.1" hidden="1" customHeight="1" outlineLevel="1">
      <c r="A190" s="544"/>
      <c r="B190" s="99" t="s">
        <v>1241</v>
      </c>
      <c r="C190" s="107">
        <v>1</v>
      </c>
    </row>
    <row r="191" spans="1:3" ht="14.1" hidden="1" customHeight="1" outlineLevel="1">
      <c r="A191" s="544"/>
      <c r="B191" s="99" t="s">
        <v>1242</v>
      </c>
      <c r="C191" s="107">
        <v>0</v>
      </c>
    </row>
    <row r="192" spans="1:3" ht="14.1" hidden="1" customHeight="1" outlineLevel="1">
      <c r="A192" s="544"/>
      <c r="B192" s="99" t="s">
        <v>1243</v>
      </c>
      <c r="C192" s="107">
        <v>1</v>
      </c>
    </row>
    <row r="193" spans="1:3" ht="14.1" hidden="1" customHeight="1" outlineLevel="1">
      <c r="A193" s="544"/>
      <c r="B193" s="99" t="s">
        <v>1244</v>
      </c>
      <c r="C193" s="107">
        <v>1</v>
      </c>
    </row>
    <row r="194" spans="1:3" ht="14.1" hidden="1" customHeight="1" outlineLevel="1">
      <c r="A194" s="544"/>
      <c r="B194" s="99" t="s">
        <v>1245</v>
      </c>
      <c r="C194" s="107">
        <v>1</v>
      </c>
    </row>
    <row r="195" spans="1:3" ht="14.1" hidden="1" customHeight="1" outlineLevel="1">
      <c r="A195" s="544"/>
      <c r="B195" s="99" t="s">
        <v>1246</v>
      </c>
      <c r="C195" s="107">
        <v>1</v>
      </c>
    </row>
    <row r="196" spans="1:3" ht="14.1" hidden="1" customHeight="1" outlineLevel="1">
      <c r="A196" s="544"/>
      <c r="B196" s="99" t="s">
        <v>1247</v>
      </c>
      <c r="C196" s="107">
        <v>1</v>
      </c>
    </row>
    <row r="197" spans="1:3" ht="14.1" hidden="1" customHeight="1" outlineLevel="1">
      <c r="A197" s="544"/>
      <c r="B197" s="99" t="s">
        <v>1248</v>
      </c>
      <c r="C197" s="107">
        <v>1</v>
      </c>
    </row>
    <row r="198" spans="1:3" ht="14.1" hidden="1" customHeight="1" outlineLevel="1">
      <c r="A198" s="544"/>
      <c r="B198" s="99" t="s">
        <v>1249</v>
      </c>
      <c r="C198" s="107">
        <v>1</v>
      </c>
    </row>
    <row r="199" spans="1:3" ht="14.1" hidden="1" customHeight="1" outlineLevel="1">
      <c r="A199" s="544"/>
      <c r="B199" s="99" t="s">
        <v>1250</v>
      </c>
      <c r="C199" s="107">
        <v>1</v>
      </c>
    </row>
    <row r="200" spans="1:3" ht="14.1" hidden="1" customHeight="1" outlineLevel="1">
      <c r="A200" s="544"/>
      <c r="B200" s="99" t="s">
        <v>1251</v>
      </c>
      <c r="C200" s="107">
        <v>1</v>
      </c>
    </row>
    <row r="201" spans="1:3" ht="14.1" hidden="1" customHeight="1" outlineLevel="1">
      <c r="A201" s="544"/>
      <c r="B201" s="99" t="s">
        <v>1252</v>
      </c>
      <c r="C201" s="107">
        <v>1</v>
      </c>
    </row>
    <row r="202" spans="1:3" ht="14.1" hidden="1" customHeight="1" outlineLevel="1">
      <c r="A202" s="544"/>
      <c r="B202" s="99" t="s">
        <v>1253</v>
      </c>
      <c r="C202" s="107">
        <v>1</v>
      </c>
    </row>
    <row r="203" spans="1:3" ht="14.1" hidden="1" customHeight="1" outlineLevel="1">
      <c r="A203" s="544"/>
      <c r="B203" s="99" t="s">
        <v>1254</v>
      </c>
      <c r="C203" s="107">
        <v>1</v>
      </c>
    </row>
    <row r="204" spans="1:3" ht="14.1" hidden="1" customHeight="1" outlineLevel="1">
      <c r="A204" s="544"/>
      <c r="B204" s="99" t="s">
        <v>1255</v>
      </c>
      <c r="C204" s="107">
        <v>1</v>
      </c>
    </row>
    <row r="205" spans="1:3" ht="14.1" hidden="1" customHeight="1" outlineLevel="1">
      <c r="A205" s="544"/>
      <c r="B205" s="99" t="s">
        <v>1256</v>
      </c>
      <c r="C205" s="107">
        <v>0</v>
      </c>
    </row>
    <row r="206" spans="1:3" ht="14.1" hidden="1" customHeight="1" outlineLevel="1">
      <c r="A206" s="544"/>
      <c r="B206" s="99" t="s">
        <v>1257</v>
      </c>
      <c r="C206" s="107">
        <v>1</v>
      </c>
    </row>
    <row r="207" spans="1:3" ht="14.1" hidden="1" customHeight="1" outlineLevel="1">
      <c r="A207" s="544"/>
      <c r="B207" s="99" t="s">
        <v>1258</v>
      </c>
      <c r="C207" s="107">
        <v>1</v>
      </c>
    </row>
    <row r="208" spans="1:3" ht="14.1" hidden="1" customHeight="1" outlineLevel="1">
      <c r="A208" s="544"/>
      <c r="B208" s="99" t="s">
        <v>1259</v>
      </c>
      <c r="C208" s="107">
        <v>1</v>
      </c>
    </row>
    <row r="209" spans="1:3" ht="14.1" hidden="1" customHeight="1" outlineLevel="1">
      <c r="A209" s="544"/>
      <c r="B209" s="99" t="s">
        <v>1260</v>
      </c>
      <c r="C209" s="107">
        <v>1</v>
      </c>
    </row>
    <row r="210" spans="1:3" ht="14.1" hidden="1" customHeight="1" outlineLevel="1">
      <c r="A210" s="544"/>
      <c r="B210" s="99" t="s">
        <v>1261</v>
      </c>
      <c r="C210" s="107">
        <v>1</v>
      </c>
    </row>
    <row r="211" spans="1:3" ht="14.1" hidden="1" customHeight="1" outlineLevel="1">
      <c r="A211" s="544"/>
      <c r="B211" s="99" t="s">
        <v>1262</v>
      </c>
      <c r="C211" s="107">
        <v>1</v>
      </c>
    </row>
    <row r="212" spans="1:3" ht="14.1" hidden="1" customHeight="1" outlineLevel="1">
      <c r="A212" s="544"/>
      <c r="B212" s="99" t="s">
        <v>1263</v>
      </c>
      <c r="C212" s="107">
        <v>1</v>
      </c>
    </row>
    <row r="213" spans="1:3" ht="14.1" hidden="1" customHeight="1" outlineLevel="1">
      <c r="A213" s="544"/>
      <c r="B213" s="99" t="s">
        <v>1264</v>
      </c>
      <c r="C213" s="107">
        <v>1</v>
      </c>
    </row>
    <row r="214" spans="1:3" ht="14.1" hidden="1" customHeight="1" outlineLevel="1">
      <c r="A214" s="544"/>
      <c r="B214" s="99" t="s">
        <v>1265</v>
      </c>
      <c r="C214" s="107">
        <v>1</v>
      </c>
    </row>
    <row r="215" spans="1:3" ht="14.1" hidden="1" customHeight="1" outlineLevel="1">
      <c r="A215" s="544"/>
      <c r="B215" s="99" t="s">
        <v>1266</v>
      </c>
      <c r="C215" s="107">
        <v>1</v>
      </c>
    </row>
    <row r="216" spans="1:3" ht="14.1" hidden="1" customHeight="1" outlineLevel="1">
      <c r="A216" s="544"/>
      <c r="B216" s="99" t="s">
        <v>1267</v>
      </c>
      <c r="C216" s="107">
        <v>1</v>
      </c>
    </row>
    <row r="217" spans="1:3" ht="14.1" hidden="1" customHeight="1" outlineLevel="1">
      <c r="A217" s="544"/>
      <c r="B217" s="99" t="s">
        <v>1268</v>
      </c>
      <c r="C217" s="107">
        <v>1</v>
      </c>
    </row>
    <row r="218" spans="1:3" ht="14.1" hidden="1" customHeight="1" outlineLevel="1">
      <c r="A218" s="544"/>
      <c r="B218" s="99" t="s">
        <v>1269</v>
      </c>
      <c r="C218" s="107">
        <v>1</v>
      </c>
    </row>
    <row r="219" spans="1:3" ht="14.1" hidden="1" customHeight="1" outlineLevel="1">
      <c r="A219" s="544"/>
      <c r="B219" s="99" t="s">
        <v>1270</v>
      </c>
      <c r="C219" s="107">
        <v>1</v>
      </c>
    </row>
    <row r="220" spans="1:3" ht="14.1" hidden="1" customHeight="1" outlineLevel="1">
      <c r="A220" s="544"/>
      <c r="B220" s="99" t="s">
        <v>1271</v>
      </c>
      <c r="C220" s="107">
        <v>1</v>
      </c>
    </row>
    <row r="221" spans="1:3" ht="14.1" hidden="1" customHeight="1" outlineLevel="1">
      <c r="A221" s="544"/>
      <c r="B221" s="99" t="s">
        <v>1272</v>
      </c>
      <c r="C221" s="107">
        <v>1</v>
      </c>
    </row>
    <row r="222" spans="1:3" ht="14.1" hidden="1" customHeight="1" outlineLevel="1">
      <c r="A222" s="544"/>
      <c r="B222" s="99" t="s">
        <v>1273</v>
      </c>
      <c r="C222" s="107">
        <v>1</v>
      </c>
    </row>
    <row r="223" spans="1:3" ht="14.1" hidden="1" customHeight="1" outlineLevel="1">
      <c r="A223" s="544"/>
      <c r="B223" s="99" t="s">
        <v>1274</v>
      </c>
      <c r="C223" s="107">
        <v>1</v>
      </c>
    </row>
    <row r="224" spans="1:3" ht="14.1" hidden="1" customHeight="1" outlineLevel="1">
      <c r="A224" s="544"/>
      <c r="B224" s="99" t="s">
        <v>1275</v>
      </c>
      <c r="C224" s="107">
        <v>1</v>
      </c>
    </row>
    <row r="225" spans="1:3" ht="14.1" hidden="1" customHeight="1" outlineLevel="1">
      <c r="A225" s="544"/>
      <c r="B225" s="99" t="s">
        <v>1276</v>
      </c>
      <c r="C225" s="107">
        <v>1</v>
      </c>
    </row>
    <row r="226" spans="1:3" ht="14.1" hidden="1" customHeight="1" outlineLevel="1">
      <c r="A226" s="544"/>
      <c r="B226" s="99" t="s">
        <v>1277</v>
      </c>
      <c r="C226" s="107">
        <v>1</v>
      </c>
    </row>
    <row r="227" spans="1:3" ht="14.1" hidden="1" customHeight="1" outlineLevel="1">
      <c r="A227" s="544"/>
      <c r="B227" s="99" t="s">
        <v>1278</v>
      </c>
      <c r="C227" s="107">
        <v>1</v>
      </c>
    </row>
    <row r="228" spans="1:3" ht="14.1" hidden="1" customHeight="1" outlineLevel="1">
      <c r="A228" s="544"/>
      <c r="B228" s="99" t="s">
        <v>1279</v>
      </c>
      <c r="C228" s="107">
        <v>1</v>
      </c>
    </row>
    <row r="229" spans="1:3" ht="14.1" hidden="1" customHeight="1" outlineLevel="1">
      <c r="A229" s="544"/>
      <c r="B229" s="99" t="s">
        <v>1280</v>
      </c>
      <c r="C229" s="107">
        <v>1</v>
      </c>
    </row>
    <row r="230" spans="1:3" ht="14.1" hidden="1" customHeight="1" outlineLevel="1">
      <c r="A230" s="544"/>
      <c r="B230" s="99" t="s">
        <v>1281</v>
      </c>
      <c r="C230" s="107">
        <v>1</v>
      </c>
    </row>
    <row r="231" spans="1:3" ht="14.1" hidden="1" customHeight="1" outlineLevel="1">
      <c r="A231" s="544"/>
      <c r="B231" s="99" t="s">
        <v>1282</v>
      </c>
      <c r="C231" s="107">
        <v>1</v>
      </c>
    </row>
    <row r="232" spans="1:3" ht="14.1" hidden="1" customHeight="1" outlineLevel="1">
      <c r="A232" s="544"/>
      <c r="B232" s="99" t="s">
        <v>1283</v>
      </c>
      <c r="C232" s="107">
        <v>0</v>
      </c>
    </row>
    <row r="233" spans="1:3" ht="14.1" hidden="1" customHeight="1" outlineLevel="1">
      <c r="A233" s="544"/>
      <c r="B233" s="99" t="s">
        <v>1284</v>
      </c>
      <c r="C233" s="107">
        <v>1</v>
      </c>
    </row>
    <row r="234" spans="1:3" ht="14.1" hidden="1" customHeight="1" outlineLevel="1">
      <c r="A234" s="544"/>
      <c r="B234" s="99" t="s">
        <v>1285</v>
      </c>
      <c r="C234" s="107">
        <v>1</v>
      </c>
    </row>
    <row r="235" spans="1:3" ht="14.1" hidden="1" customHeight="1" outlineLevel="1">
      <c r="A235" s="544"/>
      <c r="B235" s="99" t="s">
        <v>1286</v>
      </c>
      <c r="C235" s="107">
        <v>1</v>
      </c>
    </row>
    <row r="236" spans="1:3" ht="14.1" hidden="1" customHeight="1" outlineLevel="1">
      <c r="A236" s="544"/>
      <c r="B236" s="99" t="s">
        <v>1287</v>
      </c>
      <c r="C236" s="107">
        <v>1</v>
      </c>
    </row>
    <row r="237" spans="1:3" ht="14.1" hidden="1" customHeight="1" outlineLevel="1">
      <c r="A237" s="544"/>
      <c r="B237" s="99" t="s">
        <v>1288</v>
      </c>
      <c r="C237" s="107">
        <v>1</v>
      </c>
    </row>
    <row r="238" spans="1:3" ht="14.1" hidden="1" customHeight="1" outlineLevel="1">
      <c r="A238" s="544"/>
      <c r="B238" s="99" t="s">
        <v>1289</v>
      </c>
      <c r="C238" s="107">
        <v>1</v>
      </c>
    </row>
    <row r="239" spans="1:3" ht="14.1" hidden="1" customHeight="1" outlineLevel="1">
      <c r="A239" s="544"/>
      <c r="B239" s="99" t="s">
        <v>1290</v>
      </c>
      <c r="C239" s="107">
        <v>1</v>
      </c>
    </row>
    <row r="240" spans="1:3" ht="14.1" hidden="1" customHeight="1" outlineLevel="1">
      <c r="A240" s="544"/>
      <c r="B240" s="99" t="s">
        <v>1291</v>
      </c>
      <c r="C240" s="107">
        <v>1</v>
      </c>
    </row>
    <row r="241" spans="1:3" ht="14.1" hidden="1" customHeight="1" outlineLevel="1">
      <c r="A241" s="544"/>
      <c r="B241" s="99" t="s">
        <v>1292</v>
      </c>
      <c r="C241" s="107">
        <v>1</v>
      </c>
    </row>
    <row r="242" spans="1:3" ht="14.1" hidden="1" customHeight="1" outlineLevel="1">
      <c r="A242" s="544"/>
      <c r="B242" s="99" t="s">
        <v>1293</v>
      </c>
      <c r="C242" s="107">
        <v>1</v>
      </c>
    </row>
    <row r="243" spans="1:3" ht="14.1" hidden="1" customHeight="1" outlineLevel="1">
      <c r="A243" s="544"/>
      <c r="B243" s="99" t="s">
        <v>1294</v>
      </c>
      <c r="C243" s="107">
        <v>1</v>
      </c>
    </row>
    <row r="244" spans="1:3" ht="14.1" hidden="1" customHeight="1" outlineLevel="1">
      <c r="A244" s="544"/>
      <c r="B244" s="99" t="s">
        <v>1295</v>
      </c>
      <c r="C244" s="107">
        <v>1</v>
      </c>
    </row>
    <row r="245" spans="1:3" ht="14.1" hidden="1" customHeight="1" outlineLevel="1">
      <c r="A245" s="544"/>
      <c r="B245" s="99" t="s">
        <v>1296</v>
      </c>
      <c r="C245" s="107">
        <v>1</v>
      </c>
    </row>
    <row r="246" spans="1:3" ht="14.1" hidden="1" customHeight="1" outlineLevel="1">
      <c r="A246" s="544"/>
      <c r="B246" s="99" t="s">
        <v>1297</v>
      </c>
      <c r="C246" s="107">
        <v>1</v>
      </c>
    </row>
    <row r="247" spans="1:3" ht="14.1" hidden="1" customHeight="1" outlineLevel="1">
      <c r="A247" s="544"/>
      <c r="B247" s="99" t="s">
        <v>1298</v>
      </c>
      <c r="C247" s="107">
        <v>1</v>
      </c>
    </row>
    <row r="248" spans="1:3" ht="14.1" hidden="1" customHeight="1" outlineLevel="1">
      <c r="A248" s="544"/>
      <c r="B248" s="99" t="s">
        <v>1299</v>
      </c>
      <c r="C248" s="107">
        <v>1</v>
      </c>
    </row>
    <row r="249" spans="1:3" ht="14.1" hidden="1" customHeight="1" outlineLevel="1">
      <c r="A249" s="544"/>
      <c r="B249" s="99" t="s">
        <v>1300</v>
      </c>
      <c r="C249" s="107">
        <v>1</v>
      </c>
    </row>
    <row r="250" spans="1:3" ht="14.1" hidden="1" customHeight="1" outlineLevel="1">
      <c r="A250" s="544"/>
      <c r="B250" s="99" t="s">
        <v>1301</v>
      </c>
      <c r="C250" s="107">
        <v>1</v>
      </c>
    </row>
    <row r="251" spans="1:3" ht="14.1" hidden="1" customHeight="1" outlineLevel="1">
      <c r="A251" s="544"/>
      <c r="B251" s="99" t="s">
        <v>1302</v>
      </c>
      <c r="C251" s="107">
        <v>0</v>
      </c>
    </row>
    <row r="252" spans="1:3" ht="14.1" customHeight="1" collapsed="1">
      <c r="A252" s="544"/>
      <c r="B252" s="99" t="s">
        <v>1303</v>
      </c>
      <c r="C252" s="107">
        <v>1</v>
      </c>
    </row>
    <row r="253" spans="1:3" ht="14.1" customHeight="1">
      <c r="A253" s="544"/>
      <c r="B253" s="99" t="s">
        <v>1304</v>
      </c>
      <c r="C253" s="107">
        <v>1</v>
      </c>
    </row>
    <row r="254" spans="1:3" ht="14.1" customHeight="1">
      <c r="A254" s="544"/>
      <c r="B254" s="99" t="s">
        <v>1305</v>
      </c>
      <c r="C254" s="107">
        <v>1</v>
      </c>
    </row>
    <row r="255" spans="1:3" ht="14.1" customHeight="1">
      <c r="A255" s="544"/>
      <c r="B255" s="99" t="s">
        <v>1306</v>
      </c>
      <c r="C255" s="107">
        <v>1</v>
      </c>
    </row>
    <row r="256" spans="1:3" ht="14.1" customHeight="1">
      <c r="A256" s="544"/>
      <c r="B256" s="99" t="s">
        <v>1307</v>
      </c>
      <c r="C256" s="107">
        <v>1</v>
      </c>
    </row>
    <row r="257" spans="1:3" ht="14.1" customHeight="1">
      <c r="A257" s="544"/>
      <c r="B257" s="159" t="s">
        <v>982</v>
      </c>
      <c r="C257" s="107">
        <v>0.5</v>
      </c>
    </row>
    <row r="258" spans="1:3" ht="14.1" customHeight="1">
      <c r="A258" s="544"/>
      <c r="B258" s="159" t="str">
        <f>""</f>
        <v/>
      </c>
      <c r="C258" s="234">
        <v>0</v>
      </c>
    </row>
    <row r="259" spans="1:3" ht="14.1" customHeight="1">
      <c r="A259" s="616" t="s">
        <v>1317</v>
      </c>
      <c r="B259" s="159" t="s">
        <v>1319</v>
      </c>
      <c r="C259" s="234">
        <v>1</v>
      </c>
    </row>
    <row r="260" spans="1:3" ht="14.1" customHeight="1">
      <c r="A260" s="617"/>
      <c r="B260" s="159" t="s">
        <v>1320</v>
      </c>
      <c r="C260" s="107">
        <v>0.9</v>
      </c>
    </row>
    <row r="261" spans="1:3" ht="14.1" customHeight="1">
      <c r="A261" s="617"/>
      <c r="B261" s="159" t="s">
        <v>1321</v>
      </c>
      <c r="C261" s="107">
        <v>0.5</v>
      </c>
    </row>
    <row r="262" spans="1:3" ht="14.1" customHeight="1">
      <c r="A262" s="617"/>
      <c r="B262" s="159" t="s">
        <v>1323</v>
      </c>
      <c r="C262" s="107">
        <v>0.5</v>
      </c>
    </row>
    <row r="263" spans="1:3" ht="14.1" customHeight="1">
      <c r="A263" s="617"/>
      <c r="B263" s="159" t="s">
        <v>1324</v>
      </c>
      <c r="C263" s="107">
        <v>0.5</v>
      </c>
    </row>
    <row r="264" spans="1:3" ht="14.1" customHeight="1">
      <c r="A264" s="617"/>
      <c r="B264" s="159" t="s">
        <v>1322</v>
      </c>
      <c r="C264" s="107">
        <v>0.1</v>
      </c>
    </row>
    <row r="265" spans="1:3" ht="14.1" customHeight="1">
      <c r="A265" s="617"/>
      <c r="B265" s="159" t="s">
        <v>1325</v>
      </c>
      <c r="C265" s="107">
        <v>0.5</v>
      </c>
    </row>
    <row r="266" spans="1:3" ht="14.1" customHeight="1">
      <c r="A266" s="617"/>
      <c r="B266" s="159" t="s">
        <v>982</v>
      </c>
      <c r="C266" s="107">
        <v>0.1</v>
      </c>
    </row>
    <row r="267" spans="1:3" ht="14.1" customHeight="1">
      <c r="A267" s="618"/>
      <c r="B267" s="159" t="str">
        <f>""</f>
        <v/>
      </c>
      <c r="C267" s="234">
        <v>0</v>
      </c>
    </row>
    <row r="268" spans="1:3" ht="14.1" customHeight="1">
      <c r="A268" s="543" t="s">
        <v>1334</v>
      </c>
      <c r="B268" s="99" t="s">
        <v>966</v>
      </c>
      <c r="C268" s="107">
        <v>0</v>
      </c>
    </row>
    <row r="269" spans="1:3" ht="14.1" customHeight="1">
      <c r="A269" s="543"/>
      <c r="B269" s="99" t="s">
        <v>967</v>
      </c>
      <c r="C269" s="107">
        <v>0.25</v>
      </c>
    </row>
    <row r="270" spans="1:3" ht="14.1" customHeight="1">
      <c r="A270" s="543"/>
      <c r="B270" s="99" t="s">
        <v>968</v>
      </c>
      <c r="C270" s="107">
        <v>0.75</v>
      </c>
    </row>
    <row r="271" spans="1:3" ht="14.1" customHeight="1">
      <c r="A271" s="543"/>
      <c r="B271" s="99" t="s">
        <v>969</v>
      </c>
      <c r="C271" s="107">
        <v>0.9</v>
      </c>
    </row>
    <row r="272" spans="1:3" ht="14.1" customHeight="1">
      <c r="A272" s="543"/>
      <c r="B272" s="159" t="s">
        <v>1333</v>
      </c>
      <c r="C272" s="107">
        <v>1</v>
      </c>
    </row>
    <row r="273" spans="1:3" ht="14.1" customHeight="1">
      <c r="A273" s="543"/>
      <c r="B273" s="159" t="s">
        <v>982</v>
      </c>
      <c r="C273" s="107">
        <v>0.25</v>
      </c>
    </row>
    <row r="274" spans="1:3" ht="14.1" customHeight="1">
      <c r="A274" s="543"/>
      <c r="B274" s="159" t="str">
        <f>""</f>
        <v/>
      </c>
      <c r="C274" s="234">
        <v>0</v>
      </c>
    </row>
    <row r="275" spans="1:3" ht="14.1" customHeight="1">
      <c r="A275" s="543" t="s">
        <v>1345</v>
      </c>
      <c r="B275" s="99" t="s">
        <v>974</v>
      </c>
      <c r="C275" s="107">
        <v>0</v>
      </c>
    </row>
    <row r="276" spans="1:3" ht="14.1" customHeight="1">
      <c r="A276" s="543"/>
      <c r="B276" s="99" t="s">
        <v>975</v>
      </c>
      <c r="C276" s="107">
        <v>0.1</v>
      </c>
    </row>
    <row r="277" spans="1:3" ht="14.1" customHeight="1">
      <c r="A277" s="543"/>
      <c r="B277" s="99" t="s">
        <v>976</v>
      </c>
      <c r="C277" s="107">
        <v>0.5</v>
      </c>
    </row>
    <row r="278" spans="1:3" ht="14.1" customHeight="1">
      <c r="A278" s="543"/>
      <c r="B278" s="99" t="s">
        <v>977</v>
      </c>
      <c r="C278" s="107">
        <v>1</v>
      </c>
    </row>
    <row r="279" spans="1:3" ht="14.1" customHeight="1">
      <c r="A279" s="543"/>
      <c r="B279" s="99" t="s">
        <v>1346</v>
      </c>
      <c r="C279" s="107">
        <v>0.1</v>
      </c>
    </row>
    <row r="280" spans="1:3" ht="14.1" customHeight="1">
      <c r="A280" s="543"/>
      <c r="B280" s="99" t="s">
        <v>1347</v>
      </c>
      <c r="C280" s="107">
        <v>0.5</v>
      </c>
    </row>
    <row r="281" spans="1:3" ht="14.1" customHeight="1">
      <c r="A281" s="543"/>
      <c r="B281" s="159" t="str">
        <f>""</f>
        <v/>
      </c>
      <c r="C281" s="234">
        <v>0</v>
      </c>
    </row>
    <row r="282" spans="1:3" ht="14.1" customHeight="1">
      <c r="A282" s="616" t="s">
        <v>2053</v>
      </c>
      <c r="B282" s="159" t="s">
        <v>2054</v>
      </c>
      <c r="C282" s="107">
        <v>0</v>
      </c>
    </row>
    <row r="283" spans="1:3" ht="14.1" customHeight="1">
      <c r="A283" s="617"/>
      <c r="B283" s="159" t="s">
        <v>2055</v>
      </c>
      <c r="C283" s="107">
        <v>0.25</v>
      </c>
    </row>
    <row r="284" spans="1:3" ht="14.1" customHeight="1">
      <c r="A284" s="617"/>
      <c r="B284" s="437" t="s">
        <v>2056</v>
      </c>
      <c r="C284" s="107">
        <v>0.5</v>
      </c>
    </row>
    <row r="285" spans="1:3" ht="14.1" customHeight="1">
      <c r="A285" s="617"/>
      <c r="B285" s="437" t="s">
        <v>2057</v>
      </c>
      <c r="C285" s="107">
        <v>1</v>
      </c>
    </row>
    <row r="286" spans="1:3" ht="14.1" customHeight="1">
      <c r="A286" s="617"/>
      <c r="B286" s="437" t="s">
        <v>2058</v>
      </c>
      <c r="C286" s="107">
        <v>1</v>
      </c>
    </row>
    <row r="287" spans="1:3" ht="14.1" customHeight="1">
      <c r="A287" s="617"/>
      <c r="B287" s="437" t="s">
        <v>2059</v>
      </c>
      <c r="C287" s="107">
        <v>0.75</v>
      </c>
    </row>
    <row r="288" spans="1:3" ht="14.1" customHeight="1">
      <c r="A288" s="617"/>
      <c r="B288" s="437" t="s">
        <v>2065</v>
      </c>
      <c r="C288" s="107">
        <v>0</v>
      </c>
    </row>
    <row r="289" spans="1:3" ht="14.1" customHeight="1">
      <c r="A289" s="618"/>
      <c r="B289" s="159" t="str">
        <f>""</f>
        <v/>
      </c>
      <c r="C289" s="234">
        <v>0</v>
      </c>
    </row>
    <row r="290" spans="1:3" ht="14.1" customHeight="1">
      <c r="A290" s="616" t="s">
        <v>2067</v>
      </c>
      <c r="B290" s="159" t="s">
        <v>2068</v>
      </c>
      <c r="C290" s="107">
        <v>0</v>
      </c>
    </row>
    <row r="291" spans="1:3" ht="14.1" customHeight="1">
      <c r="A291" s="617"/>
      <c r="B291" s="159" t="s">
        <v>2055</v>
      </c>
      <c r="C291" s="107">
        <v>0.25</v>
      </c>
    </row>
    <row r="292" spans="1:3" ht="14.1" customHeight="1">
      <c r="A292" s="617"/>
      <c r="B292" s="437" t="s">
        <v>2056</v>
      </c>
      <c r="C292" s="107">
        <v>0.5</v>
      </c>
    </row>
    <row r="293" spans="1:3" ht="14.1" customHeight="1">
      <c r="A293" s="617"/>
      <c r="B293" s="437" t="s">
        <v>2057</v>
      </c>
      <c r="C293" s="107">
        <v>1</v>
      </c>
    </row>
    <row r="294" spans="1:3" ht="14.1" customHeight="1">
      <c r="A294" s="617"/>
      <c r="B294" s="437" t="s">
        <v>2058</v>
      </c>
      <c r="C294" s="107">
        <v>1</v>
      </c>
    </row>
    <row r="295" spans="1:3" ht="14.1" customHeight="1">
      <c r="A295" s="617"/>
      <c r="B295" s="437" t="s">
        <v>2059</v>
      </c>
      <c r="C295" s="107">
        <v>0.75</v>
      </c>
    </row>
    <row r="296" spans="1:3" ht="14.1" customHeight="1">
      <c r="A296" s="617"/>
      <c r="B296" s="437" t="s">
        <v>2065</v>
      </c>
      <c r="C296" s="107">
        <v>0</v>
      </c>
    </row>
    <row r="297" spans="1:3" ht="14.1" customHeight="1">
      <c r="A297" s="618"/>
      <c r="B297" s="159" t="str">
        <f>""</f>
        <v/>
      </c>
      <c r="C297" s="234">
        <v>0</v>
      </c>
    </row>
    <row r="298" spans="1:3" ht="14.1" customHeight="1">
      <c r="A298" s="616" t="s">
        <v>2066</v>
      </c>
      <c r="B298" s="438">
        <v>1</v>
      </c>
      <c r="C298" s="107">
        <v>0.1</v>
      </c>
    </row>
    <row r="299" spans="1:3" ht="14.1" customHeight="1">
      <c r="A299" s="617"/>
      <c r="B299" s="439" t="s">
        <v>2060</v>
      </c>
      <c r="C299" s="107">
        <v>0.25</v>
      </c>
    </row>
    <row r="300" spans="1:3" ht="14.1" customHeight="1">
      <c r="A300" s="617"/>
      <c r="B300" s="439" t="s">
        <v>2061</v>
      </c>
      <c r="C300" s="107">
        <v>0.5</v>
      </c>
    </row>
    <row r="301" spans="1:3" ht="14.1" customHeight="1">
      <c r="A301" s="617"/>
      <c r="B301" s="439" t="s">
        <v>2062</v>
      </c>
      <c r="C301" s="107">
        <v>0.75</v>
      </c>
    </row>
    <row r="302" spans="1:3" ht="14.1" customHeight="1">
      <c r="A302" s="617"/>
      <c r="B302" s="439" t="s">
        <v>2063</v>
      </c>
      <c r="C302" s="107">
        <v>1</v>
      </c>
    </row>
    <row r="303" spans="1:3" ht="14.1" customHeight="1">
      <c r="A303" s="617"/>
      <c r="B303" s="439" t="s">
        <v>2064</v>
      </c>
      <c r="C303" s="107">
        <v>0.75</v>
      </c>
    </row>
    <row r="304" spans="1:3" ht="14.1" customHeight="1">
      <c r="A304" s="617"/>
      <c r="B304" s="437" t="s">
        <v>2065</v>
      </c>
      <c r="C304" s="107">
        <v>0</v>
      </c>
    </row>
    <row r="305" spans="1:4" ht="14.1" customHeight="1">
      <c r="A305" s="618"/>
      <c r="B305" s="159" t="str">
        <f>""</f>
        <v/>
      </c>
      <c r="C305" s="234">
        <v>0</v>
      </c>
    </row>
    <row r="306" spans="1:4" ht="14.1" customHeight="1">
      <c r="A306" s="543" t="s">
        <v>2175</v>
      </c>
      <c r="B306" s="99" t="s">
        <v>1352</v>
      </c>
      <c r="C306" s="107">
        <v>0</v>
      </c>
    </row>
    <row r="307" spans="1:4" ht="14.1" customHeight="1">
      <c r="A307" s="543"/>
      <c r="B307" s="99" t="s">
        <v>1353</v>
      </c>
      <c r="C307" s="107">
        <v>0</v>
      </c>
    </row>
    <row r="308" spans="1:4" ht="14.1" customHeight="1">
      <c r="A308" s="543"/>
      <c r="B308" s="99" t="s">
        <v>1354</v>
      </c>
      <c r="C308" s="107">
        <v>0.1</v>
      </c>
    </row>
    <row r="309" spans="1:4" ht="14.1" customHeight="1">
      <c r="A309" s="543"/>
      <c r="B309" s="99" t="s">
        <v>1355</v>
      </c>
      <c r="C309" s="107">
        <v>0.1</v>
      </c>
    </row>
    <row r="310" spans="1:4" ht="14.1" customHeight="1">
      <c r="A310" s="543"/>
      <c r="B310" s="99" t="s">
        <v>1356</v>
      </c>
      <c r="C310" s="107">
        <v>0.1</v>
      </c>
    </row>
    <row r="311" spans="1:4" ht="14.1" customHeight="1">
      <c r="A311" s="543"/>
      <c r="B311" s="99" t="s">
        <v>1357</v>
      </c>
      <c r="C311" s="107">
        <v>1</v>
      </c>
    </row>
    <row r="312" spans="1:4" ht="14.1" customHeight="1">
      <c r="A312" s="543"/>
      <c r="B312" s="159" t="str">
        <f>""</f>
        <v/>
      </c>
      <c r="C312" s="234">
        <v>0</v>
      </c>
    </row>
    <row r="313" spans="1:4" ht="14.1" customHeight="1">
      <c r="A313" s="616" t="s">
        <v>1369</v>
      </c>
      <c r="B313" s="159" t="s">
        <v>1358</v>
      </c>
      <c r="C313" s="107">
        <v>1</v>
      </c>
      <c r="D313" s="102" t="s">
        <v>1371</v>
      </c>
    </row>
    <row r="314" spans="1:4" ht="14.1" customHeight="1">
      <c r="A314" s="617"/>
      <c r="B314" s="159" t="s">
        <v>1359</v>
      </c>
      <c r="C314" s="107">
        <v>0.75</v>
      </c>
    </row>
    <row r="315" spans="1:4" ht="14.1" customHeight="1">
      <c r="A315" s="617"/>
      <c r="B315" s="159" t="s">
        <v>1361</v>
      </c>
      <c r="C315" s="107">
        <v>0.5</v>
      </c>
    </row>
    <row r="316" spans="1:4" ht="14.1" customHeight="1">
      <c r="A316" s="617"/>
      <c r="B316" s="159" t="s">
        <v>1362</v>
      </c>
      <c r="C316" s="107">
        <v>0</v>
      </c>
    </row>
    <row r="317" spans="1:4" ht="14.1" customHeight="1">
      <c r="A317" s="617"/>
      <c r="B317" s="159" t="s">
        <v>1363</v>
      </c>
      <c r="C317" s="107">
        <v>0.5</v>
      </c>
    </row>
    <row r="318" spans="1:4" ht="14.1" customHeight="1">
      <c r="A318" s="617"/>
      <c r="B318" s="159" t="s">
        <v>1364</v>
      </c>
      <c r="C318" s="107">
        <v>0.5</v>
      </c>
    </row>
    <row r="319" spans="1:4" ht="14.1" customHeight="1">
      <c r="A319" s="617"/>
      <c r="B319" s="159" t="s">
        <v>1365</v>
      </c>
      <c r="C319" s="107">
        <v>1</v>
      </c>
    </row>
    <row r="320" spans="1:4" ht="14.1" customHeight="1">
      <c r="A320" s="617"/>
      <c r="B320" s="159" t="s">
        <v>1367</v>
      </c>
      <c r="C320" s="107">
        <v>0.5</v>
      </c>
    </row>
    <row r="321" spans="1:4" ht="14.1" customHeight="1">
      <c r="A321" s="617"/>
      <c r="B321" s="159" t="s">
        <v>1366</v>
      </c>
      <c r="C321" s="107">
        <v>0.5</v>
      </c>
    </row>
    <row r="322" spans="1:4" ht="14.1" customHeight="1">
      <c r="A322" s="617"/>
      <c r="B322" s="159" t="s">
        <v>1368</v>
      </c>
      <c r="C322" s="107">
        <v>0</v>
      </c>
    </row>
    <row r="323" spans="1:4" ht="14.1" customHeight="1">
      <c r="A323" s="618"/>
      <c r="B323" s="159" t="str">
        <f>""</f>
        <v/>
      </c>
      <c r="C323" s="234">
        <v>0</v>
      </c>
    </row>
    <row r="324" spans="1:4" ht="14.1" customHeight="1">
      <c r="A324" s="616" t="s">
        <v>1370</v>
      </c>
      <c r="B324" s="159" t="s">
        <v>1358</v>
      </c>
      <c r="C324" s="107">
        <v>0</v>
      </c>
      <c r="D324" s="102" t="s">
        <v>1372</v>
      </c>
    </row>
    <row r="325" spans="1:4" ht="14.1" customHeight="1">
      <c r="A325" s="617"/>
      <c r="B325" s="159" t="s">
        <v>1359</v>
      </c>
      <c r="C325" s="107">
        <v>0.25</v>
      </c>
    </row>
    <row r="326" spans="1:4" ht="14.1" customHeight="1">
      <c r="A326" s="617"/>
      <c r="B326" s="159" t="s">
        <v>1361</v>
      </c>
      <c r="C326" s="107">
        <v>0.25</v>
      </c>
    </row>
    <row r="327" spans="1:4" ht="14.1" customHeight="1">
      <c r="A327" s="617"/>
      <c r="B327" s="159" t="s">
        <v>1362</v>
      </c>
      <c r="C327" s="107">
        <v>0</v>
      </c>
    </row>
    <row r="328" spans="1:4" ht="14.1" customHeight="1">
      <c r="A328" s="617"/>
      <c r="B328" s="159" t="s">
        <v>1363</v>
      </c>
      <c r="C328" s="107">
        <v>0.25</v>
      </c>
    </row>
    <row r="329" spans="1:4" ht="14.1" customHeight="1">
      <c r="A329" s="617"/>
      <c r="B329" s="159" t="s">
        <v>1364</v>
      </c>
      <c r="C329" s="107">
        <v>0.5</v>
      </c>
    </row>
    <row r="330" spans="1:4" ht="14.1" customHeight="1">
      <c r="A330" s="617"/>
      <c r="B330" s="159" t="s">
        <v>1365</v>
      </c>
      <c r="C330" s="107">
        <v>1</v>
      </c>
    </row>
    <row r="331" spans="1:4" ht="14.1" customHeight="1">
      <c r="A331" s="617"/>
      <c r="B331" s="159" t="s">
        <v>1367</v>
      </c>
      <c r="C331" s="107">
        <v>0.25</v>
      </c>
    </row>
    <row r="332" spans="1:4" ht="14.1" customHeight="1">
      <c r="A332" s="617"/>
      <c r="B332" s="159" t="s">
        <v>1366</v>
      </c>
      <c r="C332" s="107">
        <v>0.25</v>
      </c>
    </row>
    <row r="333" spans="1:4" ht="14.1" customHeight="1">
      <c r="A333" s="617"/>
      <c r="B333" s="159" t="s">
        <v>1368</v>
      </c>
      <c r="C333" s="107">
        <v>0</v>
      </c>
    </row>
    <row r="334" spans="1:4" ht="14.1" customHeight="1">
      <c r="A334" s="618"/>
      <c r="B334" s="159" t="str">
        <f>""</f>
        <v/>
      </c>
      <c r="C334" s="234">
        <v>0</v>
      </c>
    </row>
    <row r="335" spans="1:4" ht="14.1" customHeight="1">
      <c r="A335" s="543" t="s">
        <v>1374</v>
      </c>
      <c r="B335" s="159" t="s">
        <v>1375</v>
      </c>
      <c r="C335" s="107">
        <v>1</v>
      </c>
    </row>
    <row r="336" spans="1:4" ht="14.1" customHeight="1">
      <c r="A336" s="543"/>
      <c r="B336" s="159" t="s">
        <v>1376</v>
      </c>
      <c r="C336" s="107">
        <v>0.9</v>
      </c>
    </row>
    <row r="337" spans="1:4" ht="14.1" customHeight="1">
      <c r="A337" s="543"/>
      <c r="B337" s="159" t="s">
        <v>1380</v>
      </c>
      <c r="C337" s="107">
        <v>0.9</v>
      </c>
    </row>
    <row r="338" spans="1:4" ht="14.1" customHeight="1">
      <c r="A338" s="543"/>
      <c r="B338" s="159" t="s">
        <v>1377</v>
      </c>
      <c r="C338" s="107">
        <v>0.5</v>
      </c>
    </row>
    <row r="339" spans="1:4" ht="14.1" customHeight="1">
      <c r="A339" s="543"/>
      <c r="B339" s="159" t="s">
        <v>1378</v>
      </c>
      <c r="C339" s="107">
        <v>0.5</v>
      </c>
    </row>
    <row r="340" spans="1:4" ht="14.1" customHeight="1">
      <c r="A340" s="543"/>
      <c r="B340" s="159" t="s">
        <v>1379</v>
      </c>
      <c r="C340" s="107">
        <v>0.5</v>
      </c>
    </row>
    <row r="341" spans="1:4" ht="14.1" customHeight="1">
      <c r="A341" s="543"/>
      <c r="B341" s="159" t="s">
        <v>1110</v>
      </c>
      <c r="C341" s="107">
        <v>0.5</v>
      </c>
    </row>
    <row r="342" spans="1:4" ht="14.1" customHeight="1">
      <c r="A342" s="543"/>
      <c r="B342" s="159" t="s">
        <v>982</v>
      </c>
      <c r="C342" s="107">
        <v>0.25</v>
      </c>
    </row>
    <row r="343" spans="1:4" ht="14.1" customHeight="1">
      <c r="A343" s="543"/>
      <c r="B343" s="159" t="s">
        <v>1381</v>
      </c>
      <c r="C343" s="107">
        <v>0</v>
      </c>
    </row>
    <row r="344" spans="1:4" ht="14.1" customHeight="1">
      <c r="A344" s="543"/>
      <c r="B344" s="159" t="str">
        <f>""</f>
        <v/>
      </c>
      <c r="C344" s="234">
        <v>0</v>
      </c>
    </row>
    <row r="345" spans="1:4" ht="14.1" customHeight="1">
      <c r="A345" s="616" t="s">
        <v>1460</v>
      </c>
      <c r="B345" s="159" t="s">
        <v>1455</v>
      </c>
      <c r="C345" s="107">
        <v>1</v>
      </c>
      <c r="D345" s="102" t="s">
        <v>1546</v>
      </c>
    </row>
    <row r="346" spans="1:4" ht="14.1" customHeight="1">
      <c r="A346" s="617"/>
      <c r="B346" s="159" t="s">
        <v>1456</v>
      </c>
      <c r="C346" s="107">
        <v>1</v>
      </c>
    </row>
    <row r="347" spans="1:4" ht="14.1" customHeight="1">
      <c r="A347" s="617"/>
      <c r="B347" s="159" t="s">
        <v>1457</v>
      </c>
      <c r="C347" s="107">
        <v>1</v>
      </c>
    </row>
    <row r="348" spans="1:4" ht="14.1" customHeight="1">
      <c r="A348" s="617"/>
      <c r="B348" s="159" t="s">
        <v>1458</v>
      </c>
      <c r="C348" s="107">
        <v>1</v>
      </c>
    </row>
    <row r="349" spans="1:4" ht="14.1" customHeight="1">
      <c r="A349" s="617"/>
      <c r="B349" s="159" t="s">
        <v>1459</v>
      </c>
      <c r="C349" s="107">
        <v>1</v>
      </c>
    </row>
    <row r="350" spans="1:4" ht="14.1" customHeight="1">
      <c r="A350" s="618"/>
      <c r="B350" s="159" t="str">
        <f>""</f>
        <v/>
      </c>
      <c r="C350" s="107">
        <v>0</v>
      </c>
    </row>
    <row r="351" spans="1:4" ht="14.1" customHeight="1">
      <c r="A351" s="616" t="s">
        <v>1417</v>
      </c>
      <c r="B351" s="159" t="s">
        <v>1409</v>
      </c>
      <c r="C351" s="107">
        <v>0.5</v>
      </c>
      <c r="D351" s="102" t="s">
        <v>2177</v>
      </c>
    </row>
    <row r="352" spans="1:4" ht="14.1" customHeight="1">
      <c r="A352" s="617"/>
      <c r="B352" s="159" t="s">
        <v>1418</v>
      </c>
      <c r="C352" s="107">
        <v>0.5</v>
      </c>
    </row>
    <row r="353" spans="1:4" ht="14.1" customHeight="1">
      <c r="A353" s="617"/>
      <c r="B353" s="159" t="s">
        <v>2108</v>
      </c>
      <c r="C353" s="107">
        <v>0.5</v>
      </c>
    </row>
    <row r="354" spans="1:4" ht="14.1" customHeight="1">
      <c r="A354" s="617"/>
      <c r="B354" s="159" t="s">
        <v>957</v>
      </c>
      <c r="C354" s="107">
        <v>1</v>
      </c>
    </row>
    <row r="355" spans="1:4" ht="14.1" customHeight="1">
      <c r="A355" s="617"/>
      <c r="B355" s="159" t="s">
        <v>2178</v>
      </c>
      <c r="C355" s="107">
        <v>1</v>
      </c>
    </row>
    <row r="356" spans="1:4" ht="14.1" customHeight="1">
      <c r="A356" s="617"/>
      <c r="B356" s="159" t="s">
        <v>982</v>
      </c>
      <c r="C356" s="107">
        <v>0.5</v>
      </c>
    </row>
    <row r="357" spans="1:4" ht="14.1" customHeight="1">
      <c r="A357" s="618"/>
      <c r="B357" s="159" t="str">
        <f>""</f>
        <v/>
      </c>
      <c r="C357" s="107">
        <v>0</v>
      </c>
    </row>
    <row r="358" spans="1:4" ht="14.1" customHeight="1">
      <c r="A358" s="543" t="s">
        <v>1399</v>
      </c>
      <c r="B358" s="159" t="s">
        <v>1400</v>
      </c>
      <c r="C358" s="107">
        <v>0</v>
      </c>
      <c r="D358" s="102" t="s">
        <v>1404</v>
      </c>
    </row>
    <row r="359" spans="1:4" ht="14.1" customHeight="1">
      <c r="A359" s="544"/>
      <c r="B359" s="159" t="s">
        <v>1401</v>
      </c>
      <c r="C359" s="107">
        <v>0.25</v>
      </c>
    </row>
    <row r="360" spans="1:4" ht="14.1" customHeight="1">
      <c r="A360" s="544"/>
      <c r="B360" s="159" t="s">
        <v>1402</v>
      </c>
      <c r="C360" s="107">
        <v>0.75</v>
      </c>
    </row>
    <row r="361" spans="1:4" ht="14.1" customHeight="1">
      <c r="A361" s="544"/>
      <c r="B361" s="159" t="s">
        <v>1403</v>
      </c>
      <c r="C361" s="107">
        <v>1</v>
      </c>
    </row>
    <row r="362" spans="1:4" ht="14.1" customHeight="1">
      <c r="A362" s="544"/>
      <c r="B362" s="159" t="str">
        <f>""</f>
        <v/>
      </c>
      <c r="C362" s="107">
        <v>0</v>
      </c>
    </row>
    <row r="363" spans="1:4" ht="14.1" customHeight="1">
      <c r="A363" s="333" t="s">
        <v>1482</v>
      </c>
      <c r="B363" s="159" t="s">
        <v>1483</v>
      </c>
      <c r="C363" s="233">
        <v>1</v>
      </c>
      <c r="D363" s="102" t="s">
        <v>1480</v>
      </c>
    </row>
    <row r="364" spans="1:4" ht="14.1" customHeight="1">
      <c r="A364" s="297"/>
      <c r="B364" s="159" t="s">
        <v>1484</v>
      </c>
      <c r="C364" s="233">
        <v>1</v>
      </c>
    </row>
    <row r="365" spans="1:4" ht="14.1" customHeight="1">
      <c r="A365" s="297"/>
      <c r="B365" s="159" t="s">
        <v>851</v>
      </c>
      <c r="C365" s="233">
        <v>1</v>
      </c>
    </row>
    <row r="366" spans="1:4" ht="14.1" customHeight="1">
      <c r="A366" s="297"/>
      <c r="B366" s="159" t="s">
        <v>1410</v>
      </c>
      <c r="C366" s="233">
        <v>1</v>
      </c>
    </row>
    <row r="367" spans="1:4" ht="14.1" customHeight="1">
      <c r="A367" s="298"/>
      <c r="B367" s="159" t="str">
        <f>""</f>
        <v/>
      </c>
      <c r="C367" s="107">
        <v>1</v>
      </c>
      <c r="D367" s="102"/>
    </row>
    <row r="368" spans="1:4" ht="14.1" customHeight="1">
      <c r="A368" s="543" t="s">
        <v>1420</v>
      </c>
      <c r="B368" s="159" t="s">
        <v>1422</v>
      </c>
      <c r="C368" s="107">
        <v>0</v>
      </c>
    </row>
    <row r="369" spans="1:3" ht="14.1" customHeight="1">
      <c r="A369" s="544"/>
      <c r="B369" s="159" t="s">
        <v>1421</v>
      </c>
      <c r="C369" s="107">
        <v>0.25</v>
      </c>
    </row>
    <row r="370" spans="1:3" ht="14.1" customHeight="1">
      <c r="A370" s="544"/>
      <c r="B370" s="159" t="s">
        <v>1423</v>
      </c>
      <c r="C370" s="107">
        <v>0.25</v>
      </c>
    </row>
    <row r="371" spans="1:3" ht="14.1" customHeight="1">
      <c r="A371" s="544"/>
      <c r="B371" s="159" t="s">
        <v>1426</v>
      </c>
      <c r="C371" s="107">
        <v>0</v>
      </c>
    </row>
    <row r="372" spans="1:3" ht="14.1" customHeight="1">
      <c r="A372" s="544"/>
      <c r="B372" s="159" t="s">
        <v>1424</v>
      </c>
      <c r="C372" s="107">
        <v>0.25</v>
      </c>
    </row>
    <row r="373" spans="1:3" ht="14.1" customHeight="1">
      <c r="A373" s="544"/>
      <c r="B373" s="159" t="s">
        <v>1425</v>
      </c>
      <c r="C373" s="107">
        <v>0.5</v>
      </c>
    </row>
    <row r="374" spans="1:3" ht="14.1" customHeight="1">
      <c r="A374" s="544"/>
      <c r="B374" s="159" t="s">
        <v>1427</v>
      </c>
      <c r="C374" s="107">
        <v>1</v>
      </c>
    </row>
    <row r="375" spans="1:3" ht="14.1" customHeight="1">
      <c r="A375" s="544"/>
      <c r="B375" s="159" t="s">
        <v>982</v>
      </c>
      <c r="C375" s="107">
        <v>0.25</v>
      </c>
    </row>
    <row r="376" spans="1:3" ht="14.1" customHeight="1">
      <c r="A376" s="544"/>
      <c r="B376" s="159" t="str">
        <f>""</f>
        <v/>
      </c>
      <c r="C376" s="107">
        <v>0</v>
      </c>
    </row>
    <row r="377" spans="1:3" ht="14.1" customHeight="1">
      <c r="A377" s="543" t="s">
        <v>1490</v>
      </c>
      <c r="B377" s="159" t="s">
        <v>1491</v>
      </c>
      <c r="C377" s="107">
        <v>0</v>
      </c>
    </row>
    <row r="378" spans="1:3" ht="14.1" customHeight="1">
      <c r="A378" s="544"/>
      <c r="B378" s="159" t="s">
        <v>1100</v>
      </c>
      <c r="C378" s="107">
        <v>0.5</v>
      </c>
    </row>
    <row r="379" spans="1:3" ht="14.1" customHeight="1">
      <c r="A379" s="544"/>
      <c r="B379" s="159" t="s">
        <v>1101</v>
      </c>
      <c r="C379" s="107">
        <v>0.75</v>
      </c>
    </row>
    <row r="380" spans="1:3" ht="14.1" customHeight="1">
      <c r="A380" s="544"/>
      <c r="B380" s="159" t="s">
        <v>1102</v>
      </c>
      <c r="C380" s="107">
        <v>0.85</v>
      </c>
    </row>
    <row r="381" spans="1:3" ht="14.1" customHeight="1">
      <c r="A381" s="544"/>
      <c r="B381" s="159" t="s">
        <v>819</v>
      </c>
      <c r="C381" s="107">
        <v>1</v>
      </c>
    </row>
    <row r="382" spans="1:3" ht="14.1" customHeight="1">
      <c r="A382" s="544"/>
      <c r="B382" s="159" t="str">
        <f>""</f>
        <v/>
      </c>
      <c r="C382" s="107">
        <v>0</v>
      </c>
    </row>
    <row r="383" spans="1:3" ht="14.1" customHeight="1">
      <c r="A383" s="543" t="s">
        <v>1501</v>
      </c>
      <c r="B383" s="159" t="s">
        <v>1502</v>
      </c>
      <c r="C383" s="107">
        <v>0</v>
      </c>
    </row>
    <row r="384" spans="1:3" ht="14.1" customHeight="1">
      <c r="A384" s="543"/>
      <c r="B384" s="159" t="s">
        <v>1500</v>
      </c>
      <c r="C384" s="107">
        <v>0.25</v>
      </c>
    </row>
    <row r="385" spans="1:3" ht="14.1" customHeight="1">
      <c r="A385" s="543"/>
      <c r="B385" s="159" t="s">
        <v>1494</v>
      </c>
      <c r="C385" s="107">
        <v>0.25</v>
      </c>
    </row>
    <row r="386" spans="1:3" ht="14.1" customHeight="1">
      <c r="A386" s="544"/>
      <c r="B386" s="159" t="s">
        <v>1495</v>
      </c>
      <c r="C386" s="107">
        <v>0.5</v>
      </c>
    </row>
    <row r="387" spans="1:3" ht="14.1" customHeight="1">
      <c r="A387" s="544"/>
      <c r="B387" s="159" t="s">
        <v>1496</v>
      </c>
      <c r="C387" s="107">
        <v>0.8</v>
      </c>
    </row>
    <row r="388" spans="1:3" ht="14.1" customHeight="1">
      <c r="A388" s="544"/>
      <c r="B388" s="159" t="s">
        <v>1497</v>
      </c>
      <c r="C388" s="107">
        <v>0.9</v>
      </c>
    </row>
    <row r="389" spans="1:3" ht="14.1" customHeight="1">
      <c r="A389" s="544"/>
      <c r="B389" s="159" t="s">
        <v>1498</v>
      </c>
      <c r="C389" s="107">
        <v>0.95</v>
      </c>
    </row>
    <row r="390" spans="1:3" ht="14.1" customHeight="1">
      <c r="A390" s="544"/>
      <c r="B390" s="159" t="s">
        <v>1499</v>
      </c>
      <c r="C390" s="107">
        <v>1</v>
      </c>
    </row>
    <row r="391" spans="1:3" ht="14.1" customHeight="1">
      <c r="A391" s="544"/>
      <c r="B391" s="159" t="str">
        <f>""</f>
        <v/>
      </c>
      <c r="C391" s="107">
        <v>0</v>
      </c>
    </row>
    <row r="392" spans="1:3" ht="14.1" customHeight="1">
      <c r="A392" s="543" t="s">
        <v>1493</v>
      </c>
      <c r="B392" s="159" t="s">
        <v>1924</v>
      </c>
      <c r="C392" s="107">
        <v>0</v>
      </c>
    </row>
    <row r="393" spans="1:3" ht="14.1" customHeight="1">
      <c r="A393" s="543"/>
      <c r="B393" s="159" t="s">
        <v>1925</v>
      </c>
      <c r="C393" s="107">
        <v>0.25</v>
      </c>
    </row>
    <row r="394" spans="1:3" ht="14.1" customHeight="1">
      <c r="A394" s="543"/>
      <c r="B394" s="159" t="s">
        <v>1926</v>
      </c>
      <c r="C394" s="107">
        <v>0.35</v>
      </c>
    </row>
    <row r="395" spans="1:3" ht="14.1" customHeight="1">
      <c r="A395" s="544"/>
      <c r="B395" s="159" t="s">
        <v>1927</v>
      </c>
      <c r="C395" s="107">
        <v>0.5</v>
      </c>
    </row>
    <row r="396" spans="1:3" ht="14.1" customHeight="1">
      <c r="A396" s="544"/>
      <c r="B396" s="159" t="s">
        <v>1928</v>
      </c>
      <c r="C396" s="107">
        <v>0.75</v>
      </c>
    </row>
    <row r="397" spans="1:3" ht="14.1" customHeight="1">
      <c r="A397" s="544"/>
      <c r="B397" s="159" t="s">
        <v>1929</v>
      </c>
      <c r="C397" s="107">
        <v>0.9</v>
      </c>
    </row>
    <row r="398" spans="1:3" ht="14.1" customHeight="1">
      <c r="A398" s="544"/>
      <c r="B398" s="159" t="s">
        <v>1499</v>
      </c>
      <c r="C398" s="107">
        <v>1</v>
      </c>
    </row>
    <row r="399" spans="1:3" ht="14.1" customHeight="1">
      <c r="A399" s="544"/>
      <c r="B399" s="159" t="str">
        <f>""</f>
        <v/>
      </c>
      <c r="C399" s="107">
        <v>0</v>
      </c>
    </row>
    <row r="400" spans="1:3" ht="14.1" customHeight="1">
      <c r="A400" s="543" t="s">
        <v>1512</v>
      </c>
      <c r="B400" s="159" t="s">
        <v>2105</v>
      </c>
      <c r="C400" s="107">
        <v>0</v>
      </c>
    </row>
    <row r="401" spans="1:3" ht="14.1" customHeight="1">
      <c r="A401" s="543"/>
      <c r="B401" s="159" t="s">
        <v>1506</v>
      </c>
      <c r="C401" s="107">
        <v>0</v>
      </c>
    </row>
    <row r="402" spans="1:3" ht="14.1" customHeight="1">
      <c r="A402" s="543"/>
      <c r="B402" s="159" t="s">
        <v>1508</v>
      </c>
      <c r="C402" s="107">
        <v>0.1</v>
      </c>
    </row>
    <row r="403" spans="1:3" ht="14.1" customHeight="1">
      <c r="A403" s="544"/>
      <c r="B403" s="159" t="s">
        <v>1507</v>
      </c>
      <c r="C403" s="107">
        <v>0.25</v>
      </c>
    </row>
    <row r="404" spans="1:3" ht="14.1" customHeight="1">
      <c r="A404" s="544"/>
      <c r="B404" s="159" t="s">
        <v>1509</v>
      </c>
      <c r="C404" s="107">
        <v>0.5</v>
      </c>
    </row>
    <row r="405" spans="1:3" ht="14.1" customHeight="1">
      <c r="A405" s="544"/>
      <c r="B405" s="159" t="s">
        <v>1510</v>
      </c>
      <c r="C405" s="107">
        <v>0.75</v>
      </c>
    </row>
    <row r="406" spans="1:3" ht="14.1" customHeight="1">
      <c r="A406" s="544"/>
      <c r="B406" s="159" t="s">
        <v>1511</v>
      </c>
      <c r="C406" s="107">
        <v>1</v>
      </c>
    </row>
    <row r="407" spans="1:3" ht="14.1" customHeight="1">
      <c r="A407" s="544"/>
      <c r="B407" s="159" t="str">
        <f>""</f>
        <v/>
      </c>
      <c r="C407" s="107">
        <v>0</v>
      </c>
    </row>
    <row r="408" spans="1:3" ht="14.1" customHeight="1">
      <c r="A408" s="543" t="s">
        <v>1568</v>
      </c>
      <c r="B408" s="159" t="s">
        <v>1569</v>
      </c>
      <c r="C408" s="107">
        <v>1</v>
      </c>
    </row>
    <row r="409" spans="1:3" ht="14.1" customHeight="1">
      <c r="A409" s="543"/>
      <c r="B409" s="159" t="s">
        <v>1570</v>
      </c>
      <c r="C409" s="107">
        <v>0.5</v>
      </c>
    </row>
    <row r="410" spans="1:3" ht="14.1" customHeight="1">
      <c r="A410" s="543"/>
      <c r="B410" s="159" t="s">
        <v>1575</v>
      </c>
      <c r="C410" s="107">
        <v>0.5</v>
      </c>
    </row>
    <row r="411" spans="1:3" ht="14.1" customHeight="1">
      <c r="A411" s="544"/>
      <c r="B411" s="159" t="s">
        <v>1423</v>
      </c>
      <c r="C411" s="107">
        <v>0.25</v>
      </c>
    </row>
    <row r="412" spans="1:3" ht="14.1" customHeight="1">
      <c r="A412" s="544"/>
      <c r="B412" s="159" t="s">
        <v>1572</v>
      </c>
      <c r="C412" s="107">
        <v>0.75</v>
      </c>
    </row>
    <row r="413" spans="1:3" ht="14.1" customHeight="1">
      <c r="A413" s="544"/>
      <c r="B413" s="159" t="s">
        <v>1573</v>
      </c>
      <c r="C413" s="107">
        <v>1</v>
      </c>
    </row>
    <row r="414" spans="1:3" ht="14.1" customHeight="1">
      <c r="A414" s="544"/>
      <c r="B414" s="159" t="s">
        <v>1574</v>
      </c>
      <c r="C414" s="107">
        <v>0.25</v>
      </c>
    </row>
    <row r="415" spans="1:3" ht="14.1" customHeight="1">
      <c r="A415" s="544"/>
      <c r="B415" s="159" t="s">
        <v>982</v>
      </c>
      <c r="C415" s="107">
        <v>0.25</v>
      </c>
    </row>
    <row r="416" spans="1:3" ht="14.1" customHeight="1">
      <c r="A416" s="544"/>
      <c r="B416" s="159" t="str">
        <f>""</f>
        <v/>
      </c>
      <c r="C416" s="107">
        <v>0</v>
      </c>
    </row>
    <row r="417" spans="1:3" ht="14.1" customHeight="1">
      <c r="A417" s="543" t="s">
        <v>1576</v>
      </c>
      <c r="B417" s="159" t="s">
        <v>1577</v>
      </c>
      <c r="C417" s="107">
        <v>1</v>
      </c>
    </row>
    <row r="418" spans="1:3" ht="14.1" customHeight="1">
      <c r="A418" s="543"/>
      <c r="B418" s="159" t="s">
        <v>1578</v>
      </c>
      <c r="C418" s="107">
        <v>0.9</v>
      </c>
    </row>
    <row r="419" spans="1:3" ht="14.1" customHeight="1">
      <c r="A419" s="543"/>
      <c r="B419" s="159" t="s">
        <v>1579</v>
      </c>
      <c r="C419" s="107">
        <v>0.75</v>
      </c>
    </row>
    <row r="420" spans="1:3" ht="14.1" customHeight="1">
      <c r="A420" s="544"/>
      <c r="B420" s="159" t="s">
        <v>1580</v>
      </c>
      <c r="C420" s="107">
        <v>0.5</v>
      </c>
    </row>
    <row r="421" spans="1:3" ht="14.1" customHeight="1">
      <c r="A421" s="544"/>
      <c r="B421" s="159" t="s">
        <v>1581</v>
      </c>
      <c r="C421" s="107">
        <v>0.25</v>
      </c>
    </row>
    <row r="422" spans="1:3" ht="14.1" customHeight="1">
      <c r="A422" s="544"/>
      <c r="B422" s="159" t="s">
        <v>1582</v>
      </c>
      <c r="C422" s="107">
        <v>0.1</v>
      </c>
    </row>
    <row r="423" spans="1:3" ht="14.1" customHeight="1">
      <c r="A423" s="544"/>
      <c r="B423" s="159" t="s">
        <v>1583</v>
      </c>
      <c r="C423" s="107">
        <v>0</v>
      </c>
    </row>
    <row r="424" spans="1:3" ht="14.1" customHeight="1">
      <c r="A424" s="544"/>
      <c r="B424" s="159" t="s">
        <v>982</v>
      </c>
      <c r="C424" s="107">
        <v>0.1</v>
      </c>
    </row>
    <row r="425" spans="1:3" ht="14.1" customHeight="1">
      <c r="A425" s="544"/>
      <c r="B425" s="159" t="str">
        <f>""</f>
        <v/>
      </c>
      <c r="C425" s="107">
        <v>0</v>
      </c>
    </row>
    <row r="426" spans="1:3" ht="14.1" customHeight="1">
      <c r="A426" s="543" t="s">
        <v>1608</v>
      </c>
      <c r="B426" s="159" t="s">
        <v>1609</v>
      </c>
      <c r="C426" s="107">
        <v>1</v>
      </c>
    </row>
    <row r="427" spans="1:3" ht="14.1" customHeight="1">
      <c r="A427" s="543"/>
      <c r="B427" s="159" t="s">
        <v>1610</v>
      </c>
      <c r="C427" s="107">
        <v>0.75</v>
      </c>
    </row>
    <row r="428" spans="1:3" ht="14.1" customHeight="1">
      <c r="A428" s="543"/>
      <c r="B428" s="159" t="s">
        <v>1611</v>
      </c>
      <c r="C428" s="107">
        <v>0.25</v>
      </c>
    </row>
    <row r="429" spans="1:3" ht="14.1" customHeight="1">
      <c r="A429" s="543"/>
      <c r="B429" s="159" t="s">
        <v>851</v>
      </c>
      <c r="C429" s="107">
        <v>0</v>
      </c>
    </row>
    <row r="430" spans="1:3" ht="14.1" customHeight="1">
      <c r="A430" s="543"/>
      <c r="B430" s="159" t="str">
        <f>""</f>
        <v/>
      </c>
      <c r="C430" s="107">
        <v>0</v>
      </c>
    </row>
    <row r="431" spans="1:3" ht="14.1" customHeight="1">
      <c r="A431" s="543" t="s">
        <v>1584</v>
      </c>
      <c r="B431" s="159" t="s">
        <v>1585</v>
      </c>
      <c r="C431" s="107">
        <v>1</v>
      </c>
    </row>
    <row r="432" spans="1:3" ht="14.1" customHeight="1">
      <c r="A432" s="543"/>
      <c r="B432" s="159" t="s">
        <v>1586</v>
      </c>
      <c r="C432" s="107">
        <v>0.75</v>
      </c>
    </row>
    <row r="433" spans="1:3" ht="14.1" customHeight="1">
      <c r="A433" s="543"/>
      <c r="B433" s="159" t="s">
        <v>1588</v>
      </c>
      <c r="C433" s="107">
        <v>0.75</v>
      </c>
    </row>
    <row r="434" spans="1:3" ht="14.1" customHeight="1">
      <c r="A434" s="543"/>
      <c r="B434" s="159" t="s">
        <v>1587</v>
      </c>
      <c r="C434" s="107">
        <v>0</v>
      </c>
    </row>
    <row r="435" spans="1:3" ht="14.1" customHeight="1">
      <c r="A435" s="543"/>
      <c r="B435" s="159" t="str">
        <f>""</f>
        <v/>
      </c>
      <c r="C435" s="107">
        <v>0</v>
      </c>
    </row>
    <row r="436" spans="1:3" ht="14.1" customHeight="1">
      <c r="A436" s="543" t="s">
        <v>1612</v>
      </c>
      <c r="B436" s="159" t="s">
        <v>2159</v>
      </c>
      <c r="C436" s="107">
        <v>0</v>
      </c>
    </row>
    <row r="437" spans="1:3" ht="14.1" customHeight="1">
      <c r="A437" s="543"/>
      <c r="B437" s="159" t="s">
        <v>1617</v>
      </c>
      <c r="C437" s="107">
        <v>0.75</v>
      </c>
    </row>
    <row r="438" spans="1:3" ht="14.1" customHeight="1">
      <c r="A438" s="543"/>
      <c r="B438" s="159" t="s">
        <v>1613</v>
      </c>
      <c r="C438" s="107">
        <v>1</v>
      </c>
    </row>
    <row r="439" spans="1:3" ht="14.1" customHeight="1">
      <c r="A439" s="543"/>
      <c r="B439" s="159" t="s">
        <v>1614</v>
      </c>
      <c r="C439" s="107">
        <v>0.5</v>
      </c>
    </row>
    <row r="440" spans="1:3" ht="14.1" customHeight="1">
      <c r="A440" s="543"/>
      <c r="B440" s="159" t="s">
        <v>1615</v>
      </c>
      <c r="C440" s="107">
        <v>0.25</v>
      </c>
    </row>
    <row r="441" spans="1:3" ht="14.1" customHeight="1">
      <c r="A441" s="543"/>
      <c r="B441" s="159" t="s">
        <v>1616</v>
      </c>
      <c r="C441" s="107">
        <v>0</v>
      </c>
    </row>
    <row r="442" spans="1:3" ht="14.1" customHeight="1">
      <c r="A442" s="543"/>
      <c r="B442" s="159" t="str">
        <f>""</f>
        <v/>
      </c>
      <c r="C442" s="107">
        <v>0</v>
      </c>
    </row>
    <row r="443" spans="1:3" ht="14.1" customHeight="1">
      <c r="A443" s="543" t="s">
        <v>1620</v>
      </c>
      <c r="B443" s="159" t="s">
        <v>1621</v>
      </c>
      <c r="C443" s="107">
        <v>1</v>
      </c>
    </row>
    <row r="444" spans="1:3" ht="14.1" customHeight="1">
      <c r="A444" s="543"/>
      <c r="B444" s="159" t="s">
        <v>1622</v>
      </c>
      <c r="C444" s="107">
        <v>1</v>
      </c>
    </row>
    <row r="445" spans="1:3" ht="14.1" customHeight="1">
      <c r="A445" s="543"/>
      <c r="B445" s="159" t="s">
        <v>1623</v>
      </c>
      <c r="C445" s="107">
        <v>1</v>
      </c>
    </row>
    <row r="446" spans="1:3" ht="14.1" customHeight="1">
      <c r="A446" s="543"/>
      <c r="B446" s="159" t="s">
        <v>1624</v>
      </c>
      <c r="C446" s="107">
        <v>1</v>
      </c>
    </row>
    <row r="447" spans="1:3" ht="14.1" customHeight="1">
      <c r="A447" s="543"/>
      <c r="B447" s="159" t="s">
        <v>982</v>
      </c>
      <c r="C447" s="107">
        <v>1</v>
      </c>
    </row>
    <row r="448" spans="1:3" ht="14.1" customHeight="1">
      <c r="A448" s="543"/>
      <c r="B448" s="159" t="str">
        <f>""</f>
        <v/>
      </c>
      <c r="C448" s="107">
        <v>0</v>
      </c>
    </row>
    <row r="449" spans="1:3" ht="14.1" customHeight="1">
      <c r="A449" s="543" t="s">
        <v>1634</v>
      </c>
      <c r="B449" s="159" t="s">
        <v>59</v>
      </c>
      <c r="C449" s="107">
        <v>1</v>
      </c>
    </row>
    <row r="450" spans="1:3" ht="14.1" customHeight="1">
      <c r="A450" s="544"/>
      <c r="B450" s="159" t="s">
        <v>1632</v>
      </c>
      <c r="C450" s="107">
        <v>1</v>
      </c>
    </row>
    <row r="451" spans="1:3" ht="14.1" customHeight="1">
      <c r="A451" s="544"/>
      <c r="B451" s="159" t="s">
        <v>1633</v>
      </c>
      <c r="C451" s="107">
        <v>0.75</v>
      </c>
    </row>
    <row r="452" spans="1:3" ht="14.1" customHeight="1">
      <c r="A452" s="544"/>
      <c r="B452" s="159" t="s">
        <v>982</v>
      </c>
      <c r="C452" s="107">
        <v>0</v>
      </c>
    </row>
    <row r="453" spans="1:3" ht="14.1" customHeight="1">
      <c r="A453" s="544"/>
      <c r="B453" s="159" t="str">
        <f>""</f>
        <v/>
      </c>
      <c r="C453" s="107">
        <v>0</v>
      </c>
    </row>
    <row r="454" spans="1:3" ht="14.1" customHeight="1">
      <c r="A454" s="543" t="s">
        <v>1640</v>
      </c>
      <c r="B454" s="159" t="s">
        <v>1649</v>
      </c>
      <c r="C454" s="107">
        <v>1</v>
      </c>
    </row>
    <row r="455" spans="1:3" ht="14.1" customHeight="1">
      <c r="A455" s="543"/>
      <c r="B455" s="159" t="s">
        <v>1650</v>
      </c>
      <c r="C455" s="107">
        <v>0.9</v>
      </c>
    </row>
    <row r="456" spans="1:3" ht="14.1" customHeight="1">
      <c r="A456" s="543"/>
      <c r="B456" s="159" t="s">
        <v>1651</v>
      </c>
      <c r="C456" s="107">
        <v>0.8</v>
      </c>
    </row>
    <row r="457" spans="1:3" ht="14.1" customHeight="1">
      <c r="A457" s="544"/>
      <c r="B457" s="159" t="s">
        <v>1641</v>
      </c>
      <c r="C457" s="107">
        <v>0.75</v>
      </c>
    </row>
    <row r="458" spans="1:3" ht="14.1" customHeight="1">
      <c r="A458" s="544"/>
      <c r="B458" s="159" t="s">
        <v>783</v>
      </c>
      <c r="C458" s="107">
        <v>0</v>
      </c>
    </row>
    <row r="459" spans="1:3" ht="14.1" customHeight="1">
      <c r="A459" s="544"/>
      <c r="B459" s="159" t="str">
        <f>""</f>
        <v/>
      </c>
      <c r="C459" s="107">
        <v>0</v>
      </c>
    </row>
    <row r="460" spans="1:3" ht="14.1" customHeight="1">
      <c r="A460" s="543" t="s">
        <v>1643</v>
      </c>
      <c r="B460" s="159" t="s">
        <v>1644</v>
      </c>
      <c r="C460" s="107">
        <v>0.5</v>
      </c>
    </row>
    <row r="461" spans="1:3" ht="14.1" customHeight="1">
      <c r="A461" s="544"/>
      <c r="B461" s="159" t="s">
        <v>1645</v>
      </c>
      <c r="C461" s="107">
        <v>0.75</v>
      </c>
    </row>
    <row r="462" spans="1:3" ht="14.1" customHeight="1">
      <c r="A462" s="544"/>
      <c r="B462" s="159" t="s">
        <v>1646</v>
      </c>
      <c r="C462" s="107">
        <v>1</v>
      </c>
    </row>
    <row r="463" spans="1:3" ht="14.1" customHeight="1">
      <c r="A463" s="544"/>
      <c r="B463" s="159" t="s">
        <v>1647</v>
      </c>
      <c r="C463" s="107">
        <v>0.5</v>
      </c>
    </row>
    <row r="464" spans="1:3" ht="14.1" customHeight="1">
      <c r="A464" s="544"/>
      <c r="B464" s="159" t="s">
        <v>783</v>
      </c>
      <c r="C464" s="107">
        <v>0</v>
      </c>
    </row>
    <row r="465" spans="1:3" ht="14.1" customHeight="1">
      <c r="A465" s="544"/>
      <c r="B465" s="159" t="str">
        <f>""</f>
        <v/>
      </c>
      <c r="C465" s="107">
        <v>0</v>
      </c>
    </row>
    <row r="466" spans="1:3" ht="14.1" customHeight="1">
      <c r="A466" s="543" t="s">
        <v>1655</v>
      </c>
      <c r="B466" s="159" t="s">
        <v>1656</v>
      </c>
      <c r="C466" s="107">
        <v>1</v>
      </c>
    </row>
    <row r="467" spans="1:3" ht="14.1" customHeight="1">
      <c r="A467" s="544"/>
      <c r="B467" s="159" t="s">
        <v>1657</v>
      </c>
      <c r="C467" s="107">
        <v>0.75</v>
      </c>
    </row>
    <row r="468" spans="1:3" ht="14.1" customHeight="1">
      <c r="A468" s="544"/>
      <c r="B468" s="159" t="s">
        <v>1658</v>
      </c>
      <c r="C468" s="107">
        <v>1</v>
      </c>
    </row>
    <row r="469" spans="1:3" ht="14.1" customHeight="1">
      <c r="A469" s="544"/>
      <c r="B469" s="159" t="s">
        <v>982</v>
      </c>
      <c r="C469" s="107">
        <v>0.5</v>
      </c>
    </row>
    <row r="470" spans="1:3" ht="14.1" customHeight="1">
      <c r="A470" s="544"/>
      <c r="B470" s="159" t="str">
        <f>""</f>
        <v/>
      </c>
      <c r="C470" s="107">
        <v>0</v>
      </c>
    </row>
    <row r="471" spans="1:3" ht="14.1" customHeight="1">
      <c r="A471" s="543" t="s">
        <v>1662</v>
      </c>
      <c r="B471" s="159" t="s">
        <v>1663</v>
      </c>
      <c r="C471" s="107">
        <v>1</v>
      </c>
    </row>
    <row r="472" spans="1:3" ht="14.1" customHeight="1">
      <c r="A472" s="544"/>
      <c r="B472" s="159" t="s">
        <v>1664</v>
      </c>
      <c r="C472" s="107">
        <v>1</v>
      </c>
    </row>
    <row r="473" spans="1:3" ht="14.1" customHeight="1">
      <c r="A473" s="544"/>
      <c r="B473" s="159" t="s">
        <v>1665</v>
      </c>
      <c r="C473" s="107">
        <v>1</v>
      </c>
    </row>
    <row r="474" spans="1:3" ht="14.1" customHeight="1">
      <c r="A474" s="544"/>
      <c r="B474" s="159" t="s">
        <v>1666</v>
      </c>
      <c r="C474" s="107">
        <v>1</v>
      </c>
    </row>
    <row r="475" spans="1:3" ht="14.1" customHeight="1">
      <c r="A475" s="544"/>
      <c r="B475" s="159" t="s">
        <v>1667</v>
      </c>
      <c r="C475" s="107">
        <v>1</v>
      </c>
    </row>
    <row r="476" spans="1:3" ht="14.1" customHeight="1">
      <c r="A476" s="544"/>
      <c r="B476" s="159" t="s">
        <v>1668</v>
      </c>
      <c r="C476" s="107">
        <v>1</v>
      </c>
    </row>
    <row r="477" spans="1:3" ht="14.1" customHeight="1">
      <c r="A477" s="544"/>
      <c r="B477" s="159" t="s">
        <v>982</v>
      </c>
      <c r="C477" s="107">
        <v>0.5</v>
      </c>
    </row>
    <row r="478" spans="1:3" ht="14.1" customHeight="1">
      <c r="A478" s="544"/>
      <c r="B478" s="159" t="str">
        <f>""</f>
        <v/>
      </c>
      <c r="C478" s="107">
        <v>0</v>
      </c>
    </row>
    <row r="479" spans="1:3" ht="14.1" customHeight="1">
      <c r="A479" s="543" t="s">
        <v>1727</v>
      </c>
      <c r="B479" s="159" t="s">
        <v>1710</v>
      </c>
      <c r="C479" s="107">
        <v>1</v>
      </c>
    </row>
    <row r="480" spans="1:3" ht="14.1" customHeight="1">
      <c r="A480" s="543"/>
      <c r="B480" s="159" t="s">
        <v>1711</v>
      </c>
      <c r="C480" s="107">
        <v>1</v>
      </c>
    </row>
    <row r="481" spans="1:3" ht="14.1" customHeight="1">
      <c r="A481" s="543"/>
      <c r="B481" s="159" t="s">
        <v>1712</v>
      </c>
      <c r="C481" s="107">
        <v>1</v>
      </c>
    </row>
    <row r="482" spans="1:3" ht="14.1" customHeight="1">
      <c r="A482" s="543"/>
      <c r="B482" s="159" t="s">
        <v>1713</v>
      </c>
      <c r="C482" s="107">
        <v>1</v>
      </c>
    </row>
    <row r="483" spans="1:3" ht="14.1" customHeight="1">
      <c r="A483" s="543"/>
      <c r="B483" s="159" t="s">
        <v>1714</v>
      </c>
      <c r="C483" s="107">
        <v>1</v>
      </c>
    </row>
    <row r="484" spans="1:3" ht="14.1" customHeight="1">
      <c r="A484" s="543"/>
      <c r="B484" s="159" t="s">
        <v>1715</v>
      </c>
      <c r="C484" s="107">
        <v>1</v>
      </c>
    </row>
    <row r="485" spans="1:3" ht="14.1" customHeight="1">
      <c r="A485" s="543"/>
      <c r="B485" s="159" t="s">
        <v>1716</v>
      </c>
      <c r="C485" s="107">
        <v>1</v>
      </c>
    </row>
    <row r="486" spans="1:3" ht="14.1" customHeight="1">
      <c r="A486" s="543"/>
      <c r="B486" s="159" t="s">
        <v>1718</v>
      </c>
      <c r="C486" s="107">
        <v>1</v>
      </c>
    </row>
    <row r="487" spans="1:3" ht="14.1" customHeight="1">
      <c r="A487" s="543"/>
      <c r="B487" s="159" t="s">
        <v>1717</v>
      </c>
      <c r="C487" s="107">
        <v>1</v>
      </c>
    </row>
    <row r="488" spans="1:3" ht="14.1" customHeight="1">
      <c r="A488" s="543"/>
      <c r="B488" s="159" t="s">
        <v>1719</v>
      </c>
      <c r="C488" s="107">
        <v>1</v>
      </c>
    </row>
    <row r="489" spans="1:3" ht="14.1" customHeight="1">
      <c r="A489" s="543"/>
      <c r="B489" s="159" t="s">
        <v>1720</v>
      </c>
      <c r="C489" s="107">
        <v>1</v>
      </c>
    </row>
    <row r="490" spans="1:3" ht="14.1" customHeight="1">
      <c r="A490" s="543"/>
      <c r="B490" s="159" t="s">
        <v>1721</v>
      </c>
      <c r="C490" s="107">
        <v>1</v>
      </c>
    </row>
    <row r="491" spans="1:3" ht="14.1" customHeight="1">
      <c r="A491" s="543"/>
      <c r="B491" s="159" t="s">
        <v>1722</v>
      </c>
      <c r="C491" s="107">
        <v>1</v>
      </c>
    </row>
    <row r="492" spans="1:3" ht="14.1" customHeight="1">
      <c r="A492" s="543"/>
      <c r="B492" s="159" t="s">
        <v>1723</v>
      </c>
      <c r="C492" s="107">
        <v>1</v>
      </c>
    </row>
    <row r="493" spans="1:3" ht="14.1" customHeight="1">
      <c r="A493" s="543"/>
      <c r="B493" s="159" t="s">
        <v>1724</v>
      </c>
      <c r="C493" s="107">
        <v>1</v>
      </c>
    </row>
    <row r="494" spans="1:3" ht="14.1" customHeight="1">
      <c r="A494" s="543"/>
      <c r="B494" s="159" t="s">
        <v>1725</v>
      </c>
      <c r="C494" s="107">
        <v>1</v>
      </c>
    </row>
    <row r="495" spans="1:3" ht="14.1" customHeight="1">
      <c r="A495" s="543"/>
      <c r="B495" s="159" t="s">
        <v>1726</v>
      </c>
      <c r="C495" s="107">
        <v>1</v>
      </c>
    </row>
    <row r="496" spans="1:3" ht="14.1" customHeight="1">
      <c r="A496" s="543"/>
      <c r="B496" s="159" t="s">
        <v>2176</v>
      </c>
      <c r="C496" s="107">
        <v>1</v>
      </c>
    </row>
    <row r="497" spans="1:4" ht="14.1" customHeight="1">
      <c r="A497" s="543"/>
      <c r="B497" s="159" t="str">
        <f>""</f>
        <v/>
      </c>
      <c r="C497" s="107">
        <v>0</v>
      </c>
    </row>
    <row r="498" spans="1:4" ht="25.5">
      <c r="A498" s="543" t="s">
        <v>1743</v>
      </c>
      <c r="B498" s="248" t="s">
        <v>1738</v>
      </c>
      <c r="C498" s="107">
        <v>0</v>
      </c>
      <c r="D498" s="102" t="s">
        <v>1744</v>
      </c>
    </row>
    <row r="499" spans="1:4" ht="12.75">
      <c r="A499" s="544"/>
      <c r="B499" s="248" t="s">
        <v>1739</v>
      </c>
      <c r="C499" s="107">
        <v>0</v>
      </c>
    </row>
    <row r="500" spans="1:4" ht="26.25" customHeight="1">
      <c r="A500" s="544"/>
      <c r="B500" s="248" t="s">
        <v>1740</v>
      </c>
      <c r="C500" s="107">
        <v>0</v>
      </c>
    </row>
    <row r="501" spans="1:4" ht="38.25">
      <c r="A501" s="544"/>
      <c r="B501" s="248" t="s">
        <v>1741</v>
      </c>
      <c r="C501" s="107">
        <v>0</v>
      </c>
    </row>
    <row r="502" spans="1:4" ht="12.75">
      <c r="A502" s="544"/>
      <c r="B502" s="248" t="s">
        <v>1742</v>
      </c>
      <c r="C502" s="107">
        <v>0</v>
      </c>
    </row>
    <row r="503" spans="1:4" ht="12.75">
      <c r="A503" s="544"/>
      <c r="B503" s="248" t="s">
        <v>1025</v>
      </c>
      <c r="C503" s="107">
        <v>1</v>
      </c>
    </row>
    <row r="504" spans="1:4" ht="12.75">
      <c r="A504" s="544"/>
      <c r="B504" s="159" t="str">
        <f>""</f>
        <v/>
      </c>
      <c r="C504" s="107">
        <v>0</v>
      </c>
    </row>
    <row r="505" spans="1:4" ht="14.1" customHeight="1">
      <c r="A505" s="543" t="s">
        <v>1760</v>
      </c>
      <c r="B505" s="240" t="s">
        <v>1761</v>
      </c>
      <c r="C505" s="107">
        <v>1</v>
      </c>
    </row>
    <row r="506" spans="1:4" ht="14.1" customHeight="1">
      <c r="A506" s="544"/>
      <c r="B506" s="240" t="s">
        <v>1762</v>
      </c>
      <c r="C506" s="107">
        <v>0.9</v>
      </c>
    </row>
    <row r="507" spans="1:4" ht="14.1" customHeight="1">
      <c r="A507" s="544"/>
      <c r="B507" s="240" t="s">
        <v>1763</v>
      </c>
      <c r="C507" s="107">
        <v>0.5</v>
      </c>
    </row>
    <row r="508" spans="1:4" ht="25.5">
      <c r="A508" s="544"/>
      <c r="B508" s="240" t="s">
        <v>1764</v>
      </c>
      <c r="C508" s="107">
        <v>0.75</v>
      </c>
    </row>
    <row r="509" spans="1:4" ht="14.1" customHeight="1">
      <c r="A509" s="544"/>
      <c r="B509" s="240" t="s">
        <v>1765</v>
      </c>
      <c r="C509" s="107">
        <v>0</v>
      </c>
    </row>
    <row r="510" spans="1:4" ht="14.1" customHeight="1">
      <c r="A510" s="544"/>
      <c r="B510" s="240" t="s">
        <v>982</v>
      </c>
      <c r="C510" s="107">
        <v>0.1</v>
      </c>
    </row>
    <row r="511" spans="1:4" ht="14.1" customHeight="1">
      <c r="A511" s="544"/>
      <c r="B511" s="159" t="str">
        <f>""</f>
        <v/>
      </c>
      <c r="C511" s="107">
        <v>0</v>
      </c>
    </row>
    <row r="512" spans="1:4" ht="12.75">
      <c r="A512" s="616" t="s">
        <v>1766</v>
      </c>
      <c r="B512" s="240" t="s">
        <v>1767</v>
      </c>
      <c r="C512" s="107">
        <v>1</v>
      </c>
    </row>
    <row r="513" spans="1:3" ht="14.1" customHeight="1">
      <c r="A513" s="617"/>
      <c r="B513" s="240" t="s">
        <v>1769</v>
      </c>
      <c r="C513" s="107">
        <v>0.75</v>
      </c>
    </row>
    <row r="514" spans="1:3" ht="14.1" customHeight="1">
      <c r="A514" s="617"/>
      <c r="B514" s="240" t="s">
        <v>1768</v>
      </c>
      <c r="C514" s="107">
        <v>0.9</v>
      </c>
    </row>
    <row r="515" spans="1:3" ht="14.1" customHeight="1">
      <c r="A515" s="617"/>
      <c r="B515" s="240" t="s">
        <v>1770</v>
      </c>
      <c r="C515" s="107">
        <v>0.75</v>
      </c>
    </row>
    <row r="516" spans="1:3" ht="14.1" customHeight="1">
      <c r="A516" s="617"/>
      <c r="B516" s="240" t="s">
        <v>1771</v>
      </c>
      <c r="C516" s="107">
        <v>0.65</v>
      </c>
    </row>
    <row r="517" spans="1:3" ht="14.1" customHeight="1">
      <c r="A517" s="617"/>
      <c r="B517" s="240" t="s">
        <v>1772</v>
      </c>
      <c r="C517" s="107">
        <v>0.25</v>
      </c>
    </row>
    <row r="518" spans="1:3" ht="14.1" customHeight="1">
      <c r="A518" s="617"/>
      <c r="B518" s="240" t="s">
        <v>1773</v>
      </c>
      <c r="C518" s="107">
        <v>0</v>
      </c>
    </row>
    <row r="519" spans="1:3" ht="14.1" customHeight="1">
      <c r="A519" s="617"/>
      <c r="B519" s="240" t="s">
        <v>982</v>
      </c>
      <c r="C519" s="107">
        <v>0.1</v>
      </c>
    </row>
    <row r="520" spans="1:3" ht="14.1" customHeight="1">
      <c r="A520" s="618"/>
      <c r="B520" s="159" t="str">
        <f>""</f>
        <v/>
      </c>
      <c r="C520" s="107">
        <v>0</v>
      </c>
    </row>
    <row r="521" spans="1:3" ht="14.1" customHeight="1">
      <c r="A521" s="616" t="s">
        <v>1774</v>
      </c>
      <c r="B521" s="240" t="s">
        <v>1775</v>
      </c>
      <c r="C521" s="107">
        <v>1</v>
      </c>
    </row>
    <row r="522" spans="1:3" ht="14.1" customHeight="1">
      <c r="A522" s="617"/>
      <c r="B522" s="240" t="s">
        <v>1776</v>
      </c>
      <c r="C522" s="107">
        <v>0.75</v>
      </c>
    </row>
    <row r="523" spans="1:3" ht="14.1" customHeight="1">
      <c r="A523" s="617"/>
      <c r="B523" s="240" t="s">
        <v>1777</v>
      </c>
      <c r="C523" s="107">
        <v>0.9</v>
      </c>
    </row>
    <row r="524" spans="1:3" ht="14.1" customHeight="1">
      <c r="A524" s="617"/>
      <c r="B524" s="240" t="s">
        <v>1778</v>
      </c>
      <c r="C524" s="107">
        <v>0.75</v>
      </c>
    </row>
    <row r="525" spans="1:3" ht="14.1" customHeight="1">
      <c r="A525" s="617"/>
      <c r="B525" s="240" t="s">
        <v>1779</v>
      </c>
      <c r="C525" s="107">
        <v>0.65</v>
      </c>
    </row>
    <row r="526" spans="1:3" ht="14.1" customHeight="1">
      <c r="A526" s="617"/>
      <c r="B526" s="240" t="s">
        <v>1780</v>
      </c>
      <c r="C526" s="107">
        <v>0.25</v>
      </c>
    </row>
    <row r="527" spans="1:3" ht="14.1" customHeight="1">
      <c r="A527" s="617"/>
      <c r="B527" s="240" t="s">
        <v>982</v>
      </c>
      <c r="C527" s="107">
        <v>0.1</v>
      </c>
    </row>
    <row r="528" spans="1:3" ht="14.1" customHeight="1">
      <c r="A528" s="618"/>
      <c r="B528" s="159" t="str">
        <f>""</f>
        <v/>
      </c>
      <c r="C528" s="107">
        <v>0</v>
      </c>
    </row>
    <row r="529" spans="1:3" ht="14.1" customHeight="1">
      <c r="A529" s="616" t="s">
        <v>1796</v>
      </c>
      <c r="B529" s="240" t="s">
        <v>1791</v>
      </c>
      <c r="C529" s="107">
        <v>1</v>
      </c>
    </row>
    <row r="530" spans="1:3" ht="14.1" customHeight="1">
      <c r="A530" s="617"/>
      <c r="B530" s="240" t="s">
        <v>1792</v>
      </c>
      <c r="C530" s="107">
        <v>0.5</v>
      </c>
    </row>
    <row r="531" spans="1:3" ht="14.1" customHeight="1">
      <c r="A531" s="617"/>
      <c r="B531" s="240" t="s">
        <v>1793</v>
      </c>
      <c r="C531" s="107">
        <v>0.5</v>
      </c>
    </row>
    <row r="532" spans="1:3" ht="14.1" customHeight="1">
      <c r="A532" s="617"/>
      <c r="B532" s="240" t="s">
        <v>1794</v>
      </c>
      <c r="C532" s="107">
        <v>0.25</v>
      </c>
    </row>
    <row r="533" spans="1:3" ht="14.1" customHeight="1">
      <c r="A533" s="617"/>
      <c r="B533" s="240" t="s">
        <v>1795</v>
      </c>
      <c r="C533" s="107">
        <v>0</v>
      </c>
    </row>
    <row r="534" spans="1:3" ht="14.1" customHeight="1">
      <c r="A534" s="617"/>
      <c r="B534" s="240" t="s">
        <v>982</v>
      </c>
      <c r="C534" s="107">
        <v>0.1</v>
      </c>
    </row>
    <row r="535" spans="1:3" ht="14.1" customHeight="1">
      <c r="A535" s="617"/>
      <c r="B535" s="159" t="str">
        <f>""</f>
        <v/>
      </c>
      <c r="C535" s="107">
        <v>0</v>
      </c>
    </row>
    <row r="536" spans="1:3" ht="14.1" customHeight="1">
      <c r="A536" s="616" t="s">
        <v>1798</v>
      </c>
      <c r="B536" s="240" t="s">
        <v>1799</v>
      </c>
      <c r="C536" s="107">
        <v>1</v>
      </c>
    </row>
    <row r="537" spans="1:3" ht="14.1" customHeight="1">
      <c r="A537" s="617"/>
      <c r="B537" s="240" t="s">
        <v>1800</v>
      </c>
      <c r="C537" s="107">
        <v>0.75</v>
      </c>
    </row>
    <row r="538" spans="1:3" ht="14.1" customHeight="1">
      <c r="A538" s="617"/>
      <c r="B538" s="240" t="s">
        <v>1801</v>
      </c>
      <c r="C538" s="107">
        <v>0.75</v>
      </c>
    </row>
    <row r="539" spans="1:3" ht="14.1" customHeight="1">
      <c r="A539" s="617"/>
      <c r="B539" s="240" t="s">
        <v>1802</v>
      </c>
      <c r="C539" s="107">
        <v>0.5</v>
      </c>
    </row>
    <row r="540" spans="1:3" ht="14.1" customHeight="1">
      <c r="A540" s="617"/>
      <c r="B540" s="240" t="s">
        <v>1803</v>
      </c>
      <c r="C540" s="107">
        <v>0.25</v>
      </c>
    </row>
    <row r="541" spans="1:3" ht="14.1" customHeight="1">
      <c r="A541" s="617"/>
      <c r="B541" s="240" t="s">
        <v>1804</v>
      </c>
      <c r="C541" s="107">
        <v>0.9</v>
      </c>
    </row>
    <row r="542" spans="1:3" ht="14.1" customHeight="1">
      <c r="A542" s="617"/>
      <c r="B542" s="240" t="s">
        <v>982</v>
      </c>
      <c r="C542" s="107">
        <v>0.1</v>
      </c>
    </row>
    <row r="543" spans="1:3" ht="14.1" customHeight="1">
      <c r="A543" s="617"/>
      <c r="B543" s="159" t="str">
        <f>""</f>
        <v/>
      </c>
      <c r="C543" s="107">
        <v>0</v>
      </c>
    </row>
    <row r="544" spans="1:3" ht="14.1" customHeight="1">
      <c r="A544" s="616" t="s">
        <v>1788</v>
      </c>
      <c r="B544" s="240" t="s">
        <v>1806</v>
      </c>
      <c r="C544" s="107">
        <v>1</v>
      </c>
    </row>
    <row r="545" spans="1:3" ht="14.1" customHeight="1">
      <c r="A545" s="617"/>
      <c r="B545" s="240" t="s">
        <v>1807</v>
      </c>
      <c r="C545" s="107">
        <v>0.95</v>
      </c>
    </row>
    <row r="546" spans="1:3" ht="14.1" customHeight="1">
      <c r="A546" s="617"/>
      <c r="B546" s="240" t="s">
        <v>1808</v>
      </c>
      <c r="C546" s="107">
        <v>0.9</v>
      </c>
    </row>
    <row r="547" spans="1:3" ht="14.1" customHeight="1">
      <c r="A547" s="617"/>
      <c r="B547" s="240" t="s">
        <v>1809</v>
      </c>
      <c r="C547" s="107">
        <v>0.75</v>
      </c>
    </row>
    <row r="548" spans="1:3" ht="14.1" customHeight="1">
      <c r="A548" s="617"/>
      <c r="B548" s="240" t="s">
        <v>1613</v>
      </c>
      <c r="C548" s="107">
        <v>0.5</v>
      </c>
    </row>
    <row r="549" spans="1:3" ht="14.1" customHeight="1">
      <c r="A549" s="617"/>
      <c r="B549" s="240" t="s">
        <v>1810</v>
      </c>
      <c r="C549" s="107">
        <v>0.25</v>
      </c>
    </row>
    <row r="550" spans="1:3" ht="14.1" customHeight="1">
      <c r="A550" s="617"/>
      <c r="B550" s="240" t="s">
        <v>1811</v>
      </c>
      <c r="C550" s="107">
        <v>0.1</v>
      </c>
    </row>
    <row r="551" spans="1:3" ht="14.1" customHeight="1">
      <c r="A551" s="617"/>
      <c r="B551" s="240" t="s">
        <v>1812</v>
      </c>
      <c r="C551" s="107">
        <v>0</v>
      </c>
    </row>
    <row r="552" spans="1:3" ht="14.1" customHeight="1">
      <c r="A552" s="617"/>
      <c r="B552" s="240" t="s">
        <v>1821</v>
      </c>
      <c r="C552" s="107">
        <v>0.5</v>
      </c>
    </row>
    <row r="553" spans="1:3" ht="14.1" customHeight="1">
      <c r="A553" s="617"/>
      <c r="B553" s="240" t="s">
        <v>982</v>
      </c>
      <c r="C553" s="107">
        <v>0.1</v>
      </c>
    </row>
    <row r="554" spans="1:3" ht="14.1" customHeight="1">
      <c r="A554" s="618"/>
      <c r="B554" s="159" t="str">
        <f>""</f>
        <v/>
      </c>
      <c r="C554" s="107">
        <v>0</v>
      </c>
    </row>
    <row r="555" spans="1:3" ht="14.1" customHeight="1">
      <c r="A555" s="616" t="s">
        <v>1813</v>
      </c>
      <c r="B555" s="240" t="s">
        <v>1814</v>
      </c>
      <c r="C555" s="107">
        <v>1</v>
      </c>
    </row>
    <row r="556" spans="1:3" ht="14.1" customHeight="1">
      <c r="A556" s="617"/>
      <c r="B556" s="240" t="s">
        <v>1815</v>
      </c>
      <c r="C556" s="107">
        <v>0.95</v>
      </c>
    </row>
    <row r="557" spans="1:3" ht="14.1" customHeight="1">
      <c r="A557" s="617"/>
      <c r="B557" s="240" t="s">
        <v>1816</v>
      </c>
      <c r="C557" s="107">
        <v>0.9</v>
      </c>
    </row>
    <row r="558" spans="1:3" ht="14.1" customHeight="1">
      <c r="A558" s="617"/>
      <c r="B558" s="240" t="s">
        <v>1817</v>
      </c>
      <c r="C558" s="107">
        <v>0.75</v>
      </c>
    </row>
    <row r="559" spans="1:3" ht="14.1" customHeight="1">
      <c r="A559" s="617"/>
      <c r="B559" s="240" t="s">
        <v>1811</v>
      </c>
      <c r="C559" s="107">
        <v>0.1</v>
      </c>
    </row>
    <row r="560" spans="1:3" ht="14.1" customHeight="1">
      <c r="A560" s="617"/>
      <c r="B560" s="240" t="s">
        <v>1812</v>
      </c>
      <c r="C560" s="107">
        <v>0</v>
      </c>
    </row>
    <row r="561" spans="1:3" ht="14.1" customHeight="1">
      <c r="A561" s="617"/>
      <c r="B561" s="240" t="s">
        <v>1821</v>
      </c>
      <c r="C561" s="107">
        <v>0.5</v>
      </c>
    </row>
    <row r="562" spans="1:3" ht="14.1" customHeight="1">
      <c r="A562" s="617"/>
      <c r="B562" s="240" t="s">
        <v>982</v>
      </c>
      <c r="C562" s="107">
        <v>0.1</v>
      </c>
    </row>
    <row r="563" spans="1:3" ht="14.1" customHeight="1">
      <c r="A563" s="618"/>
      <c r="B563" s="159" t="str">
        <f>""</f>
        <v/>
      </c>
      <c r="C563" s="107">
        <v>0</v>
      </c>
    </row>
    <row r="564" spans="1:3" ht="14.1" customHeight="1">
      <c r="A564" s="616" t="s">
        <v>1818</v>
      </c>
      <c r="B564" s="240" t="s">
        <v>1819</v>
      </c>
      <c r="C564" s="107">
        <v>1</v>
      </c>
    </row>
    <row r="565" spans="1:3" ht="14.1" customHeight="1">
      <c r="A565" s="617"/>
      <c r="B565" s="240" t="s">
        <v>1820</v>
      </c>
      <c r="C565" s="107">
        <v>0.95</v>
      </c>
    </row>
    <row r="566" spans="1:3" ht="14.1" customHeight="1">
      <c r="A566" s="617"/>
      <c r="B566" s="240" t="s">
        <v>1822</v>
      </c>
      <c r="C566" s="107">
        <v>0.9</v>
      </c>
    </row>
    <row r="567" spans="1:3" ht="14.1" customHeight="1">
      <c r="A567" s="617"/>
      <c r="B567" s="240" t="s">
        <v>1823</v>
      </c>
      <c r="C567" s="107">
        <v>0.75</v>
      </c>
    </row>
    <row r="568" spans="1:3" ht="14.1" customHeight="1">
      <c r="A568" s="617"/>
      <c r="B568" s="240" t="s">
        <v>1824</v>
      </c>
      <c r="C568" s="107">
        <v>0.5</v>
      </c>
    </row>
    <row r="569" spans="1:3" ht="14.1" customHeight="1">
      <c r="A569" s="617"/>
      <c r="B569" s="240" t="s">
        <v>1825</v>
      </c>
      <c r="C569" s="107">
        <v>0.25</v>
      </c>
    </row>
    <row r="570" spans="1:3" ht="14.1" customHeight="1">
      <c r="A570" s="617"/>
      <c r="B570" s="240" t="s">
        <v>1812</v>
      </c>
      <c r="C570" s="107">
        <v>0</v>
      </c>
    </row>
    <row r="571" spans="1:3" ht="14.1" customHeight="1">
      <c r="A571" s="617"/>
      <c r="B571" s="240" t="s">
        <v>1826</v>
      </c>
      <c r="C571" s="107">
        <v>0.5</v>
      </c>
    </row>
    <row r="572" spans="1:3" ht="14.1" customHeight="1">
      <c r="A572" s="617"/>
      <c r="B572" s="240" t="s">
        <v>982</v>
      </c>
      <c r="C572" s="107">
        <v>0.1</v>
      </c>
    </row>
    <row r="573" spans="1:3" ht="14.1" customHeight="1">
      <c r="A573" s="618"/>
      <c r="B573" s="159" t="str">
        <f>""</f>
        <v/>
      </c>
      <c r="C573" s="107">
        <v>0</v>
      </c>
    </row>
    <row r="574" spans="1:3" ht="14.1" customHeight="1">
      <c r="A574" s="616" t="s">
        <v>1832</v>
      </c>
      <c r="B574" s="240" t="s">
        <v>966</v>
      </c>
      <c r="C574" s="107">
        <v>0</v>
      </c>
    </row>
    <row r="575" spans="1:3" ht="14.1" customHeight="1">
      <c r="A575" s="617"/>
      <c r="B575" s="240" t="s">
        <v>1830</v>
      </c>
      <c r="C575" s="107">
        <v>0.1</v>
      </c>
    </row>
    <row r="576" spans="1:3" ht="14.1" customHeight="1">
      <c r="A576" s="617"/>
      <c r="B576" s="240" t="s">
        <v>1831</v>
      </c>
      <c r="C576" s="107">
        <v>0.25</v>
      </c>
    </row>
    <row r="577" spans="1:3" ht="14.1" customHeight="1">
      <c r="A577" s="617"/>
      <c r="B577" s="240" t="s">
        <v>1834</v>
      </c>
      <c r="C577" s="107">
        <v>0.5</v>
      </c>
    </row>
    <row r="578" spans="1:3" ht="14.1" customHeight="1">
      <c r="A578" s="617"/>
      <c r="B578" s="240" t="s">
        <v>1835</v>
      </c>
      <c r="C578" s="107">
        <v>0.75</v>
      </c>
    </row>
    <row r="579" spans="1:3" ht="26.25" customHeight="1">
      <c r="A579" s="617"/>
      <c r="B579" s="240" t="s">
        <v>1836</v>
      </c>
      <c r="C579" s="107">
        <v>1</v>
      </c>
    </row>
    <row r="580" spans="1:3" ht="14.1" customHeight="1">
      <c r="A580" s="617"/>
      <c r="B580" s="240" t="s">
        <v>1833</v>
      </c>
      <c r="C580" s="234">
        <v>0</v>
      </c>
    </row>
    <row r="581" spans="1:3" ht="14.1" customHeight="1">
      <c r="A581" s="617"/>
      <c r="B581" s="240" t="s">
        <v>982</v>
      </c>
      <c r="C581" s="107">
        <v>0</v>
      </c>
    </row>
    <row r="582" spans="1:3" ht="14.1" customHeight="1">
      <c r="A582" s="618"/>
      <c r="B582" s="159" t="str">
        <f>""</f>
        <v/>
      </c>
      <c r="C582" s="107">
        <v>0</v>
      </c>
    </row>
    <row r="583" spans="1:3" ht="14.1" customHeight="1">
      <c r="A583" s="616" t="s">
        <v>1837</v>
      </c>
      <c r="B583" s="240" t="s">
        <v>966</v>
      </c>
      <c r="C583" s="107">
        <v>0</v>
      </c>
    </row>
    <row r="584" spans="1:3" ht="14.1" customHeight="1">
      <c r="A584" s="617"/>
      <c r="B584" s="240" t="s">
        <v>1838</v>
      </c>
      <c r="C584" s="107">
        <v>0.05</v>
      </c>
    </row>
    <row r="585" spans="1:3" ht="14.1" customHeight="1">
      <c r="A585" s="617"/>
      <c r="B585" s="240" t="s">
        <v>1839</v>
      </c>
      <c r="C585" s="107">
        <v>0.05</v>
      </c>
    </row>
    <row r="586" spans="1:3" ht="14.1" customHeight="1">
      <c r="A586" s="617"/>
      <c r="B586" s="240" t="s">
        <v>1834</v>
      </c>
      <c r="C586" s="107">
        <v>0.1</v>
      </c>
    </row>
    <row r="587" spans="1:3" ht="14.1" customHeight="1">
      <c r="A587" s="617"/>
      <c r="B587" s="240" t="s">
        <v>1835</v>
      </c>
      <c r="C587" s="107">
        <v>0.2</v>
      </c>
    </row>
    <row r="588" spans="1:3" ht="14.1" customHeight="1">
      <c r="A588" s="617"/>
      <c r="B588" s="240" t="s">
        <v>1840</v>
      </c>
      <c r="C588" s="107">
        <v>0.4</v>
      </c>
    </row>
    <row r="589" spans="1:3" ht="14.1" customHeight="1">
      <c r="A589" s="617"/>
      <c r="B589" s="240" t="s">
        <v>1841</v>
      </c>
      <c r="C589" s="107">
        <v>0.6</v>
      </c>
    </row>
    <row r="590" spans="1:3" ht="14.1" customHeight="1">
      <c r="A590" s="617"/>
      <c r="B590" s="240" t="s">
        <v>1842</v>
      </c>
      <c r="C590" s="107">
        <v>0.8</v>
      </c>
    </row>
    <row r="591" spans="1:3" ht="25.5">
      <c r="A591" s="617"/>
      <c r="B591" s="240" t="s">
        <v>1843</v>
      </c>
      <c r="C591" s="107">
        <v>1</v>
      </c>
    </row>
    <row r="592" spans="1:3" ht="14.1" customHeight="1">
      <c r="A592" s="617"/>
      <c r="B592" s="240" t="s">
        <v>1833</v>
      </c>
      <c r="C592" s="234">
        <v>0</v>
      </c>
    </row>
    <row r="593" spans="1:3" ht="14.1" customHeight="1">
      <c r="A593" s="617"/>
      <c r="B593" s="240" t="s">
        <v>982</v>
      </c>
      <c r="C593" s="107">
        <v>0</v>
      </c>
    </row>
    <row r="594" spans="1:3" ht="14.1" customHeight="1">
      <c r="A594" s="618"/>
      <c r="B594" s="159" t="str">
        <f>""</f>
        <v/>
      </c>
      <c r="C594" s="107">
        <v>0</v>
      </c>
    </row>
  </sheetData>
  <mergeCells count="50">
    <mergeCell ref="A259:A267"/>
    <mergeCell ref="A268:A274"/>
    <mergeCell ref="A2:A4"/>
    <mergeCell ref="A5:A7"/>
    <mergeCell ref="A25:A31"/>
    <mergeCell ref="A32:A38"/>
    <mergeCell ref="A383:A391"/>
    <mergeCell ref="A400:A407"/>
    <mergeCell ref="A39:A46"/>
    <mergeCell ref="A408:A416"/>
    <mergeCell ref="A417:A425"/>
    <mergeCell ref="A358:A362"/>
    <mergeCell ref="A351:A357"/>
    <mergeCell ref="A368:A376"/>
    <mergeCell ref="A345:A350"/>
    <mergeCell ref="A377:A382"/>
    <mergeCell ref="A275:A281"/>
    <mergeCell ref="A306:A312"/>
    <mergeCell ref="A324:A334"/>
    <mergeCell ref="A335:A344"/>
    <mergeCell ref="A55:A63"/>
    <mergeCell ref="A64:A258"/>
    <mergeCell ref="A431:A435"/>
    <mergeCell ref="A426:A430"/>
    <mergeCell ref="A436:A442"/>
    <mergeCell ref="A443:A448"/>
    <mergeCell ref="A449:A453"/>
    <mergeCell ref="A512:A520"/>
    <mergeCell ref="A521:A528"/>
    <mergeCell ref="A454:A459"/>
    <mergeCell ref="A460:A465"/>
    <mergeCell ref="A466:A470"/>
    <mergeCell ref="A471:A478"/>
    <mergeCell ref="A479:A497"/>
    <mergeCell ref="A574:A582"/>
    <mergeCell ref="A583:A594"/>
    <mergeCell ref="A8:A12"/>
    <mergeCell ref="A47:A54"/>
    <mergeCell ref="A392:A399"/>
    <mergeCell ref="A282:A289"/>
    <mergeCell ref="A298:A305"/>
    <mergeCell ref="A290:A297"/>
    <mergeCell ref="A313:A323"/>
    <mergeCell ref="A529:A535"/>
    <mergeCell ref="A544:A554"/>
    <mergeCell ref="A536:A543"/>
    <mergeCell ref="A555:A563"/>
    <mergeCell ref="A564:A573"/>
    <mergeCell ref="A498:A504"/>
    <mergeCell ref="A505:A511"/>
  </mergeCells>
  <dataValidations count="1">
    <dataValidation type="list" allowBlank="1" showInputMessage="1" showErrorMessage="1" sqref="F40" xr:uid="{51E4E918-F8D3-4148-9D57-6CACD832CF63}">
      <formula1>Generic_1_5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A3D3-F5EF-4D50-9A8D-DCEAF8D7A1FB}">
  <sheetPr>
    <tabColor theme="7" tint="0.79998168889431442"/>
  </sheetPr>
  <dimension ref="B1:AG52"/>
  <sheetViews>
    <sheetView zoomScale="118" zoomScaleNormal="118" workbookViewId="0">
      <selection activeCell="K48" sqref="K48"/>
    </sheetView>
  </sheetViews>
  <sheetFormatPr defaultRowHeight="12.75" outlineLevelCol="1"/>
  <cols>
    <col min="1" max="1" width="3" style="37" customWidth="1"/>
    <col min="2" max="2" width="15.7109375" style="37" customWidth="1"/>
    <col min="3" max="5" width="9.140625" style="37"/>
    <col min="6" max="6" width="2.140625" style="37" customWidth="1"/>
    <col min="7" max="7" width="9.140625" style="37"/>
    <col min="8" max="8" width="5.7109375" style="37" customWidth="1"/>
    <col min="9" max="9" width="10" style="37" customWidth="1"/>
    <col min="10" max="10" width="0.85546875" style="37" customWidth="1"/>
    <col min="11" max="11" width="14" style="37" customWidth="1"/>
    <col min="12" max="12" width="2.140625" style="37" customWidth="1"/>
    <col min="13" max="13" width="11.5703125" style="37" hidden="1" customWidth="1" outlineLevel="1"/>
    <col min="14" max="14" width="9.7109375" style="37" hidden="1" customWidth="1" outlineLevel="1"/>
    <col min="15" max="17" width="10.7109375" style="37" hidden="1" customWidth="1" outlineLevel="1"/>
    <col min="18" max="18" width="9.7109375" style="37" hidden="1" customWidth="1" outlineLevel="1"/>
    <col min="19" max="19" width="11.7109375" style="37" hidden="1" customWidth="1" outlineLevel="1"/>
    <col min="20" max="20" width="9.7109375" style="37" hidden="1" customWidth="1" outlineLevel="1"/>
    <col min="21" max="21" width="10.7109375" style="37" hidden="1" customWidth="1" outlineLevel="1"/>
    <col min="22" max="22" width="9.7109375" style="37" hidden="1" customWidth="1" outlineLevel="1"/>
    <col min="23" max="23" width="9.140625" style="37" collapsed="1"/>
    <col min="24" max="16384" width="9.140625" style="37"/>
  </cols>
  <sheetData>
    <row r="1" spans="2:33" ht="53.25" customHeight="1" thickBot="1">
      <c r="B1"/>
    </row>
    <row r="2" spans="2:33">
      <c r="B2" s="484" t="s">
        <v>708</v>
      </c>
      <c r="C2" s="485"/>
      <c r="D2" s="486"/>
      <c r="G2" s="146"/>
      <c r="H2" s="146"/>
      <c r="I2" s="146"/>
      <c r="J2" s="146"/>
      <c r="K2" s="146"/>
      <c r="L2" s="146"/>
      <c r="M2" s="147">
        <v>0</v>
      </c>
    </row>
    <row r="3" spans="2:33">
      <c r="B3" s="109" t="s">
        <v>700</v>
      </c>
      <c r="C3" s="108"/>
      <c r="D3" s="148">
        <v>0.45</v>
      </c>
      <c r="G3" s="146">
        <v>0</v>
      </c>
      <c r="H3" s="146">
        <v>10000</v>
      </c>
      <c r="I3" s="147">
        <v>0.3</v>
      </c>
      <c r="J3" s="146"/>
      <c r="K3" s="146"/>
      <c r="L3" s="146"/>
      <c r="M3" s="147">
        <f>SUM($I$3:I3)</f>
        <v>0.3</v>
      </c>
    </row>
    <row r="4" spans="2:33">
      <c r="B4" s="109" t="s">
        <v>701</v>
      </c>
      <c r="C4" s="108"/>
      <c r="D4" s="148">
        <v>0.5</v>
      </c>
      <c r="G4" s="146">
        <f t="shared" ref="G4:G9" si="0">H3</f>
        <v>10000</v>
      </c>
      <c r="H4" s="146">
        <v>50000</v>
      </c>
      <c r="I4" s="147">
        <v>0.3</v>
      </c>
      <c r="J4" s="146"/>
      <c r="K4" s="146"/>
      <c r="L4" s="146"/>
      <c r="M4" s="147">
        <f>SUM($I$3:I4)</f>
        <v>0.6</v>
      </c>
    </row>
    <row r="5" spans="2:33">
      <c r="B5" s="109" t="s">
        <v>702</v>
      </c>
      <c r="C5" s="108"/>
      <c r="D5" s="148">
        <v>0.55000000000000004</v>
      </c>
      <c r="G5" s="146">
        <f t="shared" si="0"/>
        <v>50000</v>
      </c>
      <c r="H5" s="146">
        <v>100000</v>
      </c>
      <c r="I5" s="147">
        <v>0.2</v>
      </c>
      <c r="J5" s="146"/>
      <c r="K5" s="146"/>
      <c r="L5" s="146"/>
      <c r="M5" s="147">
        <f>SUM($I$3:I5)</f>
        <v>0.8</v>
      </c>
    </row>
    <row r="6" spans="2:33">
      <c r="B6" s="109" t="s">
        <v>703</v>
      </c>
      <c r="C6" s="108"/>
      <c r="D6" s="148">
        <v>0.6</v>
      </c>
      <c r="G6" s="146">
        <f t="shared" si="0"/>
        <v>100000</v>
      </c>
      <c r="H6" s="146">
        <v>250000</v>
      </c>
      <c r="I6" s="147">
        <v>0.1</v>
      </c>
      <c r="J6" s="146"/>
      <c r="K6" s="146"/>
      <c r="L6" s="146"/>
      <c r="M6" s="147">
        <f>SUM($I$3:I6)</f>
        <v>0.9</v>
      </c>
    </row>
    <row r="7" spans="2:33">
      <c r="B7" s="109" t="s">
        <v>704</v>
      </c>
      <c r="C7" s="108"/>
      <c r="D7" s="148">
        <v>0.65</v>
      </c>
      <c r="G7" s="146">
        <f t="shared" si="0"/>
        <v>250000</v>
      </c>
      <c r="H7" s="146">
        <v>1000000</v>
      </c>
      <c r="I7" s="147">
        <v>0.06</v>
      </c>
      <c r="J7" s="146"/>
      <c r="K7" s="146"/>
      <c r="L7" s="146"/>
      <c r="M7" s="147">
        <f>SUM($I$3:I7)</f>
        <v>0.96</v>
      </c>
    </row>
    <row r="8" spans="2:33">
      <c r="B8" s="109" t="s">
        <v>705</v>
      </c>
      <c r="C8" s="108"/>
      <c r="D8" s="148">
        <v>0.67500000000000004</v>
      </c>
      <c r="G8" s="146">
        <f t="shared" si="0"/>
        <v>1000000</v>
      </c>
      <c r="H8" s="146">
        <v>2500000</v>
      </c>
      <c r="I8" s="147">
        <v>0.03</v>
      </c>
      <c r="J8" s="146"/>
      <c r="K8" s="146"/>
      <c r="L8" s="146"/>
      <c r="M8" s="147">
        <f>SUM($I$3:I8)</f>
        <v>0.99</v>
      </c>
    </row>
    <row r="9" spans="2:33" ht="13.5" thickBot="1">
      <c r="B9" s="110" t="s">
        <v>706</v>
      </c>
      <c r="C9" s="111"/>
      <c r="D9" s="149">
        <v>0.7</v>
      </c>
      <c r="G9" s="146">
        <f t="shared" si="0"/>
        <v>2500000</v>
      </c>
      <c r="H9" s="146">
        <v>1E+18</v>
      </c>
      <c r="I9" s="147">
        <v>0.01</v>
      </c>
      <c r="J9" s="146"/>
      <c r="K9" s="146"/>
      <c r="L9" s="146"/>
      <c r="M9" s="147">
        <f>SUM($I$3:I9)</f>
        <v>1</v>
      </c>
    </row>
    <row r="10" spans="2:33" ht="13.5" thickBot="1">
      <c r="B10"/>
      <c r="K10" s="746" t="s">
        <v>2245</v>
      </c>
      <c r="M10" s="734" t="s">
        <v>2244</v>
      </c>
      <c r="N10" s="733"/>
      <c r="O10" s="733"/>
      <c r="P10" s="733"/>
      <c r="Q10" s="733"/>
      <c r="R10" s="733"/>
      <c r="S10" s="733"/>
      <c r="T10" s="733"/>
      <c r="U10" s="733"/>
      <c r="V10" s="733"/>
    </row>
    <row r="11" spans="2:33" ht="27" customHeight="1">
      <c r="B11" s="735" t="s">
        <v>2</v>
      </c>
      <c r="C11" s="736" t="s">
        <v>212</v>
      </c>
      <c r="D11" s="737"/>
      <c r="E11" s="738"/>
      <c r="F11" s="739" t="s">
        <v>213</v>
      </c>
      <c r="G11" s="740"/>
      <c r="H11" s="741"/>
      <c r="I11" s="742" t="s">
        <v>214</v>
      </c>
      <c r="J11" s="412"/>
      <c r="K11" s="797" t="str">
        <f>'Data Parser'!C2&amp;" - "&amp;'Data Parser'!C14</f>
        <v>SampleOrg1 - Grant10000</v>
      </c>
      <c r="L11" s="412"/>
      <c r="M11" s="743" t="s">
        <v>688</v>
      </c>
      <c r="N11" s="744" t="s">
        <v>689</v>
      </c>
      <c r="O11" s="744" t="s">
        <v>690</v>
      </c>
      <c r="P11" s="744" t="s">
        <v>691</v>
      </c>
      <c r="Q11" s="744" t="s">
        <v>692</v>
      </c>
      <c r="R11" s="744" t="s">
        <v>693</v>
      </c>
      <c r="S11" s="744" t="s">
        <v>694</v>
      </c>
      <c r="T11" s="744" t="s">
        <v>695</v>
      </c>
      <c r="U11" s="744" t="s">
        <v>696</v>
      </c>
      <c r="V11" s="745" t="s">
        <v>697</v>
      </c>
    </row>
    <row r="12" spans="2:33" ht="12.75" customHeight="1">
      <c r="B12" s="511" t="str">
        <f>'Proposer Inputs'!A4</f>
        <v>Proposer Attributes</v>
      </c>
      <c r="C12" s="508" t="str">
        <f>'Proposer Inputs'!B5</f>
        <v>Skill</v>
      </c>
      <c r="D12" s="509"/>
      <c r="E12" s="510"/>
      <c r="F12" s="92">
        <v>9</v>
      </c>
      <c r="G12" s="95"/>
      <c r="H12" s="96"/>
      <c r="I12" s="112">
        <f>IFERROR(J12/SUM($J$12:$J$38),0)</f>
        <v>8.929758514950302E-2</v>
      </c>
      <c r="J12" s="40">
        <f>(F12+0.01)^1.5</f>
        <v>27.045012497686145</v>
      </c>
      <c r="K12" s="798">
        <f ca="1">OFFSET('VA Detailed Scorecard Config'!$E$1,MATCH($C12,'VA Detailed Scorecard Config'!C:C,0)-1,0)</f>
        <v>0.7497280715847715</v>
      </c>
      <c r="L12" s="40"/>
      <c r="M12" s="120">
        <v>0.86</v>
      </c>
      <c r="N12" s="101">
        <v>0.2</v>
      </c>
      <c r="O12" s="101">
        <v>0.09</v>
      </c>
      <c r="P12" s="101">
        <v>0.3</v>
      </c>
      <c r="Q12" s="101">
        <v>0.6</v>
      </c>
      <c r="R12" s="101">
        <v>0.26</v>
      </c>
      <c r="S12" s="101">
        <v>0.28000000000000003</v>
      </c>
      <c r="T12" s="101">
        <v>0.93</v>
      </c>
      <c r="U12" s="101">
        <v>0.32</v>
      </c>
      <c r="V12" s="121">
        <v>0.35</v>
      </c>
      <c r="X12" s="100"/>
      <c r="Y12" s="100"/>
      <c r="Z12" s="100"/>
      <c r="AA12" s="100"/>
      <c r="AB12" s="100"/>
      <c r="AC12" s="100"/>
      <c r="AD12" s="100"/>
      <c r="AE12" s="100"/>
      <c r="AF12" s="100"/>
      <c r="AG12" s="100"/>
    </row>
    <row r="13" spans="2:33">
      <c r="B13" s="512"/>
      <c r="C13" s="508" t="str">
        <f>'Proposer Inputs'!B28</f>
        <v>Capacity</v>
      </c>
      <c r="D13" s="509"/>
      <c r="E13" s="510"/>
      <c r="F13" s="92">
        <v>9</v>
      </c>
      <c r="G13" s="97"/>
      <c r="H13" s="98"/>
      <c r="I13" s="112">
        <f t="shared" ref="I13:I38" si="1">IFERROR(J13/SUM($J$12:$J$38),0)</f>
        <v>8.929758514950302E-2</v>
      </c>
      <c r="J13" s="40">
        <f t="shared" ref="J13:J38" si="2">(F13+0.01)^1.5</f>
        <v>27.045012497686145</v>
      </c>
      <c r="K13" s="798">
        <f ca="1">OFFSET('VA Detailed Scorecard Config'!$E$1,MATCH($C13,'VA Detailed Scorecard Config'!C:C,0)-1,0)</f>
        <v>0.58763625412892651</v>
      </c>
      <c r="L13" s="40"/>
      <c r="M13" s="120">
        <v>0.79</v>
      </c>
      <c r="N13" s="101">
        <v>0.34</v>
      </c>
      <c r="O13" s="101">
        <v>0.96</v>
      </c>
      <c r="P13" s="101">
        <v>0.27</v>
      </c>
      <c r="Q13" s="101">
        <v>0.17</v>
      </c>
      <c r="R13" s="101">
        <v>0.75</v>
      </c>
      <c r="S13" s="101">
        <v>0.52</v>
      </c>
      <c r="T13" s="101">
        <v>0.01</v>
      </c>
      <c r="U13" s="101">
        <v>0.72</v>
      </c>
      <c r="V13" s="121">
        <v>0.38</v>
      </c>
      <c r="X13" s="100"/>
      <c r="Y13" s="100"/>
      <c r="Z13" s="100"/>
      <c r="AA13" s="100"/>
      <c r="AB13" s="100"/>
      <c r="AC13" s="100"/>
      <c r="AD13" s="100"/>
      <c r="AE13" s="100"/>
      <c r="AF13" s="100"/>
      <c r="AG13" s="100"/>
    </row>
    <row r="14" spans="2:33" ht="12.75" customHeight="1">
      <c r="B14" s="512"/>
      <c r="C14" s="508" t="str">
        <f>'Proposer Inputs'!B37</f>
        <v>Decentralization</v>
      </c>
      <c r="D14" s="509"/>
      <c r="E14" s="510"/>
      <c r="F14" s="92">
        <v>5</v>
      </c>
      <c r="G14" s="97"/>
      <c r="H14" s="98"/>
      <c r="I14" s="112">
        <f t="shared" si="1"/>
        <v>3.702619779955818E-2</v>
      </c>
      <c r="J14" s="40">
        <f t="shared" si="2"/>
        <v>11.213897672085293</v>
      </c>
      <c r="K14" s="798">
        <f ca="1">OFFSET('VA Detailed Scorecard Config'!$E$1,MATCH($C14,'VA Detailed Scorecard Config'!C:C,0)-1,0)</f>
        <v>0.6219542362399505</v>
      </c>
      <c r="L14" s="40"/>
      <c r="M14" s="120">
        <v>0</v>
      </c>
      <c r="N14" s="101">
        <v>0.38</v>
      </c>
      <c r="O14" s="101">
        <v>0.79</v>
      </c>
      <c r="P14" s="101">
        <v>0.93</v>
      </c>
      <c r="Q14" s="101">
        <v>0.46</v>
      </c>
      <c r="R14" s="101">
        <v>0.36</v>
      </c>
      <c r="S14" s="101">
        <v>0.42</v>
      </c>
      <c r="T14" s="101">
        <v>0.06</v>
      </c>
      <c r="U14" s="101">
        <v>0.65</v>
      </c>
      <c r="V14" s="121">
        <v>0.39</v>
      </c>
      <c r="X14" s="100"/>
      <c r="Y14" s="100"/>
      <c r="Z14" s="100"/>
      <c r="AA14" s="100"/>
      <c r="AB14" s="100"/>
      <c r="AC14" s="100"/>
      <c r="AD14" s="100"/>
      <c r="AE14" s="100"/>
      <c r="AF14" s="100"/>
      <c r="AG14" s="100"/>
    </row>
    <row r="15" spans="2:33">
      <c r="B15" s="512"/>
      <c r="C15" s="508" t="str">
        <f>'Proposer Inputs'!B48</f>
        <v>Diversity</v>
      </c>
      <c r="D15" s="509"/>
      <c r="E15" s="510"/>
      <c r="F15" s="92">
        <v>4</v>
      </c>
      <c r="G15" s="97"/>
      <c r="H15" s="98"/>
      <c r="I15" s="112">
        <f t="shared" si="1"/>
        <v>2.6513623628186361E-2</v>
      </c>
      <c r="J15" s="40">
        <f t="shared" si="2"/>
        <v>8.0300187421948159</v>
      </c>
      <c r="K15" s="798">
        <f ca="1">OFFSET('VA Detailed Scorecard Config'!$E$1,MATCH($C15,'VA Detailed Scorecard Config'!C:C,0)-1,0)</f>
        <v>0.43333333333333324</v>
      </c>
      <c r="L15" s="40"/>
      <c r="M15" s="120">
        <v>0.52</v>
      </c>
      <c r="N15" s="101">
        <v>0.12</v>
      </c>
      <c r="O15" s="101">
        <v>0.54</v>
      </c>
      <c r="P15" s="101">
        <v>0.45</v>
      </c>
      <c r="Q15" s="101">
        <v>0.14000000000000001</v>
      </c>
      <c r="R15" s="101">
        <v>0.5</v>
      </c>
      <c r="S15" s="101">
        <v>0.68</v>
      </c>
      <c r="T15" s="101">
        <v>0.78</v>
      </c>
      <c r="U15" s="101">
        <v>0.84</v>
      </c>
      <c r="V15" s="121">
        <v>0.77</v>
      </c>
      <c r="X15" s="100"/>
      <c r="Y15" s="100"/>
      <c r="Z15" s="100"/>
      <c r="AA15" s="100"/>
      <c r="AB15" s="100"/>
      <c r="AC15" s="100"/>
      <c r="AD15" s="100"/>
      <c r="AE15" s="100"/>
      <c r="AF15" s="100"/>
      <c r="AG15" s="100"/>
    </row>
    <row r="16" spans="2:33">
      <c r="B16" s="513"/>
      <c r="C16" s="508" t="str">
        <f>'Proposer Inputs'!B52</f>
        <v>Right-sized team</v>
      </c>
      <c r="D16" s="509"/>
      <c r="E16" s="510"/>
      <c r="F16" s="92">
        <v>3</v>
      </c>
      <c r="G16" s="97"/>
      <c r="H16" s="98"/>
      <c r="I16" s="112">
        <f t="shared" si="1"/>
        <v>1.7242580865884573E-2</v>
      </c>
      <c r="J16" s="40">
        <f t="shared" si="2"/>
        <v>5.2221548234421382</v>
      </c>
      <c r="K16" s="798">
        <f ca="1">OFFSET('VA Detailed Scorecard Config'!$E$1,MATCH($C16,'VA Detailed Scorecard Config'!C:C,0)-1,0)</f>
        <v>0.67048113777100249</v>
      </c>
      <c r="L16" s="40"/>
      <c r="M16" s="120">
        <v>0.74</v>
      </c>
      <c r="N16" s="101">
        <v>0.83</v>
      </c>
      <c r="O16" s="101">
        <v>0.08</v>
      </c>
      <c r="P16" s="101">
        <v>0.91</v>
      </c>
      <c r="Q16" s="101">
        <v>0.2</v>
      </c>
      <c r="R16" s="101">
        <v>0.28000000000000003</v>
      </c>
      <c r="S16" s="101">
        <v>0.22</v>
      </c>
      <c r="T16" s="101">
        <v>0.39</v>
      </c>
      <c r="U16" s="101">
        <v>0.16</v>
      </c>
      <c r="V16" s="121">
        <v>0.67</v>
      </c>
      <c r="X16" s="100"/>
      <c r="Y16" s="100"/>
      <c r="Z16" s="100"/>
      <c r="AA16" s="100"/>
      <c r="AB16" s="100"/>
      <c r="AC16" s="100"/>
      <c r="AD16" s="100"/>
      <c r="AE16" s="100"/>
      <c r="AF16" s="100"/>
      <c r="AG16" s="100"/>
    </row>
    <row r="17" spans="2:33">
      <c r="B17" s="514" t="str">
        <f>'Proposer Inputs'!A58</f>
        <v>Proposal Fit</v>
      </c>
      <c r="C17" s="478" t="str">
        <f>'Proposer Inputs'!B59</f>
        <v>Fit to mission</v>
      </c>
      <c r="D17" s="479"/>
      <c r="E17" s="480"/>
      <c r="F17" s="92">
        <v>7</v>
      </c>
      <c r="G17" s="97"/>
      <c r="H17" s="98"/>
      <c r="I17" s="112">
        <f t="shared" si="1"/>
        <v>6.1281523698651225E-2</v>
      </c>
      <c r="J17" s="40">
        <f t="shared" si="2"/>
        <v>18.559959617412968</v>
      </c>
      <c r="K17" s="798">
        <f ca="1">OFFSET('VA Detailed Scorecard Config'!$E$1,MATCH($C17,'VA Detailed Scorecard Config'!C:C,0)-1,0)</f>
        <v>0.62669886621083049</v>
      </c>
      <c r="L17" s="40"/>
      <c r="M17" s="120">
        <v>0.97</v>
      </c>
      <c r="N17" s="101">
        <v>0.09</v>
      </c>
      <c r="O17" s="101">
        <v>0.65</v>
      </c>
      <c r="P17" s="101">
        <v>0.26</v>
      </c>
      <c r="Q17" s="101">
        <v>0.06</v>
      </c>
      <c r="R17" s="101">
        <v>0.87</v>
      </c>
      <c r="S17" s="101">
        <v>0.86</v>
      </c>
      <c r="T17" s="101">
        <v>0.04</v>
      </c>
      <c r="U17" s="101">
        <v>0.13</v>
      </c>
      <c r="V17" s="121">
        <v>0.49</v>
      </c>
      <c r="X17" s="100"/>
      <c r="Y17" s="100"/>
      <c r="Z17" s="100"/>
      <c r="AA17" s="100"/>
      <c r="AB17" s="100"/>
      <c r="AC17" s="100"/>
      <c r="AD17" s="100"/>
      <c r="AE17" s="100"/>
      <c r="AF17" s="100"/>
      <c r="AG17" s="100"/>
    </row>
    <row r="18" spans="2:33">
      <c r="B18" s="515"/>
      <c r="C18" s="478" t="str">
        <f>'Proposer Inputs'!B66</f>
        <v>Fit to known needs</v>
      </c>
      <c r="D18" s="479"/>
      <c r="E18" s="480"/>
      <c r="F18" s="92">
        <v>9</v>
      </c>
      <c r="G18" s="97"/>
      <c r="H18" s="98"/>
      <c r="I18" s="112">
        <f t="shared" si="1"/>
        <v>8.929758514950302E-2</v>
      </c>
      <c r="J18" s="40">
        <f t="shared" si="2"/>
        <v>27.045012497686145</v>
      </c>
      <c r="K18" s="798">
        <f ca="1">OFFSET('VA Detailed Scorecard Config'!$E$1,MATCH($C18,'VA Detailed Scorecard Config'!C:C,0)-1,0)</f>
        <v>0.86954664895789291</v>
      </c>
      <c r="L18" s="40"/>
      <c r="M18" s="120">
        <v>0.21</v>
      </c>
      <c r="N18" s="101">
        <v>0.34</v>
      </c>
      <c r="O18" s="101">
        <v>0.67</v>
      </c>
      <c r="P18" s="101">
        <v>0.44</v>
      </c>
      <c r="Q18" s="101">
        <v>0.41</v>
      </c>
      <c r="R18" s="101">
        <v>0.7</v>
      </c>
      <c r="S18" s="101">
        <v>0.09</v>
      </c>
      <c r="T18" s="101">
        <v>0.44</v>
      </c>
      <c r="U18" s="101">
        <v>0.72</v>
      </c>
      <c r="V18" s="121">
        <v>0.97</v>
      </c>
      <c r="X18" s="100"/>
      <c r="Y18" s="100"/>
      <c r="Z18" s="100"/>
      <c r="AA18" s="100"/>
      <c r="AB18" s="100"/>
      <c r="AC18" s="100"/>
      <c r="AD18" s="100"/>
      <c r="AE18" s="100"/>
      <c r="AF18" s="100"/>
      <c r="AG18" s="100"/>
    </row>
    <row r="19" spans="2:33">
      <c r="B19" s="515"/>
      <c r="C19" s="478" t="str">
        <f>'Proposer Inputs'!B72</f>
        <v>Fit to sponsors</v>
      </c>
      <c r="D19" s="479"/>
      <c r="E19" s="480"/>
      <c r="F19" s="92">
        <v>2</v>
      </c>
      <c r="G19" s="97"/>
      <c r="H19" s="98"/>
      <c r="I19" s="112">
        <f t="shared" si="1"/>
        <v>9.4090681512281112E-3</v>
      </c>
      <c r="J19" s="40">
        <f t="shared" si="2"/>
        <v>2.8496668226303221</v>
      </c>
      <c r="K19" s="798">
        <f ca="1">OFFSET('VA Detailed Scorecard Config'!$E$1,MATCH($C19,'VA Detailed Scorecard Config'!C:C,0)-1,0)</f>
        <v>0.36562305802928907</v>
      </c>
      <c r="L19" s="40"/>
      <c r="M19" s="120">
        <v>0.05</v>
      </c>
      <c r="N19" s="101">
        <v>0.87</v>
      </c>
      <c r="O19" s="101">
        <v>0.18</v>
      </c>
      <c r="P19" s="101">
        <v>0.4</v>
      </c>
      <c r="Q19" s="101">
        <v>0.49</v>
      </c>
      <c r="R19" s="101">
        <v>0.05</v>
      </c>
      <c r="S19" s="101">
        <v>0.49</v>
      </c>
      <c r="T19" s="101">
        <v>0.66</v>
      </c>
      <c r="U19" s="101">
        <v>0.73</v>
      </c>
      <c r="V19" s="121">
        <v>0.28000000000000003</v>
      </c>
      <c r="X19" s="100"/>
      <c r="Y19" s="100"/>
      <c r="Z19" s="100"/>
      <c r="AA19" s="100"/>
      <c r="AB19" s="100"/>
      <c r="AC19" s="100"/>
      <c r="AD19" s="100"/>
      <c r="AE19" s="100"/>
      <c r="AF19" s="100"/>
      <c r="AG19" s="100"/>
    </row>
    <row r="20" spans="2:33">
      <c r="B20" s="515"/>
      <c r="C20" s="478" t="str">
        <f>'Proposer Inputs'!B79</f>
        <v>Ecosystem affected</v>
      </c>
      <c r="D20" s="479"/>
      <c r="E20" s="480"/>
      <c r="F20" s="92">
        <v>4</v>
      </c>
      <c r="G20" s="97"/>
      <c r="H20" s="98"/>
      <c r="I20" s="112">
        <f t="shared" si="1"/>
        <v>2.6513623628186361E-2</v>
      </c>
      <c r="J20" s="40">
        <f t="shared" si="2"/>
        <v>8.0300187421948159</v>
      </c>
      <c r="K20" s="798">
        <f ca="1">OFFSET('VA Detailed Scorecard Config'!$E$1,MATCH($C20,'VA Detailed Scorecard Config'!C:C,0)-1,0)</f>
        <v>0.62</v>
      </c>
      <c r="L20" s="40"/>
      <c r="M20" s="120">
        <v>0.81</v>
      </c>
      <c r="N20" s="101">
        <v>0.4</v>
      </c>
      <c r="O20" s="101">
        <v>7.0000000000000007E-2</v>
      </c>
      <c r="P20" s="101">
        <v>0.88</v>
      </c>
      <c r="Q20" s="101">
        <v>0.72</v>
      </c>
      <c r="R20" s="101">
        <v>0.17</v>
      </c>
      <c r="S20" s="101">
        <v>0.2</v>
      </c>
      <c r="T20" s="101">
        <v>0.61</v>
      </c>
      <c r="U20" s="101">
        <v>0.74</v>
      </c>
      <c r="V20" s="121">
        <v>0.09</v>
      </c>
      <c r="X20" s="100"/>
      <c r="Y20" s="100"/>
      <c r="Z20" s="100"/>
      <c r="AA20" s="100"/>
      <c r="AB20" s="100"/>
      <c r="AC20" s="100"/>
      <c r="AD20" s="100"/>
      <c r="AE20" s="100"/>
      <c r="AF20" s="100"/>
      <c r="AG20" s="100"/>
    </row>
    <row r="21" spans="2:33" ht="12.75" customHeight="1">
      <c r="B21" s="516"/>
      <c r="C21" s="478" t="str">
        <f>'Proposer Inputs'!B84</f>
        <v>Type of deliverables</v>
      </c>
      <c r="D21" s="479"/>
      <c r="E21" s="480"/>
      <c r="F21" s="92">
        <v>9</v>
      </c>
      <c r="G21" s="97"/>
      <c r="H21" s="98"/>
      <c r="I21" s="112">
        <f t="shared" si="1"/>
        <v>8.929758514950302E-2</v>
      </c>
      <c r="J21" s="40">
        <f t="shared" si="2"/>
        <v>27.045012497686145</v>
      </c>
      <c r="K21" s="798">
        <f ca="1">OFFSET('VA Detailed Scorecard Config'!$E$1,MATCH($C21,'VA Detailed Scorecard Config'!C:C,0)-1,0)</f>
        <v>0.68452380952380953</v>
      </c>
      <c r="L21" s="40"/>
      <c r="M21" s="120">
        <v>0.79</v>
      </c>
      <c r="N21" s="101">
        <v>0.34</v>
      </c>
      <c r="O21" s="101">
        <v>0.53</v>
      </c>
      <c r="P21" s="101">
        <v>0.94</v>
      </c>
      <c r="Q21" s="101">
        <v>0.71</v>
      </c>
      <c r="R21" s="101">
        <v>0.32</v>
      </c>
      <c r="S21" s="101">
        <v>0.27</v>
      </c>
      <c r="T21" s="101">
        <v>0.55000000000000004</v>
      </c>
      <c r="U21" s="101">
        <v>7.0000000000000007E-2</v>
      </c>
      <c r="V21" s="121">
        <v>0.27</v>
      </c>
      <c r="X21" s="100"/>
      <c r="Y21" s="100"/>
      <c r="Z21" s="100"/>
      <c r="AA21" s="100"/>
      <c r="AB21" s="100"/>
      <c r="AC21" s="100"/>
      <c r="AD21" s="100"/>
      <c r="AE21" s="100"/>
      <c r="AF21" s="100"/>
      <c r="AG21" s="100"/>
    </row>
    <row r="22" spans="2:33">
      <c r="B22" s="471" t="s">
        <v>278</v>
      </c>
      <c r="C22" s="499" t="str">
        <f>'Proposer Inputs'!B88</f>
        <v>Cost vs. value vs. risk</v>
      </c>
      <c r="D22" s="500"/>
      <c r="E22" s="501"/>
      <c r="F22" s="92">
        <v>5</v>
      </c>
      <c r="G22" s="97"/>
      <c r="H22" s="98"/>
      <c r="I22" s="112">
        <f t="shared" si="1"/>
        <v>3.702619779955818E-2</v>
      </c>
      <c r="J22" s="40">
        <f t="shared" si="2"/>
        <v>11.213897672085293</v>
      </c>
      <c r="K22" s="798">
        <f ca="1">OFFSET('VA Detailed Scorecard Config'!$E$1,MATCH($C22,'VA Detailed Scorecard Config'!C:C,0)-1,0)</f>
        <v>0.68817231052370109</v>
      </c>
      <c r="L22" s="40"/>
      <c r="M22" s="120">
        <v>0.34</v>
      </c>
      <c r="N22" s="101">
        <v>0.69</v>
      </c>
      <c r="O22" s="101">
        <v>0.52</v>
      </c>
      <c r="P22" s="101">
        <v>0.71</v>
      </c>
      <c r="Q22" s="101">
        <v>0.5</v>
      </c>
      <c r="R22" s="101">
        <v>0.85</v>
      </c>
      <c r="S22" s="101">
        <v>0.38</v>
      </c>
      <c r="T22" s="101">
        <v>0.72</v>
      </c>
      <c r="U22" s="101">
        <v>0.26</v>
      </c>
      <c r="V22" s="121">
        <v>0.18</v>
      </c>
      <c r="X22" s="100"/>
      <c r="Y22" s="100"/>
      <c r="Z22" s="100"/>
      <c r="AA22" s="100"/>
      <c r="AB22" s="100"/>
      <c r="AC22" s="100"/>
      <c r="AD22" s="100"/>
      <c r="AE22" s="100"/>
      <c r="AF22" s="100"/>
      <c r="AG22" s="100"/>
    </row>
    <row r="23" spans="2:33">
      <c r="B23" s="471"/>
      <c r="C23" s="502" t="str">
        <f>'Proposer Inputs'!B92</f>
        <v>Overlap &amp; Integration</v>
      </c>
      <c r="D23" s="503"/>
      <c r="E23" s="504"/>
      <c r="F23" s="92">
        <v>9</v>
      </c>
      <c r="G23" s="97"/>
      <c r="H23" s="98"/>
      <c r="I23" s="112">
        <f t="shared" si="1"/>
        <v>8.929758514950302E-2</v>
      </c>
      <c r="J23" s="40">
        <f t="shared" si="2"/>
        <v>27.045012497686145</v>
      </c>
      <c r="K23" s="798">
        <f ca="1">OFFSET('VA Detailed Scorecard Config'!$E$1,MATCH($C23,'VA Detailed Scorecard Config'!C:C,0)-1,0)</f>
        <v>0.71428571428571419</v>
      </c>
      <c r="L23" s="40"/>
      <c r="M23" s="120">
        <v>0.89</v>
      </c>
      <c r="N23" s="101">
        <v>0.92</v>
      </c>
      <c r="O23" s="101">
        <v>0.72</v>
      </c>
      <c r="P23" s="101">
        <v>0.66</v>
      </c>
      <c r="Q23" s="101">
        <v>0.56000000000000005</v>
      </c>
      <c r="R23" s="101">
        <v>0.28999999999999998</v>
      </c>
      <c r="S23" s="101">
        <v>0.24</v>
      </c>
      <c r="T23" s="101">
        <v>0.56000000000000005</v>
      </c>
      <c r="U23" s="101">
        <v>0.85</v>
      </c>
      <c r="V23" s="121">
        <v>0.67</v>
      </c>
      <c r="X23" s="100"/>
      <c r="Y23" s="100"/>
      <c r="Z23" s="100"/>
      <c r="AA23" s="100"/>
      <c r="AB23" s="100"/>
      <c r="AC23" s="100"/>
      <c r="AD23" s="100"/>
      <c r="AE23" s="100"/>
      <c r="AF23" s="100"/>
      <c r="AG23" s="100"/>
    </row>
    <row r="24" spans="2:33" ht="12.75" customHeight="1">
      <c r="B24" s="471"/>
      <c r="C24" s="502" t="str">
        <f>'Proposer Inputs'!B96</f>
        <v>Completeness / helpfulness</v>
      </c>
      <c r="D24" s="503"/>
      <c r="E24" s="504"/>
      <c r="F24" s="92">
        <v>2</v>
      </c>
      <c r="G24" s="97"/>
      <c r="H24" s="98"/>
      <c r="I24" s="112">
        <f t="shared" si="1"/>
        <v>9.4090681512281112E-3</v>
      </c>
      <c r="J24" s="40">
        <f t="shared" si="2"/>
        <v>2.8496668226303221</v>
      </c>
      <c r="K24" s="798">
        <f ca="1">OFFSET('VA Detailed Scorecard Config'!$E$1,MATCH($C24,'VA Detailed Scorecard Config'!C:C,0)-1,0)</f>
        <v>0.58535957064026145</v>
      </c>
      <c r="L24" s="40"/>
      <c r="M24" s="120">
        <v>0.36</v>
      </c>
      <c r="N24" s="101">
        <v>0.48</v>
      </c>
      <c r="O24" s="101">
        <v>0.94</v>
      </c>
      <c r="P24" s="101">
        <v>0.83</v>
      </c>
      <c r="Q24" s="101">
        <v>0.66</v>
      </c>
      <c r="R24" s="101">
        <v>0.88</v>
      </c>
      <c r="S24" s="101">
        <v>0.7</v>
      </c>
      <c r="T24" s="101">
        <v>0.56999999999999995</v>
      </c>
      <c r="U24" s="101">
        <v>0.83</v>
      </c>
      <c r="V24" s="121">
        <v>0.79</v>
      </c>
      <c r="X24" s="100"/>
      <c r="Y24" s="100"/>
      <c r="Z24" s="100"/>
      <c r="AA24" s="100"/>
      <c r="AB24" s="100"/>
      <c r="AC24" s="100"/>
      <c r="AD24" s="100"/>
      <c r="AE24" s="100"/>
      <c r="AF24" s="100"/>
      <c r="AG24" s="100"/>
    </row>
    <row r="25" spans="2:33">
      <c r="B25" s="472"/>
      <c r="C25" s="502" t="str">
        <f>'Proposer Inputs'!B101</f>
        <v>Actionability</v>
      </c>
      <c r="D25" s="503"/>
      <c r="E25" s="504"/>
      <c r="F25" s="92">
        <v>2</v>
      </c>
      <c r="G25" s="97"/>
      <c r="H25" s="98"/>
      <c r="I25" s="112">
        <f t="shared" si="1"/>
        <v>9.4090681512281112E-3</v>
      </c>
      <c r="J25" s="40">
        <f t="shared" si="2"/>
        <v>2.8496668226303221</v>
      </c>
      <c r="K25" s="798">
        <f ca="1">OFFSET('VA Detailed Scorecard Config'!$E$1,MATCH($C25,'VA Detailed Scorecard Config'!C:C,0)-1,0)</f>
        <v>0.57264448827641024</v>
      </c>
      <c r="L25" s="40"/>
      <c r="M25" s="120">
        <v>0.92</v>
      </c>
      <c r="N25" s="101">
        <v>0.15</v>
      </c>
      <c r="O25" s="101">
        <v>0.87</v>
      </c>
      <c r="P25" s="101">
        <v>0.34</v>
      </c>
      <c r="Q25" s="101">
        <v>0.85</v>
      </c>
      <c r="R25" s="101">
        <v>1</v>
      </c>
      <c r="S25" s="101">
        <v>0.17</v>
      </c>
      <c r="T25" s="101">
        <v>0.46</v>
      </c>
      <c r="U25" s="101">
        <v>0.14000000000000001</v>
      </c>
      <c r="V25" s="121">
        <v>0.98</v>
      </c>
      <c r="X25" s="100"/>
      <c r="Y25" s="100"/>
      <c r="Z25" s="100"/>
      <c r="AA25" s="100"/>
      <c r="AB25" s="100"/>
      <c r="AC25" s="100"/>
      <c r="AD25" s="100"/>
      <c r="AE25" s="100"/>
      <c r="AF25" s="100"/>
      <c r="AG25" s="100"/>
    </row>
    <row r="26" spans="2:33">
      <c r="B26" s="473" t="s">
        <v>169</v>
      </c>
      <c r="C26" s="481" t="s">
        <v>248</v>
      </c>
      <c r="D26" s="482"/>
      <c r="E26" s="483"/>
      <c r="F26" s="92">
        <v>7</v>
      </c>
      <c r="G26" s="97"/>
      <c r="H26" s="98"/>
      <c r="I26" s="112">
        <f t="shared" si="1"/>
        <v>6.1281523698651225E-2</v>
      </c>
      <c r="J26" s="40">
        <f t="shared" si="2"/>
        <v>18.559959617412968</v>
      </c>
      <c r="K26" s="798">
        <f ca="1">OFFSET('VA Detailed Scorecard Config'!$E$1,MATCH($C26,'VA Detailed Scorecard Config'!C:C,0)-1,0)</f>
        <v>0.76221605258210479</v>
      </c>
      <c r="L26" s="40"/>
      <c r="M26" s="120">
        <v>0.8</v>
      </c>
      <c r="N26" s="101">
        <v>0.42</v>
      </c>
      <c r="O26" s="101">
        <v>0.28999999999999998</v>
      </c>
      <c r="P26" s="101">
        <v>0.73</v>
      </c>
      <c r="Q26" s="101">
        <v>0.52</v>
      </c>
      <c r="R26" s="101">
        <v>0.39</v>
      </c>
      <c r="S26" s="101">
        <v>0.56000000000000005</v>
      </c>
      <c r="T26" s="101">
        <v>0.84</v>
      </c>
      <c r="U26" s="101">
        <v>0.94</v>
      </c>
      <c r="V26" s="121">
        <v>7.0000000000000007E-2</v>
      </c>
      <c r="X26" s="100"/>
      <c r="Y26" s="100"/>
      <c r="Z26" s="100"/>
      <c r="AA26" s="100"/>
      <c r="AB26" s="100"/>
      <c r="AC26" s="100"/>
      <c r="AD26" s="100"/>
      <c r="AE26" s="100"/>
      <c r="AF26" s="100"/>
      <c r="AG26" s="100"/>
    </row>
    <row r="27" spans="2:33">
      <c r="B27" s="474"/>
      <c r="C27" s="89" t="s">
        <v>245</v>
      </c>
      <c r="D27" s="90"/>
      <c r="E27" s="91"/>
      <c r="F27" s="92">
        <v>1</v>
      </c>
      <c r="G27" s="97"/>
      <c r="H27" s="98"/>
      <c r="I27" s="112">
        <f t="shared" si="1"/>
        <v>3.3514642314796299E-3</v>
      </c>
      <c r="J27" s="40">
        <f t="shared" si="2"/>
        <v>1.0150374377332099</v>
      </c>
      <c r="K27" s="798">
        <f ca="1">OFFSET('VA Detailed Scorecard Config'!$E$1,MATCH($C27,'VA Detailed Scorecard Config'!C:C,0)-1,0)</f>
        <v>0</v>
      </c>
      <c r="L27" s="40"/>
      <c r="M27" s="120">
        <v>0.63</v>
      </c>
      <c r="N27" s="101">
        <v>0</v>
      </c>
      <c r="O27" s="101">
        <v>0.63</v>
      </c>
      <c r="P27" s="101">
        <v>0.33</v>
      </c>
      <c r="Q27" s="101">
        <v>0.37</v>
      </c>
      <c r="R27" s="101">
        <v>0.16</v>
      </c>
      <c r="S27" s="101">
        <v>0.82</v>
      </c>
      <c r="T27" s="101">
        <v>0.98</v>
      </c>
      <c r="U27" s="101">
        <v>0.41</v>
      </c>
      <c r="V27" s="121">
        <v>0.56000000000000005</v>
      </c>
      <c r="X27" s="100"/>
      <c r="Y27" s="100"/>
      <c r="Z27" s="100"/>
      <c r="AA27" s="100"/>
      <c r="AB27" s="100"/>
      <c r="AC27" s="100"/>
      <c r="AD27" s="100"/>
      <c r="AE27" s="100"/>
      <c r="AF27" s="100"/>
      <c r="AG27" s="100"/>
    </row>
    <row r="28" spans="2:33">
      <c r="B28" s="474"/>
      <c r="C28" s="481" t="s">
        <v>242</v>
      </c>
      <c r="D28" s="482"/>
      <c r="E28" s="483"/>
      <c r="F28" s="92">
        <v>8</v>
      </c>
      <c r="G28" s="97"/>
      <c r="H28" s="98"/>
      <c r="I28" s="112">
        <f t="shared" si="1"/>
        <v>7.4851636900749169E-2</v>
      </c>
      <c r="J28" s="40">
        <f t="shared" si="2"/>
        <v>22.66985666033202</v>
      </c>
      <c r="K28" s="798">
        <f ca="1">OFFSET('VA Detailed Scorecard Config'!$E$1,MATCH($C28,'VA Detailed Scorecard Config'!C:C,0)-1,0)</f>
        <v>0.875</v>
      </c>
      <c r="L28" s="40"/>
      <c r="M28" s="120">
        <v>0.85</v>
      </c>
      <c r="N28" s="101">
        <v>0.9</v>
      </c>
      <c r="O28" s="101">
        <v>0.97</v>
      </c>
      <c r="P28" s="101">
        <v>7.0000000000000007E-2</v>
      </c>
      <c r="Q28" s="101">
        <v>0.39</v>
      </c>
      <c r="R28" s="101">
        <v>0.55000000000000004</v>
      </c>
      <c r="S28" s="101">
        <v>0.64</v>
      </c>
      <c r="T28" s="101">
        <v>0.36</v>
      </c>
      <c r="U28" s="101">
        <v>0.83</v>
      </c>
      <c r="V28" s="121">
        <v>0.81</v>
      </c>
      <c r="X28" s="100"/>
      <c r="Y28" s="100"/>
      <c r="Z28" s="100"/>
      <c r="AA28" s="100"/>
      <c r="AB28" s="100"/>
      <c r="AC28" s="100"/>
      <c r="AD28" s="100"/>
      <c r="AE28" s="100"/>
      <c r="AF28" s="100"/>
      <c r="AG28" s="100"/>
    </row>
    <row r="29" spans="2:33" ht="13.5" thickBot="1">
      <c r="B29" s="475"/>
      <c r="C29" s="113" t="s">
        <v>240</v>
      </c>
      <c r="D29" s="114"/>
      <c r="E29" s="115"/>
      <c r="F29" s="116">
        <v>1</v>
      </c>
      <c r="G29" s="117"/>
      <c r="H29" s="118"/>
      <c r="I29" s="119">
        <f t="shared" si="1"/>
        <v>3.3514642314796299E-3</v>
      </c>
      <c r="J29" s="40">
        <f t="shared" si="2"/>
        <v>1.0150374377332099</v>
      </c>
      <c r="K29" s="799">
        <f ca="1">OFFSET('VA Detailed Scorecard Config'!$E$1,MATCH($C29,'VA Detailed Scorecard Config'!C:C,0)-1,0)</f>
        <v>0</v>
      </c>
      <c r="L29" s="40"/>
      <c r="M29" s="122">
        <v>0.71</v>
      </c>
      <c r="N29" s="123">
        <v>0.54</v>
      </c>
      <c r="O29" s="123">
        <v>0.08</v>
      </c>
      <c r="P29" s="123">
        <v>0.56999999999999995</v>
      </c>
      <c r="Q29" s="123">
        <v>0.08</v>
      </c>
      <c r="R29" s="123">
        <v>0.32</v>
      </c>
      <c r="S29" s="123">
        <v>0.62</v>
      </c>
      <c r="T29" s="123">
        <v>0.98</v>
      </c>
      <c r="U29" s="123">
        <v>0.16</v>
      </c>
      <c r="V29" s="124">
        <v>0.32</v>
      </c>
      <c r="X29" s="100"/>
      <c r="Y29" s="100"/>
      <c r="Z29" s="100"/>
      <c r="AA29" s="100"/>
      <c r="AB29" s="100"/>
      <c r="AC29" s="100"/>
      <c r="AD29" s="100"/>
      <c r="AE29" s="100"/>
      <c r="AF29" s="100"/>
      <c r="AG29" s="100"/>
    </row>
    <row r="30" spans="2:33" ht="4.5" customHeight="1" thickBot="1">
      <c r="K30" s="241"/>
      <c r="X30" s="100"/>
      <c r="Y30" s="100"/>
      <c r="Z30" s="100"/>
      <c r="AA30" s="100"/>
      <c r="AB30" s="100"/>
      <c r="AC30" s="100"/>
      <c r="AD30" s="100"/>
      <c r="AE30" s="100"/>
      <c r="AF30" s="100"/>
      <c r="AG30" s="100"/>
    </row>
    <row r="31" spans="2:33">
      <c r="B31" s="496" t="str">
        <f>'Proposer Inputs'!A112&amp;" (used only for ongoing programs)"</f>
        <v>Program-Level Appendix (used only for ongoing programs)</v>
      </c>
      <c r="C31" s="505" t="str">
        <f>'Proposer Inputs'!B113</f>
        <v>Ability to support</v>
      </c>
      <c r="D31" s="506"/>
      <c r="E31" s="507"/>
      <c r="F31" s="126">
        <v>5</v>
      </c>
      <c r="G31" s="127"/>
      <c r="H31" s="128"/>
      <c r="I31" s="129">
        <f t="shared" si="1"/>
        <v>3.702619779955818E-2</v>
      </c>
      <c r="J31" s="40">
        <f t="shared" si="2"/>
        <v>11.213897672085293</v>
      </c>
      <c r="K31" s="800">
        <f ca="1">OFFSET('VA Detailed Scorecard Config'!$E$1,MATCH($C31,'VA Detailed Scorecard Config'!C:C,0)-1,0)</f>
        <v>0.39920634920634923</v>
      </c>
      <c r="L31" s="40"/>
      <c r="M31" s="130">
        <v>0.94</v>
      </c>
      <c r="N31" s="131">
        <v>0.7</v>
      </c>
      <c r="O31" s="132" t="s">
        <v>699</v>
      </c>
      <c r="P31" s="132" t="s">
        <v>699</v>
      </c>
      <c r="Q31" s="131">
        <v>0.4</v>
      </c>
      <c r="R31" s="131">
        <v>0.95</v>
      </c>
      <c r="S31" s="131">
        <v>0.89</v>
      </c>
      <c r="T31" s="131">
        <v>0.85</v>
      </c>
      <c r="U31" s="132" t="s">
        <v>699</v>
      </c>
      <c r="V31" s="133">
        <v>0.56000000000000005</v>
      </c>
      <c r="X31" s="100"/>
      <c r="Y31" s="100"/>
      <c r="Z31" s="100"/>
      <c r="AA31" s="100"/>
      <c r="AB31" s="100"/>
      <c r="AC31" s="100"/>
      <c r="AD31" s="100"/>
      <c r="AE31" s="100"/>
      <c r="AF31" s="100"/>
      <c r="AG31" s="100"/>
    </row>
    <row r="32" spans="2:33" ht="12.75" customHeight="1">
      <c r="B32" s="497"/>
      <c r="C32" s="487" t="str">
        <f>'Proposer Inputs'!B119</f>
        <v>Single points of failure</v>
      </c>
      <c r="D32" s="488"/>
      <c r="E32" s="489"/>
      <c r="F32" s="92">
        <v>3</v>
      </c>
      <c r="G32" s="97"/>
      <c r="H32" s="98"/>
      <c r="I32" s="112">
        <f t="shared" si="1"/>
        <v>1.7242580865884573E-2</v>
      </c>
      <c r="J32" s="40">
        <f t="shared" si="2"/>
        <v>5.2221548234421382</v>
      </c>
      <c r="K32" s="798">
        <f ca="1">OFFSET('VA Detailed Scorecard Config'!$E$1,MATCH($C32,'VA Detailed Scorecard Config'!C:C,0)-1,0)</f>
        <v>0.63650793650793647</v>
      </c>
      <c r="L32" s="40"/>
      <c r="M32" s="120">
        <v>0.56999999999999995</v>
      </c>
      <c r="N32" s="101">
        <v>0.62</v>
      </c>
      <c r="O32" s="104" t="s">
        <v>699</v>
      </c>
      <c r="P32" s="104" t="s">
        <v>699</v>
      </c>
      <c r="Q32" s="101">
        <v>0.61</v>
      </c>
      <c r="R32" s="101">
        <v>0.51</v>
      </c>
      <c r="S32" s="101">
        <v>0.51</v>
      </c>
      <c r="T32" s="101">
        <v>0.59</v>
      </c>
      <c r="U32" s="104" t="s">
        <v>699</v>
      </c>
      <c r="V32" s="121">
        <v>0.5</v>
      </c>
      <c r="X32" s="100"/>
      <c r="Y32" s="100"/>
      <c r="Z32" s="100"/>
      <c r="AA32" s="100"/>
      <c r="AB32" s="100"/>
      <c r="AC32" s="100"/>
      <c r="AD32" s="100"/>
      <c r="AE32" s="100"/>
      <c r="AF32" s="100"/>
      <c r="AG32" s="100"/>
    </row>
    <row r="33" spans="2:33">
      <c r="B33" s="497"/>
      <c r="C33" s="487" t="str">
        <f>'Proposer Inputs'!B124</f>
        <v>SLA</v>
      </c>
      <c r="D33" s="488"/>
      <c r="E33" s="489"/>
      <c r="F33" s="92">
        <v>7</v>
      </c>
      <c r="G33" s="97"/>
      <c r="H33" s="98"/>
      <c r="I33" s="112">
        <f t="shared" si="1"/>
        <v>6.1281523698651225E-2</v>
      </c>
      <c r="J33" s="40">
        <f t="shared" si="2"/>
        <v>18.559959617412968</v>
      </c>
      <c r="K33" s="798">
        <f ca="1">OFFSET('VA Detailed Scorecard Config'!$E$1,MATCH($C33,'VA Detailed Scorecard Config'!C:C,0)-1,0)</f>
        <v>0.30821917808219179</v>
      </c>
      <c r="L33" s="40"/>
      <c r="M33" s="120">
        <v>0.82</v>
      </c>
      <c r="N33" s="101">
        <v>0.47</v>
      </c>
      <c r="O33" s="104" t="s">
        <v>699</v>
      </c>
      <c r="P33" s="104" t="s">
        <v>699</v>
      </c>
      <c r="Q33" s="101">
        <v>0.48</v>
      </c>
      <c r="R33" s="101">
        <v>0.5</v>
      </c>
      <c r="S33" s="101">
        <v>0.56999999999999995</v>
      </c>
      <c r="T33" s="101">
        <v>0.33</v>
      </c>
      <c r="U33" s="104" t="s">
        <v>699</v>
      </c>
      <c r="V33" s="121">
        <v>0.98</v>
      </c>
      <c r="X33" s="100"/>
      <c r="Y33" s="100"/>
      <c r="Z33" s="100"/>
      <c r="AA33" s="100"/>
      <c r="AB33" s="100"/>
      <c r="AC33" s="100"/>
      <c r="AD33" s="100"/>
      <c r="AE33" s="100"/>
      <c r="AF33" s="100"/>
      <c r="AG33" s="100"/>
    </row>
    <row r="34" spans="2:33" ht="13.5" thickBot="1">
      <c r="B34" s="498"/>
      <c r="C34" s="490" t="str">
        <f>'Proposer Inputs'!B129</f>
        <v>Transparency</v>
      </c>
      <c r="D34" s="491"/>
      <c r="E34" s="492"/>
      <c r="F34" s="116">
        <v>7</v>
      </c>
      <c r="G34" s="117"/>
      <c r="H34" s="118"/>
      <c r="I34" s="119">
        <f t="shared" si="1"/>
        <v>6.1281523698651225E-2</v>
      </c>
      <c r="J34" s="40">
        <f t="shared" si="2"/>
        <v>18.559959617412968</v>
      </c>
      <c r="K34" s="799">
        <f ca="1">OFFSET('VA Detailed Scorecard Config'!$E$1,MATCH($C34,'VA Detailed Scorecard Config'!C:C,0)-1,0)</f>
        <v>0.59756097560975607</v>
      </c>
      <c r="L34" s="40"/>
      <c r="M34" s="122">
        <v>0.59</v>
      </c>
      <c r="N34" s="123">
        <v>0.51</v>
      </c>
      <c r="O34" s="134" t="s">
        <v>699</v>
      </c>
      <c r="P34" s="134" t="s">
        <v>699</v>
      </c>
      <c r="Q34" s="123">
        <v>0.23</v>
      </c>
      <c r="R34" s="123">
        <v>0.49</v>
      </c>
      <c r="S34" s="123">
        <v>0.8</v>
      </c>
      <c r="T34" s="123">
        <v>0.56999999999999995</v>
      </c>
      <c r="U34" s="134" t="s">
        <v>699</v>
      </c>
      <c r="V34" s="124">
        <v>0.83</v>
      </c>
      <c r="X34" s="100"/>
      <c r="Y34" s="100"/>
      <c r="Z34" s="100"/>
      <c r="AA34" s="100"/>
      <c r="AB34" s="100"/>
      <c r="AC34" s="100"/>
      <c r="AD34" s="100"/>
      <c r="AE34" s="100"/>
      <c r="AF34" s="100"/>
      <c r="AG34" s="100"/>
    </row>
    <row r="35" spans="2:33" ht="12.75" hidden="1" customHeight="1">
      <c r="B35" s="88"/>
      <c r="C35" s="493" t="s">
        <v>215</v>
      </c>
      <c r="D35" s="494"/>
      <c r="E35" s="495"/>
      <c r="F35" s="94">
        <v>0</v>
      </c>
      <c r="G35" s="94"/>
      <c r="H35" s="94"/>
      <c r="I35" s="125">
        <f t="shared" si="1"/>
        <v>3.3018134178027451E-6</v>
      </c>
      <c r="J35" s="40">
        <f t="shared" si="2"/>
        <v>1.0000000000000002E-3</v>
      </c>
      <c r="K35" s="40"/>
      <c r="L35" s="40"/>
    </row>
    <row r="36" spans="2:33" hidden="1">
      <c r="B36" s="39"/>
      <c r="C36" s="478" t="s">
        <v>215</v>
      </c>
      <c r="D36" s="479"/>
      <c r="E36" s="480"/>
      <c r="F36" s="38">
        <v>0</v>
      </c>
      <c r="G36" s="38"/>
      <c r="H36" s="38"/>
      <c r="I36" s="93">
        <f t="shared" si="1"/>
        <v>3.3018134178027451E-6</v>
      </c>
      <c r="J36" s="40">
        <f t="shared" si="2"/>
        <v>1.0000000000000002E-3</v>
      </c>
      <c r="K36" s="40"/>
      <c r="L36" s="40"/>
    </row>
    <row r="37" spans="2:33" hidden="1">
      <c r="B37" s="39"/>
      <c r="C37" s="478" t="s">
        <v>215</v>
      </c>
      <c r="D37" s="479"/>
      <c r="E37" s="480"/>
      <c r="F37" s="38">
        <v>0</v>
      </c>
      <c r="G37" s="38"/>
      <c r="H37" s="38"/>
      <c r="I37" s="93">
        <f t="shared" si="1"/>
        <v>3.3018134178027451E-6</v>
      </c>
      <c r="J37" s="40">
        <f t="shared" si="2"/>
        <v>1.0000000000000002E-3</v>
      </c>
      <c r="K37" s="40"/>
      <c r="L37" s="40"/>
    </row>
    <row r="38" spans="2:33" hidden="1">
      <c r="B38" s="39"/>
      <c r="C38" s="478" t="s">
        <v>215</v>
      </c>
      <c r="D38" s="479"/>
      <c r="E38" s="480"/>
      <c r="F38" s="38">
        <v>0</v>
      </c>
      <c r="G38" s="38"/>
      <c r="H38" s="38"/>
      <c r="I38" s="93">
        <f t="shared" si="1"/>
        <v>3.3018134178027451E-6</v>
      </c>
      <c r="J38" s="40">
        <f t="shared" si="2"/>
        <v>1.0000000000000002E-3</v>
      </c>
      <c r="K38" s="40"/>
      <c r="L38" s="40"/>
    </row>
    <row r="39" spans="2:33" ht="4.5" customHeight="1" thickBot="1">
      <c r="I39" s="103"/>
    </row>
    <row r="40" spans="2:33">
      <c r="B40" s="476" t="s">
        <v>707</v>
      </c>
      <c r="C40" s="477"/>
      <c r="D40" s="477"/>
      <c r="E40" s="477"/>
      <c r="F40" s="139"/>
      <c r="G40" s="139"/>
      <c r="H40" s="139"/>
      <c r="I40" s="140"/>
      <c r="K40" s="803">
        <f ca="1">'Data Parser'!C131</f>
        <v>300000</v>
      </c>
      <c r="M40" s="747">
        <v>2092000</v>
      </c>
      <c r="N40" s="747">
        <v>2000</v>
      </c>
      <c r="O40" s="747">
        <v>51000</v>
      </c>
      <c r="P40" s="747">
        <v>6000</v>
      </c>
      <c r="Q40" s="747">
        <v>162000</v>
      </c>
      <c r="R40" s="747">
        <v>3000</v>
      </c>
      <c r="S40" s="747">
        <v>132000</v>
      </c>
      <c r="T40" s="747">
        <v>5000</v>
      </c>
      <c r="U40" s="747">
        <v>64000</v>
      </c>
      <c r="V40" s="747">
        <v>9000</v>
      </c>
    </row>
    <row r="41" spans="2:33" ht="18">
      <c r="B41" s="801" t="s">
        <v>698</v>
      </c>
      <c r="C41" s="802"/>
      <c r="D41" s="802"/>
      <c r="E41" s="802"/>
      <c r="F41" s="138"/>
      <c r="G41" s="138"/>
      <c r="H41" s="138"/>
      <c r="I41" s="141"/>
      <c r="K41" s="804">
        <f ca="1">IF(SUM(K31:K34)=0,SUMPRODUCT($I$12:$I$29,K12:K29)/SUM($I$12:$I$29),SUMPRODUCT($I$12:$I$34,K12:K34))</f>
        <v>0.65618928364322771</v>
      </c>
      <c r="M41" s="105">
        <f>IF(SUM(M31:M34)=0,SUMPRODUCT($I$12:$I$29,M12:M29)/SUM($I$12:$I$29),SUMPRODUCT($I$12:$I$34,M12:M34))</f>
        <v>0.69686204441113564</v>
      </c>
      <c r="N41" s="105">
        <f t="shared" ref="N41:V41" si="3">IF(SUM(N31:N34)=0,SUMPRODUCT($I$12:$I$29,N12:N29)/SUM($I$12:$I$29),SUMPRODUCT($I$12:$I$34,N12:N34))</f>
        <v>0.47002136530084959</v>
      </c>
      <c r="O41" s="105">
        <f t="shared" si="3"/>
        <v>0.5862628408037851</v>
      </c>
      <c r="P41" s="105">
        <f t="shared" si="3"/>
        <v>0.5204857224169408</v>
      </c>
      <c r="Q41" s="105">
        <f t="shared" si="3"/>
        <v>0.43447451861446257</v>
      </c>
      <c r="R41" s="105">
        <f t="shared" si="3"/>
        <v>0.5173527844891842</v>
      </c>
      <c r="S41" s="105">
        <f t="shared" si="3"/>
        <v>0.46001290623017455</v>
      </c>
      <c r="T41" s="105">
        <f t="shared" si="3"/>
        <v>0.49495325206443275</v>
      </c>
      <c r="U41" s="105">
        <f t="shared" si="3"/>
        <v>0.56279262675168729</v>
      </c>
      <c r="V41" s="105">
        <f t="shared" si="3"/>
        <v>0.54866567953064382</v>
      </c>
    </row>
    <row r="42" spans="2:33" hidden="1">
      <c r="B42" s="142"/>
      <c r="C42" s="138"/>
      <c r="D42" s="138"/>
      <c r="E42" s="138"/>
      <c r="F42" s="138"/>
      <c r="G42" s="138"/>
      <c r="H42" s="138"/>
      <c r="I42" s="141"/>
      <c r="K42" s="805">
        <f ca="1">RAND()</f>
        <v>0.62574378184137514</v>
      </c>
      <c r="M42" s="99">
        <f ca="1">RAND()</f>
        <v>0.9461714508072897</v>
      </c>
      <c r="N42" s="99">
        <f t="shared" ref="N42:V42" ca="1" si="4">RAND()</f>
        <v>0.97029137829363754</v>
      </c>
      <c r="O42" s="99">
        <f t="shared" ca="1" si="4"/>
        <v>0.33618425850025202</v>
      </c>
      <c r="P42" s="99">
        <f t="shared" ca="1" si="4"/>
        <v>0.68643900395458635</v>
      </c>
      <c r="Q42" s="99">
        <f t="shared" ca="1" si="4"/>
        <v>0.61300775718417</v>
      </c>
      <c r="R42" s="99">
        <f t="shared" ca="1" si="4"/>
        <v>0.8688944354462399</v>
      </c>
      <c r="S42" s="99">
        <f t="shared" ca="1" si="4"/>
        <v>0.20846078726322337</v>
      </c>
      <c r="T42" s="99">
        <f t="shared" ca="1" si="4"/>
        <v>9.4342741098696448E-2</v>
      </c>
      <c r="U42" s="99">
        <f t="shared" ca="1" si="4"/>
        <v>0.41397775139178516</v>
      </c>
      <c r="V42" s="99">
        <f t="shared" ca="1" si="4"/>
        <v>0.96319807385493283</v>
      </c>
    </row>
    <row r="43" spans="2:33" hidden="1">
      <c r="B43" s="142"/>
      <c r="C43" s="138"/>
      <c r="D43" s="138"/>
      <c r="E43" s="138"/>
      <c r="F43" s="138"/>
      <c r="G43" s="138"/>
      <c r="H43" s="138"/>
      <c r="I43" s="141"/>
      <c r="K43" s="805">
        <f ca="1">MATCH(K42,$M$2:$M$9)</f>
        <v>3</v>
      </c>
      <c r="M43" s="99">
        <f ca="1">MATCH(M42,$M$2:$M$9)</f>
        <v>5</v>
      </c>
      <c r="N43" s="99">
        <f t="shared" ref="N43:V43" ca="1" si="5">MATCH(N42,$M$2:$M$9)</f>
        <v>6</v>
      </c>
      <c r="O43" s="99">
        <f t="shared" ca="1" si="5"/>
        <v>2</v>
      </c>
      <c r="P43" s="99">
        <f t="shared" ca="1" si="5"/>
        <v>3</v>
      </c>
      <c r="Q43" s="99">
        <f t="shared" ca="1" si="5"/>
        <v>3</v>
      </c>
      <c r="R43" s="99">
        <f t="shared" ca="1" si="5"/>
        <v>4</v>
      </c>
      <c r="S43" s="99">
        <f t="shared" ca="1" si="5"/>
        <v>1</v>
      </c>
      <c r="T43" s="99">
        <f t="shared" ca="1" si="5"/>
        <v>1</v>
      </c>
      <c r="U43" s="99">
        <f t="shared" ca="1" si="5"/>
        <v>2</v>
      </c>
      <c r="V43" s="99">
        <f t="shared" ca="1" si="5"/>
        <v>6</v>
      </c>
    </row>
    <row r="44" spans="2:33" hidden="1">
      <c r="B44" s="142"/>
      <c r="C44" s="138"/>
      <c r="D44" s="138"/>
      <c r="E44" s="138"/>
      <c r="F44" s="138"/>
      <c r="G44" s="138"/>
      <c r="H44" s="138"/>
      <c r="I44" s="141"/>
      <c r="K44" s="806">
        <f ca="1">ROUND(RANDBETWEEN(OFFSET($G$2,K43,0),OFFSET($H$2,K43,0)),-3)</f>
        <v>89000</v>
      </c>
      <c r="M44" s="154">
        <f ca="1">ROUND(RANDBETWEEN(OFFSET($G$2,M43,0),OFFSET($H$2,M43,0)),-3)</f>
        <v>989000</v>
      </c>
      <c r="N44" s="154">
        <f t="shared" ref="N44:V44" ca="1" si="6">ROUND(RANDBETWEEN(OFFSET($G$2,N43,0),OFFSET($H$2,N43,0)),-3)</f>
        <v>1506000</v>
      </c>
      <c r="O44" s="154">
        <f t="shared" ca="1" si="6"/>
        <v>22000</v>
      </c>
      <c r="P44" s="154">
        <f t="shared" ca="1" si="6"/>
        <v>62000</v>
      </c>
      <c r="Q44" s="154">
        <f t="shared" ca="1" si="6"/>
        <v>55000</v>
      </c>
      <c r="R44" s="154">
        <f t="shared" ca="1" si="6"/>
        <v>127000</v>
      </c>
      <c r="S44" s="154">
        <f t="shared" ca="1" si="6"/>
        <v>5000</v>
      </c>
      <c r="T44" s="154">
        <f t="shared" ca="1" si="6"/>
        <v>10000</v>
      </c>
      <c r="U44" s="154">
        <f t="shared" ca="1" si="6"/>
        <v>27000</v>
      </c>
      <c r="V44" s="154">
        <f t="shared" ca="1" si="6"/>
        <v>2145000</v>
      </c>
    </row>
    <row r="45" spans="2:33">
      <c r="B45" s="143" t="s">
        <v>792</v>
      </c>
      <c r="C45" s="138"/>
      <c r="D45" s="138"/>
      <c r="E45" s="138"/>
      <c r="F45" s="138"/>
      <c r="G45" s="138"/>
      <c r="H45" s="138"/>
      <c r="I45" s="141"/>
      <c r="K45" s="798">
        <f t="shared" ref="K45" ca="1" si="7">OFFSET($D$2,MATCH(K40,$G$3:$G$9),0)</f>
        <v>0.65</v>
      </c>
      <c r="M45" s="135">
        <f t="shared" ref="M45:V45" ca="1" si="8">OFFSET($D$2,MATCH(M40,$G$3:$G$9),0)</f>
        <v>0.67500000000000004</v>
      </c>
      <c r="N45" s="135">
        <f t="shared" ca="1" si="8"/>
        <v>0.45</v>
      </c>
      <c r="O45" s="135">
        <f t="shared" ca="1" si="8"/>
        <v>0.55000000000000004</v>
      </c>
      <c r="P45" s="135">
        <f t="shared" ca="1" si="8"/>
        <v>0.45</v>
      </c>
      <c r="Q45" s="135">
        <f t="shared" ca="1" si="8"/>
        <v>0.6</v>
      </c>
      <c r="R45" s="135">
        <f t="shared" ca="1" si="8"/>
        <v>0.45</v>
      </c>
      <c r="S45" s="135">
        <f t="shared" ca="1" si="8"/>
        <v>0.6</v>
      </c>
      <c r="T45" s="135">
        <f t="shared" ca="1" si="8"/>
        <v>0.45</v>
      </c>
      <c r="U45" s="135">
        <f t="shared" ca="1" si="8"/>
        <v>0.55000000000000004</v>
      </c>
      <c r="V45" s="135">
        <f t="shared" ca="1" si="8"/>
        <v>0.45</v>
      </c>
    </row>
    <row r="46" spans="2:33">
      <c r="B46" s="158" t="s">
        <v>709</v>
      </c>
      <c r="C46" s="138"/>
      <c r="D46" s="138"/>
      <c r="E46" s="138"/>
      <c r="F46" s="138"/>
      <c r="G46" s="138"/>
      <c r="H46" s="138"/>
      <c r="I46" s="141"/>
      <c r="K46" s="807" t="str">
        <f ca="1">IF(K41-5%&gt;=K45,"Strong Yes",IF(K41&gt;=K45,"Yes",IF(K41+5%&gt;=K45,"Close","No")))</f>
        <v>Yes</v>
      </c>
      <c r="M46" s="136" t="str">
        <f ca="1">IF(M41-5%&gt;=M45,"Strong Yes",IF(M41&gt;=M45,"Yes",IF(M41+5%&gt;=M45,"Close","No")))</f>
        <v>Yes</v>
      </c>
      <c r="N46" s="136" t="str">
        <f t="shared" ref="N46:V46" ca="1" si="9">IF(N41-5%&gt;=N45,"Strong Yes",IF(N41&gt;=N45,"Yes",IF(N41+5%&gt;=N45,"Close","No")))</f>
        <v>Yes</v>
      </c>
      <c r="O46" s="136" t="str">
        <f t="shared" ca="1" si="9"/>
        <v>Yes</v>
      </c>
      <c r="P46" s="136" t="str">
        <f t="shared" ca="1" si="9"/>
        <v>Strong Yes</v>
      </c>
      <c r="Q46" s="136" t="str">
        <f t="shared" ca="1" si="9"/>
        <v>No</v>
      </c>
      <c r="R46" s="136" t="str">
        <f t="shared" ca="1" si="9"/>
        <v>Strong Yes</v>
      </c>
      <c r="S46" s="136" t="str">
        <f t="shared" ca="1" si="9"/>
        <v>No</v>
      </c>
      <c r="T46" s="136" t="str">
        <f t="shared" ca="1" si="9"/>
        <v>Yes</v>
      </c>
      <c r="U46" s="136" t="str">
        <f t="shared" ca="1" si="9"/>
        <v>Yes</v>
      </c>
      <c r="V46" s="136" t="str">
        <f t="shared" ca="1" si="9"/>
        <v>Strong Yes</v>
      </c>
    </row>
    <row r="47" spans="2:33">
      <c r="B47" s="151" t="s">
        <v>785</v>
      </c>
      <c r="C47" s="152"/>
      <c r="D47" s="152"/>
      <c r="E47" s="152"/>
      <c r="F47" s="152"/>
      <c r="G47" s="152"/>
      <c r="H47" s="152"/>
      <c r="I47" s="153"/>
      <c r="K47" s="808" t="str">
        <f ca="1">IF(ISERROR(MATCH(TRUE,'VA Dealbreakers'!$G$5:$G$14,0)),"No","Yes")</f>
        <v>No</v>
      </c>
      <c r="M47" s="156" t="s">
        <v>783</v>
      </c>
      <c r="N47" s="156" t="s">
        <v>784</v>
      </c>
      <c r="O47" s="156" t="s">
        <v>783</v>
      </c>
      <c r="P47" s="156" t="s">
        <v>783</v>
      </c>
      <c r="Q47" s="156" t="s">
        <v>783</v>
      </c>
      <c r="R47" s="156" t="s">
        <v>783</v>
      </c>
      <c r="S47" s="156" t="s">
        <v>783</v>
      </c>
      <c r="T47" s="156" t="s">
        <v>783</v>
      </c>
      <c r="U47" s="156" t="s">
        <v>784</v>
      </c>
      <c r="V47" s="156" t="s">
        <v>784</v>
      </c>
    </row>
    <row r="48" spans="2:33" ht="27" customHeight="1" thickBot="1">
      <c r="B48" s="157" t="s">
        <v>782</v>
      </c>
      <c r="C48" s="144"/>
      <c r="D48" s="144"/>
      <c r="E48" s="144"/>
      <c r="F48" s="144"/>
      <c r="G48" s="144"/>
      <c r="H48" s="144"/>
      <c r="I48" s="145"/>
      <c r="K48" s="809" t="str">
        <f ca="1">IF(AND(OR(K46="Yes",K46="Strong Yes"),K47="No"),"Appears Qualified",IF(OR(AND(K46="Close",K47="No"),AND(K46="Strong Yes",K47="Yes")),"Clarify &amp; Improve","Vote No"))</f>
        <v>Appears Qualified</v>
      </c>
      <c r="M48" s="748" t="str">
        <f ca="1">IF(AND(OR(M46="Yes",M46="Likely Approval"),M47="No"),"Appears Qualified",IF(OR(AND(M46="Close",M47="No"),AND(M46="Strong Yes",M47="Yes")),"Clarify &amp; Improve","Vote No"))</f>
        <v>Appears Qualified</v>
      </c>
      <c r="N48" s="748" t="str">
        <f t="shared" ref="N48:V48" ca="1" si="10">IF(AND(OR(N46="Yes",N46="Likely Approval"),N47="No"),"Appears Qualified",IF(OR(AND(N46="Close",N47="No"),AND(N46="Strong Yes",N47="Yes")),"Clarify &amp; Improve","Vote No"))</f>
        <v>Vote No</v>
      </c>
      <c r="O48" s="748" t="str">
        <f t="shared" ca="1" si="10"/>
        <v>Appears Qualified</v>
      </c>
      <c r="P48" s="748" t="str">
        <f t="shared" ca="1" si="10"/>
        <v>Vote No</v>
      </c>
      <c r="Q48" s="748" t="str">
        <f t="shared" ca="1" si="10"/>
        <v>Vote No</v>
      </c>
      <c r="R48" s="748" t="str">
        <f t="shared" ca="1" si="10"/>
        <v>Vote No</v>
      </c>
      <c r="S48" s="748" t="str">
        <f t="shared" ca="1" si="10"/>
        <v>Vote No</v>
      </c>
      <c r="T48" s="748" t="str">
        <f t="shared" ca="1" si="10"/>
        <v>Appears Qualified</v>
      </c>
      <c r="U48" s="748" t="str">
        <f t="shared" ca="1" si="10"/>
        <v>Vote No</v>
      </c>
      <c r="V48" s="748" t="str">
        <f t="shared" ca="1" si="10"/>
        <v>Clarify &amp; Improve</v>
      </c>
    </row>
    <row r="50" spans="2:9">
      <c r="B50" s="470" t="s">
        <v>2539</v>
      </c>
      <c r="C50" s="470"/>
      <c r="D50" s="470"/>
      <c r="E50" s="470"/>
      <c r="F50" s="470"/>
      <c r="G50" s="470"/>
      <c r="H50" s="470"/>
      <c r="I50" s="470"/>
    </row>
    <row r="51" spans="2:9">
      <c r="B51" s="470" t="s">
        <v>2553</v>
      </c>
      <c r="C51" s="470"/>
      <c r="D51" s="470"/>
      <c r="E51" s="470"/>
      <c r="F51" s="470"/>
      <c r="G51" s="470"/>
      <c r="H51" s="470"/>
      <c r="I51" s="470"/>
    </row>
    <row r="52" spans="2:9">
      <c r="B52" s="470" t="s">
        <v>2540</v>
      </c>
      <c r="C52" s="470"/>
      <c r="D52" s="470"/>
      <c r="E52" s="470"/>
      <c r="F52" s="470"/>
      <c r="G52" s="470"/>
      <c r="H52" s="470"/>
      <c r="I52" s="470"/>
    </row>
  </sheetData>
  <mergeCells count="38">
    <mergeCell ref="M10:V10"/>
    <mergeCell ref="B52:I52"/>
    <mergeCell ref="B51:I51"/>
    <mergeCell ref="F11:H11"/>
    <mergeCell ref="C12:E12"/>
    <mergeCell ref="C13:E13"/>
    <mergeCell ref="C14:E14"/>
    <mergeCell ref="C15:E15"/>
    <mergeCell ref="C19:E19"/>
    <mergeCell ref="C20:E20"/>
    <mergeCell ref="B12:B16"/>
    <mergeCell ref="B17:B21"/>
    <mergeCell ref="C11:E11"/>
    <mergeCell ref="B2:D2"/>
    <mergeCell ref="C32:E32"/>
    <mergeCell ref="C33:E33"/>
    <mergeCell ref="C34:E34"/>
    <mergeCell ref="C35:E35"/>
    <mergeCell ref="B31:B34"/>
    <mergeCell ref="C21:E21"/>
    <mergeCell ref="C22:E22"/>
    <mergeCell ref="C23:E23"/>
    <mergeCell ref="C24:E24"/>
    <mergeCell ref="C25:E25"/>
    <mergeCell ref="C26:E26"/>
    <mergeCell ref="C31:E31"/>
    <mergeCell ref="C16:E16"/>
    <mergeCell ref="C17:E17"/>
    <mergeCell ref="C18:E18"/>
    <mergeCell ref="B50:I50"/>
    <mergeCell ref="B22:B25"/>
    <mergeCell ref="B26:B29"/>
    <mergeCell ref="B40:E40"/>
    <mergeCell ref="B41:E41"/>
    <mergeCell ref="C36:E36"/>
    <mergeCell ref="C37:E37"/>
    <mergeCell ref="C38:E38"/>
    <mergeCell ref="C28:E28"/>
  </mergeCells>
  <phoneticPr fontId="33" type="noConversion"/>
  <conditionalFormatting sqref="M12:V29 M31:V34">
    <cfRule type="colorScale" priority="21">
      <colorScale>
        <cfvo type="min"/>
        <cfvo type="percentile" val="50"/>
        <cfvo type="max"/>
        <color rgb="FFF8696B"/>
        <color rgb="FFFFEB84"/>
        <color rgb="FF63BE7B"/>
      </colorScale>
    </cfRule>
  </conditionalFormatting>
  <conditionalFormatting sqref="M41:V41">
    <cfRule type="colorScale" priority="20">
      <colorScale>
        <cfvo type="min"/>
        <cfvo type="percentile" val="50"/>
        <cfvo type="max"/>
        <color rgb="FFF8696B"/>
        <color rgb="FFFFEB84"/>
        <color rgb="FF63BE7B"/>
      </colorScale>
    </cfRule>
  </conditionalFormatting>
  <conditionalFormatting sqref="M46:V46">
    <cfRule type="cellIs" dxfId="186" priority="11" operator="equal">
      <formula>"Strong Yes"</formula>
    </cfRule>
    <cfRule type="cellIs" dxfId="185" priority="17" operator="equal">
      <formula>"Close"</formula>
    </cfRule>
    <cfRule type="cellIs" dxfId="184" priority="18" operator="equal">
      <formula>"No"</formula>
    </cfRule>
    <cfRule type="cellIs" dxfId="183" priority="19" operator="equal">
      <formula>"Yes"</formula>
    </cfRule>
  </conditionalFormatting>
  <conditionalFormatting sqref="M48:V48">
    <cfRule type="cellIs" dxfId="182" priority="12" operator="equal">
      <formula>"Appears Qualified"</formula>
    </cfRule>
    <cfRule type="cellIs" dxfId="181" priority="14" operator="equal">
      <formula>"Clarify &amp; Improve"</formula>
    </cfRule>
    <cfRule type="cellIs" dxfId="180" priority="15" operator="equal">
      <formula>"Vote No"</formula>
    </cfRule>
  </conditionalFormatting>
  <conditionalFormatting sqref="M47:V47">
    <cfRule type="cellIs" dxfId="179" priority="13" operator="equal">
      <formula>"Yes"</formula>
    </cfRule>
  </conditionalFormatting>
  <conditionalFormatting sqref="K41">
    <cfRule type="colorScale" priority="10">
      <colorScale>
        <cfvo type="min"/>
        <cfvo type="percentile" val="50"/>
        <cfvo type="max"/>
        <color rgb="FFF8696B"/>
        <color rgb="FFFFEB84"/>
        <color rgb="FF63BE7B"/>
      </colorScale>
    </cfRule>
  </conditionalFormatting>
  <conditionalFormatting sqref="K46">
    <cfRule type="cellIs" dxfId="178" priority="2" operator="equal">
      <formula>"Strong Yes"</formula>
    </cfRule>
    <cfRule type="cellIs" dxfId="177" priority="7" operator="equal">
      <formula>"Close"</formula>
    </cfRule>
    <cfRule type="cellIs" dxfId="176" priority="8" operator="equal">
      <formula>"No"</formula>
    </cfRule>
    <cfRule type="cellIs" dxfId="175" priority="9" operator="equal">
      <formula>"Yes"</formula>
    </cfRule>
  </conditionalFormatting>
  <conditionalFormatting sqref="K48">
    <cfRule type="cellIs" dxfId="174" priority="3" operator="equal">
      <formula>"Appears Qualified"</formula>
    </cfRule>
    <cfRule type="cellIs" dxfId="173" priority="5" operator="equal">
      <formula>"Clarify &amp; Improve"</formula>
    </cfRule>
    <cfRule type="cellIs" dxfId="172" priority="6" operator="equal">
      <formula>"Vote No"</formula>
    </cfRule>
  </conditionalFormatting>
  <conditionalFormatting sqref="K47">
    <cfRule type="cellIs" dxfId="171" priority="4" operator="equal">
      <formula>"Yes"</formula>
    </cfRule>
  </conditionalFormatting>
  <conditionalFormatting sqref="K12:K29 K31:K34">
    <cfRule type="colorScale" priority="1">
      <colorScale>
        <cfvo type="min"/>
        <cfvo type="percentile" val="50"/>
        <cfvo type="max"/>
        <color rgb="FFF8696B"/>
        <color rgb="FFFFEB84"/>
        <color rgb="FF63BE7B"/>
      </colorScale>
    </cfRule>
  </conditionalFormatting>
  <hyperlinks>
    <hyperlink ref="B50:I50" location="'VA Detailed Scorecard Config'!A1" display="Click here to override detailed line item weights or set dealbreakers" xr:uid="{89D7658F-CF7A-4B7B-88CC-B8AAD793E775}"/>
    <hyperlink ref="B52:I52" location="'Lookup Tables'!A1" display="Click here to change lookup table values" xr:uid="{7FD785DD-7972-425D-8096-6DD1CC5E6587}"/>
    <hyperlink ref="B51:I51" location="'VA Dealbreakers'!A1" display="Click here to set dealbreakers" xr:uid="{1ABF2248-4ED7-4939-A470-D99843238F7B}"/>
  </hyperlinks>
  <pageMargins left="0.7" right="0.7" top="0.75" bottom="0.75" header="0.3" footer="0.3"/>
  <pageSetup orientation="portrait" r:id="rId1"/>
  <ignoredErrors>
    <ignoredError sqref="M4:M8" formulaRange="1"/>
  </ignoredErrors>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defaultSize="0" autoPict="0">
                <anchor moveWithCells="1">
                  <from>
                    <xdr:col>6</xdr:col>
                    <xdr:colOff>19050</xdr:colOff>
                    <xdr:row>11</xdr:row>
                    <xdr:rowOff>19050</xdr:rowOff>
                  </from>
                  <to>
                    <xdr:col>7</xdr:col>
                    <xdr:colOff>323850</xdr:colOff>
                    <xdr:row>11</xdr:row>
                    <xdr:rowOff>152400</xdr:rowOff>
                  </to>
                </anchor>
              </controlPr>
            </control>
          </mc:Choice>
        </mc:AlternateContent>
        <mc:AlternateContent xmlns:mc="http://schemas.openxmlformats.org/markup-compatibility/2006">
          <mc:Choice Requires="x14">
            <control shapeId="2050" r:id="rId5" name="Scroll Bar 2">
              <controlPr defaultSize="0" autoPict="0">
                <anchor moveWithCells="1">
                  <from>
                    <xdr:col>6</xdr:col>
                    <xdr:colOff>19050</xdr:colOff>
                    <xdr:row>12</xdr:row>
                    <xdr:rowOff>19050</xdr:rowOff>
                  </from>
                  <to>
                    <xdr:col>7</xdr:col>
                    <xdr:colOff>323850</xdr:colOff>
                    <xdr:row>12</xdr:row>
                    <xdr:rowOff>152400</xdr:rowOff>
                  </to>
                </anchor>
              </controlPr>
            </control>
          </mc:Choice>
        </mc:AlternateContent>
        <mc:AlternateContent xmlns:mc="http://schemas.openxmlformats.org/markup-compatibility/2006">
          <mc:Choice Requires="x14">
            <control shapeId="2051" r:id="rId6" name="Scroll Bar 3">
              <controlPr defaultSize="0" autoPict="0">
                <anchor moveWithCells="1">
                  <from>
                    <xdr:col>6</xdr:col>
                    <xdr:colOff>19050</xdr:colOff>
                    <xdr:row>13</xdr:row>
                    <xdr:rowOff>19050</xdr:rowOff>
                  </from>
                  <to>
                    <xdr:col>7</xdr:col>
                    <xdr:colOff>323850</xdr:colOff>
                    <xdr:row>13</xdr:row>
                    <xdr:rowOff>152400</xdr:rowOff>
                  </to>
                </anchor>
              </controlPr>
            </control>
          </mc:Choice>
        </mc:AlternateContent>
        <mc:AlternateContent xmlns:mc="http://schemas.openxmlformats.org/markup-compatibility/2006">
          <mc:Choice Requires="x14">
            <control shapeId="2052" r:id="rId7" name="Scroll Bar 4">
              <controlPr defaultSize="0" autoPict="0">
                <anchor moveWithCells="1">
                  <from>
                    <xdr:col>6</xdr:col>
                    <xdr:colOff>19050</xdr:colOff>
                    <xdr:row>14</xdr:row>
                    <xdr:rowOff>19050</xdr:rowOff>
                  </from>
                  <to>
                    <xdr:col>7</xdr:col>
                    <xdr:colOff>323850</xdr:colOff>
                    <xdr:row>14</xdr:row>
                    <xdr:rowOff>152400</xdr:rowOff>
                  </to>
                </anchor>
              </controlPr>
            </control>
          </mc:Choice>
        </mc:AlternateContent>
        <mc:AlternateContent xmlns:mc="http://schemas.openxmlformats.org/markup-compatibility/2006">
          <mc:Choice Requires="x14">
            <control shapeId="2053" r:id="rId8" name="Scroll Bar 5">
              <controlPr defaultSize="0" autoPict="0">
                <anchor moveWithCells="1">
                  <from>
                    <xdr:col>6</xdr:col>
                    <xdr:colOff>19050</xdr:colOff>
                    <xdr:row>15</xdr:row>
                    <xdr:rowOff>19050</xdr:rowOff>
                  </from>
                  <to>
                    <xdr:col>7</xdr:col>
                    <xdr:colOff>323850</xdr:colOff>
                    <xdr:row>15</xdr:row>
                    <xdr:rowOff>152400</xdr:rowOff>
                  </to>
                </anchor>
              </controlPr>
            </control>
          </mc:Choice>
        </mc:AlternateContent>
        <mc:AlternateContent xmlns:mc="http://schemas.openxmlformats.org/markup-compatibility/2006">
          <mc:Choice Requires="x14">
            <control shapeId="2054" r:id="rId9" name="Scroll Bar 6">
              <controlPr defaultSize="0" autoPict="0">
                <anchor moveWithCells="1">
                  <from>
                    <xdr:col>6</xdr:col>
                    <xdr:colOff>19050</xdr:colOff>
                    <xdr:row>16</xdr:row>
                    <xdr:rowOff>19050</xdr:rowOff>
                  </from>
                  <to>
                    <xdr:col>7</xdr:col>
                    <xdr:colOff>323850</xdr:colOff>
                    <xdr:row>16</xdr:row>
                    <xdr:rowOff>152400</xdr:rowOff>
                  </to>
                </anchor>
              </controlPr>
            </control>
          </mc:Choice>
        </mc:AlternateContent>
        <mc:AlternateContent xmlns:mc="http://schemas.openxmlformats.org/markup-compatibility/2006">
          <mc:Choice Requires="x14">
            <control shapeId="2055" r:id="rId10" name="Scroll Bar 7">
              <controlPr defaultSize="0" autoPict="0">
                <anchor moveWithCells="1">
                  <from>
                    <xdr:col>6</xdr:col>
                    <xdr:colOff>19050</xdr:colOff>
                    <xdr:row>17</xdr:row>
                    <xdr:rowOff>19050</xdr:rowOff>
                  </from>
                  <to>
                    <xdr:col>7</xdr:col>
                    <xdr:colOff>323850</xdr:colOff>
                    <xdr:row>17</xdr:row>
                    <xdr:rowOff>152400</xdr:rowOff>
                  </to>
                </anchor>
              </controlPr>
            </control>
          </mc:Choice>
        </mc:AlternateContent>
        <mc:AlternateContent xmlns:mc="http://schemas.openxmlformats.org/markup-compatibility/2006">
          <mc:Choice Requires="x14">
            <control shapeId="2056" r:id="rId11" name="Scroll Bar 8">
              <controlPr defaultSize="0" autoPict="0">
                <anchor moveWithCells="1">
                  <from>
                    <xdr:col>6</xdr:col>
                    <xdr:colOff>19050</xdr:colOff>
                    <xdr:row>18</xdr:row>
                    <xdr:rowOff>19050</xdr:rowOff>
                  </from>
                  <to>
                    <xdr:col>7</xdr:col>
                    <xdr:colOff>323850</xdr:colOff>
                    <xdr:row>18</xdr:row>
                    <xdr:rowOff>152400</xdr:rowOff>
                  </to>
                </anchor>
              </controlPr>
            </control>
          </mc:Choice>
        </mc:AlternateContent>
        <mc:AlternateContent xmlns:mc="http://schemas.openxmlformats.org/markup-compatibility/2006">
          <mc:Choice Requires="x14">
            <control shapeId="2057" r:id="rId12" name="Scroll Bar 9">
              <controlPr defaultSize="0" autoPict="0">
                <anchor moveWithCells="1">
                  <from>
                    <xdr:col>6</xdr:col>
                    <xdr:colOff>19050</xdr:colOff>
                    <xdr:row>19</xdr:row>
                    <xdr:rowOff>19050</xdr:rowOff>
                  </from>
                  <to>
                    <xdr:col>7</xdr:col>
                    <xdr:colOff>323850</xdr:colOff>
                    <xdr:row>19</xdr:row>
                    <xdr:rowOff>152400</xdr:rowOff>
                  </to>
                </anchor>
              </controlPr>
            </control>
          </mc:Choice>
        </mc:AlternateContent>
        <mc:AlternateContent xmlns:mc="http://schemas.openxmlformats.org/markup-compatibility/2006">
          <mc:Choice Requires="x14">
            <control shapeId="2058" r:id="rId13" name="Scroll Bar 10">
              <controlPr defaultSize="0" autoPict="0">
                <anchor moveWithCells="1">
                  <from>
                    <xdr:col>6</xdr:col>
                    <xdr:colOff>19050</xdr:colOff>
                    <xdr:row>20</xdr:row>
                    <xdr:rowOff>19050</xdr:rowOff>
                  </from>
                  <to>
                    <xdr:col>7</xdr:col>
                    <xdr:colOff>323850</xdr:colOff>
                    <xdr:row>20</xdr:row>
                    <xdr:rowOff>152400</xdr:rowOff>
                  </to>
                </anchor>
              </controlPr>
            </control>
          </mc:Choice>
        </mc:AlternateContent>
        <mc:AlternateContent xmlns:mc="http://schemas.openxmlformats.org/markup-compatibility/2006">
          <mc:Choice Requires="x14">
            <control shapeId="2059" r:id="rId14" name="Scroll Bar 11">
              <controlPr defaultSize="0" autoPict="0">
                <anchor moveWithCells="1">
                  <from>
                    <xdr:col>6</xdr:col>
                    <xdr:colOff>19050</xdr:colOff>
                    <xdr:row>21</xdr:row>
                    <xdr:rowOff>19050</xdr:rowOff>
                  </from>
                  <to>
                    <xdr:col>7</xdr:col>
                    <xdr:colOff>323850</xdr:colOff>
                    <xdr:row>21</xdr:row>
                    <xdr:rowOff>152400</xdr:rowOff>
                  </to>
                </anchor>
              </controlPr>
            </control>
          </mc:Choice>
        </mc:AlternateContent>
        <mc:AlternateContent xmlns:mc="http://schemas.openxmlformats.org/markup-compatibility/2006">
          <mc:Choice Requires="x14">
            <control shapeId="2060" r:id="rId15" name="Scroll Bar 12">
              <controlPr defaultSize="0" autoPict="0">
                <anchor moveWithCells="1">
                  <from>
                    <xdr:col>6</xdr:col>
                    <xdr:colOff>19050</xdr:colOff>
                    <xdr:row>22</xdr:row>
                    <xdr:rowOff>19050</xdr:rowOff>
                  </from>
                  <to>
                    <xdr:col>7</xdr:col>
                    <xdr:colOff>323850</xdr:colOff>
                    <xdr:row>22</xdr:row>
                    <xdr:rowOff>152400</xdr:rowOff>
                  </to>
                </anchor>
              </controlPr>
            </control>
          </mc:Choice>
        </mc:AlternateContent>
        <mc:AlternateContent xmlns:mc="http://schemas.openxmlformats.org/markup-compatibility/2006">
          <mc:Choice Requires="x14">
            <control shapeId="2061" r:id="rId16" name="Scroll Bar 13">
              <controlPr defaultSize="0" autoPict="0">
                <anchor moveWithCells="1">
                  <from>
                    <xdr:col>6</xdr:col>
                    <xdr:colOff>19050</xdr:colOff>
                    <xdr:row>23</xdr:row>
                    <xdr:rowOff>19050</xdr:rowOff>
                  </from>
                  <to>
                    <xdr:col>7</xdr:col>
                    <xdr:colOff>323850</xdr:colOff>
                    <xdr:row>23</xdr:row>
                    <xdr:rowOff>152400</xdr:rowOff>
                  </to>
                </anchor>
              </controlPr>
            </control>
          </mc:Choice>
        </mc:AlternateContent>
        <mc:AlternateContent xmlns:mc="http://schemas.openxmlformats.org/markup-compatibility/2006">
          <mc:Choice Requires="x14">
            <control shapeId="2062" r:id="rId17" name="Scroll Bar 14">
              <controlPr defaultSize="0" autoPict="0">
                <anchor moveWithCells="1">
                  <from>
                    <xdr:col>6</xdr:col>
                    <xdr:colOff>19050</xdr:colOff>
                    <xdr:row>24</xdr:row>
                    <xdr:rowOff>19050</xdr:rowOff>
                  </from>
                  <to>
                    <xdr:col>7</xdr:col>
                    <xdr:colOff>323850</xdr:colOff>
                    <xdr:row>24</xdr:row>
                    <xdr:rowOff>152400</xdr:rowOff>
                  </to>
                </anchor>
              </controlPr>
            </control>
          </mc:Choice>
        </mc:AlternateContent>
        <mc:AlternateContent xmlns:mc="http://schemas.openxmlformats.org/markup-compatibility/2006">
          <mc:Choice Requires="x14">
            <control shapeId="2063" r:id="rId18" name="Scroll Bar 15">
              <controlPr defaultSize="0" autoPict="0">
                <anchor moveWithCells="1">
                  <from>
                    <xdr:col>6</xdr:col>
                    <xdr:colOff>19050</xdr:colOff>
                    <xdr:row>25</xdr:row>
                    <xdr:rowOff>19050</xdr:rowOff>
                  </from>
                  <to>
                    <xdr:col>7</xdr:col>
                    <xdr:colOff>323850</xdr:colOff>
                    <xdr:row>25</xdr:row>
                    <xdr:rowOff>152400</xdr:rowOff>
                  </to>
                </anchor>
              </controlPr>
            </control>
          </mc:Choice>
        </mc:AlternateContent>
        <mc:AlternateContent xmlns:mc="http://schemas.openxmlformats.org/markup-compatibility/2006">
          <mc:Choice Requires="x14">
            <control shapeId="2064" r:id="rId19" name="Scroll Bar 16">
              <controlPr defaultSize="0" autoPict="0">
                <anchor moveWithCells="1">
                  <from>
                    <xdr:col>6</xdr:col>
                    <xdr:colOff>19050</xdr:colOff>
                    <xdr:row>30</xdr:row>
                    <xdr:rowOff>19050</xdr:rowOff>
                  </from>
                  <to>
                    <xdr:col>7</xdr:col>
                    <xdr:colOff>323850</xdr:colOff>
                    <xdr:row>30</xdr:row>
                    <xdr:rowOff>152400</xdr:rowOff>
                  </to>
                </anchor>
              </controlPr>
            </control>
          </mc:Choice>
        </mc:AlternateContent>
        <mc:AlternateContent xmlns:mc="http://schemas.openxmlformats.org/markup-compatibility/2006">
          <mc:Choice Requires="x14">
            <control shapeId="2065" r:id="rId20" name="Scroll Bar 17">
              <controlPr defaultSize="0" autoPict="0">
                <anchor moveWithCells="1">
                  <from>
                    <xdr:col>6</xdr:col>
                    <xdr:colOff>19050</xdr:colOff>
                    <xdr:row>31</xdr:row>
                    <xdr:rowOff>19050</xdr:rowOff>
                  </from>
                  <to>
                    <xdr:col>7</xdr:col>
                    <xdr:colOff>323850</xdr:colOff>
                    <xdr:row>31</xdr:row>
                    <xdr:rowOff>152400</xdr:rowOff>
                  </to>
                </anchor>
              </controlPr>
            </control>
          </mc:Choice>
        </mc:AlternateContent>
        <mc:AlternateContent xmlns:mc="http://schemas.openxmlformats.org/markup-compatibility/2006">
          <mc:Choice Requires="x14">
            <control shapeId="2066" r:id="rId21" name="Scroll Bar 18">
              <controlPr defaultSize="0" autoPict="0">
                <anchor moveWithCells="1">
                  <from>
                    <xdr:col>6</xdr:col>
                    <xdr:colOff>19050</xdr:colOff>
                    <xdr:row>32</xdr:row>
                    <xdr:rowOff>19050</xdr:rowOff>
                  </from>
                  <to>
                    <xdr:col>7</xdr:col>
                    <xdr:colOff>323850</xdr:colOff>
                    <xdr:row>32</xdr:row>
                    <xdr:rowOff>152400</xdr:rowOff>
                  </to>
                </anchor>
              </controlPr>
            </control>
          </mc:Choice>
        </mc:AlternateContent>
        <mc:AlternateContent xmlns:mc="http://schemas.openxmlformats.org/markup-compatibility/2006">
          <mc:Choice Requires="x14">
            <control shapeId="2067" r:id="rId22" name="Scroll Bar 19">
              <controlPr defaultSize="0" autoPict="0">
                <anchor moveWithCells="1">
                  <from>
                    <xdr:col>6</xdr:col>
                    <xdr:colOff>19050</xdr:colOff>
                    <xdr:row>33</xdr:row>
                    <xdr:rowOff>19050</xdr:rowOff>
                  </from>
                  <to>
                    <xdr:col>7</xdr:col>
                    <xdr:colOff>323850</xdr:colOff>
                    <xdr:row>33</xdr:row>
                    <xdr:rowOff>152400</xdr:rowOff>
                  </to>
                </anchor>
              </controlPr>
            </control>
          </mc:Choice>
        </mc:AlternateContent>
        <mc:AlternateContent xmlns:mc="http://schemas.openxmlformats.org/markup-compatibility/2006">
          <mc:Choice Requires="x14">
            <control shapeId="2072" r:id="rId23" name="Scroll Bar 24">
              <controlPr defaultSize="0" autoPict="0">
                <anchor moveWithCells="1">
                  <from>
                    <xdr:col>6</xdr:col>
                    <xdr:colOff>9525</xdr:colOff>
                    <xdr:row>26</xdr:row>
                    <xdr:rowOff>19050</xdr:rowOff>
                  </from>
                  <to>
                    <xdr:col>7</xdr:col>
                    <xdr:colOff>314325</xdr:colOff>
                    <xdr:row>26</xdr:row>
                    <xdr:rowOff>152400</xdr:rowOff>
                  </to>
                </anchor>
              </controlPr>
            </control>
          </mc:Choice>
        </mc:AlternateContent>
        <mc:AlternateContent xmlns:mc="http://schemas.openxmlformats.org/markup-compatibility/2006">
          <mc:Choice Requires="x14">
            <control shapeId="2073" r:id="rId24" name="Scroll Bar 25">
              <controlPr defaultSize="0" autoPict="0">
                <anchor moveWithCells="1">
                  <from>
                    <xdr:col>6</xdr:col>
                    <xdr:colOff>9525</xdr:colOff>
                    <xdr:row>27</xdr:row>
                    <xdr:rowOff>19050</xdr:rowOff>
                  </from>
                  <to>
                    <xdr:col>7</xdr:col>
                    <xdr:colOff>314325</xdr:colOff>
                    <xdr:row>27</xdr:row>
                    <xdr:rowOff>152400</xdr:rowOff>
                  </to>
                </anchor>
              </controlPr>
            </control>
          </mc:Choice>
        </mc:AlternateContent>
        <mc:AlternateContent xmlns:mc="http://schemas.openxmlformats.org/markup-compatibility/2006">
          <mc:Choice Requires="x14">
            <control shapeId="2074" r:id="rId25" name="Scroll Bar 26">
              <controlPr defaultSize="0" autoPict="0">
                <anchor moveWithCells="1">
                  <from>
                    <xdr:col>6</xdr:col>
                    <xdr:colOff>9525</xdr:colOff>
                    <xdr:row>28</xdr:row>
                    <xdr:rowOff>19050</xdr:rowOff>
                  </from>
                  <to>
                    <xdr:col>7</xdr:col>
                    <xdr:colOff>314325</xdr:colOff>
                    <xdr:row>28</xdr:row>
                    <xdr:rowOff>152400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B9E02-AA9D-4099-8028-E8B4E76E5DAD}">
  <dimension ref="A1:K511"/>
  <sheetViews>
    <sheetView workbookViewId="0"/>
  </sheetViews>
  <sheetFormatPr defaultRowHeight="14.1" customHeight="1"/>
  <cols>
    <col min="1" max="1" width="48.5703125" style="102" customWidth="1"/>
    <col min="2" max="2" width="40" style="102" customWidth="1"/>
    <col min="3" max="3" width="65.28515625" style="255" customWidth="1"/>
    <col min="4" max="16384" width="9.140625" style="102"/>
  </cols>
  <sheetData>
    <row r="1" spans="1:4" ht="14.1" customHeight="1">
      <c r="A1" s="190" t="s">
        <v>800</v>
      </c>
      <c r="B1" s="190" t="s">
        <v>801</v>
      </c>
      <c r="C1" s="232" t="s">
        <v>802</v>
      </c>
    </row>
    <row r="2" spans="1:4" ht="14.1" customHeight="1">
      <c r="A2" s="251">
        <v>1</v>
      </c>
      <c r="B2" s="159" t="s">
        <v>799</v>
      </c>
      <c r="C2" s="252">
        <v>1</v>
      </c>
    </row>
    <row r="3" spans="1:4" ht="14.1" customHeight="1">
      <c r="A3" s="253"/>
      <c r="B3" s="159" t="s">
        <v>784</v>
      </c>
      <c r="C3" s="252">
        <v>0.25</v>
      </c>
    </row>
    <row r="4" spans="1:4" ht="14.1" customHeight="1">
      <c r="A4" s="253"/>
      <c r="B4" s="159" t="s">
        <v>783</v>
      </c>
      <c r="C4" s="252">
        <v>0</v>
      </c>
    </row>
    <row r="5" spans="1:4" ht="14.1" customHeight="1">
      <c r="A5" s="254"/>
      <c r="B5" s="159"/>
      <c r="C5" s="252">
        <v>0</v>
      </c>
      <c r="D5" s="102" t="s">
        <v>803</v>
      </c>
    </row>
    <row r="6" spans="1:4" ht="14.1" customHeight="1">
      <c r="A6" s="634">
        <v>2</v>
      </c>
      <c r="B6" s="159" t="s">
        <v>1107</v>
      </c>
      <c r="C6" s="234">
        <v>0.75</v>
      </c>
    </row>
    <row r="7" spans="1:4" ht="14.1" customHeight="1">
      <c r="A7" s="634"/>
      <c r="B7" s="159" t="s">
        <v>1108</v>
      </c>
      <c r="C7" s="234">
        <v>0.75</v>
      </c>
    </row>
    <row r="8" spans="1:4" ht="14.1" customHeight="1">
      <c r="A8" s="634"/>
      <c r="B8" s="159" t="s">
        <v>1109</v>
      </c>
      <c r="C8" s="234">
        <v>0.75</v>
      </c>
    </row>
    <row r="9" spans="1:4" ht="14.1" customHeight="1">
      <c r="A9" s="634"/>
      <c r="B9" s="159" t="s">
        <v>1111</v>
      </c>
      <c r="C9" s="234">
        <v>1</v>
      </c>
    </row>
    <row r="10" spans="1:4" ht="14.1" customHeight="1">
      <c r="A10" s="634"/>
      <c r="B10" s="159" t="s">
        <v>1112</v>
      </c>
      <c r="C10" s="234">
        <v>1</v>
      </c>
    </row>
    <row r="11" spans="1:4" ht="14.1" customHeight="1">
      <c r="A11" s="634"/>
      <c r="B11" s="159" t="s">
        <v>1110</v>
      </c>
      <c r="C11" s="234">
        <v>0.75</v>
      </c>
    </row>
    <row r="12" spans="1:4" ht="14.1" customHeight="1">
      <c r="A12" s="634"/>
      <c r="B12" s="159" t="s">
        <v>982</v>
      </c>
      <c r="C12" s="234">
        <v>0.75</v>
      </c>
    </row>
    <row r="13" spans="1:4" ht="14.1" customHeight="1">
      <c r="A13" s="634"/>
      <c r="B13" s="159"/>
      <c r="C13" s="234">
        <v>0</v>
      </c>
    </row>
    <row r="65" spans="1:9" ht="14.1" customHeight="1" thickBot="1"/>
    <row r="66" spans="1:9" ht="14.1" customHeight="1" thickBot="1">
      <c r="A66" s="625" t="s">
        <v>808</v>
      </c>
      <c r="B66" s="198"/>
      <c r="C66" s="210">
        <v>0</v>
      </c>
      <c r="D66" s="257">
        <v>0</v>
      </c>
      <c r="E66" s="199"/>
      <c r="F66" s="195" t="s">
        <v>13</v>
      </c>
      <c r="G66" s="196"/>
      <c r="H66" s="204" t="s">
        <v>12</v>
      </c>
      <c r="I66" s="197" t="s">
        <v>14</v>
      </c>
    </row>
    <row r="67" spans="1:9" ht="14.1" customHeight="1" thickBot="1">
      <c r="A67" s="626"/>
      <c r="B67" s="198"/>
      <c r="C67" s="210" t="s">
        <v>1100</v>
      </c>
      <c r="D67" s="257">
        <v>0.5</v>
      </c>
      <c r="E67" s="199"/>
      <c r="F67" s="195"/>
      <c r="G67" s="196"/>
      <c r="H67" s="204"/>
      <c r="I67" s="197"/>
    </row>
    <row r="68" spans="1:9" ht="14.1" customHeight="1" thickBot="1">
      <c r="A68" s="626"/>
      <c r="B68" s="198"/>
      <c r="C68" s="210" t="s">
        <v>1101</v>
      </c>
      <c r="D68" s="257">
        <v>0.75</v>
      </c>
      <c r="E68" s="199"/>
      <c r="F68" s="195"/>
      <c r="G68" s="196"/>
      <c r="H68" s="204"/>
      <c r="I68" s="197"/>
    </row>
    <row r="69" spans="1:9" ht="14.1" customHeight="1" thickBot="1">
      <c r="A69" s="626"/>
      <c r="B69" s="198"/>
      <c r="C69" s="210" t="s">
        <v>1102</v>
      </c>
      <c r="D69" s="257">
        <v>0.85</v>
      </c>
      <c r="E69" s="199"/>
      <c r="F69" s="195"/>
      <c r="G69" s="196"/>
      <c r="H69" s="204"/>
      <c r="I69" s="197"/>
    </row>
    <row r="70" spans="1:9" ht="14.1" customHeight="1" thickBot="1">
      <c r="A70" s="627"/>
      <c r="B70" s="200"/>
      <c r="C70" s="258" t="s">
        <v>809</v>
      </c>
      <c r="D70" s="259">
        <v>1</v>
      </c>
      <c r="E70" s="199"/>
      <c r="F70" s="195"/>
      <c r="G70" s="196"/>
      <c r="H70" s="204"/>
      <c r="I70" s="197"/>
    </row>
    <row r="71" spans="1:9" ht="14.1" customHeight="1" thickBot="1">
      <c r="A71" s="625" t="s">
        <v>15</v>
      </c>
      <c r="B71" s="201"/>
      <c r="C71" s="225">
        <v>0</v>
      </c>
      <c r="D71" s="260">
        <v>0</v>
      </c>
      <c r="E71" s="202"/>
      <c r="F71" s="195"/>
      <c r="G71" s="196"/>
      <c r="H71" s="204"/>
      <c r="I71" s="197"/>
    </row>
    <row r="72" spans="1:9" ht="14.1" customHeight="1" thickBot="1">
      <c r="A72" s="626"/>
      <c r="B72" s="201"/>
      <c r="C72" s="225" t="s">
        <v>1103</v>
      </c>
      <c r="D72" s="260">
        <v>0.2</v>
      </c>
      <c r="E72" s="202"/>
      <c r="F72" s="195"/>
      <c r="G72" s="196"/>
      <c r="H72" s="204"/>
      <c r="I72" s="197"/>
    </row>
    <row r="73" spans="1:9" ht="14.1" customHeight="1" thickBot="1">
      <c r="A73" s="626"/>
      <c r="B73" s="201"/>
      <c r="C73" s="225" t="s">
        <v>1104</v>
      </c>
      <c r="D73" s="260">
        <v>0.4</v>
      </c>
      <c r="E73" s="202"/>
      <c r="F73" s="195"/>
      <c r="G73" s="196"/>
      <c r="H73" s="204"/>
      <c r="I73" s="197"/>
    </row>
    <row r="74" spans="1:9" ht="14.1" customHeight="1" thickBot="1">
      <c r="A74" s="626"/>
      <c r="B74" s="201"/>
      <c r="C74" s="225" t="s">
        <v>1105</v>
      </c>
      <c r="D74" s="260">
        <v>0.6</v>
      </c>
      <c r="E74" s="202"/>
      <c r="F74" s="195"/>
      <c r="G74" s="196"/>
      <c r="H74" s="204"/>
      <c r="I74" s="197"/>
    </row>
    <row r="75" spans="1:9" ht="14.1" customHeight="1" thickBot="1">
      <c r="A75" s="626"/>
      <c r="B75" s="201"/>
      <c r="C75" s="225" t="s">
        <v>810</v>
      </c>
      <c r="D75" s="260">
        <v>0.8</v>
      </c>
      <c r="E75" s="202"/>
      <c r="F75" s="195"/>
      <c r="G75" s="196"/>
      <c r="H75" s="204"/>
      <c r="I75" s="197"/>
    </row>
    <row r="76" spans="1:9" ht="14.1" customHeight="1" thickBot="1">
      <c r="A76" s="627"/>
      <c r="B76" s="192"/>
      <c r="C76" s="227" t="s">
        <v>811</v>
      </c>
      <c r="D76" s="261">
        <v>1</v>
      </c>
      <c r="E76" s="202"/>
      <c r="F76" s="195"/>
      <c r="G76" s="196"/>
      <c r="H76" s="204"/>
      <c r="I76" s="197"/>
    </row>
    <row r="77" spans="1:9" ht="14.1" customHeight="1" thickBot="1">
      <c r="A77" s="625" t="s">
        <v>812</v>
      </c>
      <c r="B77" s="198"/>
      <c r="C77" s="210" t="s">
        <v>813</v>
      </c>
      <c r="D77" s="257">
        <v>0.25</v>
      </c>
      <c r="E77" s="202"/>
      <c r="F77" s="195" t="s">
        <v>814</v>
      </c>
      <c r="G77" s="204">
        <v>0</v>
      </c>
      <c r="H77" s="205">
        <v>0</v>
      </c>
      <c r="I77" s="197"/>
    </row>
    <row r="78" spans="1:9" ht="14.1" customHeight="1" thickBot="1">
      <c r="A78" s="626"/>
      <c r="B78" s="198"/>
      <c r="C78" s="210" t="s">
        <v>815</v>
      </c>
      <c r="D78" s="257">
        <v>0</v>
      </c>
      <c r="E78" s="202"/>
      <c r="F78" s="195"/>
      <c r="G78" s="204">
        <v>1</v>
      </c>
      <c r="H78" s="205">
        <v>0.5</v>
      </c>
      <c r="I78" s="197"/>
    </row>
    <row r="79" spans="1:9" ht="14.1" customHeight="1" thickBot="1">
      <c r="A79" s="627"/>
      <c r="B79" s="200"/>
      <c r="C79" s="258"/>
      <c r="D79" s="262"/>
      <c r="E79" s="202"/>
      <c r="F79" s="195"/>
      <c r="G79" s="204" t="s">
        <v>816</v>
      </c>
      <c r="H79" s="205">
        <v>0.75</v>
      </c>
      <c r="I79" s="197"/>
    </row>
    <row r="80" spans="1:9" ht="14.1" customHeight="1" thickBot="1">
      <c r="A80" s="625" t="s">
        <v>19</v>
      </c>
      <c r="B80" s="201"/>
      <c r="C80" s="225">
        <v>0</v>
      </c>
      <c r="D80" s="260">
        <v>0</v>
      </c>
      <c r="E80" s="202"/>
      <c r="F80" s="195" t="s">
        <v>21</v>
      </c>
      <c r="G80" s="196"/>
      <c r="H80" s="204"/>
      <c r="I80" s="197"/>
    </row>
    <row r="81" spans="1:9" ht="14.1" customHeight="1" thickBot="1">
      <c r="A81" s="626"/>
      <c r="B81" s="201"/>
      <c r="C81" s="210" t="s">
        <v>1100</v>
      </c>
      <c r="D81" s="260">
        <v>0.5</v>
      </c>
      <c r="E81" s="202"/>
      <c r="F81" s="195"/>
      <c r="G81" s="196"/>
      <c r="H81" s="204"/>
      <c r="I81" s="197"/>
    </row>
    <row r="82" spans="1:9" ht="14.1" customHeight="1" thickBot="1">
      <c r="A82" s="626"/>
      <c r="B82" s="201"/>
      <c r="C82" s="210" t="s">
        <v>1101</v>
      </c>
      <c r="D82" s="260">
        <v>0.75</v>
      </c>
      <c r="E82" s="202"/>
      <c r="F82" s="195"/>
      <c r="G82" s="196"/>
      <c r="H82" s="204"/>
      <c r="I82" s="197"/>
    </row>
    <row r="83" spans="1:9" ht="14.1" customHeight="1" thickBot="1">
      <c r="A83" s="626"/>
      <c r="B83" s="201"/>
      <c r="C83" s="210" t="s">
        <v>1102</v>
      </c>
      <c r="D83" s="260">
        <v>0.85</v>
      </c>
      <c r="E83" s="202"/>
      <c r="F83" s="195"/>
      <c r="G83" s="196"/>
      <c r="H83" s="204"/>
      <c r="I83" s="197"/>
    </row>
    <row r="84" spans="1:9" ht="14.1" customHeight="1" thickBot="1">
      <c r="A84" s="627"/>
      <c r="B84" s="192"/>
      <c r="C84" s="227" t="s">
        <v>809</v>
      </c>
      <c r="D84" s="261">
        <v>1</v>
      </c>
      <c r="E84" s="202"/>
      <c r="F84" s="195"/>
      <c r="G84" s="196"/>
      <c r="H84" s="204"/>
      <c r="I84" s="197"/>
    </row>
    <row r="85" spans="1:9" ht="14.1" customHeight="1" thickBot="1">
      <c r="A85" s="625" t="s">
        <v>817</v>
      </c>
      <c r="B85" s="198"/>
      <c r="C85" s="210">
        <v>0</v>
      </c>
      <c r="D85" s="257">
        <v>0</v>
      </c>
      <c r="E85" s="202"/>
      <c r="F85" s="195"/>
      <c r="G85" s="196"/>
      <c r="H85" s="204"/>
      <c r="I85" s="197"/>
    </row>
    <row r="86" spans="1:9" ht="14.1" customHeight="1" thickBot="1">
      <c r="A86" s="626"/>
      <c r="B86" s="198"/>
      <c r="C86" s="210" t="s">
        <v>1100</v>
      </c>
      <c r="D86" s="257">
        <v>0.5</v>
      </c>
      <c r="E86" s="202"/>
      <c r="F86" s="195"/>
      <c r="G86" s="196"/>
      <c r="H86" s="204"/>
      <c r="I86" s="197"/>
    </row>
    <row r="87" spans="1:9" ht="14.1" customHeight="1" thickBot="1">
      <c r="A87" s="626"/>
      <c r="B87" s="198"/>
      <c r="C87" s="210" t="s">
        <v>1101</v>
      </c>
      <c r="D87" s="257">
        <v>0.75</v>
      </c>
      <c r="E87" s="202"/>
      <c r="F87" s="195"/>
      <c r="G87" s="196"/>
      <c r="H87" s="204"/>
      <c r="I87" s="197"/>
    </row>
    <row r="88" spans="1:9" ht="14.1" customHeight="1" thickBot="1">
      <c r="A88" s="626"/>
      <c r="B88" s="198"/>
      <c r="C88" s="210" t="s">
        <v>1102</v>
      </c>
      <c r="D88" s="257">
        <v>0.85</v>
      </c>
      <c r="E88" s="202"/>
      <c r="F88" s="195"/>
      <c r="G88" s="196"/>
      <c r="H88" s="204"/>
      <c r="I88" s="197"/>
    </row>
    <row r="89" spans="1:9" ht="14.1" customHeight="1" thickBot="1">
      <c r="A89" s="627"/>
      <c r="B89" s="200"/>
      <c r="C89" s="258" t="s">
        <v>818</v>
      </c>
      <c r="D89" s="259">
        <v>1</v>
      </c>
      <c r="E89" s="202"/>
      <c r="F89" s="195"/>
      <c r="G89" s="196"/>
      <c r="H89" s="204"/>
      <c r="I89" s="197"/>
    </row>
    <row r="90" spans="1:9" ht="14.1" customHeight="1" thickBot="1">
      <c r="A90" s="625" t="s">
        <v>24</v>
      </c>
      <c r="B90" s="201"/>
      <c r="C90" s="225">
        <v>0</v>
      </c>
      <c r="D90" s="260">
        <v>0</v>
      </c>
      <c r="E90" s="202"/>
      <c r="F90" s="195"/>
      <c r="G90" s="196"/>
      <c r="H90" s="204"/>
      <c r="I90" s="197"/>
    </row>
    <row r="91" spans="1:9" ht="14.1" customHeight="1" thickBot="1">
      <c r="A91" s="626"/>
      <c r="B91" s="201"/>
      <c r="C91" s="210" t="s">
        <v>1100</v>
      </c>
      <c r="D91" s="260">
        <v>0.5</v>
      </c>
      <c r="E91" s="202"/>
      <c r="F91" s="195"/>
      <c r="G91" s="196"/>
      <c r="H91" s="204"/>
      <c r="I91" s="197"/>
    </row>
    <row r="92" spans="1:9" ht="14.1" customHeight="1" thickBot="1">
      <c r="A92" s="626"/>
      <c r="B92" s="201"/>
      <c r="C92" s="210" t="s">
        <v>1101</v>
      </c>
      <c r="D92" s="260">
        <v>0.75</v>
      </c>
      <c r="E92" s="202"/>
      <c r="F92" s="195"/>
      <c r="G92" s="196"/>
      <c r="H92" s="204"/>
      <c r="I92" s="197"/>
    </row>
    <row r="93" spans="1:9" ht="14.1" customHeight="1" thickBot="1">
      <c r="A93" s="626"/>
      <c r="B93" s="201"/>
      <c r="C93" s="210" t="s">
        <v>1102</v>
      </c>
      <c r="D93" s="260">
        <v>0.85</v>
      </c>
      <c r="E93" s="202"/>
      <c r="F93" s="195"/>
      <c r="G93" s="196"/>
      <c r="H93" s="204"/>
      <c r="I93" s="197"/>
    </row>
    <row r="94" spans="1:9" ht="14.1" customHeight="1" thickBot="1">
      <c r="A94" s="627"/>
      <c r="B94" s="192"/>
      <c r="C94" s="227" t="s">
        <v>819</v>
      </c>
      <c r="D94" s="261">
        <v>1</v>
      </c>
      <c r="E94" s="202"/>
      <c r="F94" s="195"/>
      <c r="G94" s="196"/>
      <c r="H94" s="204"/>
      <c r="I94" s="197"/>
    </row>
    <row r="95" spans="1:9" ht="14.1" customHeight="1" thickBot="1">
      <c r="A95" s="625" t="s">
        <v>26</v>
      </c>
      <c r="B95" s="198"/>
      <c r="C95" s="210" t="s">
        <v>820</v>
      </c>
      <c r="D95" s="257">
        <v>1</v>
      </c>
      <c r="E95" s="202"/>
      <c r="F95" s="195"/>
      <c r="G95" s="196"/>
      <c r="H95" s="204"/>
      <c r="I95" s="197"/>
    </row>
    <row r="96" spans="1:9" ht="14.1" customHeight="1" thickBot="1">
      <c r="A96" s="626"/>
      <c r="B96" s="198"/>
      <c r="C96" s="210" t="s">
        <v>821</v>
      </c>
      <c r="D96" s="257">
        <v>0.8</v>
      </c>
      <c r="E96" s="202"/>
      <c r="F96" s="195"/>
      <c r="G96" s="196"/>
      <c r="H96" s="204"/>
      <c r="I96" s="197"/>
    </row>
    <row r="97" spans="1:9" ht="14.1" customHeight="1" thickBot="1">
      <c r="A97" s="626"/>
      <c r="B97" s="198"/>
      <c r="C97" s="210" t="s">
        <v>822</v>
      </c>
      <c r="D97" s="257">
        <v>0.6</v>
      </c>
      <c r="E97" s="202"/>
      <c r="F97" s="195"/>
      <c r="G97" s="196"/>
      <c r="H97" s="204"/>
      <c r="I97" s="197"/>
    </row>
    <row r="98" spans="1:9" ht="14.1" customHeight="1" thickBot="1">
      <c r="A98" s="626"/>
      <c r="B98" s="198"/>
      <c r="C98" s="210" t="s">
        <v>823</v>
      </c>
      <c r="D98" s="257">
        <v>0.4</v>
      </c>
      <c r="E98" s="202"/>
      <c r="F98" s="195"/>
      <c r="G98" s="196"/>
      <c r="H98" s="204"/>
      <c r="I98" s="197"/>
    </row>
    <row r="99" spans="1:9" ht="14.1" customHeight="1" thickBot="1">
      <c r="A99" s="626"/>
      <c r="B99" s="198"/>
      <c r="C99" s="210" t="s">
        <v>824</v>
      </c>
      <c r="D99" s="257">
        <v>0.2</v>
      </c>
      <c r="E99" s="202"/>
      <c r="F99" s="195"/>
      <c r="G99" s="196"/>
      <c r="H99" s="204"/>
      <c r="I99" s="197"/>
    </row>
    <row r="100" spans="1:9" ht="14.1" customHeight="1" thickBot="1">
      <c r="A100" s="627"/>
      <c r="B100" s="200"/>
      <c r="C100" s="258" t="s">
        <v>825</v>
      </c>
      <c r="D100" s="259">
        <v>0</v>
      </c>
      <c r="E100" s="202"/>
      <c r="F100" s="195"/>
      <c r="G100" s="196"/>
      <c r="H100" s="204"/>
      <c r="I100" s="197"/>
    </row>
    <row r="101" spans="1:9" ht="14.1" customHeight="1" thickBot="1">
      <c r="A101" s="625" t="s">
        <v>27</v>
      </c>
      <c r="B101" s="201"/>
      <c r="C101" s="225">
        <v>0</v>
      </c>
      <c r="D101" s="260">
        <v>0</v>
      </c>
      <c r="E101" s="194"/>
      <c r="F101" s="195" t="s">
        <v>18</v>
      </c>
      <c r="G101" s="204" t="s">
        <v>826</v>
      </c>
      <c r="H101" s="204" t="s">
        <v>827</v>
      </c>
      <c r="I101" s="197"/>
    </row>
    <row r="102" spans="1:9" ht="14.1" customHeight="1" thickBot="1">
      <c r="A102" s="626"/>
      <c r="B102" s="201"/>
      <c r="C102" s="225">
        <v>44928</v>
      </c>
      <c r="D102" s="260">
        <v>0.2</v>
      </c>
      <c r="E102" s="194"/>
      <c r="F102" s="195"/>
      <c r="G102" s="204" t="s">
        <v>828</v>
      </c>
      <c r="H102" s="205">
        <v>0</v>
      </c>
      <c r="I102" s="197"/>
    </row>
    <row r="103" spans="1:9" ht="14.1" customHeight="1" thickBot="1">
      <c r="A103" s="626"/>
      <c r="B103" s="201"/>
      <c r="C103" s="225">
        <v>44989</v>
      </c>
      <c r="D103" s="260">
        <v>0.4</v>
      </c>
      <c r="E103" s="194"/>
      <c r="F103" s="195"/>
      <c r="G103" s="196"/>
      <c r="H103" s="204"/>
      <c r="I103" s="197"/>
    </row>
    <row r="104" spans="1:9" ht="14.1" customHeight="1" thickBot="1">
      <c r="A104" s="626"/>
      <c r="B104" s="201"/>
      <c r="C104" s="225">
        <v>45053</v>
      </c>
      <c r="D104" s="260">
        <v>0.6</v>
      </c>
      <c r="E104" s="194"/>
      <c r="F104" s="195"/>
      <c r="G104" s="196"/>
      <c r="H104" s="204"/>
      <c r="I104" s="197"/>
    </row>
    <row r="105" spans="1:9" ht="14.1" customHeight="1" thickBot="1">
      <c r="A105" s="626"/>
      <c r="B105" s="201"/>
      <c r="C105" s="225">
        <v>45148</v>
      </c>
      <c r="D105" s="260">
        <v>0.8</v>
      </c>
      <c r="E105" s="194"/>
      <c r="F105" s="195"/>
      <c r="G105" s="196"/>
      <c r="H105" s="204"/>
      <c r="I105" s="197"/>
    </row>
    <row r="106" spans="1:9" ht="14.1" customHeight="1" thickBot="1">
      <c r="A106" s="627"/>
      <c r="B106" s="192"/>
      <c r="C106" s="227" t="s">
        <v>809</v>
      </c>
      <c r="D106" s="261">
        <v>1</v>
      </c>
      <c r="E106" s="194"/>
      <c r="F106" s="195"/>
      <c r="G106" s="196"/>
      <c r="H106" s="204"/>
      <c r="I106" s="197"/>
    </row>
    <row r="107" spans="1:9" ht="14.1" customHeight="1" thickBot="1">
      <c r="A107" s="628" t="s">
        <v>29</v>
      </c>
      <c r="B107" s="198"/>
      <c r="C107" s="210" t="s">
        <v>813</v>
      </c>
      <c r="D107" s="257">
        <v>1</v>
      </c>
      <c r="E107" s="206"/>
      <c r="F107" s="195"/>
      <c r="G107" s="196"/>
      <c r="H107" s="204"/>
      <c r="I107" s="197"/>
    </row>
    <row r="108" spans="1:9" ht="40.5" customHeight="1" thickBot="1">
      <c r="A108" s="629"/>
      <c r="B108" s="200"/>
      <c r="C108" s="258" t="s">
        <v>815</v>
      </c>
      <c r="D108" s="259">
        <v>0</v>
      </c>
      <c r="E108" s="206"/>
      <c r="F108" s="195"/>
      <c r="G108" s="196"/>
      <c r="H108" s="204"/>
      <c r="I108" s="197"/>
    </row>
    <row r="109" spans="1:9" ht="14.1" customHeight="1" thickBot="1">
      <c r="A109" s="207"/>
      <c r="B109" s="628" t="s">
        <v>211</v>
      </c>
      <c r="C109" s="225" t="s">
        <v>813</v>
      </c>
      <c r="D109" s="263" t="s">
        <v>829</v>
      </c>
      <c r="E109" s="191"/>
      <c r="F109" s="195" t="s">
        <v>830</v>
      </c>
      <c r="G109" s="204" t="s">
        <v>831</v>
      </c>
      <c r="H109" s="205">
        <v>1</v>
      </c>
      <c r="I109" s="197"/>
    </row>
    <row r="110" spans="1:9" ht="14.1" customHeight="1" thickBot="1">
      <c r="A110" s="207"/>
      <c r="B110" s="630"/>
      <c r="C110" s="225" t="s">
        <v>815</v>
      </c>
      <c r="D110" s="260">
        <v>0</v>
      </c>
      <c r="E110" s="191"/>
      <c r="F110" s="195"/>
      <c r="G110" s="204" t="s">
        <v>832</v>
      </c>
      <c r="H110" s="205">
        <v>0.95</v>
      </c>
      <c r="I110" s="197"/>
    </row>
    <row r="111" spans="1:9" ht="14.1" customHeight="1" thickBot="1">
      <c r="A111" s="207"/>
      <c r="B111" s="630"/>
      <c r="C111" s="225"/>
      <c r="D111" s="263"/>
      <c r="E111" s="191"/>
      <c r="F111" s="195"/>
      <c r="G111" s="204" t="s">
        <v>833</v>
      </c>
      <c r="H111" s="205">
        <v>0.9</v>
      </c>
      <c r="I111" s="197"/>
    </row>
    <row r="112" spans="1:9" ht="14.1" customHeight="1" thickBot="1">
      <c r="A112" s="207"/>
      <c r="B112" s="630"/>
      <c r="C112" s="225"/>
      <c r="D112" s="263"/>
      <c r="E112" s="191"/>
      <c r="F112" s="195"/>
      <c r="G112" s="204" t="s">
        <v>834</v>
      </c>
      <c r="H112" s="205">
        <v>0.85</v>
      </c>
      <c r="I112" s="197"/>
    </row>
    <row r="113" spans="1:9" ht="14.1" customHeight="1" thickBot="1">
      <c r="A113" s="207"/>
      <c r="B113" s="630"/>
      <c r="C113" s="225"/>
      <c r="D113" s="263"/>
      <c r="E113" s="191"/>
      <c r="F113" s="195"/>
      <c r="G113" s="204" t="s">
        <v>835</v>
      </c>
      <c r="H113" s="205">
        <v>0.8</v>
      </c>
      <c r="I113" s="197"/>
    </row>
    <row r="114" spans="1:9" ht="14.1" customHeight="1" thickBot="1">
      <c r="A114" s="207"/>
      <c r="B114" s="630"/>
      <c r="C114" s="225"/>
      <c r="D114" s="263"/>
      <c r="E114" s="191"/>
      <c r="F114" s="195"/>
      <c r="G114" s="204" t="s">
        <v>836</v>
      </c>
      <c r="H114" s="205">
        <v>0.75</v>
      </c>
      <c r="I114" s="197"/>
    </row>
    <row r="115" spans="1:9" ht="14.1" customHeight="1" thickBot="1">
      <c r="A115" s="207"/>
      <c r="B115" s="630"/>
      <c r="C115" s="225"/>
      <c r="D115" s="263"/>
      <c r="E115" s="191"/>
      <c r="F115" s="195"/>
      <c r="G115" s="204" t="s">
        <v>837</v>
      </c>
      <c r="H115" s="205">
        <v>0.7</v>
      </c>
      <c r="I115" s="197"/>
    </row>
    <row r="116" spans="1:9" ht="14.1" customHeight="1" thickBot="1">
      <c r="A116" s="207"/>
      <c r="B116" s="630"/>
      <c r="C116" s="225"/>
      <c r="D116" s="263"/>
      <c r="E116" s="191"/>
      <c r="F116" s="195"/>
      <c r="G116" s="204" t="s">
        <v>838</v>
      </c>
      <c r="H116" s="205">
        <v>0.65</v>
      </c>
      <c r="I116" s="197"/>
    </row>
    <row r="117" spans="1:9" ht="14.1" customHeight="1" thickBot="1">
      <c r="A117" s="207"/>
      <c r="B117" s="630"/>
      <c r="C117" s="225"/>
      <c r="D117" s="263"/>
      <c r="E117" s="191"/>
      <c r="F117" s="195"/>
      <c r="G117" s="204" t="s">
        <v>839</v>
      </c>
      <c r="H117" s="205">
        <v>0.6</v>
      </c>
      <c r="I117" s="197"/>
    </row>
    <row r="118" spans="1:9" ht="14.1" customHeight="1" thickBot="1">
      <c r="A118" s="207"/>
      <c r="B118" s="630"/>
      <c r="C118" s="225"/>
      <c r="D118" s="263"/>
      <c r="E118" s="191"/>
      <c r="F118" s="195"/>
      <c r="G118" s="204" t="s">
        <v>840</v>
      </c>
      <c r="H118" s="205">
        <v>0.55000000000000004</v>
      </c>
      <c r="I118" s="197"/>
    </row>
    <row r="119" spans="1:9" ht="14.1" customHeight="1" thickBot="1">
      <c r="A119" s="207"/>
      <c r="B119" s="630"/>
      <c r="C119" s="225"/>
      <c r="D119" s="263"/>
      <c r="E119" s="191"/>
      <c r="F119" s="195"/>
      <c r="G119" s="204" t="s">
        <v>841</v>
      </c>
      <c r="H119" s="205">
        <v>0.5</v>
      </c>
      <c r="I119" s="197"/>
    </row>
    <row r="120" spans="1:9" ht="14.1" customHeight="1" thickBot="1">
      <c r="A120" s="207"/>
      <c r="B120" s="630"/>
      <c r="C120" s="225"/>
      <c r="D120" s="263"/>
      <c r="E120" s="191"/>
      <c r="F120" s="195"/>
      <c r="G120" s="204" t="s">
        <v>842</v>
      </c>
      <c r="H120" s="205">
        <v>0.45</v>
      </c>
      <c r="I120" s="197"/>
    </row>
    <row r="121" spans="1:9" ht="14.1" customHeight="1" thickBot="1">
      <c r="A121" s="207"/>
      <c r="B121" s="630"/>
      <c r="C121" s="225"/>
      <c r="D121" s="263"/>
      <c r="E121" s="191"/>
      <c r="F121" s="195"/>
      <c r="G121" s="204" t="s">
        <v>843</v>
      </c>
      <c r="H121" s="205">
        <v>0.4</v>
      </c>
      <c r="I121" s="197"/>
    </row>
    <row r="122" spans="1:9" ht="14.1" customHeight="1" thickBot="1">
      <c r="A122" s="207"/>
      <c r="B122" s="630"/>
      <c r="C122" s="225"/>
      <c r="D122" s="263"/>
      <c r="E122" s="191"/>
      <c r="F122" s="195"/>
      <c r="G122" s="204" t="s">
        <v>844</v>
      </c>
      <c r="H122" s="205">
        <v>0.35</v>
      </c>
      <c r="I122" s="197"/>
    </row>
    <row r="123" spans="1:9" ht="14.1" customHeight="1" thickBot="1">
      <c r="A123" s="207"/>
      <c r="B123" s="630"/>
      <c r="C123" s="225"/>
      <c r="D123" s="263"/>
      <c r="E123" s="191"/>
      <c r="F123" s="195"/>
      <c r="G123" s="204" t="s">
        <v>845</v>
      </c>
      <c r="H123" s="205">
        <v>0.3</v>
      </c>
      <c r="I123" s="197"/>
    </row>
    <row r="124" spans="1:9" ht="14.1" customHeight="1" thickBot="1">
      <c r="A124" s="207"/>
      <c r="B124" s="630"/>
      <c r="C124" s="225"/>
      <c r="D124" s="263"/>
      <c r="E124" s="191"/>
      <c r="F124" s="195"/>
      <c r="G124" s="204" t="s">
        <v>846</v>
      </c>
      <c r="H124" s="205">
        <v>0.25</v>
      </c>
      <c r="I124" s="197"/>
    </row>
    <row r="125" spans="1:9" ht="14.1" customHeight="1" thickBot="1">
      <c r="A125" s="207"/>
      <c r="B125" s="630"/>
      <c r="C125" s="225"/>
      <c r="D125" s="263"/>
      <c r="E125" s="191"/>
      <c r="F125" s="195"/>
      <c r="G125" s="204" t="s">
        <v>847</v>
      </c>
      <c r="H125" s="205">
        <v>0.2</v>
      </c>
      <c r="I125" s="197"/>
    </row>
    <row r="126" spans="1:9" ht="14.1" customHeight="1" thickBot="1">
      <c r="A126" s="207"/>
      <c r="B126" s="630"/>
      <c r="C126" s="225"/>
      <c r="D126" s="263"/>
      <c r="E126" s="191"/>
      <c r="F126" s="195"/>
      <c r="G126" s="204" t="s">
        <v>848</v>
      </c>
      <c r="H126" s="205">
        <v>0.15</v>
      </c>
      <c r="I126" s="197"/>
    </row>
    <row r="127" spans="1:9" ht="14.1" customHeight="1" thickBot="1">
      <c r="A127" s="207"/>
      <c r="B127" s="630"/>
      <c r="C127" s="225"/>
      <c r="D127" s="263"/>
      <c r="E127" s="191"/>
      <c r="F127" s="195"/>
      <c r="G127" s="204" t="s">
        <v>849</v>
      </c>
      <c r="H127" s="205">
        <v>0.1</v>
      </c>
      <c r="I127" s="197"/>
    </row>
    <row r="128" spans="1:9" ht="14.1" customHeight="1" thickBot="1">
      <c r="A128" s="207"/>
      <c r="B128" s="630"/>
      <c r="C128" s="225"/>
      <c r="D128" s="263"/>
      <c r="E128" s="191"/>
      <c r="F128" s="195"/>
      <c r="G128" s="204" t="s">
        <v>850</v>
      </c>
      <c r="H128" s="205">
        <v>0.05</v>
      </c>
      <c r="I128" s="197"/>
    </row>
    <row r="129" spans="1:9" ht="14.1" customHeight="1" thickBot="1">
      <c r="A129" s="207"/>
      <c r="B129" s="630"/>
      <c r="C129" s="225"/>
      <c r="D129" s="263"/>
      <c r="E129" s="191"/>
      <c r="F129" s="195"/>
      <c r="G129" s="204" t="s">
        <v>851</v>
      </c>
      <c r="H129" s="205">
        <v>0.05</v>
      </c>
      <c r="I129" s="197"/>
    </row>
    <row r="130" spans="1:9" ht="14.1" customHeight="1" thickBot="1">
      <c r="A130" s="207"/>
      <c r="B130" s="629"/>
      <c r="C130" s="235"/>
      <c r="D130" s="208"/>
      <c r="E130" s="194"/>
      <c r="F130" s="195"/>
      <c r="G130" s="196"/>
      <c r="H130" s="204"/>
      <c r="I130" s="197"/>
    </row>
    <row r="131" spans="1:9" ht="14.1" customHeight="1" thickBot="1">
      <c r="A131" s="207"/>
      <c r="B131" s="631" t="s">
        <v>31</v>
      </c>
      <c r="C131" s="210" t="s">
        <v>852</v>
      </c>
      <c r="D131" s="257">
        <v>0.25</v>
      </c>
      <c r="E131" s="202"/>
      <c r="F131" s="195"/>
      <c r="G131" s="196"/>
      <c r="H131" s="204"/>
      <c r="I131" s="197"/>
    </row>
    <row r="132" spans="1:9" ht="14.1" customHeight="1" thickBot="1">
      <c r="A132" s="207"/>
      <c r="B132" s="632"/>
      <c r="C132" s="210" t="s">
        <v>853</v>
      </c>
      <c r="D132" s="257">
        <v>0.25</v>
      </c>
      <c r="E132" s="202"/>
      <c r="F132" s="195"/>
      <c r="G132" s="196"/>
      <c r="H132" s="204"/>
      <c r="I132" s="197"/>
    </row>
    <row r="133" spans="1:9" ht="14.1" customHeight="1" thickBot="1">
      <c r="A133" s="207"/>
      <c r="B133" s="632"/>
      <c r="C133" s="210" t="s">
        <v>854</v>
      </c>
      <c r="D133" s="257">
        <v>0.25</v>
      </c>
      <c r="E133" s="202"/>
      <c r="F133" s="195"/>
      <c r="G133" s="196"/>
      <c r="H133" s="204"/>
      <c r="I133" s="197"/>
    </row>
    <row r="134" spans="1:9" ht="14.1" customHeight="1" thickBot="1">
      <c r="A134" s="207"/>
      <c r="B134" s="632"/>
      <c r="C134" s="210" t="s">
        <v>855</v>
      </c>
      <c r="D134" s="257">
        <v>0.25</v>
      </c>
      <c r="E134" s="202"/>
      <c r="F134" s="195"/>
      <c r="G134" s="196"/>
      <c r="H134" s="204"/>
      <c r="I134" s="197"/>
    </row>
    <row r="135" spans="1:9" ht="14.1" customHeight="1" thickBot="1">
      <c r="A135" s="207"/>
      <c r="B135" s="632"/>
      <c r="C135" s="210" t="s">
        <v>856</v>
      </c>
      <c r="D135" s="257">
        <v>0.25</v>
      </c>
      <c r="E135" s="202"/>
      <c r="F135" s="195"/>
      <c r="G135" s="196"/>
      <c r="H135" s="204"/>
      <c r="I135" s="197"/>
    </row>
    <row r="136" spans="1:9" ht="14.1" customHeight="1" thickBot="1">
      <c r="A136" s="207"/>
      <c r="B136" s="632"/>
      <c r="C136" s="210" t="s">
        <v>857</v>
      </c>
      <c r="D136" s="257">
        <v>0.5</v>
      </c>
      <c r="E136" s="202"/>
      <c r="F136" s="195"/>
      <c r="G136" s="196"/>
      <c r="H136" s="204"/>
      <c r="I136" s="197"/>
    </row>
    <row r="137" spans="1:9" ht="14.1" customHeight="1" thickBot="1">
      <c r="A137" s="207"/>
      <c r="B137" s="632"/>
      <c r="C137" s="210" t="s">
        <v>858</v>
      </c>
      <c r="D137" s="257">
        <v>0.5</v>
      </c>
      <c r="E137" s="202"/>
      <c r="F137" s="195"/>
      <c r="G137" s="196"/>
      <c r="H137" s="204"/>
      <c r="I137" s="197"/>
    </row>
    <row r="138" spans="1:9" ht="14.1" customHeight="1" thickBot="1">
      <c r="A138" s="207"/>
      <c r="B138" s="632"/>
      <c r="C138" s="210" t="s">
        <v>859</v>
      </c>
      <c r="D138" s="257">
        <v>0.5</v>
      </c>
      <c r="E138" s="202"/>
      <c r="F138" s="195"/>
      <c r="G138" s="196"/>
      <c r="H138" s="204"/>
      <c r="I138" s="197"/>
    </row>
    <row r="139" spans="1:9" ht="14.1" customHeight="1" thickBot="1">
      <c r="A139" s="207"/>
      <c r="B139" s="632"/>
      <c r="C139" s="210" t="s">
        <v>860</v>
      </c>
      <c r="D139" s="257">
        <v>0.5</v>
      </c>
      <c r="E139" s="202"/>
      <c r="F139" s="195"/>
      <c r="G139" s="196"/>
      <c r="H139" s="204"/>
      <c r="I139" s="197"/>
    </row>
    <row r="140" spans="1:9" ht="14.1" customHeight="1" thickBot="1">
      <c r="A140" s="207"/>
      <c r="B140" s="632"/>
      <c r="C140" s="210" t="s">
        <v>861</v>
      </c>
      <c r="D140" s="257">
        <v>1</v>
      </c>
      <c r="E140" s="202"/>
      <c r="F140" s="195"/>
      <c r="G140" s="196"/>
      <c r="H140" s="204"/>
      <c r="I140" s="197"/>
    </row>
    <row r="141" spans="1:9" ht="14.1" customHeight="1" thickBot="1">
      <c r="A141" s="207"/>
      <c r="B141" s="632"/>
      <c r="C141" s="210" t="s">
        <v>862</v>
      </c>
      <c r="D141" s="257">
        <v>1</v>
      </c>
      <c r="E141" s="202"/>
      <c r="F141" s="195"/>
      <c r="G141" s="196"/>
      <c r="H141" s="204"/>
      <c r="I141" s="197"/>
    </row>
    <row r="142" spans="1:9" ht="14.1" customHeight="1" thickBot="1">
      <c r="A142" s="207"/>
      <c r="B142" s="632"/>
      <c r="C142" s="210" t="s">
        <v>863</v>
      </c>
      <c r="D142" s="209"/>
      <c r="E142" s="202"/>
      <c r="F142" s="638" t="s">
        <v>864</v>
      </c>
      <c r="G142" s="204" t="s">
        <v>865</v>
      </c>
      <c r="H142" s="205">
        <v>0.2</v>
      </c>
      <c r="I142" s="197"/>
    </row>
    <row r="143" spans="1:9" ht="14.1" customHeight="1" thickBot="1">
      <c r="A143" s="207"/>
      <c r="B143" s="632"/>
      <c r="C143" s="210"/>
      <c r="D143" s="264"/>
      <c r="E143" s="202"/>
      <c r="F143" s="639"/>
      <c r="G143" s="204" t="s">
        <v>866</v>
      </c>
      <c r="H143" s="205">
        <v>0.8</v>
      </c>
      <c r="I143" s="197"/>
    </row>
    <row r="144" spans="1:9" ht="14.1" customHeight="1" thickBot="1">
      <c r="A144" s="207"/>
      <c r="B144" s="633"/>
      <c r="C144" s="258"/>
      <c r="D144" s="262"/>
      <c r="E144" s="202"/>
      <c r="F144" s="640"/>
      <c r="G144" s="204" t="s">
        <v>867</v>
      </c>
      <c r="H144" s="205">
        <v>0</v>
      </c>
      <c r="I144" s="197"/>
    </row>
    <row r="145" spans="1:9" ht="14.1" customHeight="1" thickBot="1">
      <c r="A145" s="207"/>
      <c r="B145" s="635" t="s">
        <v>868</v>
      </c>
      <c r="C145" s="225">
        <v>1</v>
      </c>
      <c r="D145" s="260">
        <v>0</v>
      </c>
      <c r="E145" s="202"/>
      <c r="F145" s="638" t="s">
        <v>869</v>
      </c>
      <c r="G145" s="204" t="s">
        <v>870</v>
      </c>
      <c r="H145" s="205">
        <v>0.25</v>
      </c>
      <c r="I145" s="197"/>
    </row>
    <row r="146" spans="1:9" ht="14.1" customHeight="1" thickBot="1">
      <c r="A146" s="207"/>
      <c r="B146" s="636"/>
      <c r="C146" s="225">
        <v>2</v>
      </c>
      <c r="D146" s="260">
        <v>0.5</v>
      </c>
      <c r="E146" s="202"/>
      <c r="F146" s="640"/>
      <c r="G146" s="204" t="s">
        <v>871</v>
      </c>
      <c r="H146" s="205">
        <v>0</v>
      </c>
      <c r="I146" s="197"/>
    </row>
    <row r="147" spans="1:9" ht="14.1" customHeight="1" thickBot="1">
      <c r="A147" s="207"/>
      <c r="B147" s="637"/>
      <c r="C147" s="227">
        <v>3</v>
      </c>
      <c r="D147" s="261">
        <v>0.75</v>
      </c>
      <c r="E147" s="202"/>
      <c r="F147" s="195"/>
      <c r="G147" s="196"/>
      <c r="H147" s="204"/>
      <c r="I147" s="197"/>
    </row>
    <row r="148" spans="1:9" ht="14.1" customHeight="1" thickBot="1">
      <c r="A148" s="207"/>
      <c r="B148" s="635" t="s">
        <v>34</v>
      </c>
      <c r="C148" s="210">
        <v>44930</v>
      </c>
      <c r="D148" s="257">
        <v>0.1</v>
      </c>
      <c r="E148" s="202"/>
      <c r="F148" s="195"/>
      <c r="G148" s="196"/>
      <c r="H148" s="204"/>
      <c r="I148" s="197"/>
    </row>
    <row r="149" spans="1:9" ht="14.1" customHeight="1" thickBot="1">
      <c r="A149" s="207"/>
      <c r="B149" s="636"/>
      <c r="C149" s="210">
        <v>45026</v>
      </c>
      <c r="D149" s="257">
        <v>0.25</v>
      </c>
      <c r="E149" s="202"/>
      <c r="F149" s="195"/>
      <c r="G149" s="196"/>
      <c r="H149" s="204"/>
      <c r="I149" s="197"/>
    </row>
    <row r="150" spans="1:9" ht="14.1" customHeight="1" thickBot="1">
      <c r="A150" s="207"/>
      <c r="B150" s="636"/>
      <c r="C150" s="210">
        <v>45255</v>
      </c>
      <c r="D150" s="257">
        <v>0.5</v>
      </c>
      <c r="E150" s="202"/>
      <c r="F150" s="195"/>
      <c r="G150" s="196"/>
      <c r="H150" s="204"/>
      <c r="I150" s="197"/>
    </row>
    <row r="151" spans="1:9" ht="14.1" customHeight="1" thickBot="1">
      <c r="A151" s="207"/>
      <c r="B151" s="636"/>
      <c r="C151" s="210" t="s">
        <v>872</v>
      </c>
      <c r="D151" s="257">
        <v>0.65</v>
      </c>
      <c r="E151" s="202"/>
      <c r="F151" s="195"/>
      <c r="G151" s="196"/>
      <c r="H151" s="204"/>
      <c r="I151" s="197"/>
    </row>
    <row r="152" spans="1:9" ht="14.1" customHeight="1" thickBot="1">
      <c r="A152" s="207"/>
      <c r="B152" s="636"/>
      <c r="C152" s="210" t="s">
        <v>873</v>
      </c>
      <c r="D152" s="257">
        <v>0.85</v>
      </c>
      <c r="E152" s="202"/>
      <c r="F152" s="195"/>
      <c r="G152" s="196"/>
      <c r="H152" s="204"/>
      <c r="I152" s="197"/>
    </row>
    <row r="153" spans="1:9" ht="14.1" customHeight="1" thickBot="1">
      <c r="A153" s="207"/>
      <c r="B153" s="637"/>
      <c r="C153" s="258" t="s">
        <v>874</v>
      </c>
      <c r="D153" s="259">
        <v>1</v>
      </c>
      <c r="E153" s="202"/>
      <c r="F153" s="195"/>
      <c r="G153" s="196"/>
      <c r="H153" s="204"/>
      <c r="I153" s="197"/>
    </row>
    <row r="154" spans="1:9" ht="14.1" customHeight="1" thickBot="1">
      <c r="A154" s="207"/>
      <c r="B154" s="635" t="s">
        <v>35</v>
      </c>
      <c r="C154" s="225" t="s">
        <v>875</v>
      </c>
      <c r="D154" s="260">
        <v>1</v>
      </c>
      <c r="E154" s="202"/>
      <c r="F154" s="195"/>
      <c r="G154" s="196"/>
      <c r="H154" s="204"/>
      <c r="I154" s="197"/>
    </row>
    <row r="155" spans="1:9" ht="14.1" customHeight="1" thickBot="1">
      <c r="A155" s="207"/>
      <c r="B155" s="636"/>
      <c r="C155" s="225" t="s">
        <v>876</v>
      </c>
      <c r="D155" s="260">
        <v>0.8</v>
      </c>
      <c r="E155" s="202"/>
      <c r="F155" s="195"/>
      <c r="G155" s="196"/>
      <c r="H155" s="204"/>
      <c r="I155" s="197"/>
    </row>
    <row r="156" spans="1:9" ht="14.1" customHeight="1" thickBot="1">
      <c r="A156" s="207"/>
      <c r="B156" s="636"/>
      <c r="C156" s="225" t="s">
        <v>877</v>
      </c>
      <c r="D156" s="260">
        <v>0.6</v>
      </c>
      <c r="E156" s="202"/>
      <c r="F156" s="195"/>
      <c r="G156" s="196"/>
      <c r="H156" s="204"/>
      <c r="I156" s="197"/>
    </row>
    <row r="157" spans="1:9" ht="14.1" customHeight="1" thickBot="1">
      <c r="A157" s="207"/>
      <c r="B157" s="636"/>
      <c r="C157" s="225" t="s">
        <v>878</v>
      </c>
      <c r="D157" s="260">
        <v>0.4</v>
      </c>
      <c r="E157" s="202"/>
      <c r="F157" s="195"/>
      <c r="G157" s="196"/>
      <c r="H157" s="204"/>
      <c r="I157" s="197"/>
    </row>
    <row r="158" spans="1:9" ht="14.1" customHeight="1" thickBot="1">
      <c r="A158" s="207"/>
      <c r="B158" s="636"/>
      <c r="C158" s="225" t="s">
        <v>879</v>
      </c>
      <c r="D158" s="260">
        <v>0.2</v>
      </c>
      <c r="E158" s="202"/>
      <c r="F158" s="195"/>
      <c r="G158" s="196"/>
      <c r="H158" s="204"/>
      <c r="I158" s="197"/>
    </row>
    <row r="159" spans="1:9" ht="14.1" customHeight="1" thickBot="1">
      <c r="A159" s="207"/>
      <c r="B159" s="637"/>
      <c r="C159" s="227" t="s">
        <v>880</v>
      </c>
      <c r="D159" s="261">
        <v>0.1</v>
      </c>
      <c r="E159" s="202"/>
      <c r="F159" s="195"/>
      <c r="G159" s="196"/>
      <c r="H159" s="204"/>
      <c r="I159" s="197"/>
    </row>
    <row r="160" spans="1:9" ht="14.1" customHeight="1" thickBot="1">
      <c r="A160" s="207"/>
      <c r="B160" s="631" t="s">
        <v>36</v>
      </c>
      <c r="C160" s="210" t="s">
        <v>881</v>
      </c>
      <c r="D160" s="257">
        <v>0</v>
      </c>
      <c r="E160" s="202"/>
      <c r="F160" s="195"/>
      <c r="G160" s="196"/>
      <c r="H160" s="204"/>
      <c r="I160" s="197"/>
    </row>
    <row r="161" spans="1:9" ht="14.1" customHeight="1" thickBot="1">
      <c r="A161" s="207"/>
      <c r="B161" s="632"/>
      <c r="C161" s="210" t="s">
        <v>882</v>
      </c>
      <c r="D161" s="257">
        <v>0.25</v>
      </c>
      <c r="E161" s="202"/>
      <c r="F161" s="195"/>
      <c r="G161" s="196"/>
      <c r="H161" s="204"/>
      <c r="I161" s="197"/>
    </row>
    <row r="162" spans="1:9" ht="14.1" customHeight="1" thickBot="1">
      <c r="A162" s="207"/>
      <c r="B162" s="632"/>
      <c r="C162" s="210" t="s">
        <v>883</v>
      </c>
      <c r="D162" s="257">
        <v>0.5</v>
      </c>
      <c r="E162" s="202"/>
      <c r="F162" s="195"/>
      <c r="G162" s="196"/>
      <c r="H162" s="204"/>
      <c r="I162" s="197"/>
    </row>
    <row r="163" spans="1:9" ht="14.1" customHeight="1" thickBot="1">
      <c r="A163" s="207"/>
      <c r="B163" s="632"/>
      <c r="C163" s="210" t="s">
        <v>884</v>
      </c>
      <c r="D163" s="257">
        <v>0.75</v>
      </c>
      <c r="E163" s="202"/>
      <c r="F163" s="195"/>
      <c r="G163" s="196"/>
      <c r="H163" s="204"/>
      <c r="I163" s="197"/>
    </row>
    <row r="164" spans="1:9" ht="14.1" customHeight="1" thickBot="1">
      <c r="A164" s="207"/>
      <c r="B164" s="633"/>
      <c r="C164" s="258" t="s">
        <v>885</v>
      </c>
      <c r="D164" s="259">
        <v>1</v>
      </c>
      <c r="E164" s="202"/>
      <c r="F164" s="195"/>
      <c r="G164" s="196"/>
      <c r="H164" s="204"/>
      <c r="I164" s="197"/>
    </row>
    <row r="165" spans="1:9" ht="14.1" customHeight="1" thickBot="1">
      <c r="A165" s="207"/>
      <c r="B165" s="631" t="s">
        <v>37</v>
      </c>
      <c r="C165" s="225" t="s">
        <v>886</v>
      </c>
      <c r="D165" s="260">
        <v>0</v>
      </c>
      <c r="E165" s="202"/>
      <c r="F165" s="195"/>
      <c r="G165" s="196"/>
      <c r="H165" s="204"/>
      <c r="I165" s="197"/>
    </row>
    <row r="166" spans="1:9" ht="14.1" customHeight="1" thickBot="1">
      <c r="A166" s="207"/>
      <c r="B166" s="632"/>
      <c r="C166" s="225" t="s">
        <v>887</v>
      </c>
      <c r="D166" s="260">
        <v>0.1</v>
      </c>
      <c r="E166" s="202"/>
      <c r="F166" s="195"/>
      <c r="G166" s="196"/>
      <c r="H166" s="204"/>
      <c r="I166" s="197"/>
    </row>
    <row r="167" spans="1:9" ht="14.1" customHeight="1" thickBot="1">
      <c r="A167" s="207"/>
      <c r="B167" s="632"/>
      <c r="C167" s="225" t="s">
        <v>888</v>
      </c>
      <c r="D167" s="260">
        <v>0.25</v>
      </c>
      <c r="E167" s="202"/>
      <c r="F167" s="195"/>
      <c r="G167" s="196"/>
      <c r="H167" s="204"/>
      <c r="I167" s="197"/>
    </row>
    <row r="168" spans="1:9" ht="14.1" customHeight="1" thickBot="1">
      <c r="A168" s="207"/>
      <c r="B168" s="633"/>
      <c r="C168" s="227" t="s">
        <v>889</v>
      </c>
      <c r="D168" s="261">
        <v>1</v>
      </c>
      <c r="E168" s="202"/>
      <c r="F168" s="195"/>
      <c r="G168" s="196"/>
      <c r="H168" s="204"/>
      <c r="I168" s="197"/>
    </row>
    <row r="169" spans="1:9" ht="14.1" customHeight="1" thickBot="1">
      <c r="A169" s="207"/>
      <c r="B169" s="635" t="s">
        <v>38</v>
      </c>
      <c r="C169" s="210" t="s">
        <v>890</v>
      </c>
      <c r="D169" s="257">
        <v>1</v>
      </c>
      <c r="E169" s="256" t="s">
        <v>891</v>
      </c>
      <c r="F169" s="195"/>
      <c r="G169" s="196"/>
      <c r="H169" s="204"/>
      <c r="I169" s="197"/>
    </row>
    <row r="170" spans="1:9" ht="14.1" customHeight="1" thickBot="1">
      <c r="A170" s="207"/>
      <c r="B170" s="636"/>
      <c r="C170" s="210">
        <v>45138</v>
      </c>
      <c r="D170" s="257">
        <v>0.85</v>
      </c>
      <c r="E170" s="202"/>
      <c r="F170" s="195"/>
      <c r="G170" s="196"/>
      <c r="H170" s="204"/>
      <c r="I170" s="197"/>
    </row>
    <row r="171" spans="1:9" ht="14.1" customHeight="1" thickBot="1">
      <c r="A171" s="207"/>
      <c r="B171" s="636"/>
      <c r="C171" s="210" t="s">
        <v>892</v>
      </c>
      <c r="D171" s="257">
        <v>0.25</v>
      </c>
      <c r="E171" s="202"/>
      <c r="F171" s="195"/>
      <c r="G171" s="196"/>
      <c r="H171" s="204"/>
      <c r="I171" s="197"/>
    </row>
    <row r="172" spans="1:9" ht="14.1" customHeight="1" thickBot="1">
      <c r="A172" s="207"/>
      <c r="B172" s="637"/>
      <c r="C172" s="258" t="s">
        <v>893</v>
      </c>
      <c r="D172" s="259">
        <v>0</v>
      </c>
      <c r="E172" s="202"/>
      <c r="F172" s="195"/>
      <c r="G172" s="196"/>
      <c r="H172" s="204"/>
      <c r="I172" s="197"/>
    </row>
    <row r="173" spans="1:9" ht="14.1" customHeight="1" thickBot="1">
      <c r="A173" s="207"/>
      <c r="B173" s="635" t="s">
        <v>39</v>
      </c>
      <c r="C173" s="225">
        <v>44928</v>
      </c>
      <c r="D173" s="263" t="s">
        <v>894</v>
      </c>
      <c r="E173" s="202"/>
      <c r="F173" s="195"/>
      <c r="G173" s="196"/>
      <c r="H173" s="204"/>
      <c r="I173" s="197"/>
    </row>
    <row r="174" spans="1:9" ht="14.1" customHeight="1" thickBot="1">
      <c r="A174" s="207"/>
      <c r="B174" s="636"/>
      <c r="C174" s="225">
        <v>44990</v>
      </c>
      <c r="D174" s="260">
        <v>1</v>
      </c>
      <c r="E174" s="202"/>
      <c r="F174" s="195"/>
      <c r="G174" s="196"/>
      <c r="H174" s="204"/>
      <c r="I174" s="197"/>
    </row>
    <row r="175" spans="1:9" ht="14.1" customHeight="1" thickBot="1">
      <c r="A175" s="207"/>
      <c r="B175" s="636"/>
      <c r="C175" s="225">
        <v>45085</v>
      </c>
      <c r="D175" s="260">
        <v>0.9</v>
      </c>
      <c r="E175" s="202"/>
      <c r="F175" s="195"/>
      <c r="G175" s="196"/>
      <c r="H175" s="204"/>
      <c r="I175" s="197"/>
    </row>
    <row r="176" spans="1:9" ht="14.1" customHeight="1" thickBot="1">
      <c r="A176" s="207"/>
      <c r="B176" s="636"/>
      <c r="C176" s="225">
        <v>45180</v>
      </c>
      <c r="D176" s="260">
        <v>0.4</v>
      </c>
      <c r="E176" s="202"/>
      <c r="F176" s="195"/>
      <c r="G176" s="196"/>
      <c r="H176" s="204"/>
      <c r="I176" s="197"/>
    </row>
    <row r="177" spans="1:9" ht="14.1" customHeight="1" thickBot="1">
      <c r="A177" s="207"/>
      <c r="B177" s="636"/>
      <c r="C177" s="225">
        <v>45280</v>
      </c>
      <c r="D177" s="260">
        <v>0.3</v>
      </c>
      <c r="E177" s="202"/>
      <c r="F177" s="195"/>
      <c r="G177" s="196"/>
      <c r="H177" s="204"/>
      <c r="I177" s="197"/>
    </row>
    <row r="178" spans="1:9" ht="14.1" customHeight="1" thickBot="1">
      <c r="A178" s="207"/>
      <c r="B178" s="637"/>
      <c r="C178" s="227" t="s">
        <v>895</v>
      </c>
      <c r="D178" s="261">
        <v>0.1</v>
      </c>
      <c r="E178" s="202"/>
      <c r="F178" s="195"/>
      <c r="G178" s="196"/>
      <c r="H178" s="204"/>
      <c r="I178" s="197"/>
    </row>
    <row r="179" spans="1:9" ht="14.1" customHeight="1" thickBot="1">
      <c r="A179" s="207"/>
      <c r="B179" s="631" t="s">
        <v>40</v>
      </c>
      <c r="C179" s="210" t="s">
        <v>813</v>
      </c>
      <c r="D179" s="257">
        <v>0.75</v>
      </c>
      <c r="E179" s="206"/>
      <c r="F179" s="195" t="s">
        <v>896</v>
      </c>
      <c r="G179" s="204" t="s">
        <v>897</v>
      </c>
      <c r="H179" s="205">
        <v>0.75</v>
      </c>
      <c r="I179" s="197"/>
    </row>
    <row r="180" spans="1:9" ht="14.1" customHeight="1" thickBot="1">
      <c r="A180" s="207"/>
      <c r="B180" s="632"/>
      <c r="C180" s="210" t="s">
        <v>815</v>
      </c>
      <c r="D180" s="257">
        <v>0</v>
      </c>
      <c r="E180" s="206"/>
      <c r="F180" s="195" t="s">
        <v>898</v>
      </c>
      <c r="G180" s="204" t="s">
        <v>899</v>
      </c>
      <c r="H180" s="205">
        <v>0.25</v>
      </c>
      <c r="I180" s="197"/>
    </row>
    <row r="181" spans="1:9" ht="14.1" customHeight="1" thickBot="1">
      <c r="A181" s="207"/>
      <c r="B181" s="633"/>
      <c r="C181" s="258"/>
      <c r="D181" s="262"/>
      <c r="E181" s="206"/>
      <c r="F181" s="195"/>
      <c r="G181" s="204" t="s">
        <v>900</v>
      </c>
      <c r="H181" s="205">
        <v>0</v>
      </c>
      <c r="I181" s="197"/>
    </row>
    <row r="182" spans="1:9" ht="14.1" customHeight="1" thickBot="1">
      <c r="A182" s="207"/>
      <c r="B182" s="631" t="s">
        <v>901</v>
      </c>
      <c r="C182" s="265" t="s">
        <v>902</v>
      </c>
      <c r="D182" s="260">
        <v>1</v>
      </c>
      <c r="E182" s="202"/>
      <c r="F182" s="195"/>
      <c r="G182" s="196"/>
      <c r="H182" s="204"/>
      <c r="I182" s="197"/>
    </row>
    <row r="183" spans="1:9" ht="14.1" customHeight="1" thickBot="1">
      <c r="A183" s="207"/>
      <c r="B183" s="633"/>
      <c r="C183" s="266" t="s">
        <v>903</v>
      </c>
      <c r="D183" s="261">
        <v>0</v>
      </c>
      <c r="E183" s="202"/>
      <c r="F183" s="195"/>
      <c r="G183" s="196"/>
      <c r="H183" s="204"/>
      <c r="I183" s="197"/>
    </row>
    <row r="184" spans="1:9" ht="14.1" customHeight="1" thickBot="1">
      <c r="A184" s="207"/>
      <c r="B184" s="635" t="s">
        <v>904</v>
      </c>
      <c r="C184" s="210" t="s">
        <v>813</v>
      </c>
      <c r="D184" s="210">
        <v>0.25</v>
      </c>
      <c r="E184" s="202"/>
      <c r="F184" s="195" t="s">
        <v>45</v>
      </c>
      <c r="G184" s="204">
        <v>0</v>
      </c>
      <c r="H184" s="205">
        <v>0.75</v>
      </c>
      <c r="I184" s="197"/>
    </row>
    <row r="185" spans="1:9" ht="14.1" customHeight="1" thickBot="1">
      <c r="A185" s="207"/>
      <c r="B185" s="636"/>
      <c r="C185" s="210" t="s">
        <v>815</v>
      </c>
      <c r="D185" s="210">
        <v>0</v>
      </c>
      <c r="E185" s="202"/>
      <c r="F185" s="195"/>
      <c r="G185" s="204" t="s">
        <v>905</v>
      </c>
      <c r="H185" s="205">
        <v>0.65</v>
      </c>
      <c r="I185" s="197"/>
    </row>
    <row r="186" spans="1:9" ht="14.1" customHeight="1" thickBot="1">
      <c r="A186" s="207"/>
      <c r="B186" s="636"/>
      <c r="C186" s="236"/>
      <c r="D186" s="211"/>
      <c r="E186" s="202"/>
      <c r="F186" s="195"/>
      <c r="G186" s="204" t="s">
        <v>906</v>
      </c>
      <c r="H186" s="205">
        <v>0.15</v>
      </c>
      <c r="I186" s="197"/>
    </row>
    <row r="187" spans="1:9" ht="14.1" customHeight="1" thickBot="1">
      <c r="A187" s="207"/>
      <c r="B187" s="636"/>
      <c r="C187" s="236"/>
      <c r="D187" s="211"/>
      <c r="E187" s="202"/>
      <c r="F187" s="195"/>
      <c r="G187" s="204" t="s">
        <v>907</v>
      </c>
      <c r="H187" s="205">
        <v>0</v>
      </c>
      <c r="I187" s="197"/>
    </row>
    <row r="188" spans="1:9" ht="14.1" customHeight="1" thickBot="1">
      <c r="A188" s="207"/>
      <c r="B188" s="637"/>
      <c r="C188" s="237"/>
      <c r="D188" s="212"/>
      <c r="E188" s="202"/>
      <c r="F188" s="195"/>
      <c r="G188" s="204" t="s">
        <v>908</v>
      </c>
      <c r="H188" s="205">
        <v>0</v>
      </c>
      <c r="I188" s="197"/>
    </row>
    <row r="189" spans="1:9" ht="14.1" customHeight="1" thickBot="1">
      <c r="A189" s="207"/>
      <c r="B189" s="625" t="s">
        <v>909</v>
      </c>
      <c r="C189" s="265" t="s">
        <v>699</v>
      </c>
      <c r="D189" s="267">
        <v>0</v>
      </c>
      <c r="E189" s="202"/>
      <c r="F189" s="195"/>
      <c r="G189" s="196"/>
      <c r="H189" s="204"/>
      <c r="I189" s="197"/>
    </row>
    <row r="190" spans="1:9" ht="14.1" customHeight="1" thickBot="1">
      <c r="A190" s="207"/>
      <c r="B190" s="626"/>
      <c r="C190" s="265" t="s">
        <v>886</v>
      </c>
      <c r="D190" s="267">
        <v>0.05</v>
      </c>
      <c r="E190" s="202"/>
      <c r="F190" s="195"/>
      <c r="G190" s="196"/>
      <c r="H190" s="204"/>
      <c r="I190" s="197"/>
    </row>
    <row r="191" spans="1:9" ht="14.1" customHeight="1" thickBot="1">
      <c r="A191" s="207"/>
      <c r="B191" s="626"/>
      <c r="C191" s="265" t="s">
        <v>910</v>
      </c>
      <c r="D191" s="267">
        <v>0.5</v>
      </c>
      <c r="E191" s="202"/>
      <c r="F191" s="195"/>
      <c r="G191" s="196"/>
      <c r="H191" s="204"/>
      <c r="I191" s="197"/>
    </row>
    <row r="192" spans="1:9" ht="14.1" customHeight="1" thickBot="1">
      <c r="A192" s="207"/>
      <c r="B192" s="626"/>
      <c r="C192" s="265" t="s">
        <v>888</v>
      </c>
      <c r="D192" s="267">
        <v>0.75</v>
      </c>
      <c r="E192" s="202"/>
      <c r="F192" s="195"/>
      <c r="G192" s="196"/>
      <c r="H192" s="204"/>
      <c r="I192" s="197"/>
    </row>
    <row r="193" spans="1:11" ht="14.1" customHeight="1" thickBot="1">
      <c r="A193" s="213"/>
      <c r="B193" s="627"/>
      <c r="C193" s="266" t="s">
        <v>911</v>
      </c>
      <c r="D193" s="268">
        <v>1</v>
      </c>
      <c r="E193" s="202"/>
      <c r="F193" s="195"/>
      <c r="G193" s="196"/>
      <c r="H193" s="204"/>
      <c r="I193" s="197"/>
    </row>
    <row r="194" spans="1:11" ht="14.1" customHeight="1" thickBot="1">
      <c r="A194" s="197"/>
      <c r="B194" s="641" t="s">
        <v>46</v>
      </c>
      <c r="C194" s="644" t="s">
        <v>47</v>
      </c>
      <c r="D194" s="198"/>
      <c r="E194" s="269">
        <v>44931</v>
      </c>
      <c r="F194" s="257">
        <v>0.2</v>
      </c>
      <c r="G194" s="202"/>
      <c r="H194" s="195"/>
      <c r="I194" s="196"/>
      <c r="J194" s="204"/>
      <c r="K194" s="197"/>
    </row>
    <row r="195" spans="1:11" ht="14.1" customHeight="1" thickBot="1">
      <c r="A195" s="197"/>
      <c r="B195" s="642"/>
      <c r="C195" s="645"/>
      <c r="D195" s="198"/>
      <c r="E195" s="269">
        <v>45087</v>
      </c>
      <c r="F195" s="257">
        <v>0.4</v>
      </c>
      <c r="G195" s="202"/>
      <c r="H195" s="195"/>
      <c r="I195" s="196"/>
      <c r="J195" s="204"/>
      <c r="K195" s="197"/>
    </row>
    <row r="196" spans="1:11" ht="14.1" customHeight="1" thickBot="1">
      <c r="A196" s="197"/>
      <c r="B196" s="642"/>
      <c r="C196" s="645"/>
      <c r="D196" s="198"/>
      <c r="E196" s="270">
        <v>18568</v>
      </c>
      <c r="F196" s="257">
        <v>1</v>
      </c>
      <c r="G196" s="202"/>
      <c r="H196" s="195"/>
      <c r="I196" s="196"/>
      <c r="J196" s="204"/>
      <c r="K196" s="197"/>
    </row>
    <row r="197" spans="1:11" ht="14.1" customHeight="1" thickBot="1">
      <c r="A197" s="197"/>
      <c r="B197" s="642"/>
      <c r="C197" s="645"/>
      <c r="D197" s="198"/>
      <c r="E197" s="203" t="s">
        <v>810</v>
      </c>
      <c r="F197" s="257">
        <v>1</v>
      </c>
      <c r="G197" s="202"/>
      <c r="H197" s="195"/>
      <c r="I197" s="196"/>
      <c r="J197" s="204"/>
      <c r="K197" s="197"/>
    </row>
    <row r="198" spans="1:11" ht="14.1" customHeight="1" thickBot="1">
      <c r="A198" s="197"/>
      <c r="B198" s="642"/>
      <c r="C198" s="646"/>
      <c r="D198" s="200"/>
      <c r="E198" s="271" t="s">
        <v>912</v>
      </c>
      <c r="F198" s="259">
        <v>1</v>
      </c>
      <c r="G198" s="202"/>
      <c r="H198" s="195"/>
      <c r="I198" s="196"/>
      <c r="J198" s="204"/>
      <c r="K198" s="197"/>
    </row>
    <row r="199" spans="1:11" ht="14.1" customHeight="1" thickBot="1">
      <c r="A199" s="197"/>
      <c r="B199" s="642"/>
      <c r="C199" s="644" t="s">
        <v>49</v>
      </c>
      <c r="D199" s="214"/>
      <c r="E199" s="272" t="s">
        <v>913</v>
      </c>
      <c r="F199" s="260">
        <v>0</v>
      </c>
      <c r="G199" s="202"/>
      <c r="H199" s="195"/>
      <c r="I199" s="196"/>
      <c r="J199" s="204"/>
      <c r="K199" s="197"/>
    </row>
    <row r="200" spans="1:11" ht="14.1" customHeight="1" thickBot="1">
      <c r="A200" s="197"/>
      <c r="B200" s="642"/>
      <c r="C200" s="645"/>
      <c r="D200" s="214"/>
      <c r="E200" s="272" t="s">
        <v>914</v>
      </c>
      <c r="F200" s="260">
        <v>1</v>
      </c>
      <c r="G200" s="202"/>
      <c r="H200" s="195"/>
      <c r="I200" s="196"/>
      <c r="J200" s="204"/>
      <c r="K200" s="197"/>
    </row>
    <row r="201" spans="1:11" ht="14.1" customHeight="1" thickBot="1">
      <c r="A201" s="197"/>
      <c r="B201" s="642"/>
      <c r="C201" s="645"/>
      <c r="D201" s="214"/>
      <c r="E201" s="272" t="s">
        <v>915</v>
      </c>
      <c r="F201" s="260">
        <v>1</v>
      </c>
      <c r="G201" s="202"/>
      <c r="H201" s="195"/>
      <c r="I201" s="196"/>
      <c r="J201" s="204"/>
      <c r="K201" s="197"/>
    </row>
    <row r="202" spans="1:11" ht="14.1" customHeight="1" thickBot="1">
      <c r="A202" s="197"/>
      <c r="B202" s="642"/>
      <c r="C202" s="645"/>
      <c r="D202" s="214"/>
      <c r="E202" s="272" t="s">
        <v>916</v>
      </c>
      <c r="F202" s="260">
        <v>1</v>
      </c>
      <c r="G202" s="202"/>
      <c r="H202" s="195"/>
      <c r="I202" s="196"/>
      <c r="J202" s="204"/>
      <c r="K202" s="197"/>
    </row>
    <row r="203" spans="1:11" ht="14.1" customHeight="1" thickBot="1">
      <c r="A203" s="197"/>
      <c r="B203" s="642"/>
      <c r="C203" s="645"/>
      <c r="D203" s="214"/>
      <c r="E203" s="272" t="s">
        <v>917</v>
      </c>
      <c r="F203" s="260">
        <v>1</v>
      </c>
      <c r="G203" s="202"/>
      <c r="H203" s="195"/>
      <c r="I203" s="196"/>
      <c r="J203" s="204"/>
      <c r="K203" s="197"/>
    </row>
    <row r="204" spans="1:11" ht="14.1" customHeight="1" thickBot="1">
      <c r="A204" s="197"/>
      <c r="B204" s="642"/>
      <c r="C204" s="645"/>
      <c r="D204" s="214"/>
      <c r="E204" s="272" t="s">
        <v>918</v>
      </c>
      <c r="F204" s="260">
        <v>1</v>
      </c>
      <c r="G204" s="202"/>
      <c r="H204" s="195"/>
      <c r="I204" s="196"/>
      <c r="J204" s="204"/>
      <c r="K204" s="197"/>
    </row>
    <row r="205" spans="1:11" ht="14.1" customHeight="1" thickBot="1">
      <c r="A205" s="197"/>
      <c r="B205" s="642"/>
      <c r="C205" s="646"/>
      <c r="D205" s="215"/>
      <c r="E205" s="273" t="s">
        <v>919</v>
      </c>
      <c r="F205" s="261">
        <v>1</v>
      </c>
      <c r="G205" s="202"/>
      <c r="H205" s="195"/>
      <c r="I205" s="196"/>
      <c r="J205" s="204"/>
      <c r="K205" s="197"/>
    </row>
    <row r="206" spans="1:11" ht="14.1" customHeight="1" thickBot="1">
      <c r="A206" s="197"/>
      <c r="B206" s="642"/>
      <c r="C206" s="647" t="s">
        <v>920</v>
      </c>
      <c r="D206" s="198"/>
      <c r="E206" s="203" t="s">
        <v>921</v>
      </c>
      <c r="F206" s="257">
        <v>1</v>
      </c>
      <c r="G206" s="202"/>
      <c r="H206" s="195"/>
      <c r="I206" s="196"/>
      <c r="J206" s="204"/>
      <c r="K206" s="197"/>
    </row>
    <row r="207" spans="1:11" ht="14.1" customHeight="1" thickBot="1">
      <c r="A207" s="197"/>
      <c r="B207" s="642"/>
      <c r="C207" s="648"/>
      <c r="D207" s="200"/>
      <c r="E207" s="271" t="s">
        <v>922</v>
      </c>
      <c r="F207" s="259">
        <v>0</v>
      </c>
      <c r="G207" s="202"/>
      <c r="H207" s="195"/>
      <c r="I207" s="196"/>
      <c r="J207" s="204"/>
      <c r="K207" s="197"/>
    </row>
    <row r="208" spans="1:11" ht="14.1" customHeight="1" thickBot="1">
      <c r="A208" s="197"/>
      <c r="B208" s="642"/>
      <c r="C208" s="649" t="s">
        <v>53</v>
      </c>
      <c r="D208" s="201"/>
      <c r="E208" s="274">
        <v>44928</v>
      </c>
      <c r="F208" s="260">
        <v>0.4</v>
      </c>
      <c r="G208" s="202"/>
      <c r="H208" s="195"/>
      <c r="I208" s="196"/>
      <c r="J208" s="204"/>
      <c r="K208" s="197"/>
    </row>
    <row r="209" spans="1:11" ht="14.1" customHeight="1" thickBot="1">
      <c r="A209" s="197"/>
      <c r="B209" s="642"/>
      <c r="C209" s="650"/>
      <c r="D209" s="201"/>
      <c r="E209" s="274">
        <v>44990</v>
      </c>
      <c r="F209" s="260">
        <v>1</v>
      </c>
      <c r="G209" s="202"/>
      <c r="H209" s="195"/>
      <c r="I209" s="196"/>
      <c r="J209" s="204"/>
      <c r="K209" s="197"/>
    </row>
    <row r="210" spans="1:11" ht="14.1" customHeight="1" thickBot="1">
      <c r="A210" s="197"/>
      <c r="B210" s="642"/>
      <c r="C210" s="650"/>
      <c r="D210" s="201"/>
      <c r="E210" s="274">
        <v>45086</v>
      </c>
      <c r="F210" s="260">
        <v>0.9</v>
      </c>
      <c r="G210" s="202"/>
      <c r="H210" s="195"/>
      <c r="I210" s="196"/>
      <c r="J210" s="204"/>
      <c r="K210" s="197"/>
    </row>
    <row r="211" spans="1:11" ht="14.1" customHeight="1" thickBot="1">
      <c r="A211" s="197"/>
      <c r="B211" s="642"/>
      <c r="C211" s="650"/>
      <c r="D211" s="201"/>
      <c r="E211" s="274">
        <v>45211</v>
      </c>
      <c r="F211" s="260">
        <v>0.4</v>
      </c>
      <c r="G211" s="202"/>
      <c r="H211" s="195"/>
      <c r="I211" s="196"/>
      <c r="J211" s="204"/>
      <c r="K211" s="197"/>
    </row>
    <row r="212" spans="1:11" ht="14.1" customHeight="1" thickBot="1">
      <c r="A212" s="197"/>
      <c r="B212" s="642"/>
      <c r="C212" s="650"/>
      <c r="D212" s="201"/>
      <c r="E212" s="224" t="s">
        <v>923</v>
      </c>
      <c r="F212" s="260">
        <v>0.3</v>
      </c>
      <c r="G212" s="202"/>
      <c r="H212" s="195"/>
      <c r="I212" s="196"/>
      <c r="J212" s="204"/>
      <c r="K212" s="197"/>
    </row>
    <row r="213" spans="1:11" ht="14.1" customHeight="1" thickBot="1">
      <c r="A213" s="197"/>
      <c r="B213" s="642"/>
      <c r="C213" s="651"/>
      <c r="D213" s="192"/>
      <c r="E213" s="226" t="s">
        <v>895</v>
      </c>
      <c r="F213" s="261">
        <v>0.1</v>
      </c>
      <c r="G213" s="202"/>
      <c r="H213" s="195"/>
      <c r="I213" s="196"/>
      <c r="J213" s="204"/>
      <c r="K213" s="197"/>
    </row>
    <row r="214" spans="1:11" ht="14.1" customHeight="1" thickBot="1">
      <c r="A214" s="197"/>
      <c r="B214" s="642"/>
      <c r="C214" s="644" t="s">
        <v>54</v>
      </c>
      <c r="D214" s="198"/>
      <c r="E214" s="203" t="s">
        <v>924</v>
      </c>
      <c r="F214" s="210">
        <v>0.1</v>
      </c>
      <c r="G214" s="202"/>
      <c r="H214" s="195"/>
      <c r="I214" s="196"/>
      <c r="J214" s="204"/>
      <c r="K214" s="197"/>
    </row>
    <row r="215" spans="1:11" ht="14.1" customHeight="1" thickBot="1">
      <c r="A215" s="197"/>
      <c r="B215" s="642"/>
      <c r="C215" s="645"/>
      <c r="D215" s="198"/>
      <c r="E215" s="269">
        <v>45087</v>
      </c>
      <c r="F215" s="210">
        <v>0.15</v>
      </c>
      <c r="G215" s="202"/>
      <c r="H215" s="195"/>
      <c r="I215" s="196"/>
      <c r="J215" s="204"/>
      <c r="K215" s="197"/>
    </row>
    <row r="216" spans="1:11" ht="14.1" customHeight="1" thickBot="1">
      <c r="A216" s="197"/>
      <c r="B216" s="642"/>
      <c r="C216" s="645"/>
      <c r="D216" s="198"/>
      <c r="E216" s="269">
        <v>45250</v>
      </c>
      <c r="F216" s="210">
        <v>0.25</v>
      </c>
      <c r="G216" s="202"/>
      <c r="H216" s="195"/>
      <c r="I216" s="196"/>
      <c r="J216" s="204"/>
      <c r="K216" s="197"/>
    </row>
    <row r="217" spans="1:11" ht="14.1" customHeight="1" thickBot="1">
      <c r="A217" s="197"/>
      <c r="B217" s="642"/>
      <c r="C217" s="645"/>
      <c r="D217" s="198"/>
      <c r="E217" s="203" t="s">
        <v>925</v>
      </c>
      <c r="F217" s="210">
        <v>0.75</v>
      </c>
      <c r="G217" s="202"/>
      <c r="H217" s="195"/>
      <c r="I217" s="196"/>
      <c r="J217" s="204"/>
      <c r="K217" s="197"/>
    </row>
    <row r="218" spans="1:11" ht="14.1" customHeight="1" thickBot="1">
      <c r="A218" s="197"/>
      <c r="B218" s="642"/>
      <c r="C218" s="645"/>
      <c r="D218" s="198"/>
      <c r="E218" s="203" t="s">
        <v>926</v>
      </c>
      <c r="F218" s="210">
        <v>1</v>
      </c>
      <c r="G218" s="202"/>
      <c r="H218" s="195"/>
      <c r="I218" s="196"/>
      <c r="J218" s="204"/>
      <c r="K218" s="197"/>
    </row>
    <row r="219" spans="1:11" ht="14.1" customHeight="1" thickBot="1">
      <c r="A219" s="197"/>
      <c r="B219" s="642"/>
      <c r="C219" s="646"/>
      <c r="D219" s="200"/>
      <c r="E219" s="271" t="s">
        <v>927</v>
      </c>
      <c r="F219" s="258">
        <v>0.25</v>
      </c>
      <c r="G219" s="202"/>
      <c r="H219" s="195"/>
      <c r="I219" s="196"/>
      <c r="J219" s="204"/>
      <c r="K219" s="197"/>
    </row>
    <row r="220" spans="1:11" ht="14.1" customHeight="1" thickBot="1">
      <c r="A220" s="197"/>
      <c r="B220" s="642"/>
      <c r="C220" s="652" t="s">
        <v>55</v>
      </c>
      <c r="D220" s="201"/>
      <c r="E220" s="224" t="s">
        <v>928</v>
      </c>
      <c r="F220" s="260">
        <v>0.25</v>
      </c>
      <c r="G220" s="202"/>
      <c r="H220" s="195"/>
      <c r="I220" s="196"/>
      <c r="J220" s="204"/>
      <c r="K220" s="197"/>
    </row>
    <row r="221" spans="1:11" ht="14.1" customHeight="1" thickBot="1">
      <c r="A221" s="197"/>
      <c r="B221" s="642"/>
      <c r="C221" s="653"/>
      <c r="D221" s="201"/>
      <c r="E221" s="274">
        <v>45255</v>
      </c>
      <c r="F221" s="260">
        <v>0.5</v>
      </c>
      <c r="G221" s="202"/>
      <c r="H221" s="195"/>
      <c r="I221" s="196"/>
      <c r="J221" s="204"/>
      <c r="K221" s="197"/>
    </row>
    <row r="222" spans="1:11" ht="14.1" customHeight="1" thickBot="1">
      <c r="A222" s="197"/>
      <c r="B222" s="642"/>
      <c r="C222" s="653"/>
      <c r="D222" s="201"/>
      <c r="E222" s="224" t="s">
        <v>929</v>
      </c>
      <c r="F222" s="260">
        <v>0.75</v>
      </c>
      <c r="G222" s="202"/>
      <c r="H222" s="195"/>
      <c r="I222" s="196"/>
      <c r="J222" s="204"/>
      <c r="K222" s="197"/>
    </row>
    <row r="223" spans="1:11" ht="14.1" customHeight="1" thickBot="1">
      <c r="A223" s="197"/>
      <c r="B223" s="642"/>
      <c r="C223" s="654"/>
      <c r="D223" s="192"/>
      <c r="E223" s="226" t="s">
        <v>912</v>
      </c>
      <c r="F223" s="261">
        <v>1</v>
      </c>
      <c r="G223" s="202"/>
      <c r="H223" s="195"/>
      <c r="I223" s="196"/>
      <c r="J223" s="204"/>
      <c r="K223" s="197"/>
    </row>
    <row r="224" spans="1:11" ht="14.1" customHeight="1" thickBot="1">
      <c r="A224" s="197"/>
      <c r="B224" s="642"/>
      <c r="C224" s="649" t="s">
        <v>56</v>
      </c>
      <c r="D224" s="198"/>
      <c r="E224" s="203" t="s">
        <v>930</v>
      </c>
      <c r="F224" s="210">
        <v>0</v>
      </c>
      <c r="G224" s="202"/>
      <c r="H224" s="195"/>
      <c r="I224" s="196"/>
      <c r="J224" s="204"/>
      <c r="K224" s="197"/>
    </row>
    <row r="225" spans="1:11" ht="14.1" customHeight="1" thickBot="1">
      <c r="A225" s="197"/>
      <c r="B225" s="642"/>
      <c r="C225" s="650"/>
      <c r="D225" s="198"/>
      <c r="E225" s="203" t="s">
        <v>931</v>
      </c>
      <c r="F225" s="210">
        <v>0.25</v>
      </c>
      <c r="G225" s="202"/>
      <c r="H225" s="195"/>
      <c r="I225" s="196"/>
      <c r="J225" s="204"/>
      <c r="K225" s="197"/>
    </row>
    <row r="226" spans="1:11" ht="14.1" customHeight="1" thickBot="1">
      <c r="A226" s="197"/>
      <c r="B226" s="642"/>
      <c r="C226" s="650"/>
      <c r="D226" s="198"/>
      <c r="E226" s="203" t="s">
        <v>932</v>
      </c>
      <c r="F226" s="210">
        <v>0.75</v>
      </c>
      <c r="G226" s="202"/>
      <c r="H226" s="195"/>
      <c r="I226" s="196"/>
      <c r="J226" s="204"/>
      <c r="K226" s="197"/>
    </row>
    <row r="227" spans="1:11" ht="14.1" customHeight="1" thickBot="1">
      <c r="A227" s="197"/>
      <c r="B227" s="642"/>
      <c r="C227" s="651"/>
      <c r="D227" s="200"/>
      <c r="E227" s="271" t="s">
        <v>933</v>
      </c>
      <c r="F227" s="258">
        <v>1</v>
      </c>
      <c r="G227" s="202"/>
      <c r="H227" s="195"/>
      <c r="I227" s="196"/>
      <c r="J227" s="204"/>
      <c r="K227" s="197"/>
    </row>
    <row r="228" spans="1:11" ht="14.1" customHeight="1" thickBot="1">
      <c r="A228" s="197"/>
      <c r="B228" s="642"/>
      <c r="C228" s="644" t="s">
        <v>934</v>
      </c>
      <c r="D228" s="201"/>
      <c r="E228" s="224" t="s">
        <v>935</v>
      </c>
      <c r="F228" s="260">
        <v>1</v>
      </c>
      <c r="G228" s="202"/>
      <c r="H228" s="195"/>
      <c r="I228" s="196"/>
      <c r="J228" s="204"/>
      <c r="K228" s="197"/>
    </row>
    <row r="229" spans="1:11" ht="14.1" customHeight="1" thickBot="1">
      <c r="A229" s="197"/>
      <c r="B229" s="642"/>
      <c r="C229" s="645"/>
      <c r="D229" s="201"/>
      <c r="E229" s="224" t="s">
        <v>936</v>
      </c>
      <c r="F229" s="260">
        <v>0.8</v>
      </c>
      <c r="G229" s="202"/>
      <c r="H229" s="195"/>
      <c r="I229" s="196"/>
      <c r="J229" s="204"/>
      <c r="K229" s="197"/>
    </row>
    <row r="230" spans="1:11" ht="14.1" customHeight="1" thickBot="1">
      <c r="A230" s="197"/>
      <c r="B230" s="642"/>
      <c r="C230" s="645"/>
      <c r="D230" s="201"/>
      <c r="E230" s="224" t="s">
        <v>937</v>
      </c>
      <c r="F230" s="260">
        <v>0.6</v>
      </c>
      <c r="G230" s="202"/>
      <c r="H230" s="195"/>
      <c r="I230" s="196"/>
      <c r="J230" s="204"/>
      <c r="K230" s="197"/>
    </row>
    <row r="231" spans="1:11" ht="14.1" customHeight="1" thickBot="1">
      <c r="A231" s="197"/>
      <c r="B231" s="642"/>
      <c r="C231" s="645"/>
      <c r="D231" s="201"/>
      <c r="E231" s="224" t="s">
        <v>938</v>
      </c>
      <c r="F231" s="260">
        <v>0.4</v>
      </c>
      <c r="G231" s="202"/>
      <c r="H231" s="195"/>
      <c r="I231" s="196"/>
      <c r="J231" s="204"/>
      <c r="K231" s="197"/>
    </row>
    <row r="232" spans="1:11" ht="14.1" customHeight="1" thickBot="1">
      <c r="A232" s="197"/>
      <c r="B232" s="642"/>
      <c r="C232" s="645"/>
      <c r="D232" s="201"/>
      <c r="E232" s="224" t="s">
        <v>939</v>
      </c>
      <c r="F232" s="260">
        <v>0.2</v>
      </c>
      <c r="G232" s="202"/>
      <c r="H232" s="195"/>
      <c r="I232" s="196"/>
      <c r="J232" s="204"/>
      <c r="K232" s="197"/>
    </row>
    <row r="233" spans="1:11" ht="14.1" customHeight="1" thickBot="1">
      <c r="A233" s="197"/>
      <c r="B233" s="642"/>
      <c r="C233" s="646"/>
      <c r="D233" s="192"/>
      <c r="E233" s="226" t="s">
        <v>940</v>
      </c>
      <c r="F233" s="261">
        <v>0</v>
      </c>
      <c r="G233" s="202"/>
      <c r="H233" s="195"/>
      <c r="I233" s="196"/>
      <c r="J233" s="204"/>
      <c r="K233" s="197"/>
    </row>
    <row r="234" spans="1:11" ht="14.1" customHeight="1" thickBot="1">
      <c r="A234" s="197"/>
      <c r="B234" s="642"/>
      <c r="C234" s="659" t="s">
        <v>58</v>
      </c>
      <c r="D234" s="662" t="s">
        <v>941</v>
      </c>
      <c r="E234" s="203" t="s">
        <v>820</v>
      </c>
      <c r="F234" s="210">
        <v>1</v>
      </c>
      <c r="G234" s="202"/>
      <c r="H234" s="195"/>
      <c r="I234" s="196"/>
      <c r="J234" s="204"/>
      <c r="K234" s="197"/>
    </row>
    <row r="235" spans="1:11" ht="14.1" customHeight="1" thickBot="1">
      <c r="A235" s="197"/>
      <c r="B235" s="642"/>
      <c r="C235" s="660"/>
      <c r="D235" s="663"/>
      <c r="E235" s="203" t="s">
        <v>821</v>
      </c>
      <c r="F235" s="210">
        <v>0.8</v>
      </c>
      <c r="G235" s="202"/>
      <c r="H235" s="195"/>
      <c r="I235" s="196"/>
      <c r="J235" s="204"/>
      <c r="K235" s="197"/>
    </row>
    <row r="236" spans="1:11" ht="14.1" customHeight="1" thickBot="1">
      <c r="A236" s="197"/>
      <c r="B236" s="642"/>
      <c r="C236" s="660"/>
      <c r="D236" s="663"/>
      <c r="E236" s="203" t="s">
        <v>822</v>
      </c>
      <c r="F236" s="210">
        <v>0.6</v>
      </c>
      <c r="G236" s="202"/>
      <c r="H236" s="195"/>
      <c r="I236" s="196"/>
      <c r="J236" s="204"/>
      <c r="K236" s="197"/>
    </row>
    <row r="237" spans="1:11" ht="14.1" customHeight="1" thickBot="1">
      <c r="A237" s="197"/>
      <c r="B237" s="642"/>
      <c r="C237" s="660"/>
      <c r="D237" s="663"/>
      <c r="E237" s="203" t="s">
        <v>823</v>
      </c>
      <c r="F237" s="210">
        <v>0.4</v>
      </c>
      <c r="G237" s="202"/>
      <c r="H237" s="195"/>
      <c r="I237" s="196"/>
      <c r="J237" s="204"/>
      <c r="K237" s="197"/>
    </row>
    <row r="238" spans="1:11" ht="14.1" customHeight="1" thickBot="1">
      <c r="A238" s="197"/>
      <c r="B238" s="642"/>
      <c r="C238" s="660"/>
      <c r="D238" s="663"/>
      <c r="E238" s="203" t="s">
        <v>824</v>
      </c>
      <c r="F238" s="210">
        <v>0.2</v>
      </c>
      <c r="G238" s="202"/>
      <c r="H238" s="195"/>
      <c r="I238" s="196"/>
      <c r="J238" s="204"/>
      <c r="K238" s="197"/>
    </row>
    <row r="239" spans="1:11" ht="14.1" customHeight="1" thickBot="1">
      <c r="A239" s="197"/>
      <c r="B239" s="642"/>
      <c r="C239" s="660"/>
      <c r="D239" s="664"/>
      <c r="E239" s="271" t="s">
        <v>825</v>
      </c>
      <c r="F239" s="258">
        <v>0</v>
      </c>
      <c r="G239" s="202"/>
      <c r="H239" s="195"/>
      <c r="I239" s="196"/>
      <c r="J239" s="204"/>
      <c r="K239" s="197"/>
    </row>
    <row r="240" spans="1:11" ht="14.1" customHeight="1" thickBot="1">
      <c r="A240" s="197"/>
      <c r="B240" s="642"/>
      <c r="C240" s="660"/>
      <c r="D240" s="662" t="s">
        <v>942</v>
      </c>
      <c r="E240" s="203" t="s">
        <v>943</v>
      </c>
      <c r="F240" s="257">
        <v>1</v>
      </c>
      <c r="G240" s="202"/>
      <c r="H240" s="195"/>
      <c r="I240" s="196"/>
      <c r="J240" s="204"/>
      <c r="K240" s="197"/>
    </row>
    <row r="241" spans="1:11" ht="14.1" customHeight="1" thickBot="1">
      <c r="A241" s="197"/>
      <c r="B241" s="642"/>
      <c r="C241" s="660"/>
      <c r="D241" s="663"/>
      <c r="E241" s="203" t="s">
        <v>944</v>
      </c>
      <c r="F241" s="257">
        <v>0.8</v>
      </c>
      <c r="G241" s="202"/>
      <c r="H241" s="195"/>
      <c r="I241" s="196"/>
      <c r="J241" s="204"/>
      <c r="K241" s="197"/>
    </row>
    <row r="242" spans="1:11" ht="14.1" customHeight="1" thickBot="1">
      <c r="A242" s="197"/>
      <c r="B242" s="642"/>
      <c r="C242" s="660"/>
      <c r="D242" s="663"/>
      <c r="E242" s="203" t="s">
        <v>945</v>
      </c>
      <c r="F242" s="257">
        <v>0.6</v>
      </c>
      <c r="G242" s="202"/>
      <c r="H242" s="195"/>
      <c r="I242" s="196"/>
      <c r="J242" s="204"/>
      <c r="K242" s="197"/>
    </row>
    <row r="243" spans="1:11" ht="14.1" customHeight="1" thickBot="1">
      <c r="A243" s="197"/>
      <c r="B243" s="642"/>
      <c r="C243" s="660"/>
      <c r="D243" s="663"/>
      <c r="E243" s="203" t="s">
        <v>946</v>
      </c>
      <c r="F243" s="257">
        <v>0.4</v>
      </c>
      <c r="G243" s="202"/>
      <c r="H243" s="195"/>
      <c r="I243" s="196"/>
      <c r="J243" s="204"/>
      <c r="K243" s="197"/>
    </row>
    <row r="244" spans="1:11" ht="14.1" customHeight="1" thickBot="1">
      <c r="A244" s="197"/>
      <c r="B244" s="642"/>
      <c r="C244" s="660"/>
      <c r="D244" s="663"/>
      <c r="E244" s="203" t="s">
        <v>947</v>
      </c>
      <c r="F244" s="257">
        <v>0.2</v>
      </c>
      <c r="G244" s="202"/>
      <c r="H244" s="195"/>
      <c r="I244" s="196"/>
      <c r="J244" s="204"/>
      <c r="K244" s="197"/>
    </row>
    <row r="245" spans="1:11" ht="14.1" customHeight="1" thickBot="1">
      <c r="A245" s="197"/>
      <c r="B245" s="642"/>
      <c r="C245" s="660"/>
      <c r="D245" s="664"/>
      <c r="E245" s="271" t="s">
        <v>948</v>
      </c>
      <c r="F245" s="259">
        <v>0</v>
      </c>
      <c r="G245" s="202"/>
      <c r="H245" s="195"/>
      <c r="I245" s="196"/>
      <c r="J245" s="204"/>
      <c r="K245" s="197"/>
    </row>
    <row r="246" spans="1:11" ht="14.1" customHeight="1" thickBot="1">
      <c r="A246" s="197"/>
      <c r="B246" s="642"/>
      <c r="C246" s="660"/>
      <c r="D246" s="662" t="s">
        <v>949</v>
      </c>
      <c r="E246" s="203" t="s">
        <v>950</v>
      </c>
      <c r="F246" s="210">
        <v>1</v>
      </c>
      <c r="G246" s="202"/>
      <c r="H246" s="195"/>
      <c r="I246" s="196"/>
      <c r="J246" s="204"/>
      <c r="K246" s="197"/>
    </row>
    <row r="247" spans="1:11" ht="14.1" customHeight="1" thickBot="1">
      <c r="A247" s="197"/>
      <c r="B247" s="642"/>
      <c r="C247" s="660"/>
      <c r="D247" s="663"/>
      <c r="E247" s="203" t="s">
        <v>951</v>
      </c>
      <c r="F247" s="210">
        <v>0.8</v>
      </c>
      <c r="G247" s="202"/>
      <c r="H247" s="195"/>
      <c r="I247" s="196"/>
      <c r="J247" s="204"/>
      <c r="K247" s="197"/>
    </row>
    <row r="248" spans="1:11" ht="14.1" customHeight="1" thickBot="1">
      <c r="A248" s="197"/>
      <c r="B248" s="642"/>
      <c r="C248" s="660"/>
      <c r="D248" s="663"/>
      <c r="E248" s="203" t="s">
        <v>952</v>
      </c>
      <c r="F248" s="210">
        <v>0.6</v>
      </c>
      <c r="G248" s="202"/>
      <c r="H248" s="195"/>
      <c r="I248" s="196"/>
      <c r="J248" s="204"/>
      <c r="K248" s="197"/>
    </row>
    <row r="249" spans="1:11" ht="14.1" customHeight="1" thickBot="1">
      <c r="A249" s="197"/>
      <c r="B249" s="642"/>
      <c r="C249" s="660"/>
      <c r="D249" s="663"/>
      <c r="E249" s="203" t="s">
        <v>953</v>
      </c>
      <c r="F249" s="210">
        <v>0.4</v>
      </c>
      <c r="G249" s="202"/>
      <c r="H249" s="195"/>
      <c r="I249" s="196"/>
      <c r="J249" s="204"/>
      <c r="K249" s="197"/>
    </row>
    <row r="250" spans="1:11" ht="14.1" customHeight="1" thickBot="1">
      <c r="A250" s="197"/>
      <c r="B250" s="642"/>
      <c r="C250" s="660"/>
      <c r="D250" s="663"/>
      <c r="E250" s="203" t="s">
        <v>954</v>
      </c>
      <c r="F250" s="210">
        <v>0.2</v>
      </c>
      <c r="G250" s="202"/>
      <c r="H250" s="195"/>
      <c r="I250" s="196"/>
      <c r="J250" s="204"/>
      <c r="K250" s="197"/>
    </row>
    <row r="251" spans="1:11" ht="14.1" customHeight="1" thickBot="1">
      <c r="A251" s="197"/>
      <c r="B251" s="643"/>
      <c r="C251" s="661"/>
      <c r="D251" s="664"/>
      <c r="E251" s="271" t="s">
        <v>955</v>
      </c>
      <c r="F251" s="258">
        <v>0</v>
      </c>
      <c r="G251" s="202"/>
      <c r="H251" s="195"/>
      <c r="I251" s="196"/>
      <c r="J251" s="204"/>
      <c r="K251" s="197"/>
    </row>
    <row r="252" spans="1:11" ht="14.1" customHeight="1" thickBot="1">
      <c r="A252" s="197"/>
      <c r="B252" s="641" t="s">
        <v>59</v>
      </c>
      <c r="C252" s="649" t="s">
        <v>60</v>
      </c>
      <c r="D252" s="201"/>
      <c r="E252" s="224" t="s">
        <v>813</v>
      </c>
      <c r="F252" s="260">
        <v>1</v>
      </c>
      <c r="G252" s="202"/>
      <c r="H252" s="195"/>
      <c r="I252" s="196"/>
      <c r="J252" s="204"/>
      <c r="K252" s="197"/>
    </row>
    <row r="253" spans="1:11" ht="14.1" customHeight="1" thickBot="1">
      <c r="A253" s="197"/>
      <c r="B253" s="642"/>
      <c r="C253" s="651"/>
      <c r="D253" s="192"/>
      <c r="E253" s="226" t="s">
        <v>815</v>
      </c>
      <c r="F253" s="261">
        <v>0</v>
      </c>
      <c r="G253" s="202"/>
      <c r="H253" s="195"/>
      <c r="I253" s="196"/>
      <c r="J253" s="204"/>
      <c r="K253" s="197"/>
    </row>
    <row r="254" spans="1:11" ht="14.1" customHeight="1" thickBot="1">
      <c r="A254" s="197"/>
      <c r="B254" s="642"/>
      <c r="C254" s="655" t="s">
        <v>956</v>
      </c>
      <c r="D254" s="198"/>
      <c r="E254" s="203" t="s">
        <v>957</v>
      </c>
      <c r="F254" s="257">
        <v>0.33</v>
      </c>
      <c r="G254" s="202"/>
      <c r="H254" s="195"/>
      <c r="I254" s="196"/>
      <c r="J254" s="204"/>
      <c r="K254" s="197"/>
    </row>
    <row r="255" spans="1:11" ht="14.1" customHeight="1" thickBot="1">
      <c r="A255" s="197"/>
      <c r="B255" s="642"/>
      <c r="C255" s="665"/>
      <c r="D255" s="198"/>
      <c r="E255" s="203" t="s">
        <v>958</v>
      </c>
      <c r="F255" s="257">
        <v>0.33</v>
      </c>
      <c r="G255" s="202"/>
      <c r="H255" s="195"/>
      <c r="I255" s="196"/>
      <c r="J255" s="204"/>
      <c r="K255" s="197"/>
    </row>
    <row r="256" spans="1:11" ht="14.1" customHeight="1" thickBot="1">
      <c r="A256" s="197"/>
      <c r="B256" s="642"/>
      <c r="C256" s="665"/>
      <c r="D256" s="198"/>
      <c r="E256" s="203" t="s">
        <v>959</v>
      </c>
      <c r="F256" s="257">
        <v>0.33</v>
      </c>
      <c r="G256" s="202"/>
      <c r="H256" s="195"/>
      <c r="I256" s="196"/>
      <c r="J256" s="204"/>
      <c r="K256" s="197"/>
    </row>
    <row r="257" spans="1:11" ht="14.1" customHeight="1" thickBot="1">
      <c r="A257" s="197"/>
      <c r="B257" s="642"/>
      <c r="C257" s="665"/>
      <c r="D257" s="198"/>
      <c r="E257" s="203" t="s">
        <v>960</v>
      </c>
      <c r="F257" s="257">
        <v>0.2</v>
      </c>
      <c r="G257" s="202"/>
      <c r="H257" s="195"/>
      <c r="I257" s="196"/>
      <c r="J257" s="204"/>
      <c r="K257" s="197"/>
    </row>
    <row r="258" spans="1:11" ht="14.1" customHeight="1" thickBot="1">
      <c r="A258" s="197"/>
      <c r="B258" s="642"/>
      <c r="C258" s="665"/>
      <c r="D258" s="198"/>
      <c r="E258" s="203" t="s">
        <v>961</v>
      </c>
      <c r="F258" s="257">
        <v>0.1</v>
      </c>
      <c r="G258" s="202"/>
      <c r="H258" s="195"/>
      <c r="I258" s="196"/>
      <c r="J258" s="204"/>
      <c r="K258" s="197"/>
    </row>
    <row r="259" spans="1:11" ht="14.1" customHeight="1" thickBot="1">
      <c r="A259" s="197"/>
      <c r="B259" s="642"/>
      <c r="C259" s="665"/>
      <c r="D259" s="198"/>
      <c r="E259" s="203" t="s">
        <v>962</v>
      </c>
      <c r="F259" s="257">
        <v>0.05</v>
      </c>
      <c r="G259" s="202"/>
      <c r="H259" s="195"/>
      <c r="I259" s="196"/>
      <c r="J259" s="204"/>
      <c r="K259" s="197"/>
    </row>
    <row r="260" spans="1:11" ht="14.1" customHeight="1" thickBot="1">
      <c r="A260" s="197"/>
      <c r="B260" s="642"/>
      <c r="C260" s="665"/>
      <c r="D260" s="198"/>
      <c r="E260" s="203" t="s">
        <v>963</v>
      </c>
      <c r="F260" s="257">
        <v>0.1</v>
      </c>
      <c r="G260" s="202"/>
      <c r="H260" s="195"/>
      <c r="I260" s="196"/>
      <c r="J260" s="204"/>
      <c r="K260" s="197"/>
    </row>
    <row r="261" spans="1:11" ht="14.1" customHeight="1" thickBot="1">
      <c r="A261" s="197"/>
      <c r="B261" s="642"/>
      <c r="C261" s="665"/>
      <c r="D261" s="198"/>
      <c r="E261" s="203" t="s">
        <v>964</v>
      </c>
      <c r="F261" s="257">
        <v>0.05</v>
      </c>
      <c r="G261" s="202"/>
      <c r="H261" s="195"/>
      <c r="I261" s="196"/>
      <c r="J261" s="204"/>
      <c r="K261" s="197"/>
    </row>
    <row r="262" spans="1:11" ht="14.1" customHeight="1" thickBot="1">
      <c r="A262" s="197"/>
      <c r="B262" s="642"/>
      <c r="C262" s="656"/>
      <c r="D262" s="200"/>
      <c r="E262" s="271" t="s">
        <v>965</v>
      </c>
      <c r="F262" s="259">
        <v>0</v>
      </c>
      <c r="G262" s="202"/>
      <c r="H262" s="195"/>
      <c r="I262" s="196"/>
      <c r="J262" s="204"/>
      <c r="K262" s="197"/>
    </row>
    <row r="263" spans="1:11" ht="14.1" customHeight="1" thickBot="1">
      <c r="A263" s="197"/>
      <c r="B263" s="642"/>
      <c r="C263" s="649" t="s">
        <v>63</v>
      </c>
      <c r="D263" s="201"/>
      <c r="E263" s="224" t="s">
        <v>966</v>
      </c>
      <c r="F263" s="260">
        <v>0</v>
      </c>
      <c r="G263" s="202"/>
      <c r="H263" s="195"/>
      <c r="I263" s="196"/>
      <c r="J263" s="204"/>
      <c r="K263" s="197"/>
    </row>
    <row r="264" spans="1:11" ht="14.1" customHeight="1" thickBot="1">
      <c r="A264" s="197"/>
      <c r="B264" s="642"/>
      <c r="C264" s="650"/>
      <c r="D264" s="201"/>
      <c r="E264" s="224" t="s">
        <v>967</v>
      </c>
      <c r="F264" s="260">
        <v>0.25</v>
      </c>
      <c r="G264" s="202"/>
      <c r="H264" s="195"/>
      <c r="I264" s="196"/>
      <c r="J264" s="204"/>
      <c r="K264" s="197"/>
    </row>
    <row r="265" spans="1:11" ht="14.1" customHeight="1" thickBot="1">
      <c r="A265" s="197"/>
      <c r="B265" s="642"/>
      <c r="C265" s="650"/>
      <c r="D265" s="201"/>
      <c r="E265" s="224" t="s">
        <v>968</v>
      </c>
      <c r="F265" s="260">
        <v>0.75</v>
      </c>
      <c r="G265" s="202"/>
      <c r="H265" s="195"/>
      <c r="I265" s="196"/>
      <c r="J265" s="204"/>
      <c r="K265" s="197"/>
    </row>
    <row r="266" spans="1:11" ht="14.1" customHeight="1" thickBot="1">
      <c r="A266" s="197"/>
      <c r="B266" s="642"/>
      <c r="C266" s="650"/>
      <c r="D266" s="201"/>
      <c r="E266" s="224" t="s">
        <v>969</v>
      </c>
      <c r="F266" s="260">
        <v>0.9</v>
      </c>
      <c r="G266" s="202"/>
      <c r="H266" s="195"/>
      <c r="I266" s="196"/>
      <c r="J266" s="204"/>
      <c r="K266" s="197"/>
    </row>
    <row r="267" spans="1:11" ht="14.1" customHeight="1" thickBot="1">
      <c r="A267" s="197"/>
      <c r="B267" s="642"/>
      <c r="C267" s="651"/>
      <c r="D267" s="192"/>
      <c r="E267" s="226" t="s">
        <v>970</v>
      </c>
      <c r="F267" s="261">
        <v>1</v>
      </c>
      <c r="G267" s="202"/>
      <c r="H267" s="195"/>
      <c r="I267" s="196"/>
      <c r="J267" s="204"/>
      <c r="K267" s="197"/>
    </row>
    <row r="268" spans="1:11" ht="14.1" customHeight="1" thickBot="1">
      <c r="A268" s="197"/>
      <c r="B268" s="642"/>
      <c r="C268" s="644" t="s">
        <v>971</v>
      </c>
      <c r="D268" s="198"/>
      <c r="E268" s="203" t="s">
        <v>813</v>
      </c>
      <c r="F268" s="257">
        <v>1</v>
      </c>
      <c r="G268" s="202"/>
      <c r="H268" s="195"/>
      <c r="I268" s="196"/>
      <c r="J268" s="204"/>
      <c r="K268" s="197"/>
    </row>
    <row r="269" spans="1:11" ht="14.1" customHeight="1" thickBot="1">
      <c r="A269" s="197"/>
      <c r="B269" s="642"/>
      <c r="C269" s="646"/>
      <c r="D269" s="200"/>
      <c r="E269" s="271" t="s">
        <v>815</v>
      </c>
      <c r="F269" s="259">
        <v>0</v>
      </c>
      <c r="G269" s="202"/>
      <c r="H269" s="195"/>
      <c r="I269" s="196"/>
      <c r="J269" s="204"/>
      <c r="K269" s="197"/>
    </row>
    <row r="270" spans="1:11" ht="14.1" customHeight="1" thickBot="1">
      <c r="A270" s="197"/>
      <c r="B270" s="642"/>
      <c r="C270" s="657" t="s">
        <v>66</v>
      </c>
      <c r="D270" s="201"/>
      <c r="E270" s="224" t="s">
        <v>813</v>
      </c>
      <c r="F270" s="260">
        <v>1</v>
      </c>
      <c r="G270" s="202"/>
      <c r="H270" s="195"/>
      <c r="I270" s="196"/>
      <c r="J270" s="204"/>
      <c r="K270" s="197"/>
    </row>
    <row r="271" spans="1:11" ht="14.1" customHeight="1" thickBot="1">
      <c r="A271" s="197"/>
      <c r="B271" s="642"/>
      <c r="C271" s="658"/>
      <c r="D271" s="192"/>
      <c r="E271" s="226" t="s">
        <v>815</v>
      </c>
      <c r="F271" s="261">
        <v>0</v>
      </c>
      <c r="G271" s="202"/>
      <c r="H271" s="195"/>
      <c r="I271" s="196"/>
      <c r="J271" s="204"/>
      <c r="K271" s="197"/>
    </row>
    <row r="272" spans="1:11" ht="14.1" customHeight="1" thickBot="1">
      <c r="A272" s="197"/>
      <c r="B272" s="642"/>
      <c r="C272" s="644" t="s">
        <v>67</v>
      </c>
      <c r="D272" s="198"/>
      <c r="E272" s="203" t="s">
        <v>813</v>
      </c>
      <c r="F272" s="257">
        <v>1</v>
      </c>
      <c r="G272" s="202"/>
      <c r="H272" s="195"/>
      <c r="I272" s="196"/>
      <c r="J272" s="204"/>
      <c r="K272" s="197"/>
    </row>
    <row r="273" spans="1:11" ht="14.1" customHeight="1" thickBot="1">
      <c r="A273" s="197"/>
      <c r="B273" s="642"/>
      <c r="C273" s="646"/>
      <c r="D273" s="200"/>
      <c r="E273" s="271" t="s">
        <v>815</v>
      </c>
      <c r="F273" s="259">
        <v>0</v>
      </c>
      <c r="G273" s="202"/>
      <c r="H273" s="195"/>
      <c r="I273" s="196"/>
      <c r="J273" s="204"/>
      <c r="K273" s="197"/>
    </row>
    <row r="274" spans="1:11" ht="14.1" customHeight="1" thickBot="1">
      <c r="A274" s="197"/>
      <c r="B274" s="642"/>
      <c r="C274" s="649" t="s">
        <v>68</v>
      </c>
      <c r="D274" s="201"/>
      <c r="E274" s="224" t="s">
        <v>972</v>
      </c>
      <c r="F274" s="260">
        <v>1</v>
      </c>
      <c r="G274" s="202"/>
      <c r="H274" s="195"/>
      <c r="I274" s="196"/>
      <c r="J274" s="204"/>
      <c r="K274" s="197"/>
    </row>
    <row r="275" spans="1:11" ht="14.1" customHeight="1" thickBot="1">
      <c r="A275" s="197"/>
      <c r="B275" s="642"/>
      <c r="C275" s="651"/>
      <c r="D275" s="192"/>
      <c r="E275" s="226" t="s">
        <v>973</v>
      </c>
      <c r="F275" s="261">
        <v>0.5</v>
      </c>
      <c r="G275" s="202"/>
      <c r="H275" s="195"/>
      <c r="I275" s="196"/>
      <c r="J275" s="204"/>
      <c r="K275" s="197"/>
    </row>
    <row r="276" spans="1:11" ht="14.1" customHeight="1" thickBot="1">
      <c r="A276" s="197"/>
      <c r="B276" s="642"/>
      <c r="C276" s="649" t="s">
        <v>70</v>
      </c>
      <c r="D276" s="198"/>
      <c r="E276" s="203" t="s">
        <v>813</v>
      </c>
      <c r="F276" s="257">
        <v>1</v>
      </c>
      <c r="G276" s="202"/>
      <c r="H276" s="195"/>
      <c r="I276" s="196"/>
      <c r="J276" s="204"/>
      <c r="K276" s="197"/>
    </row>
    <row r="277" spans="1:11" ht="14.1" customHeight="1" thickBot="1">
      <c r="A277" s="197"/>
      <c r="B277" s="642"/>
      <c r="C277" s="651"/>
      <c r="D277" s="200"/>
      <c r="E277" s="271" t="s">
        <v>815</v>
      </c>
      <c r="F277" s="259">
        <v>0</v>
      </c>
      <c r="G277" s="202"/>
      <c r="H277" s="195"/>
      <c r="I277" s="196"/>
      <c r="J277" s="196"/>
      <c r="K277" s="197"/>
    </row>
    <row r="278" spans="1:11" ht="14.1" customHeight="1" thickBot="1">
      <c r="A278" s="197"/>
      <c r="B278" s="642"/>
      <c r="C278" s="649" t="s">
        <v>71</v>
      </c>
      <c r="D278" s="201"/>
      <c r="E278" s="224" t="s">
        <v>974</v>
      </c>
      <c r="F278" s="260">
        <v>0.3</v>
      </c>
      <c r="G278" s="202"/>
      <c r="H278" s="195"/>
      <c r="I278" s="196"/>
      <c r="J278" s="196"/>
      <c r="K278" s="197"/>
    </row>
    <row r="279" spans="1:11" ht="14.1" customHeight="1" thickBot="1">
      <c r="A279" s="197"/>
      <c r="B279" s="642"/>
      <c r="C279" s="650"/>
      <c r="D279" s="201"/>
      <c r="E279" s="224" t="s">
        <v>975</v>
      </c>
      <c r="F279" s="260">
        <v>0.4</v>
      </c>
      <c r="G279" s="202"/>
      <c r="H279" s="195"/>
      <c r="I279" s="196"/>
      <c r="J279" s="196"/>
      <c r="K279" s="197"/>
    </row>
    <row r="280" spans="1:11" ht="14.1" customHeight="1" thickBot="1">
      <c r="A280" s="197"/>
      <c r="B280" s="642"/>
      <c r="C280" s="650"/>
      <c r="D280" s="201"/>
      <c r="E280" s="224" t="s">
        <v>976</v>
      </c>
      <c r="F280" s="260">
        <v>0.9</v>
      </c>
      <c r="G280" s="202"/>
      <c r="H280" s="195"/>
      <c r="I280" s="196"/>
      <c r="J280" s="196"/>
      <c r="K280" s="197"/>
    </row>
    <row r="281" spans="1:11" ht="14.1" customHeight="1" thickBot="1">
      <c r="A281" s="197"/>
      <c r="B281" s="642"/>
      <c r="C281" s="651"/>
      <c r="D281" s="192"/>
      <c r="E281" s="226" t="s">
        <v>977</v>
      </c>
      <c r="F281" s="261">
        <v>1</v>
      </c>
      <c r="G281" s="202"/>
      <c r="H281" s="195"/>
      <c r="I281" s="196"/>
      <c r="J281" s="196"/>
      <c r="K281" s="197"/>
    </row>
    <row r="282" spans="1:11" ht="14.1" customHeight="1" thickBot="1">
      <c r="A282" s="197"/>
      <c r="B282" s="642"/>
      <c r="C282" s="655" t="s">
        <v>73</v>
      </c>
      <c r="D282" s="198"/>
      <c r="E282" s="203" t="s">
        <v>813</v>
      </c>
      <c r="F282" s="257">
        <v>1</v>
      </c>
      <c r="G282" s="202"/>
      <c r="H282" s="195"/>
      <c r="I282" s="196"/>
      <c r="J282" s="204"/>
      <c r="K282" s="197"/>
    </row>
    <row r="283" spans="1:11" ht="14.1" customHeight="1" thickBot="1">
      <c r="A283" s="197"/>
      <c r="B283" s="642"/>
      <c r="C283" s="656"/>
      <c r="D283" s="200"/>
      <c r="E283" s="271" t="s">
        <v>815</v>
      </c>
      <c r="F283" s="259">
        <v>0</v>
      </c>
      <c r="G283" s="202"/>
      <c r="H283" s="195"/>
      <c r="I283" s="196"/>
      <c r="J283" s="204"/>
      <c r="K283" s="197"/>
    </row>
    <row r="284" spans="1:11" ht="14.1" customHeight="1" thickBot="1">
      <c r="A284" s="197"/>
      <c r="B284" s="642"/>
      <c r="C284" s="657" t="s">
        <v>74</v>
      </c>
      <c r="D284" s="201"/>
      <c r="E284" s="224" t="s">
        <v>813</v>
      </c>
      <c r="F284" s="260">
        <v>1</v>
      </c>
      <c r="G284" s="202"/>
      <c r="H284" s="195"/>
      <c r="I284" s="196"/>
      <c r="J284" s="204"/>
      <c r="K284" s="197"/>
    </row>
    <row r="285" spans="1:11" ht="14.1" customHeight="1" thickBot="1">
      <c r="A285" s="197"/>
      <c r="B285" s="642"/>
      <c r="C285" s="658"/>
      <c r="D285" s="192"/>
      <c r="E285" s="226" t="s">
        <v>815</v>
      </c>
      <c r="F285" s="261">
        <v>0</v>
      </c>
      <c r="G285" s="202"/>
      <c r="H285" s="195"/>
      <c r="I285" s="196"/>
      <c r="J285" s="204"/>
      <c r="K285" s="197"/>
    </row>
    <row r="286" spans="1:11" ht="14.1" customHeight="1" thickBot="1">
      <c r="A286" s="197"/>
      <c r="B286" s="642"/>
      <c r="C286" s="644" t="s">
        <v>77</v>
      </c>
      <c r="D286" s="198"/>
      <c r="E286" s="203" t="s">
        <v>813</v>
      </c>
      <c r="F286" s="257">
        <v>1</v>
      </c>
      <c r="G286" s="202"/>
      <c r="H286" s="195"/>
      <c r="I286" s="196"/>
      <c r="J286" s="204"/>
      <c r="K286" s="197"/>
    </row>
    <row r="287" spans="1:11" ht="14.1" customHeight="1" thickBot="1">
      <c r="A287" s="197"/>
      <c r="B287" s="642"/>
      <c r="C287" s="646"/>
      <c r="D287" s="200"/>
      <c r="E287" s="271" t="s">
        <v>815</v>
      </c>
      <c r="F287" s="259">
        <v>0</v>
      </c>
      <c r="G287" s="202"/>
      <c r="H287" s="195"/>
      <c r="I287" s="216"/>
      <c r="J287" s="204"/>
      <c r="K287" s="197"/>
    </row>
    <row r="288" spans="1:11" ht="14.1" customHeight="1" thickBot="1">
      <c r="A288" s="197"/>
      <c r="B288" s="642"/>
      <c r="C288" s="649" t="s">
        <v>79</v>
      </c>
      <c r="D288" s="201"/>
      <c r="E288" s="224" t="s">
        <v>813</v>
      </c>
      <c r="F288" s="260">
        <v>1</v>
      </c>
      <c r="G288" s="202"/>
      <c r="H288" s="195"/>
      <c r="I288" s="216"/>
      <c r="J288" s="204"/>
      <c r="K288" s="197"/>
    </row>
    <row r="289" spans="1:11" ht="14.1" customHeight="1" thickBot="1">
      <c r="A289" s="197"/>
      <c r="B289" s="642"/>
      <c r="C289" s="651"/>
      <c r="D289" s="192"/>
      <c r="E289" s="226" t="s">
        <v>815</v>
      </c>
      <c r="F289" s="261">
        <v>0</v>
      </c>
      <c r="G289" s="202"/>
      <c r="H289" s="195"/>
      <c r="I289" s="196"/>
      <c r="J289" s="204"/>
      <c r="K289" s="197"/>
    </row>
    <row r="290" spans="1:11" ht="14.1" customHeight="1" thickBot="1">
      <c r="A290" s="197"/>
      <c r="B290" s="642"/>
      <c r="C290" s="644" t="s">
        <v>81</v>
      </c>
      <c r="D290" s="198"/>
      <c r="E290" s="203" t="s">
        <v>978</v>
      </c>
      <c r="F290" s="257">
        <v>0.5</v>
      </c>
      <c r="G290" s="202"/>
      <c r="H290" s="195"/>
      <c r="I290" s="196"/>
      <c r="J290" s="204"/>
      <c r="K290" s="197"/>
    </row>
    <row r="291" spans="1:11" ht="14.1" customHeight="1" thickBot="1">
      <c r="A291" s="197"/>
      <c r="B291" s="642"/>
      <c r="C291" s="645"/>
      <c r="D291" s="198"/>
      <c r="E291" s="203" t="s">
        <v>979</v>
      </c>
      <c r="F291" s="257">
        <v>0.5</v>
      </c>
      <c r="G291" s="202"/>
      <c r="H291" s="195"/>
      <c r="I291" s="196"/>
      <c r="J291" s="204"/>
      <c r="K291" s="197"/>
    </row>
    <row r="292" spans="1:11" ht="14.1" customHeight="1" thickBot="1">
      <c r="A292" s="197"/>
      <c r="B292" s="642"/>
      <c r="C292" s="645"/>
      <c r="D292" s="198"/>
      <c r="E292" s="203" t="s">
        <v>980</v>
      </c>
      <c r="F292" s="257">
        <v>1</v>
      </c>
      <c r="G292" s="202"/>
      <c r="H292" s="195"/>
      <c r="I292" s="196"/>
      <c r="J292" s="204"/>
      <c r="K292" s="197"/>
    </row>
    <row r="293" spans="1:11" ht="14.1" customHeight="1" thickBot="1">
      <c r="A293" s="197"/>
      <c r="B293" s="642"/>
      <c r="C293" s="645"/>
      <c r="D293" s="198"/>
      <c r="E293" s="203" t="s">
        <v>981</v>
      </c>
      <c r="F293" s="257">
        <v>1</v>
      </c>
      <c r="G293" s="202"/>
      <c r="H293" s="195"/>
      <c r="I293" s="196"/>
      <c r="J293" s="204"/>
      <c r="K293" s="197"/>
    </row>
    <row r="294" spans="1:11" ht="14.1" customHeight="1" thickBot="1">
      <c r="A294" s="197"/>
      <c r="B294" s="643"/>
      <c r="C294" s="646"/>
      <c r="D294" s="200"/>
      <c r="E294" s="271" t="s">
        <v>982</v>
      </c>
      <c r="F294" s="206"/>
      <c r="G294" s="202"/>
      <c r="H294" s="195"/>
      <c r="I294" s="196"/>
      <c r="J294" s="204"/>
      <c r="K294" s="197"/>
    </row>
    <row r="295" spans="1:11" ht="14.1" customHeight="1" thickBot="1">
      <c r="A295" s="197"/>
      <c r="B295" s="641" t="s">
        <v>83</v>
      </c>
      <c r="C295" s="669" t="s">
        <v>84</v>
      </c>
      <c r="D295" s="201"/>
      <c r="E295" s="224" t="s">
        <v>813</v>
      </c>
      <c r="F295" s="260">
        <v>1</v>
      </c>
      <c r="G295" s="202"/>
      <c r="H295" s="195"/>
      <c r="I295" s="196"/>
      <c r="J295" s="204"/>
      <c r="K295" s="197"/>
    </row>
    <row r="296" spans="1:11" ht="14.1" customHeight="1" thickBot="1">
      <c r="A296" s="197"/>
      <c r="B296" s="642"/>
      <c r="C296" s="670"/>
      <c r="D296" s="192"/>
      <c r="E296" s="226" t="s">
        <v>815</v>
      </c>
      <c r="F296" s="261">
        <v>0</v>
      </c>
      <c r="G296" s="202"/>
      <c r="H296" s="195"/>
      <c r="I296" s="196"/>
      <c r="J296" s="204"/>
      <c r="K296" s="197"/>
    </row>
    <row r="297" spans="1:11" ht="14.1" customHeight="1" thickBot="1">
      <c r="A297" s="197"/>
      <c r="B297" s="642"/>
      <c r="C297" s="671" t="s">
        <v>85</v>
      </c>
      <c r="D297" s="198"/>
      <c r="E297" s="203">
        <v>0</v>
      </c>
      <c r="F297" s="257">
        <v>0</v>
      </c>
      <c r="G297" s="202"/>
      <c r="H297" s="195"/>
      <c r="I297" s="196"/>
      <c r="J297" s="204"/>
      <c r="K297" s="197"/>
    </row>
    <row r="298" spans="1:11" ht="14.1" customHeight="1" thickBot="1">
      <c r="A298" s="197"/>
      <c r="B298" s="642"/>
      <c r="C298" s="672"/>
      <c r="D298" s="198"/>
      <c r="E298" s="269">
        <v>44928</v>
      </c>
      <c r="F298" s="257">
        <v>0.5</v>
      </c>
      <c r="G298" s="202"/>
      <c r="H298" s="195"/>
      <c r="I298" s="196"/>
      <c r="J298" s="204"/>
      <c r="K298" s="197"/>
    </row>
    <row r="299" spans="1:11" ht="14.1" customHeight="1" thickBot="1">
      <c r="A299" s="197"/>
      <c r="B299" s="642"/>
      <c r="C299" s="672"/>
      <c r="D299" s="198"/>
      <c r="E299" s="269">
        <v>44992</v>
      </c>
      <c r="F299" s="257">
        <v>1</v>
      </c>
      <c r="G299" s="202"/>
      <c r="H299" s="195"/>
      <c r="I299" s="196"/>
      <c r="J299" s="204"/>
      <c r="K299" s="197"/>
    </row>
    <row r="300" spans="1:11" ht="14.1" customHeight="1" thickBot="1">
      <c r="A300" s="197"/>
      <c r="B300" s="642"/>
      <c r="C300" s="672"/>
      <c r="D300" s="198"/>
      <c r="E300" s="269">
        <v>45148</v>
      </c>
      <c r="F300" s="257">
        <v>0.75</v>
      </c>
      <c r="G300" s="202"/>
      <c r="H300" s="195"/>
      <c r="I300" s="196"/>
      <c r="J300" s="204"/>
      <c r="K300" s="197"/>
    </row>
    <row r="301" spans="1:11" ht="14.1" customHeight="1" thickBot="1">
      <c r="A301" s="197"/>
      <c r="B301" s="642"/>
      <c r="C301" s="673"/>
      <c r="D301" s="200"/>
      <c r="E301" s="271" t="s">
        <v>809</v>
      </c>
      <c r="F301" s="259">
        <v>0</v>
      </c>
      <c r="G301" s="202"/>
      <c r="H301" s="195"/>
      <c r="I301" s="196"/>
      <c r="J301" s="204"/>
      <c r="K301" s="197"/>
    </row>
    <row r="302" spans="1:11" ht="14.1" customHeight="1" thickBot="1">
      <c r="A302" s="197"/>
      <c r="B302" s="642"/>
      <c r="C302" s="669" t="s">
        <v>86</v>
      </c>
      <c r="D302" s="201"/>
      <c r="E302" s="224" t="s">
        <v>813</v>
      </c>
      <c r="F302" s="260">
        <v>1</v>
      </c>
      <c r="G302" s="202"/>
      <c r="H302" s="195"/>
      <c r="I302" s="196"/>
      <c r="J302" s="204"/>
      <c r="K302" s="197"/>
    </row>
    <row r="303" spans="1:11" ht="14.1" customHeight="1" thickBot="1">
      <c r="A303" s="197"/>
      <c r="B303" s="642"/>
      <c r="C303" s="670"/>
      <c r="D303" s="192"/>
      <c r="E303" s="226" t="s">
        <v>815</v>
      </c>
      <c r="F303" s="261">
        <v>0</v>
      </c>
      <c r="G303" s="202"/>
      <c r="H303" s="195"/>
      <c r="I303" s="196"/>
      <c r="J303" s="204"/>
      <c r="K303" s="197"/>
    </row>
    <row r="304" spans="1:11" ht="14.1" customHeight="1" thickBot="1">
      <c r="A304" s="197"/>
      <c r="B304" s="642"/>
      <c r="C304" s="674" t="s">
        <v>87</v>
      </c>
      <c r="D304" s="198"/>
      <c r="E304" s="203" t="s">
        <v>924</v>
      </c>
      <c r="F304" s="257">
        <v>0.1</v>
      </c>
      <c r="G304" s="202"/>
      <c r="H304" s="195"/>
      <c r="I304" s="196"/>
      <c r="J304" s="204"/>
      <c r="K304" s="197"/>
    </row>
    <row r="305" spans="1:11" ht="14.1" customHeight="1" thickBot="1">
      <c r="A305" s="197"/>
      <c r="B305" s="642"/>
      <c r="C305" s="675"/>
      <c r="D305" s="198"/>
      <c r="E305" s="269">
        <v>45087</v>
      </c>
      <c r="F305" s="257">
        <v>0.15</v>
      </c>
      <c r="G305" s="202"/>
      <c r="H305" s="195"/>
      <c r="I305" s="196"/>
      <c r="J305" s="204"/>
      <c r="K305" s="197"/>
    </row>
    <row r="306" spans="1:11" ht="14.1" customHeight="1" thickBot="1">
      <c r="A306" s="197"/>
      <c r="B306" s="642"/>
      <c r="C306" s="675"/>
      <c r="D306" s="198"/>
      <c r="E306" s="269">
        <v>45250</v>
      </c>
      <c r="F306" s="257">
        <v>0.25</v>
      </c>
      <c r="G306" s="202"/>
      <c r="H306" s="195"/>
      <c r="I306" s="196"/>
      <c r="J306" s="204"/>
      <c r="K306" s="197"/>
    </row>
    <row r="307" spans="1:11" ht="14.1" customHeight="1" thickBot="1">
      <c r="A307" s="197"/>
      <c r="B307" s="642"/>
      <c r="C307" s="675"/>
      <c r="D307" s="198"/>
      <c r="E307" s="203" t="s">
        <v>925</v>
      </c>
      <c r="F307" s="257">
        <v>0.75</v>
      </c>
      <c r="G307" s="202"/>
      <c r="H307" s="195"/>
      <c r="I307" s="196"/>
      <c r="J307" s="204"/>
      <c r="K307" s="197"/>
    </row>
    <row r="308" spans="1:11" ht="14.1" customHeight="1" thickBot="1">
      <c r="A308" s="197"/>
      <c r="B308" s="642"/>
      <c r="C308" s="675"/>
      <c r="D308" s="198"/>
      <c r="E308" s="203" t="s">
        <v>926</v>
      </c>
      <c r="F308" s="257">
        <v>1</v>
      </c>
      <c r="G308" s="202"/>
      <c r="H308" s="195"/>
      <c r="I308" s="196"/>
      <c r="J308" s="204"/>
      <c r="K308" s="197"/>
    </row>
    <row r="309" spans="1:11" ht="14.1" customHeight="1" thickBot="1">
      <c r="A309" s="197"/>
      <c r="B309" s="642"/>
      <c r="C309" s="676"/>
      <c r="D309" s="200"/>
      <c r="E309" s="271" t="s">
        <v>927</v>
      </c>
      <c r="F309" s="259">
        <v>0.25</v>
      </c>
      <c r="G309" s="202"/>
      <c r="H309" s="195"/>
      <c r="I309" s="196"/>
      <c r="J309" s="204"/>
      <c r="K309" s="197"/>
    </row>
    <row r="310" spans="1:11" ht="33.75" customHeight="1" thickBot="1">
      <c r="A310" s="202"/>
      <c r="B310" s="643"/>
      <c r="C310" s="275" t="s">
        <v>88</v>
      </c>
      <c r="D310" s="217"/>
      <c r="E310" s="218"/>
      <c r="F310" s="199"/>
      <c r="G310" s="202"/>
      <c r="H310" s="222"/>
      <c r="I310" s="219"/>
      <c r="J310" s="276"/>
      <c r="K310" s="202"/>
    </row>
    <row r="311" spans="1:11" ht="14.1" customHeight="1" thickBot="1">
      <c r="A311" s="666" t="s">
        <v>89</v>
      </c>
      <c r="B311" s="667"/>
      <c r="C311" s="667"/>
      <c r="D311" s="667"/>
      <c r="E311" s="667"/>
      <c r="F311" s="667"/>
      <c r="G311" s="667"/>
      <c r="H311" s="667"/>
      <c r="I311" s="667"/>
      <c r="J311" s="667"/>
      <c r="K311" s="668"/>
    </row>
    <row r="312" spans="1:11" ht="14.1" customHeight="1" thickBot="1">
      <c r="A312" s="197"/>
      <c r="B312" s="641" t="s">
        <v>90</v>
      </c>
      <c r="C312" s="649" t="s">
        <v>91</v>
      </c>
      <c r="D312" s="201"/>
      <c r="E312" s="224" t="s">
        <v>983</v>
      </c>
      <c r="F312" s="260">
        <v>1</v>
      </c>
      <c r="G312" s="202"/>
      <c r="H312" s="195"/>
      <c r="I312" s="196"/>
      <c r="J312" s="204"/>
      <c r="K312" s="197"/>
    </row>
    <row r="313" spans="1:11" ht="14.1" customHeight="1" thickBot="1">
      <c r="A313" s="197"/>
      <c r="B313" s="642"/>
      <c r="C313" s="651"/>
      <c r="D313" s="192"/>
      <c r="E313" s="226" t="s">
        <v>984</v>
      </c>
      <c r="F313" s="261">
        <v>0</v>
      </c>
      <c r="G313" s="202"/>
      <c r="H313" s="195"/>
      <c r="I313" s="196"/>
      <c r="J313" s="204"/>
      <c r="K313" s="197"/>
    </row>
    <row r="314" spans="1:11" ht="14.1" customHeight="1" thickBot="1">
      <c r="A314" s="197"/>
      <c r="B314" s="642"/>
      <c r="C314" s="644" t="s">
        <v>93</v>
      </c>
      <c r="D314" s="198"/>
      <c r="E314" s="203" t="s">
        <v>813</v>
      </c>
      <c r="F314" s="257">
        <v>1</v>
      </c>
      <c r="G314" s="202"/>
      <c r="H314" s="195"/>
      <c r="I314" s="196"/>
      <c r="J314" s="204"/>
      <c r="K314" s="197"/>
    </row>
    <row r="315" spans="1:11" ht="14.1" customHeight="1" thickBot="1">
      <c r="A315" s="197"/>
      <c r="B315" s="642"/>
      <c r="C315" s="646"/>
      <c r="D315" s="200"/>
      <c r="E315" s="271" t="s">
        <v>815</v>
      </c>
      <c r="F315" s="259">
        <v>0</v>
      </c>
      <c r="G315" s="202"/>
      <c r="H315" s="195"/>
      <c r="I315" s="196"/>
      <c r="J315" s="204"/>
      <c r="K315" s="197"/>
    </row>
    <row r="316" spans="1:11" ht="14.1" customHeight="1" thickBot="1">
      <c r="A316" s="197"/>
      <c r="B316" s="642"/>
      <c r="C316" s="644" t="s">
        <v>94</v>
      </c>
      <c r="D316" s="201"/>
      <c r="E316" s="224" t="s">
        <v>813</v>
      </c>
      <c r="F316" s="260">
        <v>1</v>
      </c>
      <c r="G316" s="202"/>
      <c r="H316" s="195"/>
      <c r="I316" s="196"/>
      <c r="J316" s="204"/>
      <c r="K316" s="197"/>
    </row>
    <row r="317" spans="1:11" ht="14.1" customHeight="1" thickBot="1">
      <c r="A317" s="197"/>
      <c r="B317" s="642"/>
      <c r="C317" s="646"/>
      <c r="D317" s="192"/>
      <c r="E317" s="226" t="s">
        <v>815</v>
      </c>
      <c r="F317" s="261">
        <v>0</v>
      </c>
      <c r="G317" s="202"/>
      <c r="H317" s="195"/>
      <c r="I317" s="196"/>
      <c r="J317" s="204"/>
      <c r="K317" s="197"/>
    </row>
    <row r="318" spans="1:11" ht="14.1" customHeight="1" thickBot="1">
      <c r="A318" s="197"/>
      <c r="B318" s="642"/>
      <c r="C318" s="655" t="s">
        <v>95</v>
      </c>
      <c r="D318" s="198"/>
      <c r="E318" s="203" t="s">
        <v>813</v>
      </c>
      <c r="F318" s="257">
        <v>1</v>
      </c>
      <c r="G318" s="202"/>
      <c r="H318" s="195"/>
      <c r="I318" s="196"/>
      <c r="J318" s="204"/>
      <c r="K318" s="197"/>
    </row>
    <row r="319" spans="1:11" ht="14.1" customHeight="1" thickBot="1">
      <c r="A319" s="197"/>
      <c r="B319" s="642"/>
      <c r="C319" s="656"/>
      <c r="D319" s="200"/>
      <c r="E319" s="271" t="s">
        <v>815</v>
      </c>
      <c r="F319" s="259">
        <v>0</v>
      </c>
      <c r="G319" s="202"/>
      <c r="H319" s="195"/>
      <c r="I319" s="196"/>
      <c r="J319" s="204"/>
      <c r="K319" s="197"/>
    </row>
    <row r="320" spans="1:11" ht="14.1" customHeight="1" thickBot="1">
      <c r="A320" s="197"/>
      <c r="B320" s="642"/>
      <c r="C320" s="657" t="s">
        <v>96</v>
      </c>
      <c r="D320" s="201"/>
      <c r="E320" s="224" t="s">
        <v>813</v>
      </c>
      <c r="F320" s="260">
        <v>1</v>
      </c>
      <c r="G320" s="202"/>
      <c r="H320" s="195"/>
      <c r="I320" s="196"/>
      <c r="J320" s="204"/>
      <c r="K320" s="197"/>
    </row>
    <row r="321" spans="1:11" ht="14.1" customHeight="1" thickBot="1">
      <c r="A321" s="197"/>
      <c r="B321" s="642"/>
      <c r="C321" s="658"/>
      <c r="D321" s="192"/>
      <c r="E321" s="226" t="s">
        <v>815</v>
      </c>
      <c r="F321" s="261">
        <v>0</v>
      </c>
      <c r="G321" s="202"/>
      <c r="H321" s="195"/>
      <c r="I321" s="196"/>
      <c r="J321" s="204"/>
      <c r="K321" s="197"/>
    </row>
    <row r="322" spans="1:11" ht="14.1" customHeight="1" thickBot="1">
      <c r="A322" s="197"/>
      <c r="B322" s="642"/>
      <c r="C322" s="644" t="s">
        <v>97</v>
      </c>
      <c r="D322" s="198"/>
      <c r="E322" s="203" t="s">
        <v>813</v>
      </c>
      <c r="F322" s="257">
        <v>0.25</v>
      </c>
      <c r="G322" s="202"/>
      <c r="H322" s="195" t="s">
        <v>985</v>
      </c>
      <c r="I322" s="204" t="s">
        <v>986</v>
      </c>
      <c r="J322" s="205">
        <v>0.75</v>
      </c>
      <c r="K322" s="197"/>
    </row>
    <row r="323" spans="1:11" ht="14.1" customHeight="1" thickBot="1">
      <c r="A323" s="197"/>
      <c r="B323" s="643"/>
      <c r="C323" s="646"/>
      <c r="D323" s="200"/>
      <c r="E323" s="271" t="s">
        <v>815</v>
      </c>
      <c r="F323" s="259">
        <v>0</v>
      </c>
      <c r="G323" s="202"/>
      <c r="H323" s="195"/>
      <c r="I323" s="204" t="s">
        <v>984</v>
      </c>
      <c r="J323" s="205">
        <v>0</v>
      </c>
      <c r="K323" s="197"/>
    </row>
    <row r="324" spans="1:11" ht="14.1" customHeight="1" thickBot="1">
      <c r="A324" s="197"/>
      <c r="B324" s="641" t="s">
        <v>100</v>
      </c>
      <c r="C324" s="649" t="s">
        <v>987</v>
      </c>
      <c r="D324" s="201"/>
      <c r="E324" s="224" t="s">
        <v>988</v>
      </c>
      <c r="F324" s="260">
        <v>1</v>
      </c>
      <c r="G324" s="202"/>
      <c r="H324" s="195"/>
      <c r="I324" s="196"/>
      <c r="J324" s="204"/>
      <c r="K324" s="197"/>
    </row>
    <row r="325" spans="1:11" ht="14.1" customHeight="1" thickBot="1">
      <c r="A325" s="197"/>
      <c r="B325" s="642"/>
      <c r="C325" s="651"/>
      <c r="D325" s="192"/>
      <c r="E325" s="226" t="s">
        <v>867</v>
      </c>
      <c r="F325" s="261">
        <v>0</v>
      </c>
      <c r="G325" s="202"/>
      <c r="H325" s="195"/>
      <c r="I325" s="196"/>
      <c r="J325" s="204"/>
      <c r="K325" s="197"/>
    </row>
    <row r="326" spans="1:11" ht="14.1" customHeight="1" thickBot="1">
      <c r="A326" s="197"/>
      <c r="B326" s="642"/>
      <c r="C326" s="655" t="s">
        <v>989</v>
      </c>
      <c r="D326" s="198"/>
      <c r="E326" s="277" t="s">
        <v>983</v>
      </c>
      <c r="F326" s="257">
        <v>1</v>
      </c>
      <c r="G326" s="202"/>
      <c r="H326" s="195"/>
      <c r="I326" s="196"/>
      <c r="J326" s="204"/>
      <c r="K326" s="197"/>
    </row>
    <row r="327" spans="1:11" ht="14.1" customHeight="1" thickBot="1">
      <c r="A327" s="197"/>
      <c r="B327" s="642"/>
      <c r="C327" s="656"/>
      <c r="D327" s="200"/>
      <c r="E327" s="271" t="s">
        <v>984</v>
      </c>
      <c r="F327" s="259">
        <v>0</v>
      </c>
      <c r="G327" s="202"/>
      <c r="H327" s="195"/>
      <c r="I327" s="196"/>
      <c r="J327" s="204"/>
      <c r="K327" s="197"/>
    </row>
    <row r="328" spans="1:11" ht="14.1" customHeight="1" thickBot="1">
      <c r="A328" s="197"/>
      <c r="B328" s="642"/>
      <c r="C328" s="644" t="s">
        <v>105</v>
      </c>
      <c r="D328" s="201"/>
      <c r="E328" s="277" t="s">
        <v>990</v>
      </c>
      <c r="F328" s="260">
        <v>1</v>
      </c>
      <c r="G328" s="202"/>
      <c r="H328" s="195"/>
      <c r="I328" s="196"/>
      <c r="J328" s="204"/>
      <c r="K328" s="197"/>
    </row>
    <row r="329" spans="1:11" ht="14.1" customHeight="1" thickBot="1">
      <c r="A329" s="197"/>
      <c r="B329" s="642"/>
      <c r="C329" s="646"/>
      <c r="D329" s="192"/>
      <c r="E329" s="226" t="s">
        <v>984</v>
      </c>
      <c r="F329" s="261">
        <v>0</v>
      </c>
      <c r="G329" s="202"/>
      <c r="H329" s="195"/>
      <c r="I329" s="196"/>
      <c r="J329" s="204"/>
      <c r="K329" s="197"/>
    </row>
    <row r="330" spans="1:11" ht="14.1" customHeight="1" thickBot="1">
      <c r="A330" s="197"/>
      <c r="B330" s="642"/>
      <c r="C330" s="644" t="s">
        <v>107</v>
      </c>
      <c r="D330" s="198"/>
      <c r="E330" s="203" t="s">
        <v>813</v>
      </c>
      <c r="F330" s="257">
        <v>0.25</v>
      </c>
      <c r="G330" s="202"/>
      <c r="H330" s="195" t="s">
        <v>108</v>
      </c>
      <c r="I330" s="204" t="s">
        <v>986</v>
      </c>
      <c r="J330" s="205">
        <v>0.75</v>
      </c>
      <c r="K330" s="197"/>
    </row>
    <row r="331" spans="1:11" ht="14.1" customHeight="1" thickBot="1">
      <c r="A331" s="197"/>
      <c r="B331" s="642"/>
      <c r="C331" s="646"/>
      <c r="D331" s="200"/>
      <c r="E331" s="271" t="s">
        <v>815</v>
      </c>
      <c r="F331" s="259">
        <v>0</v>
      </c>
      <c r="G331" s="202"/>
      <c r="H331" s="195"/>
      <c r="I331" s="204" t="s">
        <v>984</v>
      </c>
      <c r="J331" s="205">
        <v>0</v>
      </c>
      <c r="K331" s="197"/>
    </row>
    <row r="332" spans="1:11" ht="14.1" customHeight="1" thickBot="1">
      <c r="A332" s="197"/>
      <c r="B332" s="642"/>
      <c r="C332" s="657" t="s">
        <v>111</v>
      </c>
      <c r="D332" s="201"/>
      <c r="E332" s="224" t="s">
        <v>813</v>
      </c>
      <c r="F332" s="260">
        <v>1</v>
      </c>
      <c r="G332" s="202"/>
      <c r="H332" s="195" t="s">
        <v>991</v>
      </c>
      <c r="I332" s="204" t="s">
        <v>986</v>
      </c>
      <c r="J332" s="205">
        <v>0.75</v>
      </c>
      <c r="K332" s="197"/>
    </row>
    <row r="333" spans="1:11" ht="14.1" customHeight="1" thickBot="1">
      <c r="A333" s="197"/>
      <c r="B333" s="643"/>
      <c r="C333" s="658"/>
      <c r="D333" s="192"/>
      <c r="E333" s="226" t="s">
        <v>815</v>
      </c>
      <c r="F333" s="261">
        <v>0</v>
      </c>
      <c r="G333" s="202"/>
      <c r="H333" s="195"/>
      <c r="I333" s="204" t="s">
        <v>984</v>
      </c>
      <c r="J333" s="205">
        <v>0</v>
      </c>
      <c r="K333" s="197"/>
    </row>
    <row r="334" spans="1:11" ht="14.1" customHeight="1" thickBot="1">
      <c r="A334" s="197"/>
      <c r="B334" s="641" t="s">
        <v>112</v>
      </c>
      <c r="C334" s="644" t="s">
        <v>113</v>
      </c>
      <c r="D334" s="198"/>
      <c r="E334" s="203" t="s">
        <v>867</v>
      </c>
      <c r="F334" s="257">
        <v>0</v>
      </c>
      <c r="G334" s="202"/>
      <c r="H334" s="195"/>
      <c r="I334" s="196"/>
      <c r="J334" s="204"/>
      <c r="K334" s="197"/>
    </row>
    <row r="335" spans="1:11" ht="14.1" customHeight="1" thickBot="1">
      <c r="A335" s="197"/>
      <c r="B335" s="642"/>
      <c r="C335" s="645"/>
      <c r="D335" s="198"/>
      <c r="E335" s="203" t="s">
        <v>992</v>
      </c>
      <c r="F335" s="257">
        <v>0.25</v>
      </c>
      <c r="G335" s="202"/>
      <c r="H335" s="195"/>
      <c r="I335" s="196"/>
      <c r="J335" s="204"/>
      <c r="K335" s="197"/>
    </row>
    <row r="336" spans="1:11" ht="14.1" customHeight="1" thickBot="1">
      <c r="A336" s="197"/>
      <c r="B336" s="642"/>
      <c r="C336" s="645"/>
      <c r="D336" s="198"/>
      <c r="E336" s="203" t="s">
        <v>993</v>
      </c>
      <c r="F336" s="257">
        <v>0.75</v>
      </c>
      <c r="G336" s="202"/>
      <c r="H336" s="195"/>
      <c r="I336" s="196"/>
      <c r="J336" s="204"/>
      <c r="K336" s="197"/>
    </row>
    <row r="337" spans="1:11" ht="14.1" customHeight="1" thickBot="1">
      <c r="A337" s="197"/>
      <c r="B337" s="642"/>
      <c r="C337" s="646"/>
      <c r="D337" s="200"/>
      <c r="E337" s="271" t="s">
        <v>994</v>
      </c>
      <c r="F337" s="259">
        <v>1</v>
      </c>
      <c r="G337" s="202"/>
      <c r="H337" s="195"/>
      <c r="I337" s="196"/>
      <c r="J337" s="204"/>
      <c r="K337" s="197"/>
    </row>
    <row r="338" spans="1:11" ht="14.1" customHeight="1" thickBot="1">
      <c r="A338" s="197"/>
      <c r="B338" s="642"/>
      <c r="C338" s="649" t="s">
        <v>804</v>
      </c>
      <c r="D338" s="201"/>
      <c r="E338" s="224" t="s">
        <v>995</v>
      </c>
      <c r="F338" s="260">
        <v>0.25</v>
      </c>
      <c r="G338" s="202"/>
      <c r="H338" s="195"/>
      <c r="I338" s="196"/>
      <c r="J338" s="204"/>
      <c r="K338" s="197"/>
    </row>
    <row r="339" spans="1:11" ht="14.1" customHeight="1" thickBot="1">
      <c r="A339" s="197"/>
      <c r="B339" s="642"/>
      <c r="C339" s="650"/>
      <c r="D339" s="201"/>
      <c r="E339" s="224" t="s">
        <v>996</v>
      </c>
      <c r="F339" s="260">
        <v>0.5</v>
      </c>
      <c r="G339" s="202"/>
      <c r="H339" s="195"/>
      <c r="I339" s="196"/>
      <c r="J339" s="204"/>
      <c r="K339" s="197"/>
    </row>
    <row r="340" spans="1:11" ht="14.1" customHeight="1" thickBot="1">
      <c r="A340" s="197"/>
      <c r="B340" s="642"/>
      <c r="C340" s="650"/>
      <c r="D340" s="201"/>
      <c r="E340" s="224" t="s">
        <v>997</v>
      </c>
      <c r="F340" s="260">
        <v>0.75</v>
      </c>
      <c r="G340" s="202"/>
      <c r="H340" s="195"/>
      <c r="I340" s="196"/>
      <c r="J340" s="204"/>
      <c r="K340" s="197"/>
    </row>
    <row r="341" spans="1:11" ht="14.1" customHeight="1" thickBot="1">
      <c r="A341" s="197"/>
      <c r="B341" s="642"/>
      <c r="C341" s="651"/>
      <c r="D341" s="192"/>
      <c r="E341" s="226" t="s">
        <v>998</v>
      </c>
      <c r="F341" s="261">
        <v>1</v>
      </c>
      <c r="G341" s="202"/>
      <c r="H341" s="195"/>
      <c r="I341" s="196"/>
      <c r="J341" s="204"/>
      <c r="K341" s="197"/>
    </row>
    <row r="342" spans="1:11" ht="14.1" customHeight="1" thickBot="1">
      <c r="A342" s="197"/>
      <c r="B342" s="642"/>
      <c r="C342" s="655" t="s">
        <v>805</v>
      </c>
      <c r="D342" s="198"/>
      <c r="E342" s="203" t="s">
        <v>999</v>
      </c>
      <c r="F342" s="257">
        <v>0</v>
      </c>
      <c r="G342" s="202"/>
      <c r="H342" s="195"/>
      <c r="I342" s="196"/>
      <c r="J342" s="204"/>
      <c r="K342" s="197"/>
    </row>
    <row r="343" spans="1:11" ht="14.1" customHeight="1" thickBot="1">
      <c r="A343" s="197"/>
      <c r="B343" s="642"/>
      <c r="C343" s="665"/>
      <c r="D343" s="198"/>
      <c r="E343" s="203" t="s">
        <v>1000</v>
      </c>
      <c r="F343" s="257">
        <v>0.75</v>
      </c>
      <c r="G343" s="202"/>
      <c r="H343" s="195"/>
      <c r="I343" s="196"/>
      <c r="J343" s="204"/>
      <c r="K343" s="197"/>
    </row>
    <row r="344" spans="1:11" ht="14.1" customHeight="1" thickBot="1">
      <c r="A344" s="197"/>
      <c r="B344" s="642"/>
      <c r="C344" s="656"/>
      <c r="D344" s="200"/>
      <c r="E344" s="271" t="s">
        <v>1001</v>
      </c>
      <c r="F344" s="257">
        <v>1</v>
      </c>
      <c r="G344" s="202"/>
      <c r="H344" s="195"/>
      <c r="I344" s="196"/>
      <c r="J344" s="204"/>
      <c r="K344" s="197"/>
    </row>
    <row r="345" spans="1:11" ht="14.1" customHeight="1" thickBot="1">
      <c r="A345" s="197"/>
      <c r="B345" s="642"/>
      <c r="C345" s="655" t="s">
        <v>114</v>
      </c>
      <c r="D345" s="278" t="s">
        <v>1002</v>
      </c>
      <c r="E345" s="224" t="s">
        <v>1003</v>
      </c>
      <c r="F345" s="257">
        <v>0.25</v>
      </c>
      <c r="G345" s="194"/>
      <c r="H345" s="195" t="s">
        <v>116</v>
      </c>
      <c r="I345" s="204" t="s">
        <v>1004</v>
      </c>
      <c r="J345" s="205">
        <v>0.75</v>
      </c>
      <c r="K345" s="197"/>
    </row>
    <row r="346" spans="1:11" ht="14.1" customHeight="1" thickBot="1">
      <c r="A346" s="197"/>
      <c r="B346" s="642"/>
      <c r="C346" s="665"/>
      <c r="D346" s="278" t="s">
        <v>1005</v>
      </c>
      <c r="E346" s="224" t="s">
        <v>1003</v>
      </c>
      <c r="F346" s="257">
        <v>0.25</v>
      </c>
      <c r="G346" s="194"/>
      <c r="H346" s="195"/>
      <c r="I346" s="279" t="s">
        <v>1006</v>
      </c>
      <c r="J346" s="205">
        <v>0</v>
      </c>
      <c r="K346" s="197"/>
    </row>
    <row r="347" spans="1:11" ht="14.1" customHeight="1" thickBot="1">
      <c r="A347" s="197"/>
      <c r="B347" s="642"/>
      <c r="C347" s="665"/>
      <c r="D347" s="278" t="s">
        <v>1007</v>
      </c>
      <c r="E347" s="224" t="s">
        <v>1003</v>
      </c>
      <c r="F347" s="257">
        <v>0.25</v>
      </c>
      <c r="G347" s="194"/>
      <c r="H347" s="195"/>
      <c r="I347" s="196"/>
      <c r="J347" s="204"/>
      <c r="K347" s="197"/>
    </row>
    <row r="348" spans="1:11" ht="14.1" customHeight="1" thickBot="1">
      <c r="A348" s="197"/>
      <c r="B348" s="642"/>
      <c r="C348" s="665"/>
      <c r="D348" s="278" t="s">
        <v>1008</v>
      </c>
      <c r="E348" s="224" t="s">
        <v>1003</v>
      </c>
      <c r="F348" s="257">
        <v>0.25</v>
      </c>
      <c r="G348" s="194"/>
      <c r="H348" s="195"/>
      <c r="I348" s="196"/>
      <c r="J348" s="204"/>
      <c r="K348" s="197"/>
    </row>
    <row r="349" spans="1:11" ht="14.1" customHeight="1" thickBot="1">
      <c r="A349" s="197"/>
      <c r="B349" s="642"/>
      <c r="C349" s="665"/>
      <c r="D349" s="278" t="s">
        <v>1009</v>
      </c>
      <c r="E349" s="224" t="s">
        <v>1003</v>
      </c>
      <c r="F349" s="257">
        <v>0.25</v>
      </c>
      <c r="G349" s="194"/>
      <c r="H349" s="195"/>
      <c r="I349" s="196"/>
      <c r="J349" s="204"/>
      <c r="K349" s="197"/>
    </row>
    <row r="350" spans="1:11" ht="14.1" customHeight="1" thickBot="1">
      <c r="A350" s="197"/>
      <c r="B350" s="642"/>
      <c r="C350" s="656"/>
      <c r="D350" s="280" t="s">
        <v>1010</v>
      </c>
      <c r="E350" s="226" t="s">
        <v>1003</v>
      </c>
      <c r="F350" s="257">
        <v>0.25</v>
      </c>
      <c r="G350" s="194"/>
      <c r="H350" s="195"/>
      <c r="I350" s="196"/>
      <c r="J350" s="204"/>
      <c r="K350" s="197"/>
    </row>
    <row r="351" spans="1:11" ht="14.1" customHeight="1" thickBot="1">
      <c r="A351" s="197"/>
      <c r="B351" s="642"/>
      <c r="C351" s="644" t="s">
        <v>117</v>
      </c>
      <c r="D351" s="198"/>
      <c r="E351" s="277" t="s">
        <v>867</v>
      </c>
      <c r="F351" s="257">
        <v>0</v>
      </c>
      <c r="G351" s="219"/>
      <c r="H351" s="196" t="s">
        <v>119</v>
      </c>
      <c r="I351" s="203" t="s">
        <v>1011</v>
      </c>
      <c r="J351" s="204" t="s">
        <v>1012</v>
      </c>
      <c r="K351" s="197"/>
    </row>
    <row r="352" spans="1:11" ht="14.1" customHeight="1" thickBot="1">
      <c r="A352" s="197"/>
      <c r="B352" s="642"/>
      <c r="C352" s="645"/>
      <c r="D352" s="198"/>
      <c r="E352" s="277" t="s">
        <v>1013</v>
      </c>
      <c r="F352" s="257">
        <v>0.25</v>
      </c>
      <c r="G352" s="202"/>
      <c r="H352" s="195"/>
      <c r="I352" s="204" t="s">
        <v>1014</v>
      </c>
      <c r="J352" s="205">
        <v>0</v>
      </c>
      <c r="K352" s="197"/>
    </row>
    <row r="353" spans="1:11" ht="14.1" customHeight="1" thickBot="1">
      <c r="A353" s="197"/>
      <c r="B353" s="642"/>
      <c r="C353" s="645"/>
      <c r="D353" s="198"/>
      <c r="E353" s="277" t="s">
        <v>1015</v>
      </c>
      <c r="F353" s="257">
        <v>0.75</v>
      </c>
      <c r="G353" s="202"/>
      <c r="H353" s="195"/>
      <c r="I353" s="196"/>
      <c r="J353" s="204"/>
      <c r="K353" s="197"/>
    </row>
    <row r="354" spans="1:11" ht="14.1" customHeight="1" thickBot="1">
      <c r="A354" s="197"/>
      <c r="B354" s="642"/>
      <c r="C354" s="646"/>
      <c r="D354" s="200"/>
      <c r="E354" s="281" t="s">
        <v>1016</v>
      </c>
      <c r="F354" s="259">
        <v>1</v>
      </c>
      <c r="G354" s="202"/>
      <c r="H354" s="195"/>
      <c r="I354" s="196"/>
      <c r="J354" s="204"/>
      <c r="K354" s="197"/>
    </row>
    <row r="355" spans="1:11" ht="14.1" customHeight="1" thickBot="1">
      <c r="A355" s="197"/>
      <c r="B355" s="643"/>
      <c r="C355" s="644" t="s">
        <v>120</v>
      </c>
      <c r="D355" s="201"/>
      <c r="E355" s="224" t="s">
        <v>867</v>
      </c>
      <c r="F355" s="260">
        <v>0</v>
      </c>
      <c r="G355" s="193"/>
      <c r="H355" s="195"/>
      <c r="I355" s="220" t="s">
        <v>122</v>
      </c>
      <c r="J355" s="204"/>
      <c r="K355" s="197"/>
    </row>
    <row r="356" spans="1:11" ht="14.1" customHeight="1" thickBot="1">
      <c r="A356" s="197"/>
      <c r="B356" s="282"/>
      <c r="C356" s="645"/>
      <c r="D356" s="201"/>
      <c r="E356" s="224" t="s">
        <v>992</v>
      </c>
      <c r="F356" s="260">
        <v>0.25</v>
      </c>
      <c r="G356" s="194"/>
      <c r="H356" s="195"/>
      <c r="I356" s="196"/>
      <c r="J356" s="204"/>
      <c r="K356" s="197"/>
    </row>
    <row r="357" spans="1:11" ht="14.1" customHeight="1" thickBot="1">
      <c r="A357" s="197"/>
      <c r="B357" s="282"/>
      <c r="C357" s="645"/>
      <c r="D357" s="201"/>
      <c r="E357" s="224" t="s">
        <v>993</v>
      </c>
      <c r="F357" s="260">
        <v>0.75</v>
      </c>
      <c r="G357" s="194"/>
      <c r="H357" s="195"/>
      <c r="I357" s="196"/>
      <c r="J357" s="204"/>
      <c r="K357" s="197"/>
    </row>
    <row r="358" spans="1:11" ht="14.1" customHeight="1" thickBot="1">
      <c r="A358" s="197"/>
      <c r="B358" s="282"/>
      <c r="C358" s="646"/>
      <c r="D358" s="192"/>
      <c r="E358" s="226" t="s">
        <v>1017</v>
      </c>
      <c r="F358" s="261">
        <v>1</v>
      </c>
      <c r="G358" s="194"/>
      <c r="H358" s="195"/>
      <c r="I358" s="196"/>
      <c r="J358" s="204"/>
      <c r="K358" s="197"/>
    </row>
    <row r="359" spans="1:11" ht="14.1" customHeight="1" thickBot="1">
      <c r="A359" s="197"/>
      <c r="B359" s="641" t="s">
        <v>123</v>
      </c>
      <c r="C359" s="647" t="s">
        <v>124</v>
      </c>
      <c r="D359" s="198"/>
      <c r="E359" s="203" t="s">
        <v>1018</v>
      </c>
      <c r="F359" s="257">
        <v>1</v>
      </c>
      <c r="G359" s="209"/>
      <c r="H359" s="195"/>
      <c r="I359" s="196"/>
      <c r="J359" s="204"/>
      <c r="K359" s="197"/>
    </row>
    <row r="360" spans="1:11" ht="14.1" customHeight="1" thickBot="1">
      <c r="A360" s="197"/>
      <c r="B360" s="642"/>
      <c r="C360" s="680"/>
      <c r="D360" s="198"/>
      <c r="E360" s="203" t="s">
        <v>1019</v>
      </c>
      <c r="F360" s="257">
        <v>1</v>
      </c>
      <c r="G360" s="209"/>
      <c r="H360" s="195"/>
      <c r="I360" s="204"/>
      <c r="J360" s="204"/>
      <c r="K360" s="197"/>
    </row>
    <row r="361" spans="1:11" ht="14.1" customHeight="1" thickBot="1">
      <c r="A361" s="197"/>
      <c r="B361" s="642"/>
      <c r="C361" s="680"/>
      <c r="D361" s="198"/>
      <c r="E361" s="203" t="s">
        <v>1020</v>
      </c>
      <c r="F361" s="257">
        <v>1</v>
      </c>
      <c r="G361" s="209"/>
      <c r="H361" s="195"/>
      <c r="I361" s="204"/>
      <c r="J361" s="204"/>
      <c r="K361" s="197"/>
    </row>
    <row r="362" spans="1:11" ht="14.1" customHeight="1" thickBot="1">
      <c r="A362" s="197"/>
      <c r="B362" s="642"/>
      <c r="C362" s="680"/>
      <c r="D362" s="198"/>
      <c r="E362" s="203" t="s">
        <v>1021</v>
      </c>
      <c r="F362" s="257">
        <v>1</v>
      </c>
      <c r="G362" s="209"/>
      <c r="H362" s="195"/>
      <c r="I362" s="204"/>
      <c r="J362" s="204"/>
      <c r="K362" s="197"/>
    </row>
    <row r="363" spans="1:11" ht="14.1" customHeight="1" thickBot="1">
      <c r="A363" s="197"/>
      <c r="B363" s="642"/>
      <c r="C363" s="680"/>
      <c r="D363" s="198"/>
      <c r="E363" s="203" t="s">
        <v>1022</v>
      </c>
      <c r="F363" s="257">
        <v>1</v>
      </c>
      <c r="G363" s="209"/>
      <c r="H363" s="195"/>
      <c r="I363" s="204"/>
      <c r="J363" s="204"/>
      <c r="K363" s="197"/>
    </row>
    <row r="364" spans="1:11" ht="14.1" customHeight="1" thickBot="1">
      <c r="A364" s="197"/>
      <c r="B364" s="642"/>
      <c r="C364" s="680"/>
      <c r="D364" s="198"/>
      <c r="E364" s="203" t="s">
        <v>1023</v>
      </c>
      <c r="F364" s="257">
        <v>1</v>
      </c>
      <c r="G364" s="209"/>
      <c r="H364" s="195"/>
      <c r="I364" s="204"/>
      <c r="J364" s="204"/>
      <c r="K364" s="197"/>
    </row>
    <row r="365" spans="1:11" ht="14.1" customHeight="1" thickBot="1">
      <c r="A365" s="197"/>
      <c r="B365" s="642"/>
      <c r="C365" s="680"/>
      <c r="D365" s="198"/>
      <c r="E365" s="203" t="s">
        <v>863</v>
      </c>
      <c r="F365" s="257">
        <v>0</v>
      </c>
      <c r="G365" s="209"/>
      <c r="H365" s="195" t="s">
        <v>162</v>
      </c>
      <c r="I365" s="204" t="s">
        <v>1024</v>
      </c>
      <c r="J365" s="205">
        <v>1</v>
      </c>
      <c r="K365" s="197"/>
    </row>
    <row r="366" spans="1:11" ht="14.1" customHeight="1" thickBot="1">
      <c r="A366" s="197"/>
      <c r="B366" s="642"/>
      <c r="C366" s="648"/>
      <c r="D366" s="200"/>
      <c r="E366" s="271" t="s">
        <v>1025</v>
      </c>
      <c r="F366" s="283">
        <v>1</v>
      </c>
      <c r="G366" s="206"/>
      <c r="H366" s="195"/>
      <c r="I366" s="204" t="s">
        <v>1026</v>
      </c>
      <c r="J366" s="205">
        <v>0</v>
      </c>
      <c r="K366" s="197"/>
    </row>
    <row r="367" spans="1:11" ht="14.1" customHeight="1" thickBot="1">
      <c r="A367" s="197"/>
      <c r="B367" s="642"/>
      <c r="C367" s="649" t="s">
        <v>126</v>
      </c>
      <c r="D367" s="201"/>
      <c r="E367" s="224" t="s">
        <v>813</v>
      </c>
      <c r="F367" s="225">
        <v>1</v>
      </c>
      <c r="G367" s="191"/>
      <c r="H367" s="195" t="s">
        <v>128</v>
      </c>
      <c r="I367" s="204" t="s">
        <v>813</v>
      </c>
      <c r="J367" s="205">
        <v>1</v>
      </c>
      <c r="K367" s="197"/>
    </row>
    <row r="368" spans="1:11" ht="14.1" customHeight="1" thickBot="1">
      <c r="A368" s="197"/>
      <c r="B368" s="642"/>
      <c r="C368" s="651"/>
      <c r="D368" s="192"/>
      <c r="E368" s="226" t="s">
        <v>815</v>
      </c>
      <c r="F368" s="227">
        <v>0</v>
      </c>
      <c r="G368" s="194"/>
      <c r="H368" s="195"/>
      <c r="I368" s="204" t="s">
        <v>815</v>
      </c>
      <c r="J368" s="205">
        <v>0</v>
      </c>
      <c r="K368" s="197"/>
    </row>
    <row r="369" spans="1:11" ht="14.1" customHeight="1" thickBot="1">
      <c r="A369" s="191"/>
      <c r="B369" s="642"/>
      <c r="C369" s="655" t="s">
        <v>130</v>
      </c>
      <c r="D369" s="198"/>
      <c r="E369" s="203" t="s">
        <v>1027</v>
      </c>
      <c r="F369" s="210">
        <v>1</v>
      </c>
      <c r="G369" s="209" t="s">
        <v>1028</v>
      </c>
      <c r="H369" s="195"/>
      <c r="I369" s="196"/>
      <c r="J369" s="204"/>
      <c r="K369" s="197"/>
    </row>
    <row r="370" spans="1:11" ht="14.1" customHeight="1" thickBot="1">
      <c r="A370" s="191"/>
      <c r="B370" s="642"/>
      <c r="C370" s="665"/>
      <c r="D370" s="198"/>
      <c r="E370" s="203" t="s">
        <v>1029</v>
      </c>
      <c r="F370" s="210">
        <v>0.25</v>
      </c>
      <c r="G370" s="209" t="s">
        <v>1030</v>
      </c>
      <c r="H370" s="195"/>
      <c r="I370" s="196"/>
      <c r="J370" s="204"/>
      <c r="K370" s="197"/>
    </row>
    <row r="371" spans="1:11" ht="14.1" customHeight="1" thickBot="1">
      <c r="A371" s="191"/>
      <c r="B371" s="642"/>
      <c r="C371" s="665"/>
      <c r="D371" s="198"/>
      <c r="E371" s="203" t="s">
        <v>1031</v>
      </c>
      <c r="F371" s="210">
        <v>0</v>
      </c>
      <c r="G371" s="209" t="s">
        <v>1032</v>
      </c>
      <c r="H371" s="195"/>
      <c r="I371" s="196"/>
      <c r="J371" s="204"/>
      <c r="K371" s="197"/>
    </row>
    <row r="372" spans="1:11" ht="14.1" customHeight="1" thickBot="1">
      <c r="A372" s="191"/>
      <c r="B372" s="642"/>
      <c r="C372" s="665"/>
      <c r="D372" s="198"/>
      <c r="E372" s="203" t="s">
        <v>1033</v>
      </c>
      <c r="F372" s="210">
        <v>1</v>
      </c>
      <c r="G372" s="209" t="s">
        <v>1034</v>
      </c>
      <c r="H372" s="195"/>
      <c r="I372" s="196"/>
      <c r="J372" s="204"/>
      <c r="K372" s="197"/>
    </row>
    <row r="373" spans="1:11" ht="14.1" customHeight="1" thickBot="1">
      <c r="A373" s="191"/>
      <c r="B373" s="642"/>
      <c r="C373" s="665"/>
      <c r="D373" s="198"/>
      <c r="E373" s="203" t="s">
        <v>1035</v>
      </c>
      <c r="F373" s="210">
        <v>0</v>
      </c>
      <c r="G373" s="209" t="s">
        <v>1036</v>
      </c>
      <c r="H373" s="195"/>
      <c r="I373" s="196"/>
      <c r="J373" s="204"/>
      <c r="K373" s="197"/>
    </row>
    <row r="374" spans="1:11" ht="14.1" customHeight="1" thickBot="1">
      <c r="A374" s="191"/>
      <c r="B374" s="642"/>
      <c r="C374" s="665"/>
      <c r="D374" s="198"/>
      <c r="E374" s="203" t="s">
        <v>1037</v>
      </c>
      <c r="F374" s="210">
        <v>1</v>
      </c>
      <c r="G374" s="209" t="s">
        <v>1038</v>
      </c>
      <c r="H374" s="195"/>
      <c r="I374" s="196"/>
      <c r="J374" s="204"/>
      <c r="K374" s="197"/>
    </row>
    <row r="375" spans="1:11" ht="14.1" customHeight="1" thickBot="1">
      <c r="A375" s="191"/>
      <c r="B375" s="642"/>
      <c r="C375" s="656"/>
      <c r="D375" s="200"/>
      <c r="E375" s="271" t="s">
        <v>863</v>
      </c>
      <c r="F375" s="258">
        <v>0</v>
      </c>
      <c r="G375" s="206"/>
      <c r="H375" s="195"/>
      <c r="I375" s="196"/>
      <c r="J375" s="204"/>
      <c r="K375" s="197"/>
    </row>
    <row r="376" spans="1:11" ht="14.1" customHeight="1" thickBot="1">
      <c r="A376" s="191"/>
      <c r="B376" s="642"/>
      <c r="C376" s="669" t="s">
        <v>132</v>
      </c>
      <c r="D376" s="201"/>
      <c r="E376" s="224" t="s">
        <v>1039</v>
      </c>
      <c r="F376" s="225">
        <v>0.5</v>
      </c>
      <c r="G376" s="191"/>
      <c r="H376" s="195"/>
      <c r="I376" s="196"/>
      <c r="J376" s="204"/>
      <c r="K376" s="197"/>
    </row>
    <row r="377" spans="1:11" ht="14.1" customHeight="1" thickBot="1">
      <c r="A377" s="197"/>
      <c r="B377" s="642"/>
      <c r="C377" s="681"/>
      <c r="D377" s="201"/>
      <c r="E377" s="224" t="s">
        <v>1040</v>
      </c>
      <c r="F377" s="225">
        <v>0.75</v>
      </c>
      <c r="G377" s="191"/>
      <c r="H377" s="195"/>
      <c r="I377" s="196"/>
      <c r="J377" s="204"/>
      <c r="K377" s="197"/>
    </row>
    <row r="378" spans="1:11" ht="14.1" customHeight="1" thickBot="1">
      <c r="A378" s="197"/>
      <c r="B378" s="642"/>
      <c r="C378" s="681"/>
      <c r="D378" s="201"/>
      <c r="E378" s="224" t="s">
        <v>1041</v>
      </c>
      <c r="F378" s="225">
        <v>1</v>
      </c>
      <c r="G378" s="191"/>
      <c r="H378" s="195"/>
      <c r="I378" s="196"/>
      <c r="J378" s="204"/>
      <c r="K378" s="197"/>
    </row>
    <row r="379" spans="1:11" ht="14.1" customHeight="1" thickBot="1">
      <c r="A379" s="197"/>
      <c r="B379" s="643"/>
      <c r="C379" s="670"/>
      <c r="D379" s="192"/>
      <c r="E379" s="226" t="s">
        <v>1042</v>
      </c>
      <c r="F379" s="227">
        <v>1</v>
      </c>
      <c r="G379" s="194"/>
      <c r="H379" s="195"/>
      <c r="I379" s="196"/>
      <c r="J379" s="204"/>
      <c r="K379" s="197"/>
    </row>
    <row r="380" spans="1:11" ht="14.1" customHeight="1" thickBot="1">
      <c r="A380" s="197"/>
      <c r="B380" s="641" t="s">
        <v>134</v>
      </c>
      <c r="C380" s="644" t="s">
        <v>135</v>
      </c>
      <c r="D380" s="198"/>
      <c r="E380" s="203" t="s">
        <v>1043</v>
      </c>
      <c r="F380" s="677">
        <v>1</v>
      </c>
      <c r="G380" s="209"/>
      <c r="H380" s="195"/>
      <c r="I380" s="196"/>
      <c r="J380" s="196"/>
      <c r="K380" s="197"/>
    </row>
    <row r="381" spans="1:11" ht="14.1" customHeight="1" thickBot="1">
      <c r="A381" s="197"/>
      <c r="B381" s="642"/>
      <c r="C381" s="645"/>
      <c r="D381" s="198"/>
      <c r="E381" s="203" t="s">
        <v>1044</v>
      </c>
      <c r="F381" s="678"/>
      <c r="G381" s="209"/>
      <c r="H381" s="195"/>
      <c r="I381" s="196"/>
      <c r="J381" s="204"/>
      <c r="K381" s="197"/>
    </row>
    <row r="382" spans="1:11" ht="14.1" customHeight="1" thickBot="1">
      <c r="A382" s="197"/>
      <c r="B382" s="642"/>
      <c r="C382" s="645"/>
      <c r="D382" s="198"/>
      <c r="E382" s="203" t="s">
        <v>1045</v>
      </c>
      <c r="F382" s="678"/>
      <c r="G382" s="209"/>
      <c r="H382" s="195"/>
      <c r="I382" s="196"/>
      <c r="J382" s="204"/>
      <c r="K382" s="197"/>
    </row>
    <row r="383" spans="1:11" ht="14.1" customHeight="1" thickBot="1">
      <c r="A383" s="197"/>
      <c r="B383" s="642"/>
      <c r="C383" s="645"/>
      <c r="D383" s="198"/>
      <c r="E383" s="203" t="s">
        <v>1046</v>
      </c>
      <c r="F383" s="678"/>
      <c r="G383" s="209"/>
      <c r="H383" s="195"/>
      <c r="I383" s="196"/>
      <c r="J383" s="204"/>
      <c r="K383" s="197"/>
    </row>
    <row r="384" spans="1:11" ht="14.1" customHeight="1" thickBot="1">
      <c r="A384" s="197"/>
      <c r="B384" s="642"/>
      <c r="C384" s="645"/>
      <c r="D384" s="198"/>
      <c r="E384" s="203" t="s">
        <v>1047</v>
      </c>
      <c r="F384" s="679"/>
      <c r="G384" s="209"/>
      <c r="H384" s="195"/>
      <c r="I384" s="196"/>
      <c r="J384" s="204"/>
      <c r="K384" s="197"/>
    </row>
    <row r="385" spans="1:11" ht="14.1" customHeight="1" thickBot="1">
      <c r="A385" s="197"/>
      <c r="B385" s="642"/>
      <c r="C385" s="646"/>
      <c r="D385" s="200"/>
      <c r="E385" s="271" t="s">
        <v>863</v>
      </c>
      <c r="F385" s="221"/>
      <c r="G385" s="206"/>
      <c r="H385" s="195"/>
      <c r="I385" s="196"/>
      <c r="J385" s="204"/>
      <c r="K385" s="197"/>
    </row>
    <row r="386" spans="1:11" ht="14.1" customHeight="1" thickBot="1">
      <c r="A386" s="197"/>
      <c r="B386" s="643"/>
      <c r="C386" s="649" t="s">
        <v>137</v>
      </c>
      <c r="D386" s="201"/>
      <c r="E386" s="224" t="s">
        <v>813</v>
      </c>
      <c r="F386" s="225">
        <v>0.25</v>
      </c>
      <c r="G386" s="191"/>
      <c r="H386" s="195" t="s">
        <v>138</v>
      </c>
      <c r="I386" s="204" t="s">
        <v>1004</v>
      </c>
      <c r="J386" s="205">
        <v>0.75</v>
      </c>
      <c r="K386" s="197"/>
    </row>
    <row r="387" spans="1:11" ht="14.1" customHeight="1" thickBot="1">
      <c r="A387" s="202"/>
      <c r="B387" s="282"/>
      <c r="C387" s="651"/>
      <c r="D387" s="192"/>
      <c r="E387" s="226" t="s">
        <v>815</v>
      </c>
      <c r="F387" s="227">
        <v>0</v>
      </c>
      <c r="G387" s="194"/>
      <c r="H387" s="222"/>
      <c r="I387" s="276" t="s">
        <v>871</v>
      </c>
      <c r="J387" s="284">
        <v>0</v>
      </c>
      <c r="K387" s="202"/>
    </row>
    <row r="388" spans="1:11" ht="14.1" customHeight="1" thickBot="1">
      <c r="A388" s="666" t="s">
        <v>278</v>
      </c>
      <c r="B388" s="667"/>
      <c r="C388" s="667"/>
      <c r="D388" s="667"/>
      <c r="E388" s="667"/>
      <c r="F388" s="667"/>
      <c r="G388" s="667"/>
      <c r="H388" s="667"/>
      <c r="I388" s="667"/>
      <c r="J388" s="667"/>
      <c r="K388" s="668"/>
    </row>
    <row r="389" spans="1:11" ht="14.1" customHeight="1" thickBot="1">
      <c r="A389" s="197"/>
      <c r="B389" s="641" t="s">
        <v>139</v>
      </c>
      <c r="C389" s="647" t="s">
        <v>140</v>
      </c>
      <c r="D389" s="201"/>
      <c r="E389" s="224" t="s">
        <v>1048</v>
      </c>
      <c r="F389" s="225">
        <v>1</v>
      </c>
      <c r="G389" s="191"/>
      <c r="H389" s="195"/>
      <c r="I389" s="196"/>
      <c r="J389" s="204"/>
      <c r="K389" s="197"/>
    </row>
    <row r="390" spans="1:11" ht="14.1" customHeight="1" thickBot="1">
      <c r="A390" s="197"/>
      <c r="B390" s="642"/>
      <c r="C390" s="680"/>
      <c r="D390" s="223"/>
      <c r="E390" s="224" t="s">
        <v>1049</v>
      </c>
      <c r="F390" s="225">
        <v>0.9</v>
      </c>
      <c r="G390" s="191"/>
      <c r="H390" s="195"/>
      <c r="I390" s="196"/>
      <c r="J390" s="196"/>
      <c r="K390" s="197"/>
    </row>
    <row r="391" spans="1:11" ht="14.1" customHeight="1" thickBot="1">
      <c r="A391" s="197"/>
      <c r="B391" s="642"/>
      <c r="C391" s="680"/>
      <c r="D391" s="223"/>
      <c r="E391" s="224" t="s">
        <v>1050</v>
      </c>
      <c r="F391" s="225">
        <v>0.75</v>
      </c>
      <c r="G391" s="191"/>
      <c r="H391" s="195"/>
      <c r="I391" s="196"/>
      <c r="J391" s="196"/>
      <c r="K391" s="197"/>
    </row>
    <row r="392" spans="1:11" ht="14.1" customHeight="1" thickBot="1">
      <c r="A392" s="197"/>
      <c r="B392" s="642"/>
      <c r="C392" s="680"/>
      <c r="D392" s="223"/>
      <c r="E392" s="224" t="s">
        <v>1051</v>
      </c>
      <c r="F392" s="225">
        <v>0.5</v>
      </c>
      <c r="G392" s="191"/>
      <c r="H392" s="195"/>
      <c r="I392" s="196"/>
      <c r="J392" s="196"/>
      <c r="K392" s="197"/>
    </row>
    <row r="393" spans="1:11" ht="14.1" customHeight="1" thickBot="1">
      <c r="A393" s="197"/>
      <c r="B393" s="642"/>
      <c r="C393" s="680"/>
      <c r="D393" s="223"/>
      <c r="E393" s="224" t="s">
        <v>1052</v>
      </c>
      <c r="F393" s="225">
        <v>0.25</v>
      </c>
      <c r="G393" s="191"/>
      <c r="H393" s="195"/>
      <c r="I393" s="196"/>
      <c r="J393" s="196"/>
      <c r="K393" s="197"/>
    </row>
    <row r="394" spans="1:11" ht="14.1" customHeight="1" thickBot="1">
      <c r="A394" s="197"/>
      <c r="B394" s="642"/>
      <c r="C394" s="648"/>
      <c r="D394" s="193"/>
      <c r="E394" s="226" t="s">
        <v>1053</v>
      </c>
      <c r="F394" s="227">
        <v>0</v>
      </c>
      <c r="G394" s="194"/>
      <c r="H394" s="195"/>
      <c r="I394" s="196"/>
      <c r="J394" s="196"/>
      <c r="K394" s="197"/>
    </row>
    <row r="395" spans="1:11" ht="14.1" customHeight="1" thickBot="1">
      <c r="A395" s="197"/>
      <c r="B395" s="642"/>
      <c r="C395" s="647" t="s">
        <v>142</v>
      </c>
      <c r="D395" s="198"/>
      <c r="E395" s="203" t="s">
        <v>813</v>
      </c>
      <c r="F395" s="210">
        <v>0.1</v>
      </c>
      <c r="G395" s="209"/>
      <c r="H395" s="285" t="s">
        <v>143</v>
      </c>
      <c r="I395" s="204" t="s">
        <v>1054</v>
      </c>
      <c r="J395" s="205">
        <v>0.25</v>
      </c>
      <c r="K395" s="197"/>
    </row>
    <row r="396" spans="1:11" ht="14.1" customHeight="1" thickBot="1">
      <c r="A396" s="197"/>
      <c r="B396" s="642"/>
      <c r="C396" s="648"/>
      <c r="D396" s="200"/>
      <c r="E396" s="271" t="s">
        <v>815</v>
      </c>
      <c r="F396" s="271" t="s">
        <v>1055</v>
      </c>
      <c r="G396" s="206"/>
      <c r="H396" s="195"/>
      <c r="I396" s="279" t="s">
        <v>1056</v>
      </c>
      <c r="J396" s="205">
        <v>0</v>
      </c>
      <c r="K396" s="197"/>
    </row>
    <row r="397" spans="1:11" ht="30" customHeight="1" thickBot="1">
      <c r="A397" s="197"/>
      <c r="B397" s="643"/>
      <c r="C397" s="275" t="s">
        <v>144</v>
      </c>
      <c r="D397" s="217"/>
      <c r="E397" s="218"/>
      <c r="F397" s="218"/>
      <c r="G397" s="199"/>
      <c r="H397" s="195"/>
      <c r="I397" s="196"/>
      <c r="J397" s="204"/>
      <c r="K397" s="197"/>
    </row>
    <row r="398" spans="1:11" ht="14.1" customHeight="1" thickBot="1">
      <c r="A398" s="197"/>
      <c r="B398" s="641" t="s">
        <v>145</v>
      </c>
      <c r="C398" s="644" t="s">
        <v>146</v>
      </c>
      <c r="D398" s="201"/>
      <c r="E398" s="224" t="s">
        <v>813</v>
      </c>
      <c r="F398" s="225">
        <v>1</v>
      </c>
      <c r="G398" s="191"/>
      <c r="H398" s="195"/>
      <c r="I398" s="196"/>
      <c r="J398" s="204"/>
      <c r="K398" s="197"/>
    </row>
    <row r="399" spans="1:11" ht="14.1" customHeight="1" thickBot="1">
      <c r="A399" s="197"/>
      <c r="B399" s="642"/>
      <c r="C399" s="646"/>
      <c r="D399" s="192"/>
      <c r="E399" s="226" t="s">
        <v>815</v>
      </c>
      <c r="F399" s="227">
        <v>0</v>
      </c>
      <c r="G399" s="194"/>
      <c r="H399" s="195"/>
      <c r="I399" s="196"/>
      <c r="J399" s="204"/>
      <c r="K399" s="197"/>
    </row>
    <row r="400" spans="1:11" ht="14.1" customHeight="1" thickBot="1">
      <c r="A400" s="197"/>
      <c r="B400" s="642"/>
      <c r="C400" s="644" t="s">
        <v>147</v>
      </c>
      <c r="D400" s="198"/>
      <c r="E400" s="203" t="s">
        <v>867</v>
      </c>
      <c r="F400" s="210">
        <v>0</v>
      </c>
      <c r="G400" s="209"/>
      <c r="H400" s="195"/>
      <c r="I400" s="196"/>
      <c r="J400" s="204"/>
      <c r="K400" s="197"/>
    </row>
    <row r="401" spans="1:11" ht="14.1" customHeight="1" thickBot="1">
      <c r="A401" s="197"/>
      <c r="B401" s="642"/>
      <c r="C401" s="646"/>
      <c r="D401" s="200"/>
      <c r="E401" s="271" t="s">
        <v>1057</v>
      </c>
      <c r="F401" s="258">
        <v>1</v>
      </c>
      <c r="G401" s="206"/>
      <c r="H401" s="195"/>
      <c r="I401" s="196"/>
      <c r="J401" s="204"/>
      <c r="K401" s="197"/>
    </row>
    <row r="402" spans="1:11" ht="14.1" customHeight="1" thickBot="1">
      <c r="A402" s="197"/>
      <c r="B402" s="643"/>
      <c r="C402" s="644" t="s">
        <v>149</v>
      </c>
      <c r="D402" s="201"/>
      <c r="E402" s="224" t="s">
        <v>867</v>
      </c>
      <c r="F402" s="225">
        <v>0</v>
      </c>
      <c r="G402" s="191"/>
      <c r="H402" s="195"/>
      <c r="I402" s="196"/>
      <c r="J402" s="204"/>
      <c r="K402" s="197"/>
    </row>
    <row r="403" spans="1:11" ht="14.1" customHeight="1" thickBot="1">
      <c r="A403" s="197"/>
      <c r="B403" s="282"/>
      <c r="C403" s="646"/>
      <c r="D403" s="192"/>
      <c r="E403" s="226" t="s">
        <v>1058</v>
      </c>
      <c r="F403" s="227">
        <v>1</v>
      </c>
      <c r="G403" s="194"/>
      <c r="H403" s="195"/>
      <c r="I403" s="196"/>
      <c r="J403" s="204"/>
      <c r="K403" s="197"/>
    </row>
    <row r="404" spans="1:11" ht="14.1" customHeight="1" thickBot="1">
      <c r="A404" s="197"/>
      <c r="B404" s="641" t="s">
        <v>151</v>
      </c>
      <c r="C404" s="644" t="s">
        <v>152</v>
      </c>
      <c r="D404" s="198"/>
      <c r="E404" s="203" t="s">
        <v>886</v>
      </c>
      <c r="F404" s="210">
        <v>0.1</v>
      </c>
      <c r="G404" s="209"/>
      <c r="H404" s="195"/>
      <c r="I404" s="196"/>
      <c r="J404" s="204"/>
      <c r="K404" s="197"/>
    </row>
    <row r="405" spans="1:11" ht="14.1" customHeight="1" thickBot="1">
      <c r="A405" s="197"/>
      <c r="B405" s="642"/>
      <c r="C405" s="645"/>
      <c r="D405" s="198"/>
      <c r="E405" s="269">
        <v>45250</v>
      </c>
      <c r="F405" s="210">
        <v>0.2</v>
      </c>
      <c r="G405" s="209"/>
      <c r="H405" s="195"/>
      <c r="I405" s="196"/>
      <c r="J405" s="196"/>
      <c r="K405" s="197"/>
    </row>
    <row r="406" spans="1:11" ht="14.1" customHeight="1" thickBot="1">
      <c r="A406" s="197"/>
      <c r="B406" s="642"/>
      <c r="C406" s="645"/>
      <c r="D406" s="198"/>
      <c r="E406" s="203" t="s">
        <v>1059</v>
      </c>
      <c r="F406" s="210">
        <v>0.4</v>
      </c>
      <c r="G406" s="209"/>
      <c r="H406" s="195"/>
      <c r="I406" s="196"/>
      <c r="J406" s="196"/>
      <c r="K406" s="197"/>
    </row>
    <row r="407" spans="1:11" ht="14.1" customHeight="1" thickBot="1">
      <c r="A407" s="197"/>
      <c r="B407" s="642"/>
      <c r="C407" s="645"/>
      <c r="D407" s="198"/>
      <c r="E407" s="203" t="s">
        <v>1060</v>
      </c>
      <c r="F407" s="210">
        <v>0.6</v>
      </c>
      <c r="G407" s="209"/>
      <c r="H407" s="195"/>
      <c r="I407" s="196"/>
      <c r="J407" s="196"/>
      <c r="K407" s="197"/>
    </row>
    <row r="408" spans="1:11" ht="14.1" customHeight="1" thickBot="1">
      <c r="A408" s="197"/>
      <c r="B408" s="642"/>
      <c r="C408" s="645"/>
      <c r="D408" s="198"/>
      <c r="E408" s="203" t="s">
        <v>1061</v>
      </c>
      <c r="F408" s="210">
        <v>0.7</v>
      </c>
      <c r="G408" s="209"/>
      <c r="H408" s="195"/>
      <c r="I408" s="196"/>
      <c r="J408" s="196"/>
      <c r="K408" s="197"/>
    </row>
    <row r="409" spans="1:11" ht="14.1" customHeight="1" thickBot="1">
      <c r="A409" s="197"/>
      <c r="B409" s="642"/>
      <c r="C409" s="645"/>
      <c r="D409" s="198"/>
      <c r="E409" s="203" t="s">
        <v>1062</v>
      </c>
      <c r="F409" s="210">
        <v>0.9</v>
      </c>
      <c r="G409" s="209"/>
      <c r="H409" s="195"/>
      <c r="I409" s="196"/>
      <c r="J409" s="196"/>
      <c r="K409" s="197"/>
    </row>
    <row r="410" spans="1:11" ht="14.1" customHeight="1" thickBot="1">
      <c r="A410" s="197"/>
      <c r="B410" s="642"/>
      <c r="C410" s="646"/>
      <c r="D410" s="200"/>
      <c r="E410" s="271" t="s">
        <v>1063</v>
      </c>
      <c r="F410" s="258">
        <v>1</v>
      </c>
      <c r="G410" s="206"/>
      <c r="H410" s="195"/>
      <c r="I410" s="196"/>
      <c r="J410" s="196"/>
      <c r="K410" s="197"/>
    </row>
    <row r="411" spans="1:11" ht="14.1" customHeight="1" thickBot="1">
      <c r="A411" s="197"/>
      <c r="B411" s="642"/>
      <c r="C411" s="649" t="s">
        <v>154</v>
      </c>
      <c r="D411" s="201"/>
      <c r="E411" s="224" t="s">
        <v>813</v>
      </c>
      <c r="F411" s="263" t="s">
        <v>1064</v>
      </c>
      <c r="G411" s="191"/>
      <c r="H411" s="286" t="s">
        <v>1065</v>
      </c>
      <c r="I411" s="204" t="s">
        <v>1066</v>
      </c>
      <c r="J411" s="205">
        <v>0</v>
      </c>
      <c r="K411" s="197"/>
    </row>
    <row r="412" spans="1:11" ht="14.1" customHeight="1" thickBot="1">
      <c r="A412" s="197"/>
      <c r="B412" s="642"/>
      <c r="C412" s="650"/>
      <c r="D412" s="201"/>
      <c r="E412" s="224" t="s">
        <v>815</v>
      </c>
      <c r="F412" s="260">
        <v>0</v>
      </c>
      <c r="G412" s="191"/>
      <c r="H412" s="195"/>
      <c r="I412" s="204" t="s">
        <v>1067</v>
      </c>
      <c r="J412" s="205">
        <v>1</v>
      </c>
      <c r="K412" s="197"/>
    </row>
    <row r="413" spans="1:11" ht="14.1" customHeight="1" thickBot="1">
      <c r="A413" s="197"/>
      <c r="B413" s="642"/>
      <c r="C413" s="650"/>
      <c r="D413" s="201"/>
      <c r="E413" s="224"/>
      <c r="F413" s="263"/>
      <c r="G413" s="191"/>
      <c r="H413" s="195"/>
      <c r="I413" s="204" t="s">
        <v>1068</v>
      </c>
      <c r="J413" s="205">
        <v>0.75</v>
      </c>
      <c r="K413" s="197"/>
    </row>
    <row r="414" spans="1:11" ht="14.1" customHeight="1" thickBot="1">
      <c r="A414" s="197"/>
      <c r="B414" s="642"/>
      <c r="C414" s="650"/>
      <c r="D414" s="201"/>
      <c r="E414" s="224"/>
      <c r="F414" s="263"/>
      <c r="G414" s="191"/>
      <c r="H414" s="195"/>
      <c r="I414" s="204" t="s">
        <v>1069</v>
      </c>
      <c r="J414" s="205">
        <v>0.25</v>
      </c>
      <c r="K414" s="197"/>
    </row>
    <row r="415" spans="1:11" ht="14.1" customHeight="1" thickBot="1">
      <c r="A415" s="197"/>
      <c r="B415" s="642"/>
      <c r="C415" s="650"/>
      <c r="D415" s="201"/>
      <c r="E415" s="224"/>
      <c r="F415" s="263"/>
      <c r="G415" s="191"/>
      <c r="H415" s="195"/>
      <c r="I415" s="204" t="s">
        <v>1070</v>
      </c>
      <c r="J415" s="205">
        <v>0.05</v>
      </c>
      <c r="K415" s="197"/>
    </row>
    <row r="416" spans="1:11" ht="14.1" customHeight="1" thickBot="1">
      <c r="A416" s="197"/>
      <c r="B416" s="642"/>
      <c r="C416" s="651"/>
      <c r="D416" s="192"/>
      <c r="E416" s="208"/>
      <c r="F416" s="228"/>
      <c r="G416" s="194"/>
      <c r="H416" s="195"/>
      <c r="I416" s="196"/>
      <c r="J416" s="196"/>
      <c r="K416" s="197"/>
    </row>
    <row r="417" spans="1:11" ht="14.1" customHeight="1" thickBot="1">
      <c r="A417" s="197"/>
      <c r="B417" s="642"/>
      <c r="C417" s="644" t="s">
        <v>157</v>
      </c>
      <c r="D417" s="198"/>
      <c r="E417" s="203" t="s">
        <v>813</v>
      </c>
      <c r="F417" s="264" t="s">
        <v>1064</v>
      </c>
      <c r="G417" s="209"/>
      <c r="H417" s="682" t="s">
        <v>155</v>
      </c>
      <c r="I417" s="204" t="s">
        <v>1066</v>
      </c>
      <c r="J417" s="205">
        <v>0</v>
      </c>
      <c r="K417" s="197"/>
    </row>
    <row r="418" spans="1:11" ht="14.1" customHeight="1" thickBot="1">
      <c r="A418" s="197"/>
      <c r="B418" s="642"/>
      <c r="C418" s="645"/>
      <c r="D418" s="198"/>
      <c r="E418" s="203" t="s">
        <v>815</v>
      </c>
      <c r="F418" s="257">
        <v>0</v>
      </c>
      <c r="G418" s="206"/>
      <c r="H418" s="683"/>
      <c r="I418" s="204" t="s">
        <v>1067</v>
      </c>
      <c r="J418" s="205">
        <v>1</v>
      </c>
      <c r="K418" s="197"/>
    </row>
    <row r="419" spans="1:11" ht="14.1" customHeight="1" thickBot="1">
      <c r="A419" s="197"/>
      <c r="B419" s="642"/>
      <c r="C419" s="645"/>
      <c r="D419" s="198"/>
      <c r="E419" s="203"/>
      <c r="F419" s="264"/>
      <c r="G419" s="209"/>
      <c r="H419" s="683"/>
      <c r="I419" s="204" t="s">
        <v>1068</v>
      </c>
      <c r="J419" s="205">
        <v>0.75</v>
      </c>
      <c r="K419" s="197"/>
    </row>
    <row r="420" spans="1:11" ht="14.1" customHeight="1" thickBot="1">
      <c r="A420" s="197"/>
      <c r="B420" s="642"/>
      <c r="C420" s="645"/>
      <c r="D420" s="198"/>
      <c r="E420" s="203"/>
      <c r="F420" s="264"/>
      <c r="G420" s="209"/>
      <c r="H420" s="683"/>
      <c r="I420" s="204" t="s">
        <v>1069</v>
      </c>
      <c r="J420" s="205">
        <v>0.25</v>
      </c>
      <c r="K420" s="197"/>
    </row>
    <row r="421" spans="1:11" ht="14.1" customHeight="1" thickBot="1">
      <c r="A421" s="197"/>
      <c r="B421" s="642"/>
      <c r="C421" s="646"/>
      <c r="D421" s="200"/>
      <c r="E421" s="212"/>
      <c r="F421" s="206"/>
      <c r="G421" s="229"/>
      <c r="H421" s="684"/>
      <c r="I421" s="204" t="s">
        <v>1070</v>
      </c>
      <c r="J421" s="205">
        <v>0.05</v>
      </c>
      <c r="K421" s="197"/>
    </row>
    <row r="422" spans="1:11" ht="14.1" customHeight="1" thickBot="1">
      <c r="A422" s="197"/>
      <c r="B422" s="642"/>
      <c r="C422" s="644" t="s">
        <v>159</v>
      </c>
      <c r="D422" s="201"/>
      <c r="E422" s="224" t="s">
        <v>813</v>
      </c>
      <c r="F422" s="224" t="s">
        <v>1064</v>
      </c>
      <c r="G422" s="191"/>
      <c r="H422" s="195" t="s">
        <v>155</v>
      </c>
      <c r="I422" s="204" t="s">
        <v>1071</v>
      </c>
      <c r="J422" s="205">
        <v>0</v>
      </c>
      <c r="K422" s="197"/>
    </row>
    <row r="423" spans="1:11" ht="14.1" customHeight="1" thickBot="1">
      <c r="A423" s="197"/>
      <c r="B423" s="642"/>
      <c r="C423" s="645"/>
      <c r="D423" s="201"/>
      <c r="E423" s="224" t="s">
        <v>815</v>
      </c>
      <c r="F423" s="225">
        <v>0</v>
      </c>
      <c r="G423" s="191"/>
      <c r="H423" s="195"/>
      <c r="I423" s="204" t="s">
        <v>1067</v>
      </c>
      <c r="J423" s="205">
        <v>1</v>
      </c>
      <c r="K423" s="197"/>
    </row>
    <row r="424" spans="1:11" ht="14.1" customHeight="1" thickBot="1">
      <c r="A424" s="197"/>
      <c r="B424" s="642"/>
      <c r="C424" s="645"/>
      <c r="D424" s="201"/>
      <c r="E424" s="224"/>
      <c r="F424" s="224"/>
      <c r="G424" s="191"/>
      <c r="H424" s="195"/>
      <c r="I424" s="204" t="s">
        <v>1068</v>
      </c>
      <c r="J424" s="205">
        <v>0.75</v>
      </c>
      <c r="K424" s="197"/>
    </row>
    <row r="425" spans="1:11" ht="14.1" customHeight="1" thickBot="1">
      <c r="A425" s="197"/>
      <c r="B425" s="642"/>
      <c r="C425" s="645"/>
      <c r="D425" s="201"/>
      <c r="E425" s="224"/>
      <c r="F425" s="224"/>
      <c r="G425" s="191"/>
      <c r="H425" s="195"/>
      <c r="I425" s="204" t="s">
        <v>1069</v>
      </c>
      <c r="J425" s="205">
        <v>0.25</v>
      </c>
      <c r="K425" s="197"/>
    </row>
    <row r="426" spans="1:11" ht="14.1" customHeight="1" thickBot="1">
      <c r="A426" s="197"/>
      <c r="B426" s="643"/>
      <c r="C426" s="646"/>
      <c r="D426" s="192"/>
      <c r="E426" s="208"/>
      <c r="F426" s="208"/>
      <c r="G426" s="194"/>
      <c r="H426" s="195"/>
      <c r="I426" s="204" t="s">
        <v>1070</v>
      </c>
      <c r="J426" s="205">
        <v>0.05</v>
      </c>
      <c r="K426" s="197"/>
    </row>
    <row r="427" spans="1:11" ht="14.1" customHeight="1" thickBot="1">
      <c r="A427" s="197"/>
      <c r="B427" s="641" t="s">
        <v>160</v>
      </c>
      <c r="C427" s="644" t="s">
        <v>1072</v>
      </c>
      <c r="D427" s="198"/>
      <c r="E427" s="203" t="s">
        <v>813</v>
      </c>
      <c r="F427" s="264" t="s">
        <v>1064</v>
      </c>
      <c r="G427" s="209"/>
      <c r="H427" s="638" t="s">
        <v>162</v>
      </c>
      <c r="I427" s="204" t="s">
        <v>1071</v>
      </c>
      <c r="J427" s="205">
        <v>0</v>
      </c>
      <c r="K427" s="197"/>
    </row>
    <row r="428" spans="1:11" ht="14.1" customHeight="1" thickBot="1">
      <c r="A428" s="197"/>
      <c r="B428" s="642"/>
      <c r="C428" s="645"/>
      <c r="D428" s="198"/>
      <c r="E428" s="203" t="s">
        <v>815</v>
      </c>
      <c r="F428" s="257">
        <v>0</v>
      </c>
      <c r="G428" s="209"/>
      <c r="H428" s="639"/>
      <c r="I428" s="204">
        <v>1</v>
      </c>
      <c r="J428" s="205">
        <v>0.5</v>
      </c>
      <c r="K428" s="197"/>
    </row>
    <row r="429" spans="1:11" ht="14.1" customHeight="1" thickBot="1">
      <c r="A429" s="197"/>
      <c r="B429" s="642"/>
      <c r="C429" s="645"/>
      <c r="D429" s="198"/>
      <c r="E429" s="211"/>
      <c r="F429" s="209"/>
      <c r="G429" s="191"/>
      <c r="H429" s="639"/>
      <c r="I429" s="287">
        <v>44960</v>
      </c>
      <c r="J429" s="205">
        <v>0.65</v>
      </c>
      <c r="K429" s="197"/>
    </row>
    <row r="430" spans="1:11" ht="14.1" customHeight="1" thickBot="1">
      <c r="A430" s="197"/>
      <c r="B430" s="642"/>
      <c r="C430" s="645"/>
      <c r="D430" s="198"/>
      <c r="E430" s="211"/>
      <c r="F430" s="209"/>
      <c r="G430" s="191"/>
      <c r="H430" s="639"/>
      <c r="I430" s="287">
        <v>44990</v>
      </c>
      <c r="J430" s="205">
        <v>0.75</v>
      </c>
      <c r="K430" s="197"/>
    </row>
    <row r="431" spans="1:11" ht="14.1" customHeight="1" thickBot="1">
      <c r="A431" s="197"/>
      <c r="B431" s="642"/>
      <c r="C431" s="646"/>
      <c r="D431" s="200"/>
      <c r="E431" s="212"/>
      <c r="F431" s="206"/>
      <c r="G431" s="194"/>
      <c r="H431" s="640"/>
      <c r="I431" s="204" t="s">
        <v>1073</v>
      </c>
      <c r="J431" s="205">
        <v>1</v>
      </c>
      <c r="K431" s="197"/>
    </row>
    <row r="432" spans="1:11" ht="14.1" customHeight="1" thickBot="1">
      <c r="A432" s="197"/>
      <c r="B432" s="642"/>
      <c r="C432" s="358" t="s">
        <v>164</v>
      </c>
      <c r="D432" s="201"/>
      <c r="E432" s="223"/>
      <c r="F432" s="191"/>
      <c r="G432" s="194"/>
      <c r="H432" s="195" t="s">
        <v>1074</v>
      </c>
      <c r="I432" s="204" t="s">
        <v>1071</v>
      </c>
      <c r="J432" s="205">
        <v>0</v>
      </c>
      <c r="K432" s="197"/>
    </row>
    <row r="433" spans="1:11" ht="14.1" customHeight="1" thickBot="1">
      <c r="A433" s="197"/>
      <c r="B433" s="642"/>
      <c r="C433" s="238"/>
      <c r="D433" s="201"/>
      <c r="E433" s="224"/>
      <c r="F433" s="263"/>
      <c r="G433" s="209"/>
      <c r="H433" s="195"/>
      <c r="I433" s="204">
        <v>1</v>
      </c>
      <c r="J433" s="205">
        <v>0.5</v>
      </c>
      <c r="K433" s="197"/>
    </row>
    <row r="434" spans="1:11" ht="14.1" customHeight="1" thickBot="1">
      <c r="A434" s="197"/>
      <c r="B434" s="642"/>
      <c r="C434" s="238"/>
      <c r="D434" s="201"/>
      <c r="E434" s="224"/>
      <c r="F434" s="263"/>
      <c r="G434" s="209"/>
      <c r="H434" s="195"/>
      <c r="I434" s="287">
        <v>44960</v>
      </c>
      <c r="J434" s="205">
        <v>0.65</v>
      </c>
      <c r="K434" s="197"/>
    </row>
    <row r="435" spans="1:11" ht="14.1" customHeight="1" thickBot="1">
      <c r="A435" s="197"/>
      <c r="B435" s="642"/>
      <c r="C435" s="238"/>
      <c r="D435" s="201"/>
      <c r="E435" s="224"/>
      <c r="F435" s="263"/>
      <c r="G435" s="209"/>
      <c r="H435" s="195"/>
      <c r="I435" s="287">
        <v>44990</v>
      </c>
      <c r="J435" s="205">
        <v>0.75</v>
      </c>
      <c r="K435" s="197"/>
    </row>
    <row r="436" spans="1:11" ht="14.1" customHeight="1" thickBot="1">
      <c r="A436" s="197"/>
      <c r="B436" s="642"/>
      <c r="C436" s="288"/>
      <c r="D436" s="192"/>
      <c r="E436" s="226"/>
      <c r="F436" s="289"/>
      <c r="G436" s="209"/>
      <c r="H436" s="195"/>
      <c r="I436" s="204" t="s">
        <v>1073</v>
      </c>
      <c r="J436" s="205">
        <v>1</v>
      </c>
      <c r="K436" s="197"/>
    </row>
    <row r="437" spans="1:11" ht="14.1" customHeight="1" thickBot="1">
      <c r="A437" s="197"/>
      <c r="B437" s="642"/>
      <c r="C437" s="644" t="s">
        <v>1075</v>
      </c>
      <c r="D437" s="198"/>
      <c r="E437" s="203" t="s">
        <v>813</v>
      </c>
      <c r="F437" s="203" t="s">
        <v>1064</v>
      </c>
      <c r="G437" s="209"/>
      <c r="H437" s="195" t="s">
        <v>167</v>
      </c>
      <c r="I437" s="204" t="s">
        <v>1076</v>
      </c>
      <c r="J437" s="205">
        <v>1</v>
      </c>
      <c r="K437" s="197"/>
    </row>
    <row r="438" spans="1:11" ht="14.1" customHeight="1" thickBot="1">
      <c r="A438" s="197"/>
      <c r="B438" s="642"/>
      <c r="C438" s="646"/>
      <c r="D438" s="200"/>
      <c r="E438" s="271" t="s">
        <v>815</v>
      </c>
      <c r="F438" s="258">
        <v>0</v>
      </c>
      <c r="G438" s="206"/>
      <c r="H438" s="195"/>
      <c r="I438" s="204" t="s">
        <v>1077</v>
      </c>
      <c r="J438" s="205">
        <v>0</v>
      </c>
      <c r="K438" s="197"/>
    </row>
    <row r="439" spans="1:11" ht="27.75" customHeight="1" thickBot="1">
      <c r="A439" s="202"/>
      <c r="B439" s="643"/>
      <c r="C439" s="359" t="s">
        <v>168</v>
      </c>
      <c r="D439" s="192"/>
      <c r="E439" s="193"/>
      <c r="F439" s="193"/>
      <c r="G439" s="194"/>
      <c r="H439" s="222"/>
      <c r="I439" s="219"/>
      <c r="J439" s="276"/>
      <c r="K439" s="202"/>
    </row>
    <row r="440" spans="1:11" ht="14.1" customHeight="1" thickBot="1">
      <c r="A440" s="688" t="s">
        <v>169</v>
      </c>
      <c r="B440" s="689"/>
      <c r="C440" s="689"/>
      <c r="D440" s="689"/>
      <c r="E440" s="689"/>
      <c r="F440" s="689"/>
      <c r="G440" s="689"/>
      <c r="H440" s="689"/>
      <c r="I440" s="689"/>
      <c r="J440" s="689"/>
      <c r="K440" s="690"/>
    </row>
    <row r="441" spans="1:11" ht="14.1" customHeight="1" thickBot="1">
      <c r="A441" s="230"/>
      <c r="B441" s="641" t="s">
        <v>169</v>
      </c>
      <c r="C441" s="649" t="s">
        <v>170</v>
      </c>
      <c r="D441" s="201"/>
      <c r="E441" s="224" t="s">
        <v>813</v>
      </c>
      <c r="F441" s="272" t="s">
        <v>1064</v>
      </c>
      <c r="G441" s="191"/>
      <c r="H441" s="195" t="s">
        <v>171</v>
      </c>
      <c r="I441" s="196"/>
      <c r="J441" s="290" t="s">
        <v>172</v>
      </c>
      <c r="K441" s="197"/>
    </row>
    <row r="442" spans="1:11" ht="14.1" customHeight="1" thickBot="1">
      <c r="A442" s="230"/>
      <c r="B442" s="642"/>
      <c r="C442" s="651"/>
      <c r="D442" s="192"/>
      <c r="E442" s="226" t="s">
        <v>815</v>
      </c>
      <c r="F442" s="227">
        <v>0</v>
      </c>
      <c r="G442" s="194"/>
      <c r="H442" s="195"/>
      <c r="I442" s="196"/>
      <c r="J442" s="291"/>
      <c r="K442" s="197"/>
    </row>
    <row r="443" spans="1:11" ht="14.1" customHeight="1" thickBot="1">
      <c r="A443" s="230"/>
      <c r="B443" s="642"/>
      <c r="C443" s="644" t="s">
        <v>173</v>
      </c>
      <c r="D443" s="198"/>
      <c r="E443" s="203" t="s">
        <v>813</v>
      </c>
      <c r="F443" s="264" t="s">
        <v>1064</v>
      </c>
      <c r="G443" s="209"/>
      <c r="H443" s="195" t="s">
        <v>171</v>
      </c>
      <c r="I443" s="196"/>
      <c r="J443" s="290" t="s">
        <v>172</v>
      </c>
      <c r="K443" s="197"/>
    </row>
    <row r="444" spans="1:11" ht="14.1" customHeight="1" thickBot="1">
      <c r="A444" s="230"/>
      <c r="B444" s="642"/>
      <c r="C444" s="646"/>
      <c r="D444" s="200"/>
      <c r="E444" s="271" t="s">
        <v>815</v>
      </c>
      <c r="F444" s="259">
        <v>0</v>
      </c>
      <c r="G444" s="206"/>
      <c r="H444" s="195"/>
      <c r="I444" s="196"/>
      <c r="J444" s="291"/>
      <c r="K444" s="197"/>
    </row>
    <row r="445" spans="1:11" ht="14.1" customHeight="1" thickBot="1">
      <c r="A445" s="230"/>
      <c r="B445" s="642"/>
      <c r="C445" s="644" t="s">
        <v>174</v>
      </c>
      <c r="D445" s="201"/>
      <c r="E445" s="224" t="s">
        <v>813</v>
      </c>
      <c r="F445" s="272" t="s">
        <v>1064</v>
      </c>
      <c r="G445" s="191"/>
      <c r="H445" s="195" t="s">
        <v>171</v>
      </c>
      <c r="I445" s="196"/>
      <c r="J445" s="290" t="s">
        <v>172</v>
      </c>
      <c r="K445" s="197"/>
    </row>
    <row r="446" spans="1:11" ht="14.1" customHeight="1" thickBot="1">
      <c r="A446" s="230"/>
      <c r="B446" s="642"/>
      <c r="C446" s="646"/>
      <c r="D446" s="192"/>
      <c r="E446" s="226" t="s">
        <v>815</v>
      </c>
      <c r="F446" s="227">
        <v>0</v>
      </c>
      <c r="G446" s="194"/>
      <c r="H446" s="195"/>
      <c r="I446" s="196"/>
      <c r="J446" s="291"/>
      <c r="K446" s="197"/>
    </row>
    <row r="447" spans="1:11" ht="14.1" customHeight="1" thickBot="1">
      <c r="A447" s="230"/>
      <c r="B447" s="642"/>
      <c r="C447" s="644" t="s">
        <v>175</v>
      </c>
      <c r="D447" s="198"/>
      <c r="E447" s="203" t="s">
        <v>813</v>
      </c>
      <c r="F447" s="264" t="s">
        <v>1064</v>
      </c>
      <c r="G447" s="209"/>
      <c r="H447" s="195" t="s">
        <v>1078</v>
      </c>
      <c r="I447" s="204">
        <v>0</v>
      </c>
      <c r="J447" s="205">
        <v>0</v>
      </c>
      <c r="K447" s="197"/>
    </row>
    <row r="448" spans="1:11" ht="14.1" customHeight="1" thickBot="1">
      <c r="A448" s="230"/>
      <c r="B448" s="642"/>
      <c r="C448" s="646"/>
      <c r="D448" s="200"/>
      <c r="E448" s="271" t="s">
        <v>815</v>
      </c>
      <c r="F448" s="259">
        <v>0</v>
      </c>
      <c r="G448" s="206"/>
      <c r="H448" s="195"/>
      <c r="I448" s="204" t="s">
        <v>1079</v>
      </c>
      <c r="J448" s="205">
        <v>1</v>
      </c>
      <c r="K448" s="197"/>
    </row>
    <row r="449" spans="1:11" ht="14.1" customHeight="1" thickBot="1">
      <c r="A449" s="231"/>
      <c r="B449" s="643"/>
      <c r="C449" s="359" t="s">
        <v>178</v>
      </c>
      <c r="D449" s="192"/>
      <c r="E449" s="193"/>
      <c r="F449" s="193"/>
      <c r="G449" s="194"/>
      <c r="H449" s="222"/>
      <c r="I449" s="219"/>
      <c r="J449" s="276"/>
      <c r="K449" s="202"/>
    </row>
    <row r="450" spans="1:11" ht="14.1" customHeight="1" thickBot="1">
      <c r="A450" s="666" t="s">
        <v>179</v>
      </c>
      <c r="B450" s="667"/>
      <c r="C450" s="667"/>
      <c r="D450" s="667"/>
      <c r="E450" s="667"/>
      <c r="F450" s="667"/>
      <c r="G450" s="667"/>
      <c r="H450" s="667"/>
      <c r="I450" s="667"/>
      <c r="J450" s="667"/>
      <c r="K450" s="668"/>
    </row>
    <row r="451" spans="1:11" ht="14.1" customHeight="1" thickBot="1">
      <c r="A451" s="197"/>
      <c r="B451" s="641" t="s">
        <v>180</v>
      </c>
      <c r="C451" s="669" t="s">
        <v>181</v>
      </c>
      <c r="D451" s="201"/>
      <c r="E451" s="224" t="s">
        <v>813</v>
      </c>
      <c r="F451" s="272" t="s">
        <v>1064</v>
      </c>
      <c r="G451" s="191"/>
      <c r="H451" s="195" t="s">
        <v>183</v>
      </c>
      <c r="I451" s="204" t="s">
        <v>1080</v>
      </c>
      <c r="J451" s="205">
        <v>1</v>
      </c>
      <c r="K451" s="197"/>
    </row>
    <row r="452" spans="1:11" ht="14.1" customHeight="1" thickBot="1">
      <c r="A452" s="197"/>
      <c r="B452" s="642"/>
      <c r="C452" s="670"/>
      <c r="D452" s="192"/>
      <c r="E452" s="226" t="s">
        <v>815</v>
      </c>
      <c r="F452" s="227">
        <v>0</v>
      </c>
      <c r="G452" s="194"/>
      <c r="H452" s="195"/>
      <c r="I452" s="204" t="s">
        <v>1081</v>
      </c>
      <c r="J452" s="205">
        <v>0</v>
      </c>
      <c r="K452" s="197"/>
    </row>
    <row r="453" spans="1:11" ht="14.1" customHeight="1" thickBot="1">
      <c r="A453" s="197"/>
      <c r="B453" s="642"/>
      <c r="C453" s="671" t="s">
        <v>184</v>
      </c>
      <c r="D453" s="198"/>
      <c r="E453" s="203" t="s">
        <v>1082</v>
      </c>
      <c r="F453" s="210">
        <v>1</v>
      </c>
      <c r="G453" s="209"/>
      <c r="H453" s="195"/>
      <c r="I453" s="196"/>
      <c r="J453" s="204"/>
      <c r="K453" s="197"/>
    </row>
    <row r="454" spans="1:11" ht="14.1" customHeight="1" thickBot="1">
      <c r="A454" s="197"/>
      <c r="B454" s="642"/>
      <c r="C454" s="673"/>
      <c r="D454" s="200"/>
      <c r="E454" s="271" t="s">
        <v>1083</v>
      </c>
      <c r="F454" s="271" t="s">
        <v>1084</v>
      </c>
      <c r="G454" s="206"/>
      <c r="H454" s="195"/>
      <c r="I454" s="196"/>
      <c r="J454" s="204"/>
      <c r="K454" s="197"/>
    </row>
    <row r="455" spans="1:11" ht="14.1" customHeight="1" thickBot="1">
      <c r="A455" s="197"/>
      <c r="B455" s="642"/>
      <c r="C455" s="685" t="s">
        <v>186</v>
      </c>
      <c r="D455" s="201"/>
      <c r="E455" s="224" t="s">
        <v>813</v>
      </c>
      <c r="F455" s="272" t="s">
        <v>1064</v>
      </c>
      <c r="G455" s="191"/>
      <c r="H455" s="195"/>
      <c r="I455" s="196"/>
      <c r="J455" s="204"/>
      <c r="K455" s="197"/>
    </row>
    <row r="456" spans="1:11" ht="14.1" customHeight="1" thickBot="1">
      <c r="A456" s="197"/>
      <c r="B456" s="642"/>
      <c r="C456" s="686"/>
      <c r="D456" s="192"/>
      <c r="E456" s="226" t="s">
        <v>815</v>
      </c>
      <c r="F456" s="227">
        <v>0</v>
      </c>
      <c r="G456" s="194"/>
      <c r="H456" s="195"/>
      <c r="I456" s="196"/>
      <c r="J456" s="204"/>
      <c r="K456" s="197"/>
    </row>
    <row r="457" spans="1:11" ht="14.1" customHeight="1" thickBot="1">
      <c r="A457" s="197"/>
      <c r="B457" s="642"/>
      <c r="C457" s="671" t="s">
        <v>187</v>
      </c>
      <c r="D457" s="198"/>
      <c r="E457" s="203" t="s">
        <v>813</v>
      </c>
      <c r="F457" s="210">
        <v>1</v>
      </c>
      <c r="G457" s="209"/>
      <c r="H457" s="195"/>
      <c r="I457" s="196"/>
      <c r="J457" s="204"/>
      <c r="K457" s="197"/>
    </row>
    <row r="458" spans="1:11" ht="14.1" customHeight="1" thickBot="1">
      <c r="A458" s="197"/>
      <c r="B458" s="642"/>
      <c r="C458" s="673"/>
      <c r="D458" s="200"/>
      <c r="E458" s="271" t="s">
        <v>815</v>
      </c>
      <c r="F458" s="258">
        <v>0</v>
      </c>
      <c r="G458" s="206"/>
      <c r="H458" s="195"/>
      <c r="I458" s="196"/>
      <c r="J458" s="204"/>
      <c r="K458" s="197"/>
    </row>
    <row r="459" spans="1:11" ht="14.1" customHeight="1" thickBot="1">
      <c r="A459" s="197"/>
      <c r="B459" s="642"/>
      <c r="C459" s="685" t="s">
        <v>188</v>
      </c>
      <c r="D459" s="201"/>
      <c r="E459" s="224" t="s">
        <v>813</v>
      </c>
      <c r="F459" s="272" t="s">
        <v>1064</v>
      </c>
      <c r="G459" s="191"/>
      <c r="H459" s="195" t="s">
        <v>1085</v>
      </c>
      <c r="I459" s="204" t="s">
        <v>1066</v>
      </c>
      <c r="J459" s="205">
        <v>0</v>
      </c>
      <c r="K459" s="197"/>
    </row>
    <row r="460" spans="1:11" ht="14.1" customHeight="1" thickBot="1">
      <c r="A460" s="197"/>
      <c r="B460" s="642"/>
      <c r="C460" s="687"/>
      <c r="D460" s="201"/>
      <c r="E460" s="224" t="s">
        <v>815</v>
      </c>
      <c r="F460" s="225">
        <v>0</v>
      </c>
      <c r="G460" s="191"/>
      <c r="H460" s="195"/>
      <c r="I460" s="204" t="s">
        <v>1067</v>
      </c>
      <c r="J460" s="205">
        <v>0.25</v>
      </c>
      <c r="K460" s="197"/>
    </row>
    <row r="461" spans="1:11" ht="14.1" customHeight="1" thickBot="1">
      <c r="A461" s="197"/>
      <c r="B461" s="642"/>
      <c r="C461" s="687"/>
      <c r="D461" s="201"/>
      <c r="E461" s="224"/>
      <c r="F461" s="224"/>
      <c r="G461" s="191"/>
      <c r="H461" s="195"/>
      <c r="I461" s="204" t="s">
        <v>1068</v>
      </c>
      <c r="J461" s="205">
        <v>0.5</v>
      </c>
      <c r="K461" s="197"/>
    </row>
    <row r="462" spans="1:11" ht="14.1" customHeight="1" thickBot="1">
      <c r="A462" s="197"/>
      <c r="B462" s="642"/>
      <c r="C462" s="687"/>
      <c r="D462" s="201"/>
      <c r="E462" s="224"/>
      <c r="F462" s="224"/>
      <c r="G462" s="191"/>
      <c r="H462" s="195"/>
      <c r="I462" s="204" t="s">
        <v>1069</v>
      </c>
      <c r="J462" s="205">
        <v>0.75</v>
      </c>
      <c r="K462" s="197"/>
    </row>
    <row r="463" spans="1:11" ht="14.1" customHeight="1" thickBot="1">
      <c r="A463" s="197"/>
      <c r="B463" s="642"/>
      <c r="C463" s="687"/>
      <c r="D463" s="201"/>
      <c r="E463" s="224"/>
      <c r="F463" s="224"/>
      <c r="G463" s="191"/>
      <c r="H463" s="195"/>
      <c r="I463" s="204" t="s">
        <v>1070</v>
      </c>
      <c r="J463" s="205">
        <v>1</v>
      </c>
      <c r="K463" s="197"/>
    </row>
    <row r="464" spans="1:11" ht="14.1" customHeight="1" thickBot="1">
      <c r="A464" s="197"/>
      <c r="B464" s="642"/>
      <c r="C464" s="686"/>
      <c r="D464" s="192"/>
      <c r="E464" s="208"/>
      <c r="F464" s="208"/>
      <c r="G464" s="194"/>
      <c r="H464" s="195"/>
      <c r="I464" s="196"/>
      <c r="J464" s="204"/>
      <c r="K464" s="197"/>
    </row>
    <row r="465" spans="1:11" ht="14.1" customHeight="1" thickBot="1">
      <c r="A465" s="197"/>
      <c r="B465" s="642"/>
      <c r="C465" s="671" t="s">
        <v>189</v>
      </c>
      <c r="D465" s="198"/>
      <c r="E465" s="203" t="s">
        <v>813</v>
      </c>
      <c r="F465" s="264" t="s">
        <v>1064</v>
      </c>
      <c r="G465" s="209"/>
      <c r="H465" s="195" t="s">
        <v>1085</v>
      </c>
      <c r="I465" s="204" t="s">
        <v>1071</v>
      </c>
      <c r="J465" s="205">
        <v>0</v>
      </c>
      <c r="K465" s="197"/>
    </row>
    <row r="466" spans="1:11" ht="14.1" customHeight="1" thickBot="1">
      <c r="A466" s="197"/>
      <c r="B466" s="642"/>
      <c r="C466" s="672"/>
      <c r="D466" s="198"/>
      <c r="E466" s="203" t="s">
        <v>815</v>
      </c>
      <c r="F466" s="257">
        <v>0</v>
      </c>
      <c r="G466" s="209"/>
      <c r="H466" s="195"/>
      <c r="I466" s="204" t="s">
        <v>1067</v>
      </c>
      <c r="J466" s="205">
        <v>1</v>
      </c>
      <c r="K466" s="197"/>
    </row>
    <row r="467" spans="1:11" ht="14.1" customHeight="1" thickBot="1">
      <c r="A467" s="197"/>
      <c r="B467" s="642"/>
      <c r="C467" s="672"/>
      <c r="D467" s="198"/>
      <c r="E467" s="203"/>
      <c r="F467" s="264"/>
      <c r="G467" s="209"/>
      <c r="H467" s="195"/>
      <c r="I467" s="204" t="s">
        <v>1068</v>
      </c>
      <c r="J467" s="205">
        <v>0.75</v>
      </c>
      <c r="K467" s="197"/>
    </row>
    <row r="468" spans="1:11" ht="14.1" customHeight="1" thickBot="1">
      <c r="A468" s="197"/>
      <c r="B468" s="642"/>
      <c r="C468" s="672"/>
      <c r="D468" s="198"/>
      <c r="E468" s="203"/>
      <c r="F468" s="264"/>
      <c r="G468" s="209"/>
      <c r="H468" s="195"/>
      <c r="I468" s="204" t="s">
        <v>1069</v>
      </c>
      <c r="J468" s="205">
        <v>0.25</v>
      </c>
      <c r="K468" s="197"/>
    </row>
    <row r="469" spans="1:11" ht="14.1" customHeight="1" thickBot="1">
      <c r="A469" s="197"/>
      <c r="B469" s="643"/>
      <c r="C469" s="673"/>
      <c r="D469" s="200"/>
      <c r="E469" s="212"/>
      <c r="F469" s="206"/>
      <c r="G469" s="206"/>
      <c r="H469" s="195"/>
      <c r="I469" s="204" t="s">
        <v>1070</v>
      </c>
      <c r="J469" s="205">
        <v>0.05</v>
      </c>
      <c r="K469" s="197"/>
    </row>
    <row r="470" spans="1:11" ht="14.1" customHeight="1" thickBot="1">
      <c r="A470" s="197"/>
      <c r="B470" s="641" t="s">
        <v>190</v>
      </c>
      <c r="C470" s="644" t="s">
        <v>191</v>
      </c>
      <c r="D470" s="201"/>
      <c r="E470" s="224" t="s">
        <v>813</v>
      </c>
      <c r="F470" s="225">
        <v>0.25</v>
      </c>
      <c r="G470" s="191"/>
      <c r="H470" s="195" t="s">
        <v>192</v>
      </c>
      <c r="I470" s="204" t="s">
        <v>870</v>
      </c>
      <c r="J470" s="205">
        <v>0.75</v>
      </c>
      <c r="K470" s="220" t="s">
        <v>193</v>
      </c>
    </row>
    <row r="471" spans="1:11" ht="14.1" customHeight="1" thickBot="1">
      <c r="A471" s="197"/>
      <c r="B471" s="642"/>
      <c r="C471" s="646"/>
      <c r="D471" s="192"/>
      <c r="E471" s="226" t="s">
        <v>815</v>
      </c>
      <c r="F471" s="227">
        <v>0</v>
      </c>
      <c r="G471" s="194"/>
      <c r="H471" s="195"/>
      <c r="I471" s="204" t="s">
        <v>871</v>
      </c>
      <c r="J471" s="205">
        <v>0</v>
      </c>
      <c r="K471" s="197"/>
    </row>
    <row r="472" spans="1:11" ht="14.1" customHeight="1" thickBot="1">
      <c r="A472" s="197"/>
      <c r="B472" s="642"/>
      <c r="C472" s="644" t="s">
        <v>194</v>
      </c>
      <c r="D472" s="198"/>
      <c r="E472" s="203" t="s">
        <v>813</v>
      </c>
      <c r="F472" s="257">
        <v>0.25</v>
      </c>
      <c r="G472" s="209"/>
      <c r="H472" s="195" t="s">
        <v>195</v>
      </c>
      <c r="I472" s="204" t="s">
        <v>870</v>
      </c>
      <c r="J472" s="205">
        <v>0.75</v>
      </c>
      <c r="K472" s="197"/>
    </row>
    <row r="473" spans="1:11" ht="14.1" customHeight="1" thickBot="1">
      <c r="A473" s="197"/>
      <c r="B473" s="642"/>
      <c r="C473" s="646"/>
      <c r="D473" s="200"/>
      <c r="E473" s="271" t="s">
        <v>815</v>
      </c>
      <c r="F473" s="259">
        <v>0</v>
      </c>
      <c r="G473" s="206"/>
      <c r="H473" s="195"/>
      <c r="I473" s="204" t="s">
        <v>871</v>
      </c>
      <c r="J473" s="205">
        <v>0</v>
      </c>
      <c r="K473" s="197"/>
    </row>
    <row r="474" spans="1:11" ht="14.1" customHeight="1" thickBot="1">
      <c r="A474" s="197"/>
      <c r="B474" s="642"/>
      <c r="C474" s="655" t="s">
        <v>196</v>
      </c>
      <c r="D474" s="201"/>
      <c r="E474" s="225">
        <v>1</v>
      </c>
      <c r="F474" s="225">
        <v>-1</v>
      </c>
      <c r="G474" s="191"/>
      <c r="H474" s="195"/>
      <c r="I474" s="196"/>
      <c r="J474" s="204"/>
      <c r="K474" s="197"/>
    </row>
    <row r="475" spans="1:11" ht="14.1" customHeight="1" thickBot="1">
      <c r="A475" s="197"/>
      <c r="B475" s="642"/>
      <c r="C475" s="665"/>
      <c r="D475" s="201"/>
      <c r="E475" s="224" t="s">
        <v>1086</v>
      </c>
      <c r="F475" s="225">
        <v>0.9</v>
      </c>
      <c r="G475" s="191"/>
      <c r="H475" s="195"/>
      <c r="I475" s="196"/>
      <c r="J475" s="204"/>
      <c r="K475" s="197"/>
    </row>
    <row r="476" spans="1:11" ht="14.1" customHeight="1" thickBot="1">
      <c r="A476" s="197"/>
      <c r="B476" s="642"/>
      <c r="C476" s="665"/>
      <c r="D476" s="201"/>
      <c r="E476" s="224" t="s">
        <v>1087</v>
      </c>
      <c r="F476" s="225">
        <v>0.5</v>
      </c>
      <c r="G476" s="191"/>
      <c r="H476" s="195"/>
      <c r="I476" s="196"/>
      <c r="J476" s="204"/>
      <c r="K476" s="197"/>
    </row>
    <row r="477" spans="1:11" ht="14.1" customHeight="1" thickBot="1">
      <c r="A477" s="197"/>
      <c r="B477" s="642"/>
      <c r="C477" s="665"/>
      <c r="D477" s="201"/>
      <c r="E477" s="224" t="s">
        <v>1088</v>
      </c>
      <c r="F477" s="225">
        <v>0.15</v>
      </c>
      <c r="G477" s="191"/>
      <c r="H477" s="195"/>
      <c r="I477" s="196"/>
      <c r="J477" s="204"/>
      <c r="K477" s="197"/>
    </row>
    <row r="478" spans="1:11" ht="14.1" customHeight="1" thickBot="1">
      <c r="A478" s="197"/>
      <c r="B478" s="642"/>
      <c r="C478" s="665"/>
      <c r="D478" s="201"/>
      <c r="E478" s="224" t="s">
        <v>1089</v>
      </c>
      <c r="F478" s="225">
        <v>0.1</v>
      </c>
      <c r="G478" s="191"/>
      <c r="H478" s="195"/>
      <c r="I478" s="196"/>
      <c r="J478" s="204"/>
      <c r="K478" s="197"/>
    </row>
    <row r="479" spans="1:11" ht="14.1" customHeight="1" thickBot="1">
      <c r="A479" s="197"/>
      <c r="B479" s="642"/>
      <c r="C479" s="665"/>
      <c r="D479" s="201"/>
      <c r="E479" s="224" t="s">
        <v>1090</v>
      </c>
      <c r="F479" s="225">
        <v>0.05</v>
      </c>
      <c r="G479" s="191"/>
      <c r="H479" s="195"/>
      <c r="I479" s="196"/>
      <c r="J479" s="204"/>
      <c r="K479" s="197"/>
    </row>
    <row r="480" spans="1:11" ht="14.1" customHeight="1" thickBot="1">
      <c r="A480" s="197"/>
      <c r="B480" s="642"/>
      <c r="C480" s="656"/>
      <c r="D480" s="192"/>
      <c r="E480" s="226" t="s">
        <v>1091</v>
      </c>
      <c r="F480" s="227">
        <v>0</v>
      </c>
      <c r="G480" s="194"/>
      <c r="H480" s="195"/>
      <c r="I480" s="196"/>
      <c r="J480" s="204"/>
      <c r="K480" s="197"/>
    </row>
    <row r="481" spans="1:11" ht="14.1" customHeight="1" thickBot="1">
      <c r="A481" s="197"/>
      <c r="B481" s="642"/>
      <c r="C481" s="644" t="s">
        <v>198</v>
      </c>
      <c r="D481" s="198"/>
      <c r="E481" s="203" t="s">
        <v>1092</v>
      </c>
      <c r="F481" s="210">
        <v>1</v>
      </c>
      <c r="G481" s="209"/>
      <c r="H481" s="195"/>
      <c r="I481" s="196"/>
      <c r="J481" s="204"/>
      <c r="K481" s="197"/>
    </row>
    <row r="482" spans="1:11" ht="14.1" customHeight="1" thickBot="1">
      <c r="A482" s="197"/>
      <c r="B482" s="642"/>
      <c r="C482" s="645"/>
      <c r="D482" s="198"/>
      <c r="E482" s="203" t="s">
        <v>1089</v>
      </c>
      <c r="F482" s="210">
        <v>0.5</v>
      </c>
      <c r="G482" s="209"/>
      <c r="H482" s="195"/>
      <c r="I482" s="196"/>
      <c r="J482" s="204"/>
      <c r="K482" s="197"/>
    </row>
    <row r="483" spans="1:11" ht="14.1" customHeight="1" thickBot="1">
      <c r="A483" s="197"/>
      <c r="B483" s="643"/>
      <c r="C483" s="646"/>
      <c r="D483" s="200"/>
      <c r="E483" s="271" t="s">
        <v>1093</v>
      </c>
      <c r="F483" s="258">
        <v>0</v>
      </c>
      <c r="G483" s="206"/>
      <c r="H483" s="195"/>
      <c r="I483" s="196"/>
      <c r="J483" s="204"/>
      <c r="K483" s="197"/>
    </row>
    <row r="484" spans="1:11" ht="14.1" customHeight="1" thickBot="1">
      <c r="A484" s="197"/>
      <c r="B484" s="641" t="s">
        <v>199</v>
      </c>
      <c r="C484" s="644" t="s">
        <v>200</v>
      </c>
      <c r="D484" s="201"/>
      <c r="E484" s="224" t="s">
        <v>813</v>
      </c>
      <c r="F484" s="225">
        <v>0.25</v>
      </c>
      <c r="G484" s="191"/>
      <c r="H484" s="195" t="s">
        <v>193</v>
      </c>
      <c r="I484" s="204" t="s">
        <v>1094</v>
      </c>
      <c r="J484" s="205">
        <v>0.75</v>
      </c>
      <c r="K484" s="197"/>
    </row>
    <row r="485" spans="1:11" ht="14.1" customHeight="1" thickBot="1">
      <c r="A485" s="197"/>
      <c r="B485" s="642"/>
      <c r="C485" s="646"/>
      <c r="D485" s="192"/>
      <c r="E485" s="226" t="s">
        <v>815</v>
      </c>
      <c r="F485" s="227">
        <v>0</v>
      </c>
      <c r="G485" s="194"/>
      <c r="H485" s="195"/>
      <c r="I485" s="204" t="s">
        <v>1095</v>
      </c>
      <c r="J485" s="205">
        <v>0</v>
      </c>
      <c r="K485" s="197"/>
    </row>
    <row r="486" spans="1:11" ht="14.1" customHeight="1" thickBot="1">
      <c r="A486" s="197"/>
      <c r="B486" s="642"/>
      <c r="C486" s="644" t="s">
        <v>201</v>
      </c>
      <c r="D486" s="198"/>
      <c r="E486" s="203" t="s">
        <v>813</v>
      </c>
      <c r="F486" s="210">
        <v>1</v>
      </c>
      <c r="G486" s="209"/>
      <c r="H486" s="195"/>
      <c r="I486" s="196"/>
      <c r="J486" s="204"/>
      <c r="K486" s="197"/>
    </row>
    <row r="487" spans="1:11" ht="14.1" customHeight="1" thickBot="1">
      <c r="A487" s="197"/>
      <c r="B487" s="642"/>
      <c r="C487" s="646"/>
      <c r="D487" s="200"/>
      <c r="E487" s="271" t="s">
        <v>815</v>
      </c>
      <c r="F487" s="258">
        <v>0</v>
      </c>
      <c r="G487" s="206"/>
      <c r="H487" s="195"/>
      <c r="I487" s="196"/>
      <c r="J487" s="204"/>
      <c r="K487" s="197"/>
    </row>
    <row r="488" spans="1:11" ht="14.1" customHeight="1" thickBot="1">
      <c r="A488" s="197"/>
      <c r="B488" s="642"/>
      <c r="C488" s="644" t="s">
        <v>202</v>
      </c>
      <c r="D488" s="201"/>
      <c r="E488" s="224" t="s">
        <v>813</v>
      </c>
      <c r="F488" s="225">
        <v>1</v>
      </c>
      <c r="G488" s="191"/>
      <c r="H488" s="195"/>
      <c r="I488" s="196"/>
      <c r="J488" s="204"/>
      <c r="K488" s="197"/>
    </row>
    <row r="489" spans="1:11" ht="14.1" customHeight="1" thickBot="1">
      <c r="A489" s="197"/>
      <c r="B489" s="642"/>
      <c r="C489" s="646"/>
      <c r="D489" s="192"/>
      <c r="E489" s="226" t="s">
        <v>815</v>
      </c>
      <c r="F489" s="227">
        <v>0</v>
      </c>
      <c r="G489" s="194"/>
      <c r="H489" s="195"/>
      <c r="I489" s="196"/>
      <c r="J489" s="204"/>
      <c r="K489" s="197"/>
    </row>
    <row r="490" spans="1:11" ht="14.1" customHeight="1" thickBot="1">
      <c r="A490" s="197"/>
      <c r="B490" s="642"/>
      <c r="C490" s="644" t="s">
        <v>203</v>
      </c>
      <c r="D490" s="198"/>
      <c r="E490" s="203" t="s">
        <v>813</v>
      </c>
      <c r="F490" s="210">
        <v>1</v>
      </c>
      <c r="G490" s="209"/>
      <c r="H490" s="195"/>
      <c r="I490" s="196"/>
      <c r="J490" s="204"/>
      <c r="K490" s="197"/>
    </row>
    <row r="491" spans="1:11" ht="14.1" customHeight="1" thickBot="1">
      <c r="A491" s="197"/>
      <c r="B491" s="643"/>
      <c r="C491" s="646"/>
      <c r="D491" s="200"/>
      <c r="E491" s="271" t="s">
        <v>815</v>
      </c>
      <c r="F491" s="258">
        <v>0</v>
      </c>
      <c r="G491" s="206"/>
      <c r="H491" s="195"/>
      <c r="I491" s="196"/>
      <c r="J491" s="204"/>
      <c r="K491" s="197"/>
    </row>
    <row r="492" spans="1:11" ht="14.1" customHeight="1" thickBot="1">
      <c r="A492" s="197"/>
      <c r="B492" s="641" t="s">
        <v>204</v>
      </c>
      <c r="C492" s="655" t="s">
        <v>205</v>
      </c>
      <c r="D492" s="201"/>
      <c r="E492" s="224" t="s">
        <v>813</v>
      </c>
      <c r="F492" s="225">
        <v>0.25</v>
      </c>
      <c r="G492" s="191"/>
      <c r="H492" s="195" t="s">
        <v>206</v>
      </c>
      <c r="I492" s="204" t="s">
        <v>1094</v>
      </c>
      <c r="J492" s="205">
        <v>0.75</v>
      </c>
      <c r="K492" s="220" t="s">
        <v>193</v>
      </c>
    </row>
    <row r="493" spans="1:11" ht="14.1" customHeight="1" thickBot="1">
      <c r="A493" s="197"/>
      <c r="B493" s="642"/>
      <c r="C493" s="656"/>
      <c r="D493" s="192"/>
      <c r="E493" s="226" t="s">
        <v>815</v>
      </c>
      <c r="F493" s="227">
        <v>0</v>
      </c>
      <c r="G493" s="194"/>
      <c r="H493" s="195"/>
      <c r="I493" s="204" t="s">
        <v>1095</v>
      </c>
      <c r="J493" s="205">
        <v>0</v>
      </c>
      <c r="K493" s="197"/>
    </row>
    <row r="494" spans="1:11" ht="14.1" customHeight="1" thickBot="1">
      <c r="A494" s="197"/>
      <c r="B494" s="642"/>
      <c r="C494" s="644" t="s">
        <v>207</v>
      </c>
      <c r="D494" s="198"/>
      <c r="E494" s="203" t="s">
        <v>813</v>
      </c>
      <c r="F494" s="210">
        <v>1</v>
      </c>
      <c r="G494" s="209"/>
      <c r="H494" s="195"/>
      <c r="I494" s="196"/>
      <c r="J494" s="204"/>
      <c r="K494" s="197"/>
    </row>
    <row r="495" spans="1:11" ht="14.1" customHeight="1" thickBot="1">
      <c r="A495" s="197"/>
      <c r="B495" s="642"/>
      <c r="C495" s="646"/>
      <c r="D495" s="200"/>
      <c r="E495" s="271" t="s">
        <v>815</v>
      </c>
      <c r="F495" s="258">
        <v>0</v>
      </c>
      <c r="G495" s="206"/>
      <c r="H495" s="195"/>
      <c r="I495" s="196"/>
      <c r="J495" s="204"/>
      <c r="K495" s="197"/>
    </row>
    <row r="496" spans="1:11" ht="14.1" customHeight="1" thickBot="1">
      <c r="A496" s="197"/>
      <c r="B496" s="642"/>
      <c r="C496" s="655" t="s">
        <v>1096</v>
      </c>
      <c r="D496" s="278"/>
      <c r="E496" s="224">
        <v>0</v>
      </c>
      <c r="F496" s="225">
        <v>0</v>
      </c>
      <c r="G496" s="191"/>
      <c r="H496" s="195" t="s">
        <v>206</v>
      </c>
      <c r="I496" s="204" t="s">
        <v>1094</v>
      </c>
      <c r="J496" s="204" t="s">
        <v>1012</v>
      </c>
      <c r="K496" s="220" t="s">
        <v>193</v>
      </c>
    </row>
    <row r="497" spans="1:11" ht="14.1" customHeight="1" thickBot="1">
      <c r="A497" s="197"/>
      <c r="B497" s="642"/>
      <c r="C497" s="665"/>
      <c r="D497" s="201"/>
      <c r="E497" s="274">
        <v>44936</v>
      </c>
      <c r="F497" s="224" t="s">
        <v>1097</v>
      </c>
      <c r="G497" s="191"/>
      <c r="H497" s="195"/>
      <c r="I497" s="204"/>
      <c r="J497" s="204"/>
      <c r="K497" s="197"/>
    </row>
    <row r="498" spans="1:11" ht="14.1" customHeight="1" thickBot="1">
      <c r="A498" s="197"/>
      <c r="B498" s="642"/>
      <c r="C498" s="665"/>
      <c r="D498" s="201"/>
      <c r="E498" s="274">
        <v>45250</v>
      </c>
      <c r="F498" s="225">
        <v>0.2</v>
      </c>
      <c r="G498" s="191"/>
      <c r="H498" s="195"/>
      <c r="I498" s="204"/>
      <c r="J498" s="204"/>
      <c r="K498" s="197"/>
    </row>
    <row r="499" spans="1:11" ht="14.1" customHeight="1" thickBot="1">
      <c r="A499" s="197"/>
      <c r="B499" s="642"/>
      <c r="C499" s="665"/>
      <c r="D499" s="201"/>
      <c r="E499" s="224" t="s">
        <v>1059</v>
      </c>
      <c r="F499" s="225">
        <v>0.4</v>
      </c>
      <c r="G499" s="191"/>
      <c r="H499" s="195"/>
      <c r="I499" s="204"/>
      <c r="J499" s="204"/>
      <c r="K499" s="197"/>
    </row>
    <row r="500" spans="1:11" ht="14.1" customHeight="1" thickBot="1">
      <c r="A500" s="197"/>
      <c r="B500" s="642"/>
      <c r="C500" s="665"/>
      <c r="D500" s="201"/>
      <c r="E500" s="224" t="s">
        <v>1060</v>
      </c>
      <c r="F500" s="225">
        <v>0.6</v>
      </c>
      <c r="G500" s="191"/>
      <c r="H500" s="195"/>
      <c r="I500" s="204"/>
      <c r="J500" s="204"/>
      <c r="K500" s="197"/>
    </row>
    <row r="501" spans="1:11" ht="14.1" customHeight="1" thickBot="1">
      <c r="A501" s="197"/>
      <c r="B501" s="642"/>
      <c r="C501" s="665"/>
      <c r="D501" s="201"/>
      <c r="E501" s="224" t="s">
        <v>1061</v>
      </c>
      <c r="F501" s="225">
        <v>0.7</v>
      </c>
      <c r="G501" s="191"/>
      <c r="H501" s="195"/>
      <c r="I501" s="204"/>
      <c r="J501" s="204"/>
      <c r="K501" s="197"/>
    </row>
    <row r="502" spans="1:11" ht="14.1" customHeight="1" thickBot="1">
      <c r="A502" s="197"/>
      <c r="B502" s="642"/>
      <c r="C502" s="665"/>
      <c r="D502" s="201"/>
      <c r="E502" s="224" t="s">
        <v>1062</v>
      </c>
      <c r="F502" s="225">
        <v>0.9</v>
      </c>
      <c r="G502" s="191"/>
      <c r="H502" s="195"/>
      <c r="I502" s="204"/>
      <c r="J502" s="204"/>
      <c r="K502" s="197"/>
    </row>
    <row r="503" spans="1:11" ht="14.1" customHeight="1" thickBot="1">
      <c r="A503" s="197"/>
      <c r="B503" s="642"/>
      <c r="C503" s="656"/>
      <c r="D503" s="192"/>
      <c r="E503" s="226">
        <v>100</v>
      </c>
      <c r="F503" s="227">
        <v>1</v>
      </c>
      <c r="G503" s="194"/>
      <c r="H503" s="195"/>
      <c r="I503" s="204"/>
      <c r="J503" s="204"/>
      <c r="K503" s="197"/>
    </row>
    <row r="504" spans="1:11" ht="14.1" customHeight="1" thickBot="1">
      <c r="A504" s="197"/>
      <c r="B504" s="642"/>
      <c r="C504" s="655" t="s">
        <v>209</v>
      </c>
      <c r="D504" s="198"/>
      <c r="E504" s="203" t="s">
        <v>813</v>
      </c>
      <c r="F504" s="210">
        <v>1</v>
      </c>
      <c r="G504" s="209"/>
      <c r="H504" s="638" t="s">
        <v>1098</v>
      </c>
      <c r="I504" s="204" t="s">
        <v>1099</v>
      </c>
      <c r="J504" s="205">
        <v>0</v>
      </c>
      <c r="K504" s="197"/>
    </row>
    <row r="505" spans="1:11" ht="14.1" customHeight="1" thickBot="1">
      <c r="A505" s="197"/>
      <c r="B505" s="642"/>
      <c r="C505" s="665"/>
      <c r="D505" s="198"/>
      <c r="E505" s="203" t="s">
        <v>815</v>
      </c>
      <c r="F505" s="210">
        <v>0</v>
      </c>
      <c r="G505" s="209"/>
      <c r="H505" s="639"/>
      <c r="I505" s="204" t="s">
        <v>886</v>
      </c>
      <c r="J505" s="205">
        <v>0.1</v>
      </c>
      <c r="K505" s="197"/>
    </row>
    <row r="506" spans="1:11" ht="14.1" customHeight="1" thickBot="1">
      <c r="A506" s="197"/>
      <c r="B506" s="642"/>
      <c r="C506" s="665"/>
      <c r="D506" s="198"/>
      <c r="E506" s="203"/>
      <c r="F506" s="203"/>
      <c r="G506" s="209"/>
      <c r="H506" s="639"/>
      <c r="I506" s="287">
        <v>45250</v>
      </c>
      <c r="J506" s="205">
        <v>0.2</v>
      </c>
      <c r="K506" s="197"/>
    </row>
    <row r="507" spans="1:11" ht="14.1" customHeight="1" thickBot="1">
      <c r="A507" s="197"/>
      <c r="B507" s="642"/>
      <c r="C507" s="665"/>
      <c r="D507" s="198"/>
      <c r="E507" s="203"/>
      <c r="F507" s="203"/>
      <c r="G507" s="209"/>
      <c r="H507" s="639"/>
      <c r="I507" s="204" t="s">
        <v>1059</v>
      </c>
      <c r="J507" s="205">
        <v>0.4</v>
      </c>
      <c r="K507" s="197"/>
    </row>
    <row r="508" spans="1:11" ht="14.1" customHeight="1" thickBot="1">
      <c r="A508" s="197"/>
      <c r="B508" s="642"/>
      <c r="C508" s="665"/>
      <c r="D508" s="198"/>
      <c r="E508" s="203"/>
      <c r="F508" s="203"/>
      <c r="G508" s="209"/>
      <c r="H508" s="639"/>
      <c r="I508" s="204" t="s">
        <v>1060</v>
      </c>
      <c r="J508" s="205">
        <v>0.6</v>
      </c>
      <c r="K508" s="197"/>
    </row>
    <row r="509" spans="1:11" ht="14.1" customHeight="1" thickBot="1">
      <c r="A509" s="197"/>
      <c r="B509" s="642"/>
      <c r="C509" s="665"/>
      <c r="D509" s="198"/>
      <c r="E509" s="203"/>
      <c r="F509" s="203"/>
      <c r="G509" s="209"/>
      <c r="H509" s="639"/>
      <c r="I509" s="204" t="s">
        <v>1061</v>
      </c>
      <c r="J509" s="205">
        <v>0.7</v>
      </c>
      <c r="K509" s="197"/>
    </row>
    <row r="510" spans="1:11" ht="14.1" customHeight="1" thickBot="1">
      <c r="A510" s="197"/>
      <c r="B510" s="642"/>
      <c r="C510" s="665"/>
      <c r="D510" s="198"/>
      <c r="E510" s="203"/>
      <c r="F510" s="203"/>
      <c r="G510" s="209"/>
      <c r="H510" s="639"/>
      <c r="I510" s="204" t="s">
        <v>1062</v>
      </c>
      <c r="J510" s="205">
        <v>0.9</v>
      </c>
      <c r="K510" s="197"/>
    </row>
    <row r="511" spans="1:11" ht="14.1" customHeight="1" thickBot="1">
      <c r="A511" s="197"/>
      <c r="B511" s="643"/>
      <c r="C511" s="656"/>
      <c r="D511" s="200"/>
      <c r="E511" s="271"/>
      <c r="F511" s="271"/>
      <c r="G511" s="206"/>
      <c r="H511" s="691"/>
      <c r="I511" s="276" t="s">
        <v>1063</v>
      </c>
      <c r="J511" s="284">
        <v>1</v>
      </c>
      <c r="K511" s="202"/>
    </row>
  </sheetData>
  <mergeCells count="136">
    <mergeCell ref="B492:B511"/>
    <mergeCell ref="C492:C493"/>
    <mergeCell ref="C494:C495"/>
    <mergeCell ref="C496:C503"/>
    <mergeCell ref="C504:C511"/>
    <mergeCell ref="H504:H511"/>
    <mergeCell ref="B470:B483"/>
    <mergeCell ref="C470:C471"/>
    <mergeCell ref="C472:C473"/>
    <mergeCell ref="C474:C480"/>
    <mergeCell ref="C481:C483"/>
    <mergeCell ref="B484:B491"/>
    <mergeCell ref="C484:C485"/>
    <mergeCell ref="C486:C487"/>
    <mergeCell ref="C488:C489"/>
    <mergeCell ref="C490:C491"/>
    <mergeCell ref="A450:K450"/>
    <mergeCell ref="B451:B469"/>
    <mergeCell ref="C451:C452"/>
    <mergeCell ref="C453:C454"/>
    <mergeCell ref="C455:C456"/>
    <mergeCell ref="C457:C458"/>
    <mergeCell ref="C459:C464"/>
    <mergeCell ref="C465:C469"/>
    <mergeCell ref="A440:K440"/>
    <mergeCell ref="B441:B449"/>
    <mergeCell ref="C441:C442"/>
    <mergeCell ref="C443:C444"/>
    <mergeCell ref="C445:C446"/>
    <mergeCell ref="C447:C448"/>
    <mergeCell ref="H417:H421"/>
    <mergeCell ref="C422:C426"/>
    <mergeCell ref="B427:B439"/>
    <mergeCell ref="C427:C431"/>
    <mergeCell ref="H427:H431"/>
    <mergeCell ref="C437:C438"/>
    <mergeCell ref="B398:B402"/>
    <mergeCell ref="C398:C399"/>
    <mergeCell ref="C400:C401"/>
    <mergeCell ref="C402:C403"/>
    <mergeCell ref="B404:B426"/>
    <mergeCell ref="C404:C410"/>
    <mergeCell ref="C411:C416"/>
    <mergeCell ref="C417:C421"/>
    <mergeCell ref="F380:F384"/>
    <mergeCell ref="C386:C387"/>
    <mergeCell ref="A388:K388"/>
    <mergeCell ref="B389:B397"/>
    <mergeCell ref="C389:C394"/>
    <mergeCell ref="C395:C396"/>
    <mergeCell ref="B359:B379"/>
    <mergeCell ref="C359:C366"/>
    <mergeCell ref="C367:C368"/>
    <mergeCell ref="C369:C375"/>
    <mergeCell ref="C376:C379"/>
    <mergeCell ref="B380:B386"/>
    <mergeCell ref="C380:C385"/>
    <mergeCell ref="B334:B355"/>
    <mergeCell ref="C334:C337"/>
    <mergeCell ref="C338:C341"/>
    <mergeCell ref="C342:C344"/>
    <mergeCell ref="C345:C350"/>
    <mergeCell ref="C351:C354"/>
    <mergeCell ref="C355:C358"/>
    <mergeCell ref="B324:B333"/>
    <mergeCell ref="C324:C325"/>
    <mergeCell ref="C326:C327"/>
    <mergeCell ref="C328:C329"/>
    <mergeCell ref="C330:C331"/>
    <mergeCell ref="C332:C333"/>
    <mergeCell ref="A311:K311"/>
    <mergeCell ref="B312:B323"/>
    <mergeCell ref="C312:C313"/>
    <mergeCell ref="C314:C315"/>
    <mergeCell ref="C316:C317"/>
    <mergeCell ref="C318:C319"/>
    <mergeCell ref="C320:C321"/>
    <mergeCell ref="C322:C323"/>
    <mergeCell ref="C286:C287"/>
    <mergeCell ref="C288:C289"/>
    <mergeCell ref="C290:C294"/>
    <mergeCell ref="B295:B310"/>
    <mergeCell ref="C295:C296"/>
    <mergeCell ref="C297:C301"/>
    <mergeCell ref="C302:C303"/>
    <mergeCell ref="C304:C309"/>
    <mergeCell ref="B252:B294"/>
    <mergeCell ref="C272:C273"/>
    <mergeCell ref="C274:C275"/>
    <mergeCell ref="C276:C277"/>
    <mergeCell ref="C278:C281"/>
    <mergeCell ref="C282:C283"/>
    <mergeCell ref="C284:C285"/>
    <mergeCell ref="C234:C251"/>
    <mergeCell ref="D234:D239"/>
    <mergeCell ref="D240:D245"/>
    <mergeCell ref="D246:D251"/>
    <mergeCell ref="C252:C253"/>
    <mergeCell ref="C254:C262"/>
    <mergeCell ref="C263:C267"/>
    <mergeCell ref="C268:C269"/>
    <mergeCell ref="C270:C271"/>
    <mergeCell ref="B189:B193"/>
    <mergeCell ref="B194:B251"/>
    <mergeCell ref="C194:C198"/>
    <mergeCell ref="C199:C205"/>
    <mergeCell ref="C206:C207"/>
    <mergeCell ref="C208:C213"/>
    <mergeCell ref="C214:C219"/>
    <mergeCell ref="C220:C223"/>
    <mergeCell ref="C224:C227"/>
    <mergeCell ref="C228:C233"/>
    <mergeCell ref="B165:B168"/>
    <mergeCell ref="B169:B172"/>
    <mergeCell ref="B173:B178"/>
    <mergeCell ref="B179:B181"/>
    <mergeCell ref="B182:B183"/>
    <mergeCell ref="B184:B188"/>
    <mergeCell ref="F142:F144"/>
    <mergeCell ref="B145:B147"/>
    <mergeCell ref="F145:F146"/>
    <mergeCell ref="B148:B153"/>
    <mergeCell ref="B154:B159"/>
    <mergeCell ref="B160:B164"/>
    <mergeCell ref="A90:A94"/>
    <mergeCell ref="A95:A100"/>
    <mergeCell ref="A101:A106"/>
    <mergeCell ref="A107:A108"/>
    <mergeCell ref="B109:B130"/>
    <mergeCell ref="B131:B144"/>
    <mergeCell ref="A6:A13"/>
    <mergeCell ref="A66:A70"/>
    <mergeCell ref="A71:A76"/>
    <mergeCell ref="A77:A79"/>
    <mergeCell ref="A80:A84"/>
    <mergeCell ref="A85:A89"/>
  </mergeCells>
  <hyperlinks>
    <hyperlink ref="E169" r:id="rId1" xr:uid="{F8A4D2DD-D293-4DFD-9510-EC7A72721D9C}"/>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061B0-AB28-46A2-A4AE-0C21ADE35080}">
  <sheetPr>
    <tabColor theme="4" tint="0.79998168889431442"/>
  </sheetPr>
  <dimension ref="A1:G50"/>
  <sheetViews>
    <sheetView workbookViewId="0">
      <selection activeCell="B29" sqref="B29"/>
    </sheetView>
  </sheetViews>
  <sheetFormatPr defaultRowHeight="12.75"/>
  <cols>
    <col min="1" max="1" width="20" style="37" customWidth="1"/>
    <col min="2" max="2" width="86.5703125" style="37" customWidth="1"/>
    <col min="3" max="3" width="33.28515625" style="314" customWidth="1"/>
    <col min="4" max="4" width="16.85546875" style="37" customWidth="1"/>
    <col min="5" max="5" width="32" style="37" customWidth="1"/>
    <col min="6" max="6" width="24.7109375" style="37" customWidth="1"/>
    <col min="7" max="16384" width="9.140625" style="37"/>
  </cols>
  <sheetData>
    <row r="1" spans="1:7" ht="20.25" customHeight="1">
      <c r="A1" s="537" t="s">
        <v>1445</v>
      </c>
      <c r="B1" s="537"/>
      <c r="C1" s="537"/>
      <c r="D1" s="537"/>
      <c r="E1" s="527" t="s">
        <v>1907</v>
      </c>
      <c r="F1" s="517" t="s">
        <v>1953</v>
      </c>
    </row>
    <row r="2" spans="1:7" ht="27.75" customHeight="1">
      <c r="A2" s="536" t="s">
        <v>1106</v>
      </c>
      <c r="B2" s="536"/>
      <c r="C2" s="536"/>
      <c r="D2" s="536"/>
      <c r="E2" s="528"/>
      <c r="F2" s="517"/>
    </row>
    <row r="3" spans="1:7" ht="13.5" thickBot="1">
      <c r="A3" s="243" t="s">
        <v>1329</v>
      </c>
      <c r="B3" s="243" t="s">
        <v>4</v>
      </c>
      <c r="C3" s="243" t="s">
        <v>1343</v>
      </c>
      <c r="D3" s="378" t="s">
        <v>1308</v>
      </c>
      <c r="E3" s="528"/>
      <c r="F3" s="517"/>
    </row>
    <row r="4" spans="1:7">
      <c r="A4" s="531" t="s">
        <v>1330</v>
      </c>
      <c r="B4" s="165" t="s">
        <v>1114</v>
      </c>
      <c r="C4" s="425" t="s">
        <v>2047</v>
      </c>
      <c r="D4" s="166"/>
      <c r="E4" s="385" t="s">
        <v>1546</v>
      </c>
      <c r="F4" s="383" t="b">
        <v>1</v>
      </c>
      <c r="G4" s="102"/>
    </row>
    <row r="5" spans="1:7">
      <c r="A5" s="532"/>
      <c r="B5" s="239" t="s">
        <v>1436</v>
      </c>
      <c r="C5" s="426" t="s">
        <v>2048</v>
      </c>
      <c r="D5" s="300"/>
      <c r="E5" s="385" t="s">
        <v>1546</v>
      </c>
      <c r="F5" s="383" t="b">
        <v>1</v>
      </c>
      <c r="G5" s="102"/>
    </row>
    <row r="6" spans="1:7">
      <c r="A6" s="534"/>
      <c r="B6" s="159" t="s">
        <v>1113</v>
      </c>
      <c r="C6" s="306" t="s">
        <v>1111</v>
      </c>
      <c r="D6" s="155"/>
      <c r="E6" s="384" t="s">
        <v>1344</v>
      </c>
      <c r="F6" s="383" t="b">
        <v>1</v>
      </c>
      <c r="G6" s="102"/>
    </row>
    <row r="7" spans="1:7" ht="26.25" customHeight="1" thickBot="1">
      <c r="A7" s="535"/>
      <c r="B7" s="245" t="s">
        <v>1309</v>
      </c>
      <c r="C7" s="307" t="s">
        <v>1299</v>
      </c>
      <c r="D7" s="171"/>
      <c r="E7" s="384" t="s">
        <v>1316</v>
      </c>
      <c r="F7" s="383" t="b">
        <v>1</v>
      </c>
      <c r="G7" s="102"/>
    </row>
    <row r="8" spans="1:7">
      <c r="A8" s="538" t="s">
        <v>1406</v>
      </c>
      <c r="B8" s="165" t="s">
        <v>1310</v>
      </c>
      <c r="C8" s="425" t="s">
        <v>2049</v>
      </c>
      <c r="D8" s="166"/>
      <c r="E8" s="385" t="s">
        <v>1550</v>
      </c>
      <c r="F8" s="383" t="b">
        <v>1</v>
      </c>
      <c r="G8" s="102"/>
    </row>
    <row r="9" spans="1:7">
      <c r="A9" s="539"/>
      <c r="B9" s="159" t="s">
        <v>1311</v>
      </c>
      <c r="C9" s="303" t="s">
        <v>2050</v>
      </c>
      <c r="D9" s="155"/>
      <c r="E9" s="385" t="s">
        <v>1550</v>
      </c>
      <c r="F9" s="383" t="b">
        <v>1</v>
      </c>
    </row>
    <row r="10" spans="1:7">
      <c r="A10" s="539"/>
      <c r="B10" s="159" t="s">
        <v>1312</v>
      </c>
      <c r="C10" s="303" t="s">
        <v>2051</v>
      </c>
      <c r="D10" s="155"/>
      <c r="E10" s="385" t="s">
        <v>1546</v>
      </c>
      <c r="F10" s="383" t="b">
        <v>1</v>
      </c>
    </row>
    <row r="11" spans="1:7" ht="13.5" thickBot="1">
      <c r="A11" s="540"/>
      <c r="B11" s="172" t="s">
        <v>1326</v>
      </c>
      <c r="C11" s="427" t="s">
        <v>2052</v>
      </c>
      <c r="D11" s="171"/>
      <c r="E11" s="385" t="s">
        <v>1546</v>
      </c>
      <c r="F11" s="383" t="b">
        <v>1</v>
      </c>
    </row>
    <row r="12" spans="1:7" ht="13.5" thickBot="1">
      <c r="A12" s="329" t="s">
        <v>1547</v>
      </c>
      <c r="B12" s="294" t="s">
        <v>1548</v>
      </c>
      <c r="C12" s="428"/>
      <c r="D12" s="332"/>
      <c r="E12" s="781" t="s">
        <v>1549</v>
      </c>
      <c r="F12" s="383" t="b">
        <v>1</v>
      </c>
    </row>
    <row r="13" spans="1:7">
      <c r="A13" s="531" t="s">
        <v>59</v>
      </c>
      <c r="B13" s="165" t="s">
        <v>1315</v>
      </c>
      <c r="C13" s="310" t="s">
        <v>1324</v>
      </c>
      <c r="D13" s="166"/>
      <c r="E13" s="384" t="s">
        <v>1317</v>
      </c>
      <c r="F13" s="383" t="b">
        <v>1</v>
      </c>
      <c r="G13" s="102"/>
    </row>
    <row r="14" spans="1:7">
      <c r="A14" s="534"/>
      <c r="B14" s="159" t="s">
        <v>1332</v>
      </c>
      <c r="C14" s="306" t="s">
        <v>969</v>
      </c>
      <c r="D14" s="155"/>
      <c r="E14" s="384" t="s">
        <v>1334</v>
      </c>
      <c r="F14" s="383" t="b">
        <v>1</v>
      </c>
      <c r="G14" s="102"/>
    </row>
    <row r="15" spans="1:7">
      <c r="A15" s="534"/>
      <c r="B15" s="159" t="s">
        <v>971</v>
      </c>
      <c r="C15" s="306" t="s">
        <v>784</v>
      </c>
      <c r="D15" s="155"/>
      <c r="E15" s="384" t="s">
        <v>1338</v>
      </c>
      <c r="F15" s="383" t="b">
        <v>1</v>
      </c>
      <c r="G15" s="102"/>
    </row>
    <row r="16" spans="1:7">
      <c r="A16" s="534"/>
      <c r="B16" s="159" t="s">
        <v>1336</v>
      </c>
      <c r="C16" s="306" t="s">
        <v>783</v>
      </c>
      <c r="D16" s="155"/>
      <c r="E16" s="384" t="s">
        <v>1338</v>
      </c>
      <c r="F16" s="383" t="b">
        <v>1</v>
      </c>
      <c r="G16" s="102"/>
    </row>
    <row r="17" spans="1:7">
      <c r="A17" s="534"/>
      <c r="B17" s="159" t="s">
        <v>1348</v>
      </c>
      <c r="C17" s="306" t="s">
        <v>975</v>
      </c>
      <c r="D17" s="155"/>
      <c r="E17" s="384" t="s">
        <v>1345</v>
      </c>
      <c r="F17" s="383" t="b">
        <v>1</v>
      </c>
      <c r="G17" s="102"/>
    </row>
    <row r="18" spans="1:7" ht="13.5" thickBot="1">
      <c r="A18" s="535"/>
      <c r="B18" s="172" t="s">
        <v>1349</v>
      </c>
      <c r="C18" s="307" t="s">
        <v>783</v>
      </c>
      <c r="D18" s="171"/>
      <c r="E18" s="384" t="s">
        <v>1338</v>
      </c>
      <c r="F18" s="383" t="b">
        <v>1</v>
      </c>
      <c r="G18" s="102"/>
    </row>
    <row r="19" spans="1:7">
      <c r="A19" s="246" t="s">
        <v>1335</v>
      </c>
      <c r="B19" s="165" t="s">
        <v>1557</v>
      </c>
      <c r="C19" s="306" t="s">
        <v>2069</v>
      </c>
      <c r="D19" s="155"/>
      <c r="E19" s="386" t="s">
        <v>2053</v>
      </c>
      <c r="F19" s="383" t="b">
        <v>1</v>
      </c>
    </row>
    <row r="20" spans="1:7">
      <c r="A20" s="322"/>
      <c r="B20" s="239" t="s">
        <v>1874</v>
      </c>
      <c r="C20" s="306" t="s">
        <v>2068</v>
      </c>
      <c r="D20" s="155"/>
      <c r="E20" s="386" t="s">
        <v>2067</v>
      </c>
      <c r="F20" s="383" t="b">
        <v>1</v>
      </c>
    </row>
    <row r="21" spans="1:7">
      <c r="A21" s="322"/>
      <c r="B21" s="161" t="s">
        <v>47</v>
      </c>
      <c r="C21" s="306" t="s">
        <v>2061</v>
      </c>
      <c r="D21" s="155"/>
      <c r="E21" s="386" t="s">
        <v>2066</v>
      </c>
      <c r="F21" s="383" t="b">
        <v>1</v>
      </c>
    </row>
    <row r="22" spans="1:7" ht="13.5" thickBot="1">
      <c r="A22" s="322"/>
      <c r="B22" s="159" t="s">
        <v>1390</v>
      </c>
      <c r="C22" s="430">
        <v>5</v>
      </c>
      <c r="D22" s="155"/>
      <c r="E22" s="387" t="s">
        <v>1391</v>
      </c>
      <c r="F22" s="383" t="b">
        <v>1</v>
      </c>
    </row>
    <row r="23" spans="1:7">
      <c r="A23" s="249" t="s">
        <v>75</v>
      </c>
      <c r="B23" s="164" t="s">
        <v>1350</v>
      </c>
      <c r="C23" s="310" t="s">
        <v>783</v>
      </c>
      <c r="D23" s="166"/>
      <c r="E23" s="384" t="s">
        <v>1338</v>
      </c>
      <c r="F23" s="383" t="b">
        <v>1</v>
      </c>
    </row>
    <row r="24" spans="1:7" ht="25.5">
      <c r="A24" s="250"/>
      <c r="B24" s="240" t="s">
        <v>1515</v>
      </c>
      <c r="C24" s="306" t="s">
        <v>783</v>
      </c>
      <c r="D24" s="155"/>
      <c r="E24" s="384" t="s">
        <v>1338</v>
      </c>
      <c r="F24" s="383" t="b">
        <v>1</v>
      </c>
    </row>
    <row r="25" spans="1:7">
      <c r="A25" s="250"/>
      <c r="B25" s="292" t="s">
        <v>1351</v>
      </c>
      <c r="C25" s="311" t="s">
        <v>1354</v>
      </c>
      <c r="D25" s="293"/>
      <c r="E25" s="386" t="s">
        <v>2175</v>
      </c>
      <c r="F25" s="383" t="b">
        <v>1</v>
      </c>
    </row>
    <row r="26" spans="1:7">
      <c r="A26" s="250"/>
      <c r="B26" s="529" t="s">
        <v>1360</v>
      </c>
      <c r="C26" s="311" t="s">
        <v>1363</v>
      </c>
      <c r="D26" s="293"/>
      <c r="E26" s="386" t="s">
        <v>1370</v>
      </c>
      <c r="F26" s="383" t="b">
        <v>1</v>
      </c>
    </row>
    <row r="27" spans="1:7">
      <c r="A27" s="250"/>
      <c r="B27" s="530"/>
      <c r="C27" s="311" t="s">
        <v>1359</v>
      </c>
      <c r="D27" s="293"/>
      <c r="E27" s="386" t="s">
        <v>1370</v>
      </c>
      <c r="F27" s="383" t="b">
        <v>1</v>
      </c>
    </row>
    <row r="28" spans="1:7" ht="13.5" thickBot="1">
      <c r="A28" s="250"/>
      <c r="B28" s="530"/>
      <c r="C28" s="311" t="s">
        <v>1365</v>
      </c>
      <c r="D28" s="293"/>
      <c r="E28" s="386" t="s">
        <v>1370</v>
      </c>
      <c r="F28" s="383" t="b">
        <v>1</v>
      </c>
    </row>
    <row r="29" spans="1:7" ht="25.5">
      <c r="A29" s="531" t="s">
        <v>1373</v>
      </c>
      <c r="B29" s="301" t="s">
        <v>1388</v>
      </c>
      <c r="C29" s="310" t="s">
        <v>1377</v>
      </c>
      <c r="D29" s="166"/>
      <c r="E29" s="386" t="s">
        <v>1374</v>
      </c>
      <c r="F29" s="383" t="b">
        <v>1</v>
      </c>
    </row>
    <row r="30" spans="1:7">
      <c r="A30" s="532"/>
      <c r="B30" s="99" t="s">
        <v>11</v>
      </c>
      <c r="C30" s="431">
        <v>5</v>
      </c>
      <c r="D30" s="155"/>
      <c r="E30" s="387" t="s">
        <v>1391</v>
      </c>
      <c r="F30" s="383" t="b">
        <v>1</v>
      </c>
    </row>
    <row r="31" spans="1:7">
      <c r="A31" s="532"/>
      <c r="B31" s="159" t="s">
        <v>1392</v>
      </c>
      <c r="C31" s="303" t="s">
        <v>2070</v>
      </c>
      <c r="D31" s="155"/>
      <c r="E31" s="385" t="s">
        <v>1393</v>
      </c>
      <c r="F31" s="383" t="b">
        <v>1</v>
      </c>
    </row>
    <row r="32" spans="1:7">
      <c r="A32" s="532"/>
      <c r="B32" s="99" t="s">
        <v>1313</v>
      </c>
      <c r="C32" s="431">
        <v>0</v>
      </c>
      <c r="D32" s="155"/>
      <c r="E32" s="387" t="s">
        <v>1391</v>
      </c>
      <c r="F32" s="383" t="b">
        <v>1</v>
      </c>
    </row>
    <row r="33" spans="1:6">
      <c r="A33" s="532"/>
      <c r="B33" s="99" t="s">
        <v>1314</v>
      </c>
      <c r="C33" s="431">
        <v>0</v>
      </c>
      <c r="D33" s="155"/>
      <c r="E33" s="387" t="s">
        <v>1391</v>
      </c>
      <c r="F33" s="383" t="b">
        <v>1</v>
      </c>
    </row>
    <row r="34" spans="1:6" ht="25.5">
      <c r="A34" s="532"/>
      <c r="B34" s="240" t="s">
        <v>2071</v>
      </c>
      <c r="C34" s="308"/>
      <c r="D34" s="155"/>
      <c r="E34" s="782" t="s">
        <v>1906</v>
      </c>
      <c r="F34" s="383" t="b">
        <v>1</v>
      </c>
    </row>
    <row r="35" spans="1:6">
      <c r="A35" s="532"/>
      <c r="B35" s="326" t="s">
        <v>1327</v>
      </c>
      <c r="C35" s="312" t="s">
        <v>1385</v>
      </c>
      <c r="D35" s="155"/>
      <c r="E35" s="386" t="s">
        <v>1382</v>
      </c>
      <c r="F35" s="383" t="b">
        <v>1</v>
      </c>
    </row>
    <row r="36" spans="1:6">
      <c r="A36" s="532"/>
      <c r="B36" s="159" t="s">
        <v>1328</v>
      </c>
      <c r="C36" s="312" t="s">
        <v>1384</v>
      </c>
      <c r="D36" s="155"/>
      <c r="E36" s="386" t="s">
        <v>1382</v>
      </c>
      <c r="F36" s="383" t="b">
        <v>1</v>
      </c>
    </row>
    <row r="37" spans="1:6" ht="13.5" thickBot="1">
      <c r="A37" s="533"/>
      <c r="B37" s="172" t="s">
        <v>1389</v>
      </c>
      <c r="C37" s="433">
        <v>1</v>
      </c>
      <c r="D37" s="171"/>
      <c r="E37" s="386" t="s">
        <v>1382</v>
      </c>
      <c r="F37" s="383" t="b">
        <v>1</v>
      </c>
    </row>
    <row r="38" spans="1:6" ht="13.5" thickBot="1">
      <c r="A38" s="375" t="s">
        <v>1900</v>
      </c>
      <c r="B38" s="354" t="s">
        <v>1933</v>
      </c>
      <c r="C38" s="307" t="s">
        <v>784</v>
      </c>
      <c r="D38" s="171"/>
      <c r="E38" s="384" t="s">
        <v>1338</v>
      </c>
      <c r="F38" s="383" t="b">
        <v>1</v>
      </c>
    </row>
    <row r="39" spans="1:6" ht="13.5" thickBot="1">
      <c r="A39" s="102"/>
    </row>
    <row r="40" spans="1:6" ht="21" thickBot="1">
      <c r="A40" s="524" t="s">
        <v>1697</v>
      </c>
      <c r="B40" s="525"/>
      <c r="C40" s="525"/>
      <c r="D40" s="526"/>
    </row>
    <row r="41" spans="1:6" ht="12.75" customHeight="1">
      <c r="A41" s="518" t="s">
        <v>1684</v>
      </c>
      <c r="B41" s="519"/>
      <c r="C41" s="519"/>
      <c r="D41" s="520"/>
    </row>
    <row r="42" spans="1:6">
      <c r="A42" s="243" t="s">
        <v>1329</v>
      </c>
      <c r="B42" s="243" t="s">
        <v>4</v>
      </c>
      <c r="C42" s="243" t="s">
        <v>1343</v>
      </c>
      <c r="D42" s="243" t="s">
        <v>1308</v>
      </c>
    </row>
    <row r="43" spans="1:6">
      <c r="A43" s="521" t="s">
        <v>1685</v>
      </c>
      <c r="B43" s="159" t="s">
        <v>1698</v>
      </c>
      <c r="C43" s="306" t="s">
        <v>784</v>
      </c>
      <c r="D43" s="379"/>
      <c r="E43" s="349" t="s">
        <v>1338</v>
      </c>
      <c r="F43" s="383" t="b">
        <v>1</v>
      </c>
    </row>
    <row r="44" spans="1:6">
      <c r="A44" s="521"/>
      <c r="B44" s="159" t="s">
        <v>1699</v>
      </c>
      <c r="C44" s="431">
        <v>1000</v>
      </c>
      <c r="D44" s="379"/>
      <c r="E44" s="382" t="s">
        <v>1972</v>
      </c>
      <c r="F44" s="383" t="b">
        <v>1</v>
      </c>
    </row>
    <row r="45" spans="1:6">
      <c r="A45" s="521"/>
      <c r="B45" s="159" t="s">
        <v>1700</v>
      </c>
      <c r="C45" s="434">
        <v>0.56999999999999995</v>
      </c>
      <c r="D45" s="379"/>
      <c r="E45" s="382" t="s">
        <v>1973</v>
      </c>
      <c r="F45" s="383" t="b">
        <v>1</v>
      </c>
    </row>
    <row r="46" spans="1:6">
      <c r="A46" s="521"/>
      <c r="B46" s="159" t="s">
        <v>1701</v>
      </c>
      <c r="C46" s="434">
        <v>0.72</v>
      </c>
      <c r="D46" s="379"/>
      <c r="E46" s="382" t="s">
        <v>1973</v>
      </c>
      <c r="F46" s="383" t="b">
        <v>1</v>
      </c>
    </row>
    <row r="47" spans="1:6">
      <c r="A47" s="521"/>
      <c r="B47" s="159" t="s">
        <v>1704</v>
      </c>
      <c r="C47" s="431">
        <v>5</v>
      </c>
      <c r="D47" s="379"/>
      <c r="E47" s="382" t="s">
        <v>1391</v>
      </c>
      <c r="F47" s="383" t="b">
        <v>1</v>
      </c>
    </row>
    <row r="48" spans="1:6">
      <c r="A48" s="521"/>
      <c r="B48" s="159" t="s">
        <v>1703</v>
      </c>
      <c r="C48" s="434">
        <v>0.6</v>
      </c>
      <c r="D48" s="379"/>
      <c r="E48" s="382" t="s">
        <v>1693</v>
      </c>
      <c r="F48" s="383" t="b">
        <v>1</v>
      </c>
    </row>
    <row r="49" spans="1:6">
      <c r="A49" s="522"/>
      <c r="B49" s="339" t="s">
        <v>1702</v>
      </c>
      <c r="C49" s="435">
        <v>0.2</v>
      </c>
      <c r="D49" s="343"/>
      <c r="E49" s="382" t="s">
        <v>1694</v>
      </c>
      <c r="F49" s="383" t="b">
        <v>1</v>
      </c>
    </row>
    <row r="50" spans="1:6" ht="26.25" thickBot="1">
      <c r="A50" s="523"/>
      <c r="B50" s="245" t="s">
        <v>1705</v>
      </c>
      <c r="C50" s="436">
        <v>0</v>
      </c>
      <c r="D50" s="380"/>
      <c r="E50" s="382" t="s">
        <v>1694</v>
      </c>
      <c r="F50" s="383" t="b">
        <v>1</v>
      </c>
    </row>
  </sheetData>
  <mergeCells count="12">
    <mergeCell ref="A8:A11"/>
    <mergeCell ref="A1:D1"/>
    <mergeCell ref="E1:E3"/>
    <mergeCell ref="F1:F3"/>
    <mergeCell ref="A2:D2"/>
    <mergeCell ref="A4:A7"/>
    <mergeCell ref="A43:A50"/>
    <mergeCell ref="A13:A18"/>
    <mergeCell ref="B26:B28"/>
    <mergeCell ref="A29:A37"/>
    <mergeCell ref="A40:D40"/>
    <mergeCell ref="A41:D41"/>
  </mergeCells>
  <conditionalFormatting sqref="F43:F50 F4:F18 F23:F38">
    <cfRule type="cellIs" dxfId="104" priority="2" operator="equal">
      <formula>TRUE</formula>
    </cfRule>
  </conditionalFormatting>
  <conditionalFormatting sqref="F19:F22">
    <cfRule type="cellIs" dxfId="103" priority="1" operator="equal">
      <formula>TRUE</formula>
    </cfRule>
  </conditionalFormatting>
  <dataValidations count="4">
    <dataValidation type="whole" operator="greaterThan" allowBlank="1" showInputMessage="1" showErrorMessage="1" sqref="C44 C30 C47" xr:uid="{9A901F39-6CBA-4877-B8EB-9B40DDAC3E43}">
      <formula1>0</formula1>
    </dataValidation>
    <dataValidation type="list" allowBlank="1" showInputMessage="1" showErrorMessage="1" sqref="C6:C7 C35:C38 C13:C21 C43 C23:C29" xr:uid="{FE057C62-8819-4A3E-8929-AC94C6E99254}">
      <formula1>INDIRECT($E6)</formula1>
    </dataValidation>
    <dataValidation type="whole" operator="greaterThanOrEqual" allowBlank="1" showInputMessage="1" showErrorMessage="1" sqref="C22 C32:C33" xr:uid="{81D7EF7A-EDB2-4AF8-8B46-8E8D3E798DB7}">
      <formula1>0</formula1>
    </dataValidation>
    <dataValidation type="decimal" operator="greaterThanOrEqual" allowBlank="1" showInputMessage="1" showErrorMessage="1" sqref="C45:C46 C48:C50" xr:uid="{3F2CE5F6-BD70-470C-980F-A47004EF3320}">
      <formula1>0</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4C59-6C92-4C69-AF7A-0F9AA36B2FB1}">
  <sheetPr>
    <tabColor theme="6" tint="0.79998168889431442"/>
  </sheetPr>
  <dimension ref="A1:F28"/>
  <sheetViews>
    <sheetView workbookViewId="0">
      <selection activeCell="F11" sqref="F11"/>
    </sheetView>
  </sheetViews>
  <sheetFormatPr defaultRowHeight="12.75"/>
  <cols>
    <col min="1" max="1" width="20" style="37" customWidth="1"/>
    <col min="2" max="2" width="86.5703125" style="37" customWidth="1"/>
    <col min="3" max="3" width="33.28515625" style="241" customWidth="1"/>
    <col min="4" max="4" width="16.85546875" style="37" customWidth="1"/>
    <col min="5" max="5" width="32" style="37" customWidth="1"/>
    <col min="6" max="6" width="24.7109375" style="37" customWidth="1"/>
    <col min="7" max="16384" width="9.140625" style="37"/>
  </cols>
  <sheetData>
    <row r="1" spans="1:6" ht="20.25">
      <c r="A1" s="545" t="s">
        <v>1433</v>
      </c>
      <c r="B1" s="546"/>
      <c r="C1" s="546"/>
      <c r="D1" s="547"/>
      <c r="E1" s="527" t="s">
        <v>1907</v>
      </c>
      <c r="F1" s="517" t="s">
        <v>1953</v>
      </c>
    </row>
    <row r="2" spans="1:6">
      <c r="A2" s="548" t="s">
        <v>1434</v>
      </c>
      <c r="B2" s="549"/>
      <c r="C2" s="549"/>
      <c r="D2" s="550"/>
      <c r="E2" s="528"/>
      <c r="F2" s="517"/>
    </row>
    <row r="3" spans="1:6" ht="13.5" thickBot="1">
      <c r="A3" s="243" t="s">
        <v>1329</v>
      </c>
      <c r="B3" s="243" t="s">
        <v>4</v>
      </c>
      <c r="C3" s="315" t="s">
        <v>1343</v>
      </c>
      <c r="D3" s="243" t="s">
        <v>1308</v>
      </c>
      <c r="E3" s="528"/>
      <c r="F3" s="517"/>
    </row>
    <row r="4" spans="1:6">
      <c r="A4" s="541" t="s">
        <v>1540</v>
      </c>
      <c r="B4" s="165" t="s">
        <v>1439</v>
      </c>
      <c r="C4" s="165" t="s">
        <v>2103</v>
      </c>
      <c r="D4" s="166"/>
      <c r="E4" s="385" t="s">
        <v>1546</v>
      </c>
      <c r="F4" s="383" t="b">
        <v>1</v>
      </c>
    </row>
    <row r="5" spans="1:6">
      <c r="A5" s="521"/>
      <c r="B5" s="159" t="s">
        <v>1438</v>
      </c>
      <c r="C5" s="316" t="s">
        <v>784</v>
      </c>
      <c r="D5" s="155"/>
      <c r="E5" s="384" t="s">
        <v>1338</v>
      </c>
      <c r="F5" s="383" t="b">
        <v>1</v>
      </c>
    </row>
    <row r="6" spans="1:6" ht="13.5" thickBot="1">
      <c r="A6" s="523"/>
      <c r="B6" s="172" t="s">
        <v>1539</v>
      </c>
      <c r="C6" s="170"/>
      <c r="D6" s="171"/>
      <c r="E6" s="385" t="s">
        <v>1393</v>
      </c>
      <c r="F6" s="383" t="b">
        <f>C5&lt;&gt;"Yes"</f>
        <v>0</v>
      </c>
    </row>
    <row r="7" spans="1:6">
      <c r="A7" s="246" t="s">
        <v>1883</v>
      </c>
      <c r="B7" s="159" t="s">
        <v>1884</v>
      </c>
      <c r="C7" s="450">
        <f ca="1">TODAY()</f>
        <v>44957</v>
      </c>
      <c r="D7" s="155"/>
      <c r="E7" s="387" t="s">
        <v>1871</v>
      </c>
      <c r="F7" s="383" t="b">
        <v>1</v>
      </c>
    </row>
    <row r="8" spans="1:6">
      <c r="A8" s="322"/>
      <c r="B8" s="239" t="s">
        <v>1465</v>
      </c>
      <c r="C8" s="451" t="s">
        <v>784</v>
      </c>
      <c r="D8" s="300"/>
      <c r="E8" s="384" t="s">
        <v>1338</v>
      </c>
      <c r="F8" s="383" t="b">
        <v>1</v>
      </c>
    </row>
    <row r="9" spans="1:6" ht="13.5" thickBot="1">
      <c r="A9" s="322"/>
      <c r="B9" s="339" t="s">
        <v>1505</v>
      </c>
      <c r="C9" s="452" t="s">
        <v>784</v>
      </c>
      <c r="D9" s="293"/>
      <c r="E9" s="384" t="s">
        <v>1338</v>
      </c>
      <c r="F9" s="418" t="b">
        <v>1</v>
      </c>
    </row>
    <row r="10" spans="1:6">
      <c r="A10" s="541" t="s">
        <v>1873</v>
      </c>
      <c r="B10" s="165" t="s">
        <v>1872</v>
      </c>
      <c r="C10" s="351">
        <v>4</v>
      </c>
      <c r="D10" s="166"/>
      <c r="E10" s="387" t="s">
        <v>1391</v>
      </c>
      <c r="F10" s="390" t="b">
        <v>1</v>
      </c>
    </row>
    <row r="11" spans="1:6">
      <c r="A11" s="521"/>
      <c r="B11" s="159" t="s">
        <v>1875</v>
      </c>
      <c r="C11" s="453" t="s">
        <v>784</v>
      </c>
      <c r="D11" s="155"/>
      <c r="E11" s="386" t="s">
        <v>1876</v>
      </c>
      <c r="F11" s="391" t="b">
        <v>1</v>
      </c>
    </row>
    <row r="12" spans="1:6">
      <c r="A12" s="521"/>
      <c r="B12" s="159" t="s">
        <v>1440</v>
      </c>
      <c r="C12" s="453" t="s">
        <v>784</v>
      </c>
      <c r="D12" s="155"/>
      <c r="E12" s="386" t="s">
        <v>1464</v>
      </c>
      <c r="F12" s="391" t="b">
        <v>1</v>
      </c>
    </row>
    <row r="13" spans="1:6">
      <c r="A13" s="521"/>
      <c r="B13" s="159" t="s">
        <v>1879</v>
      </c>
      <c r="C13" s="453" t="s">
        <v>783</v>
      </c>
      <c r="D13" s="155"/>
      <c r="E13" s="386" t="s">
        <v>2180</v>
      </c>
      <c r="F13" s="391" t="b">
        <v>1</v>
      </c>
    </row>
    <row r="14" spans="1:6">
      <c r="A14" s="521"/>
      <c r="B14" s="159" t="s">
        <v>1880</v>
      </c>
      <c r="C14" s="453" t="s">
        <v>783</v>
      </c>
      <c r="D14" s="155"/>
      <c r="E14" s="386" t="s">
        <v>2180</v>
      </c>
      <c r="F14" s="391" t="b">
        <v>1</v>
      </c>
    </row>
    <row r="15" spans="1:6" ht="13.5" thickBot="1">
      <c r="A15" s="523"/>
      <c r="B15" s="172" t="s">
        <v>1881</v>
      </c>
      <c r="C15" s="318"/>
      <c r="D15" s="171"/>
      <c r="E15" s="385" t="s">
        <v>1882</v>
      </c>
      <c r="F15" s="392" t="b">
        <f>OR(C13="Yes",C14="Yes")</f>
        <v>0</v>
      </c>
    </row>
    <row r="16" spans="1:6">
      <c r="A16" s="541" t="s">
        <v>75</v>
      </c>
      <c r="B16" s="165" t="s">
        <v>1437</v>
      </c>
      <c r="C16" s="454" t="s">
        <v>783</v>
      </c>
      <c r="D16" s="166"/>
      <c r="E16" s="386" t="s">
        <v>1464</v>
      </c>
      <c r="F16" s="455" t="b">
        <v>1</v>
      </c>
    </row>
    <row r="17" spans="1:6">
      <c r="A17" s="521"/>
      <c r="B17" s="159" t="s">
        <v>1878</v>
      </c>
      <c r="C17" s="316" t="s">
        <v>1904</v>
      </c>
      <c r="D17" s="155"/>
      <c r="E17" s="386" t="s">
        <v>1903</v>
      </c>
      <c r="F17" s="383" t="b">
        <v>1</v>
      </c>
    </row>
    <row r="18" spans="1:6">
      <c r="A18" s="521"/>
      <c r="B18" s="159" t="s">
        <v>1885</v>
      </c>
      <c r="C18" s="316">
        <v>3</v>
      </c>
      <c r="D18" s="155"/>
      <c r="E18" s="386" t="s">
        <v>1903</v>
      </c>
      <c r="F18" s="383" t="b">
        <v>1</v>
      </c>
    </row>
    <row r="19" spans="1:6">
      <c r="A19" s="521"/>
      <c r="B19" s="159" t="s">
        <v>1886</v>
      </c>
      <c r="C19" s="316" t="s">
        <v>1904</v>
      </c>
      <c r="D19" s="155"/>
      <c r="E19" s="386" t="s">
        <v>1903</v>
      </c>
      <c r="F19" s="383" t="b">
        <v>1</v>
      </c>
    </row>
    <row r="20" spans="1:6">
      <c r="A20" s="521"/>
      <c r="B20" s="159" t="s">
        <v>1887</v>
      </c>
      <c r="C20" s="316">
        <v>3</v>
      </c>
      <c r="D20" s="155"/>
      <c r="E20" s="386" t="s">
        <v>1903</v>
      </c>
      <c r="F20" s="383" t="b">
        <v>1</v>
      </c>
    </row>
    <row r="21" spans="1:6" ht="13.5" thickBot="1">
      <c r="A21" s="523"/>
      <c r="B21" s="172" t="s">
        <v>1888</v>
      </c>
      <c r="C21" s="317" t="s">
        <v>1905</v>
      </c>
      <c r="D21" s="171"/>
      <c r="E21" s="386" t="s">
        <v>1903</v>
      </c>
      <c r="F21" s="383" t="b">
        <v>1</v>
      </c>
    </row>
    <row r="22" spans="1:6" ht="13.5" thickBot="1">
      <c r="A22" s="321" t="s">
        <v>1900</v>
      </c>
      <c r="B22" s="356" t="s">
        <v>1901</v>
      </c>
      <c r="C22" s="373" t="s">
        <v>784</v>
      </c>
      <c r="D22" s="353"/>
      <c r="E22" s="384" t="s">
        <v>1338</v>
      </c>
      <c r="F22" s="383" t="b">
        <v>1</v>
      </c>
    </row>
    <row r="23" spans="1:6" ht="13.5" thickBot="1">
      <c r="C23" s="37"/>
    </row>
    <row r="24" spans="1:6" ht="21" thickBot="1">
      <c r="A24" s="524" t="s">
        <v>1982</v>
      </c>
      <c r="B24" s="525"/>
      <c r="C24" s="525"/>
      <c r="D24" s="526"/>
    </row>
    <row r="25" spans="1:6" ht="12.75" customHeight="1">
      <c r="A25" s="518" t="s">
        <v>1684</v>
      </c>
      <c r="B25" s="519"/>
      <c r="C25" s="519"/>
      <c r="D25" s="520"/>
    </row>
    <row r="26" spans="1:6">
      <c r="A26" s="243" t="s">
        <v>1329</v>
      </c>
      <c r="B26" s="243" t="s">
        <v>4</v>
      </c>
      <c r="C26" s="315" t="s">
        <v>1343</v>
      </c>
      <c r="D26" s="243" t="s">
        <v>1308</v>
      </c>
    </row>
    <row r="27" spans="1:6">
      <c r="A27" s="543" t="s">
        <v>1983</v>
      </c>
      <c r="B27" s="159" t="s">
        <v>1985</v>
      </c>
      <c r="C27" s="316" t="s">
        <v>784</v>
      </c>
      <c r="D27" s="99"/>
      <c r="E27" s="349" t="s">
        <v>1338</v>
      </c>
      <c r="F27" s="383" t="b">
        <v>1</v>
      </c>
    </row>
    <row r="28" spans="1:6">
      <c r="A28" s="544"/>
      <c r="B28" s="159" t="s">
        <v>1984</v>
      </c>
      <c r="C28" s="350">
        <v>1000</v>
      </c>
      <c r="D28" s="99"/>
      <c r="E28" s="382" t="s">
        <v>1619</v>
      </c>
      <c r="F28" s="383" t="b">
        <v>1</v>
      </c>
    </row>
  </sheetData>
  <mergeCells count="10">
    <mergeCell ref="E1:E3"/>
    <mergeCell ref="F1:F3"/>
    <mergeCell ref="A2:D2"/>
    <mergeCell ref="A4:A6"/>
    <mergeCell ref="A10:A15"/>
    <mergeCell ref="A16:A21"/>
    <mergeCell ref="A24:D24"/>
    <mergeCell ref="A25:D25"/>
    <mergeCell ref="A27:A28"/>
    <mergeCell ref="A1:D1"/>
  </mergeCells>
  <conditionalFormatting sqref="F27:F28">
    <cfRule type="cellIs" dxfId="102" priority="4" operator="equal">
      <formula>TRUE</formula>
    </cfRule>
  </conditionalFormatting>
  <conditionalFormatting sqref="F4:F5 F7:F22">
    <cfRule type="cellIs" dxfId="101" priority="3" operator="equal">
      <formula>TRUE</formula>
    </cfRule>
  </conditionalFormatting>
  <conditionalFormatting sqref="F6">
    <cfRule type="cellIs" dxfId="100" priority="2" operator="equal">
      <formula>TRUE</formula>
    </cfRule>
  </conditionalFormatting>
  <conditionalFormatting sqref="A4:D22">
    <cfRule type="expression" dxfId="99" priority="1">
      <formula>$F4=FALSE</formula>
    </cfRule>
  </conditionalFormatting>
  <dataValidations count="3">
    <dataValidation type="list" allowBlank="1" showInputMessage="1" showErrorMessage="1" sqref="C16:C22 C5 C8:C9 C11:C14 C27" xr:uid="{229B98EC-ACAA-4489-B1F5-12CEF3B619D1}">
      <formula1>INDIRECT($E5)</formula1>
    </dataValidation>
    <dataValidation type="whole" operator="greaterThanOrEqual" allowBlank="1" showInputMessage="1" showErrorMessage="1" sqref="C10:C12 C28" xr:uid="{09043410-8BD1-4CAE-B1FC-5F715CB1B389}">
      <formula1>0</formula1>
    </dataValidation>
    <dataValidation type="date" operator="greaterThan" allowBlank="1" showInputMessage="1" showErrorMessage="1" sqref="C7" xr:uid="{81FDE5A2-9A8E-4331-B658-C6D774183353}">
      <formula1>43466</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A1A4-02D0-4715-BDEE-04979CF2AC07}">
  <sheetPr>
    <tabColor theme="6" tint="0.79998168889431442"/>
  </sheetPr>
  <dimension ref="A1:F28"/>
  <sheetViews>
    <sheetView workbookViewId="0">
      <selection activeCell="F4" sqref="F4:F22"/>
    </sheetView>
  </sheetViews>
  <sheetFormatPr defaultRowHeight="12.75"/>
  <cols>
    <col min="1" max="1" width="20" style="37" customWidth="1"/>
    <col min="2" max="2" width="86.5703125" style="37" customWidth="1"/>
    <col min="3" max="3" width="33.28515625" style="241" customWidth="1"/>
    <col min="4" max="4" width="16.85546875" style="37" customWidth="1"/>
    <col min="5" max="5" width="32" style="37" customWidth="1"/>
    <col min="6" max="6" width="24.7109375" style="37" customWidth="1"/>
    <col min="7" max="16384" width="9.140625" style="37"/>
  </cols>
  <sheetData>
    <row r="1" spans="1:6" ht="20.25">
      <c r="A1" s="545" t="s">
        <v>1433</v>
      </c>
      <c r="B1" s="546"/>
      <c r="C1" s="546"/>
      <c r="D1" s="547"/>
      <c r="E1" s="527" t="s">
        <v>1907</v>
      </c>
      <c r="F1" s="517" t="s">
        <v>1953</v>
      </c>
    </row>
    <row r="2" spans="1:6">
      <c r="A2" s="548" t="s">
        <v>1434</v>
      </c>
      <c r="B2" s="549"/>
      <c r="C2" s="549"/>
      <c r="D2" s="550"/>
      <c r="E2" s="528"/>
      <c r="F2" s="517"/>
    </row>
    <row r="3" spans="1:6" ht="13.5" thickBot="1">
      <c r="A3" s="243" t="s">
        <v>1329</v>
      </c>
      <c r="B3" s="243" t="s">
        <v>4</v>
      </c>
      <c r="C3" s="315" t="s">
        <v>1343</v>
      </c>
      <c r="D3" s="243" t="s">
        <v>1308</v>
      </c>
      <c r="E3" s="528"/>
      <c r="F3" s="517"/>
    </row>
    <row r="4" spans="1:6">
      <c r="A4" s="541" t="s">
        <v>1540</v>
      </c>
      <c r="B4" s="165" t="s">
        <v>1439</v>
      </c>
      <c r="C4" s="165" t="s">
        <v>2104</v>
      </c>
      <c r="D4" s="166"/>
      <c r="E4" s="385" t="s">
        <v>1546</v>
      </c>
      <c r="F4" s="383" t="b">
        <v>1</v>
      </c>
    </row>
    <row r="5" spans="1:6">
      <c r="A5" s="521"/>
      <c r="B5" s="159" t="s">
        <v>1438</v>
      </c>
      <c r="C5" s="316" t="s">
        <v>784</v>
      </c>
      <c r="D5" s="155"/>
      <c r="E5" s="384" t="s">
        <v>1338</v>
      </c>
      <c r="F5" s="383" t="b">
        <v>1</v>
      </c>
    </row>
    <row r="6" spans="1:6" ht="13.5" thickBot="1">
      <c r="A6" s="523"/>
      <c r="B6" s="172" t="s">
        <v>1539</v>
      </c>
      <c r="C6" s="170"/>
      <c r="D6" s="171"/>
      <c r="E6" s="385" t="s">
        <v>1393</v>
      </c>
      <c r="F6" s="383" t="b">
        <f>C5&lt;&gt;"Yes"</f>
        <v>0</v>
      </c>
    </row>
    <row r="7" spans="1:6">
      <c r="A7" s="246" t="s">
        <v>1883</v>
      </c>
      <c r="B7" s="159" t="s">
        <v>1884</v>
      </c>
      <c r="C7" s="450">
        <f ca="1">TODAY()</f>
        <v>44957</v>
      </c>
      <c r="D7" s="155"/>
      <c r="E7" s="387" t="s">
        <v>1871</v>
      </c>
      <c r="F7" s="383" t="b">
        <v>1</v>
      </c>
    </row>
    <row r="8" spans="1:6">
      <c r="A8" s="322"/>
      <c r="B8" s="239" t="s">
        <v>1465</v>
      </c>
      <c r="C8" s="451" t="s">
        <v>784</v>
      </c>
      <c r="D8" s="300"/>
      <c r="E8" s="384" t="s">
        <v>1338</v>
      </c>
      <c r="F8" s="383" t="b">
        <v>1</v>
      </c>
    </row>
    <row r="9" spans="1:6" ht="13.5" thickBot="1">
      <c r="A9" s="322"/>
      <c r="B9" s="339" t="s">
        <v>1505</v>
      </c>
      <c r="C9" s="452" t="s">
        <v>784</v>
      </c>
      <c r="D9" s="293"/>
      <c r="E9" s="384" t="s">
        <v>1338</v>
      </c>
      <c r="F9" s="418" t="b">
        <v>1</v>
      </c>
    </row>
    <row r="10" spans="1:6">
      <c r="A10" s="541" t="s">
        <v>1873</v>
      </c>
      <c r="B10" s="165" t="s">
        <v>1872</v>
      </c>
      <c r="C10" s="351">
        <v>5</v>
      </c>
      <c r="D10" s="166"/>
      <c r="E10" s="387" t="s">
        <v>1391</v>
      </c>
      <c r="F10" s="390" t="b">
        <v>1</v>
      </c>
    </row>
    <row r="11" spans="1:6">
      <c r="A11" s="521"/>
      <c r="B11" s="159" t="s">
        <v>1875</v>
      </c>
      <c r="C11" s="453" t="s">
        <v>784</v>
      </c>
      <c r="D11" s="155"/>
      <c r="E11" s="386" t="s">
        <v>1876</v>
      </c>
      <c r="F11" s="391" t="b">
        <v>1</v>
      </c>
    </row>
    <row r="12" spans="1:6">
      <c r="A12" s="521"/>
      <c r="B12" s="159" t="s">
        <v>1440</v>
      </c>
      <c r="C12" s="453" t="s">
        <v>784</v>
      </c>
      <c r="D12" s="155"/>
      <c r="E12" s="386" t="s">
        <v>1464</v>
      </c>
      <c r="F12" s="391" t="b">
        <v>1</v>
      </c>
    </row>
    <row r="13" spans="1:6">
      <c r="A13" s="521"/>
      <c r="B13" s="159" t="s">
        <v>1879</v>
      </c>
      <c r="C13" s="453" t="s">
        <v>783</v>
      </c>
      <c r="D13" s="155"/>
      <c r="E13" s="386" t="s">
        <v>2180</v>
      </c>
      <c r="F13" s="391" t="b">
        <v>1</v>
      </c>
    </row>
    <row r="14" spans="1:6">
      <c r="A14" s="521"/>
      <c r="B14" s="159" t="s">
        <v>1880</v>
      </c>
      <c r="C14" s="453" t="s">
        <v>783</v>
      </c>
      <c r="D14" s="155"/>
      <c r="E14" s="386" t="s">
        <v>2180</v>
      </c>
      <c r="F14" s="391" t="b">
        <v>1</v>
      </c>
    </row>
    <row r="15" spans="1:6" ht="13.5" thickBot="1">
      <c r="A15" s="523"/>
      <c r="B15" s="172" t="s">
        <v>1881</v>
      </c>
      <c r="C15" s="318"/>
      <c r="D15" s="171"/>
      <c r="E15" s="385" t="s">
        <v>1882</v>
      </c>
      <c r="F15" s="392" t="b">
        <f>OR(C13="Yes",C14="Yes")</f>
        <v>0</v>
      </c>
    </row>
    <row r="16" spans="1:6">
      <c r="A16" s="541" t="s">
        <v>75</v>
      </c>
      <c r="B16" s="165" t="s">
        <v>1437</v>
      </c>
      <c r="C16" s="454" t="s">
        <v>867</v>
      </c>
      <c r="D16" s="166"/>
      <c r="E16" s="386" t="s">
        <v>1464</v>
      </c>
      <c r="F16" s="455" t="b">
        <v>1</v>
      </c>
    </row>
    <row r="17" spans="1:6">
      <c r="A17" s="521"/>
      <c r="B17" s="159" t="s">
        <v>1878</v>
      </c>
      <c r="C17" s="316" t="s">
        <v>1904</v>
      </c>
      <c r="D17" s="155"/>
      <c r="E17" s="386" t="s">
        <v>1903</v>
      </c>
      <c r="F17" s="383" t="b">
        <v>1</v>
      </c>
    </row>
    <row r="18" spans="1:6">
      <c r="A18" s="521"/>
      <c r="B18" s="159" t="s">
        <v>1885</v>
      </c>
      <c r="C18" s="316">
        <v>3</v>
      </c>
      <c r="D18" s="155"/>
      <c r="E18" s="386" t="s">
        <v>1903</v>
      </c>
      <c r="F18" s="383" t="b">
        <v>1</v>
      </c>
    </row>
    <row r="19" spans="1:6">
      <c r="A19" s="521"/>
      <c r="B19" s="159" t="s">
        <v>1886</v>
      </c>
      <c r="C19" s="316" t="s">
        <v>1904</v>
      </c>
      <c r="D19" s="155"/>
      <c r="E19" s="386" t="s">
        <v>1903</v>
      </c>
      <c r="F19" s="383" t="b">
        <v>1</v>
      </c>
    </row>
    <row r="20" spans="1:6">
      <c r="A20" s="521"/>
      <c r="B20" s="159" t="s">
        <v>1887</v>
      </c>
      <c r="C20" s="316">
        <v>4</v>
      </c>
      <c r="D20" s="155"/>
      <c r="E20" s="386" t="s">
        <v>1903</v>
      </c>
      <c r="F20" s="383" t="b">
        <v>1</v>
      </c>
    </row>
    <row r="21" spans="1:6" ht="13.5" thickBot="1">
      <c r="A21" s="523"/>
      <c r="B21" s="172" t="s">
        <v>1888</v>
      </c>
      <c r="C21" s="317">
        <v>4</v>
      </c>
      <c r="D21" s="171"/>
      <c r="E21" s="386" t="s">
        <v>1903</v>
      </c>
      <c r="F21" s="383" t="b">
        <v>1</v>
      </c>
    </row>
    <row r="22" spans="1:6" ht="13.5" thickBot="1">
      <c r="A22" s="321" t="s">
        <v>1900</v>
      </c>
      <c r="B22" s="356" t="s">
        <v>1901</v>
      </c>
      <c r="C22" s="373" t="s">
        <v>784</v>
      </c>
      <c r="D22" s="353"/>
      <c r="E22" s="384" t="s">
        <v>1338</v>
      </c>
      <c r="F22" s="383" t="b">
        <v>1</v>
      </c>
    </row>
    <row r="23" spans="1:6" ht="13.5" thickBot="1">
      <c r="C23" s="37"/>
    </row>
    <row r="24" spans="1:6" ht="21" thickBot="1">
      <c r="A24" s="524" t="s">
        <v>1982</v>
      </c>
      <c r="B24" s="525"/>
      <c r="C24" s="525"/>
      <c r="D24" s="526"/>
    </row>
    <row r="25" spans="1:6" ht="12.75" customHeight="1">
      <c r="A25" s="518" t="s">
        <v>1684</v>
      </c>
      <c r="B25" s="519"/>
      <c r="C25" s="519"/>
      <c r="D25" s="520"/>
    </row>
    <row r="26" spans="1:6">
      <c r="A26" s="243" t="s">
        <v>1329</v>
      </c>
      <c r="B26" s="243" t="s">
        <v>4</v>
      </c>
      <c r="C26" s="315" t="s">
        <v>1343</v>
      </c>
      <c r="D26" s="243" t="s">
        <v>1308</v>
      </c>
    </row>
    <row r="27" spans="1:6">
      <c r="A27" s="543" t="s">
        <v>1983</v>
      </c>
      <c r="B27" s="159" t="s">
        <v>1985</v>
      </c>
      <c r="C27" s="316" t="s">
        <v>784</v>
      </c>
      <c r="D27" s="99"/>
      <c r="E27" s="349" t="s">
        <v>1338</v>
      </c>
      <c r="F27" s="383" t="b">
        <v>1</v>
      </c>
    </row>
    <row r="28" spans="1:6">
      <c r="A28" s="544"/>
      <c r="B28" s="159" t="s">
        <v>1984</v>
      </c>
      <c r="C28" s="350">
        <v>1500</v>
      </c>
      <c r="D28" s="99"/>
      <c r="E28" s="382" t="s">
        <v>1619</v>
      </c>
      <c r="F28" s="383" t="b">
        <v>1</v>
      </c>
    </row>
  </sheetData>
  <mergeCells count="10">
    <mergeCell ref="E1:E3"/>
    <mergeCell ref="F1:F3"/>
    <mergeCell ref="A2:D2"/>
    <mergeCell ref="A4:A6"/>
    <mergeCell ref="A10:A15"/>
    <mergeCell ref="A16:A21"/>
    <mergeCell ref="A24:D24"/>
    <mergeCell ref="A25:D25"/>
    <mergeCell ref="A27:A28"/>
    <mergeCell ref="A1:D1"/>
  </mergeCells>
  <conditionalFormatting sqref="F27:F28">
    <cfRule type="cellIs" dxfId="98" priority="5" operator="equal">
      <formula>TRUE</formula>
    </cfRule>
  </conditionalFormatting>
  <conditionalFormatting sqref="F4:F5 F7:F14 F16:F22">
    <cfRule type="cellIs" dxfId="97" priority="4" operator="equal">
      <formula>TRUE</formula>
    </cfRule>
  </conditionalFormatting>
  <conditionalFormatting sqref="F6">
    <cfRule type="cellIs" dxfId="96" priority="3" operator="equal">
      <formula>TRUE</formula>
    </cfRule>
  </conditionalFormatting>
  <conditionalFormatting sqref="A4:D22">
    <cfRule type="expression" dxfId="95" priority="2">
      <formula>$F4=FALSE</formula>
    </cfRule>
  </conditionalFormatting>
  <conditionalFormatting sqref="F15">
    <cfRule type="cellIs" dxfId="94" priority="1" operator="equal">
      <formula>TRUE</formula>
    </cfRule>
  </conditionalFormatting>
  <dataValidations count="3">
    <dataValidation type="date" operator="greaterThan" allowBlank="1" showInputMessage="1" showErrorMessage="1" sqref="C7" xr:uid="{B1ECA2F0-232D-482B-AC25-798D984D0D17}">
      <formula1>43466</formula1>
    </dataValidation>
    <dataValidation type="whole" operator="greaterThanOrEqual" allowBlank="1" showInputMessage="1" showErrorMessage="1" sqref="C28 C10" xr:uid="{95DD71CC-09B2-47E0-B44B-B71F33B789D3}">
      <formula1>0</formula1>
    </dataValidation>
    <dataValidation type="list" allowBlank="1" showInputMessage="1" showErrorMessage="1" sqref="C16:C22 C5 C8:C9 C27 C11:C14" xr:uid="{9E67385C-396A-45D2-8917-7FE5F85527A2}">
      <formula1>INDIRECT($E5)</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5BE-35DB-4B4C-B9ED-5E4FEE985256}">
  <sheetPr>
    <tabColor theme="4" tint="0.79998168889431442"/>
  </sheetPr>
  <dimension ref="A1:I106"/>
  <sheetViews>
    <sheetView workbookViewId="0">
      <selection activeCell="C26" sqref="C26"/>
    </sheetView>
  </sheetViews>
  <sheetFormatPr defaultRowHeight="12.75"/>
  <cols>
    <col min="1" max="1" width="20" style="37" customWidth="1"/>
    <col min="2" max="2" width="86.5703125" style="37" customWidth="1"/>
    <col min="3" max="3" width="33.28515625" style="314" customWidth="1"/>
    <col min="4" max="4" width="16.85546875" style="37" customWidth="1"/>
    <col min="5" max="5" width="59.7109375" style="37" customWidth="1"/>
    <col min="6" max="6" width="27.28515625" style="37" customWidth="1"/>
    <col min="7" max="7" width="29.7109375" style="37" customWidth="1"/>
    <col min="8" max="8" width="18.140625" style="37" customWidth="1"/>
    <col min="9" max="16384" width="9.140625" style="37"/>
  </cols>
  <sheetData>
    <row r="1" spans="1:9" ht="20.25" customHeight="1">
      <c r="A1" s="555" t="s">
        <v>1563</v>
      </c>
      <c r="B1" s="556"/>
      <c r="C1" s="556"/>
      <c r="D1" s="557"/>
      <c r="E1" s="552" t="s">
        <v>1394</v>
      </c>
      <c r="F1" s="517" t="s">
        <v>1953</v>
      </c>
      <c r="G1" s="551" t="s">
        <v>2000</v>
      </c>
      <c r="H1" s="551" t="s">
        <v>2205</v>
      </c>
      <c r="I1" s="551" t="s">
        <v>2209</v>
      </c>
    </row>
    <row r="2" spans="1:9">
      <c r="A2" s="558" t="s">
        <v>1630</v>
      </c>
      <c r="B2" s="559"/>
      <c r="C2" s="559"/>
      <c r="D2" s="560"/>
      <c r="E2" s="553"/>
      <c r="F2" s="517"/>
      <c r="G2" s="517"/>
      <c r="H2" s="517"/>
      <c r="I2" s="517"/>
    </row>
    <row r="3" spans="1:9" ht="13.5" thickBot="1">
      <c r="A3" s="394" t="s">
        <v>1329</v>
      </c>
      <c r="B3" s="243" t="s">
        <v>4</v>
      </c>
      <c r="C3" s="243" t="s">
        <v>1343</v>
      </c>
      <c r="D3" s="395" t="s">
        <v>1308</v>
      </c>
      <c r="E3" s="553"/>
      <c r="F3" s="517"/>
      <c r="G3" s="517"/>
      <c r="H3" s="517"/>
      <c r="I3" s="517"/>
    </row>
    <row r="4" spans="1:9">
      <c r="A4" s="246" t="s">
        <v>1396</v>
      </c>
      <c r="B4" s="165" t="s">
        <v>1909</v>
      </c>
      <c r="C4" s="305" t="s">
        <v>2047</v>
      </c>
      <c r="D4" s="166"/>
      <c r="E4" s="389" t="s">
        <v>1910</v>
      </c>
      <c r="F4" s="383" t="b">
        <f>$G4&lt;=$C$7</f>
        <v>1</v>
      </c>
      <c r="G4" s="37">
        <v>0</v>
      </c>
    </row>
    <row r="5" spans="1:9">
      <c r="A5" s="322"/>
      <c r="B5" s="239" t="s">
        <v>1397</v>
      </c>
      <c r="C5" s="313" t="s">
        <v>2072</v>
      </c>
      <c r="D5" s="300"/>
      <c r="E5" s="385" t="s">
        <v>1550</v>
      </c>
      <c r="F5" s="383" t="b">
        <f t="shared" ref="F5:F68" si="0">$G5&lt;=$C$7</f>
        <v>1</v>
      </c>
      <c r="G5" s="37">
        <v>0</v>
      </c>
    </row>
    <row r="6" spans="1:9">
      <c r="A6" s="322"/>
      <c r="B6" s="159" t="s">
        <v>1398</v>
      </c>
      <c r="C6" s="306" t="s">
        <v>1359</v>
      </c>
      <c r="D6" s="155"/>
      <c r="E6" s="386" t="s">
        <v>1369</v>
      </c>
      <c r="F6" s="383" t="b">
        <f t="shared" si="0"/>
        <v>1</v>
      </c>
      <c r="G6" s="37">
        <v>0</v>
      </c>
    </row>
    <row r="7" spans="1:9">
      <c r="A7" s="322"/>
      <c r="B7" s="159" t="s">
        <v>1637</v>
      </c>
      <c r="C7" s="442">
        <v>300000</v>
      </c>
      <c r="D7" s="155"/>
      <c r="E7" s="387" t="s">
        <v>2172</v>
      </c>
      <c r="F7" s="383" t="b">
        <f t="shared" si="0"/>
        <v>1</v>
      </c>
      <c r="G7" s="37">
        <v>0</v>
      </c>
      <c r="I7" s="102" t="s">
        <v>2208</v>
      </c>
    </row>
    <row r="8" spans="1:9" ht="25.5">
      <c r="A8" s="322"/>
      <c r="B8" s="240" t="s">
        <v>1911</v>
      </c>
      <c r="C8" s="306" t="s">
        <v>783</v>
      </c>
      <c r="D8" s="155"/>
      <c r="E8" s="386" t="s">
        <v>2180</v>
      </c>
      <c r="F8" s="383" t="b">
        <f t="shared" si="0"/>
        <v>1</v>
      </c>
      <c r="G8" s="37">
        <v>0</v>
      </c>
    </row>
    <row r="9" spans="1:9">
      <c r="A9" s="322"/>
      <c r="B9" s="159" t="s">
        <v>1636</v>
      </c>
      <c r="C9" s="306" t="s">
        <v>1623</v>
      </c>
      <c r="D9" s="155"/>
      <c r="E9" s="386" t="s">
        <v>1620</v>
      </c>
      <c r="F9" s="383" t="b">
        <f t="shared" si="0"/>
        <v>1</v>
      </c>
      <c r="G9" s="37">
        <v>0</v>
      </c>
      <c r="I9" s="102" t="s">
        <v>2208</v>
      </c>
    </row>
    <row r="10" spans="1:9">
      <c r="A10" s="322"/>
      <c r="B10" s="240" t="s">
        <v>1625</v>
      </c>
      <c r="C10" s="308" t="s">
        <v>2073</v>
      </c>
      <c r="D10" s="155"/>
      <c r="E10" s="385" t="s">
        <v>1393</v>
      </c>
      <c r="F10" s="383" t="b">
        <f t="shared" si="0"/>
        <v>1</v>
      </c>
      <c r="G10" s="37">
        <v>0</v>
      </c>
    </row>
    <row r="11" spans="1:9" ht="13.5" thickBot="1">
      <c r="A11" s="322"/>
      <c r="B11" s="342" t="s">
        <v>1682</v>
      </c>
      <c r="C11" s="428" t="s">
        <v>2074</v>
      </c>
      <c r="D11" s="332"/>
      <c r="E11" s="385" t="s">
        <v>1393</v>
      </c>
      <c r="F11" s="383" t="b">
        <f t="shared" si="0"/>
        <v>1</v>
      </c>
      <c r="G11" s="37">
        <v>0</v>
      </c>
    </row>
    <row r="12" spans="1:9" ht="13.5" customHeight="1" thickBot="1">
      <c r="A12" s="360" t="s">
        <v>1746</v>
      </c>
      <c r="B12" s="361" t="s">
        <v>1748</v>
      </c>
      <c r="C12" s="443"/>
      <c r="D12" s="355"/>
      <c r="E12" s="389" t="s">
        <v>1747</v>
      </c>
      <c r="F12" s="383" t="b">
        <f t="shared" si="0"/>
        <v>1</v>
      </c>
      <c r="G12" s="37">
        <v>0</v>
      </c>
    </row>
    <row r="13" spans="1:9">
      <c r="A13" s="561" t="s">
        <v>1652</v>
      </c>
      <c r="B13" s="239" t="s">
        <v>2075</v>
      </c>
      <c r="C13" s="432" t="s">
        <v>59</v>
      </c>
      <c r="D13" s="300"/>
      <c r="E13" s="386" t="s">
        <v>1634</v>
      </c>
      <c r="F13" s="383" t="b">
        <f t="shared" si="0"/>
        <v>1</v>
      </c>
      <c r="G13" s="37">
        <v>0</v>
      </c>
    </row>
    <row r="14" spans="1:9">
      <c r="A14" s="561"/>
      <c r="B14" s="159" t="s">
        <v>1671</v>
      </c>
      <c r="C14" s="308" t="s">
        <v>2076</v>
      </c>
      <c r="D14" s="155"/>
      <c r="E14" s="385" t="s">
        <v>1393</v>
      </c>
      <c r="F14" s="383" t="b">
        <f t="shared" si="0"/>
        <v>1</v>
      </c>
      <c r="G14" s="37">
        <v>0</v>
      </c>
    </row>
    <row r="15" spans="1:9" ht="25.5" customHeight="1">
      <c r="A15" s="561"/>
      <c r="B15" s="240" t="s">
        <v>2020</v>
      </c>
      <c r="C15" s="306"/>
      <c r="D15" s="155"/>
      <c r="E15" s="386" t="s">
        <v>1399</v>
      </c>
      <c r="F15" s="383" t="b">
        <v>0</v>
      </c>
      <c r="G15" s="37">
        <v>0</v>
      </c>
      <c r="I15" s="102" t="s">
        <v>2210</v>
      </c>
    </row>
    <row r="16" spans="1:9">
      <c r="A16" s="561"/>
      <c r="B16" s="159" t="s">
        <v>2021</v>
      </c>
      <c r="C16" s="306"/>
      <c r="D16" s="155"/>
      <c r="E16" s="386" t="s">
        <v>1399</v>
      </c>
      <c r="F16" s="383" t="b">
        <v>0</v>
      </c>
      <c r="G16" s="37">
        <v>0</v>
      </c>
    </row>
    <row r="17" spans="1:7">
      <c r="A17" s="561"/>
      <c r="B17" s="159" t="s">
        <v>2022</v>
      </c>
      <c r="C17" s="306"/>
      <c r="D17" s="155"/>
      <c r="E17" s="386" t="s">
        <v>1399</v>
      </c>
      <c r="F17" s="383" t="b">
        <v>0</v>
      </c>
      <c r="G17" s="37">
        <v>0</v>
      </c>
    </row>
    <row r="18" spans="1:7">
      <c r="A18" s="561"/>
      <c r="B18" s="159" t="s">
        <v>1626</v>
      </c>
      <c r="C18" s="308" t="s">
        <v>2077</v>
      </c>
      <c r="D18" s="155"/>
      <c r="E18" s="385" t="s">
        <v>1393</v>
      </c>
      <c r="F18" s="383" t="b">
        <f t="shared" si="0"/>
        <v>1</v>
      </c>
      <c r="G18" s="37">
        <v>0</v>
      </c>
    </row>
    <row r="19" spans="1:7" ht="25.5">
      <c r="A19" s="561"/>
      <c r="B19" s="240" t="s">
        <v>2023</v>
      </c>
      <c r="C19" s="431">
        <v>1</v>
      </c>
      <c r="D19" s="155"/>
      <c r="E19" s="387" t="s">
        <v>1567</v>
      </c>
      <c r="F19" s="383" t="b">
        <f t="shared" si="0"/>
        <v>1</v>
      </c>
      <c r="G19" s="37">
        <v>0</v>
      </c>
    </row>
    <row r="20" spans="1:7">
      <c r="A20" s="561"/>
      <c r="B20" s="159" t="s">
        <v>2024</v>
      </c>
      <c r="C20" s="431"/>
      <c r="D20" s="155"/>
      <c r="E20" s="387" t="s">
        <v>1567</v>
      </c>
      <c r="F20" s="383" t="b">
        <f t="shared" si="0"/>
        <v>1</v>
      </c>
      <c r="G20" s="37">
        <v>0</v>
      </c>
    </row>
    <row r="21" spans="1:7">
      <c r="A21" s="561"/>
      <c r="B21" s="159" t="s">
        <v>2025</v>
      </c>
      <c r="C21" s="431"/>
      <c r="D21" s="155"/>
      <c r="E21" s="387" t="s">
        <v>1567</v>
      </c>
      <c r="F21" s="383" t="b">
        <f t="shared" si="0"/>
        <v>1</v>
      </c>
      <c r="G21" s="37">
        <v>0</v>
      </c>
    </row>
    <row r="22" spans="1:7" ht="13.5" thickBot="1">
      <c r="A22" s="561"/>
      <c r="B22" s="339" t="s">
        <v>1627</v>
      </c>
      <c r="C22" s="444" t="s">
        <v>2078</v>
      </c>
      <c r="D22" s="293"/>
      <c r="E22" s="385" t="s">
        <v>1393</v>
      </c>
      <c r="F22" s="383" t="b">
        <f t="shared" si="0"/>
        <v>1</v>
      </c>
      <c r="G22" s="37">
        <v>0</v>
      </c>
    </row>
    <row r="23" spans="1:7">
      <c r="A23" s="531" t="s">
        <v>1558</v>
      </c>
      <c r="B23" s="165" t="s">
        <v>1618</v>
      </c>
      <c r="C23" s="429">
        <v>4</v>
      </c>
      <c r="D23" s="166"/>
      <c r="E23" s="387" t="s">
        <v>1391</v>
      </c>
      <c r="F23" s="383" t="b">
        <f t="shared" si="0"/>
        <v>1</v>
      </c>
      <c r="G23" s="37">
        <v>10000</v>
      </c>
    </row>
    <row r="24" spans="1:7">
      <c r="A24" s="532"/>
      <c r="B24" s="159" t="s">
        <v>1635</v>
      </c>
      <c r="C24" s="431">
        <v>500</v>
      </c>
      <c r="D24" s="155"/>
      <c r="E24" s="387" t="s">
        <v>1638</v>
      </c>
      <c r="F24" s="383" t="b">
        <f t="shared" si="0"/>
        <v>1</v>
      </c>
      <c r="G24" s="37">
        <v>10000</v>
      </c>
    </row>
    <row r="25" spans="1:7">
      <c r="A25" s="532"/>
      <c r="B25" s="159" t="s">
        <v>1628</v>
      </c>
      <c r="C25" s="303" t="s">
        <v>2211</v>
      </c>
      <c r="D25" s="155"/>
      <c r="E25" s="389" t="s">
        <v>1562</v>
      </c>
      <c r="F25" s="383" t="b">
        <f t="shared" si="0"/>
        <v>1</v>
      </c>
      <c r="G25" s="37">
        <v>0</v>
      </c>
    </row>
    <row r="26" spans="1:7">
      <c r="A26" s="532"/>
      <c r="B26" s="159" t="s">
        <v>1559</v>
      </c>
      <c r="C26" s="303" t="s">
        <v>2112</v>
      </c>
      <c r="D26" s="155"/>
      <c r="E26" s="389" t="s">
        <v>1562</v>
      </c>
      <c r="F26" s="383" t="b">
        <f t="shared" si="0"/>
        <v>1</v>
      </c>
      <c r="G26" s="37">
        <v>0</v>
      </c>
    </row>
    <row r="27" spans="1:7">
      <c r="A27" s="532"/>
      <c r="B27" s="159" t="s">
        <v>1560</v>
      </c>
      <c r="C27" s="303" t="s">
        <v>2124</v>
      </c>
      <c r="D27" s="155"/>
      <c r="E27" s="389" t="s">
        <v>1562</v>
      </c>
      <c r="F27" s="383" t="b">
        <f t="shared" si="0"/>
        <v>1</v>
      </c>
      <c r="G27" s="37">
        <v>0</v>
      </c>
    </row>
    <row r="28" spans="1:7" ht="13.5" thickBot="1">
      <c r="A28" s="533"/>
      <c r="B28" s="172" t="s">
        <v>1561</v>
      </c>
      <c r="C28" s="309"/>
      <c r="D28" s="171"/>
      <c r="E28" s="389" t="s">
        <v>1562</v>
      </c>
      <c r="F28" s="383" t="b">
        <f t="shared" si="0"/>
        <v>1</v>
      </c>
      <c r="G28" s="37">
        <v>0</v>
      </c>
    </row>
    <row r="29" spans="1:7">
      <c r="A29" s="246" t="s">
        <v>1642</v>
      </c>
      <c r="B29" s="165" t="s">
        <v>1629</v>
      </c>
      <c r="C29" s="305" t="s">
        <v>2079</v>
      </c>
      <c r="D29" s="166"/>
      <c r="E29" s="385" t="s">
        <v>1393</v>
      </c>
      <c r="F29" s="383" t="b">
        <f t="shared" si="0"/>
        <v>1</v>
      </c>
      <c r="G29" s="37">
        <v>10000</v>
      </c>
    </row>
    <row r="30" spans="1:7">
      <c r="A30" s="322"/>
      <c r="B30" s="159" t="s">
        <v>1564</v>
      </c>
      <c r="C30" s="431">
        <v>45</v>
      </c>
      <c r="D30" s="155"/>
      <c r="E30" s="387" t="s">
        <v>1391</v>
      </c>
      <c r="F30" s="383" t="b">
        <f t="shared" si="0"/>
        <v>1</v>
      </c>
      <c r="G30" s="37">
        <v>10000</v>
      </c>
    </row>
    <row r="31" spans="1:7">
      <c r="A31" s="322"/>
      <c r="B31" s="159" t="s">
        <v>1565</v>
      </c>
      <c r="C31" s="431">
        <v>50</v>
      </c>
      <c r="D31" s="155"/>
      <c r="E31" s="387" t="s">
        <v>1391</v>
      </c>
      <c r="F31" s="383" t="b">
        <f t="shared" si="0"/>
        <v>1</v>
      </c>
      <c r="G31" s="37">
        <v>10000</v>
      </c>
    </row>
    <row r="32" spans="1:7" ht="13.5" thickBot="1">
      <c r="A32" s="322"/>
      <c r="B32" s="339" t="s">
        <v>1591</v>
      </c>
      <c r="C32" s="444" t="s">
        <v>2080</v>
      </c>
      <c r="D32" s="293"/>
      <c r="E32" s="389" t="s">
        <v>1592</v>
      </c>
      <c r="F32" s="383" t="b">
        <f t="shared" si="0"/>
        <v>1</v>
      </c>
      <c r="G32" s="37">
        <v>0</v>
      </c>
    </row>
    <row r="33" spans="1:8" ht="25.5">
      <c r="A33" s="541" t="s">
        <v>1745</v>
      </c>
      <c r="B33" s="301" t="s">
        <v>1659</v>
      </c>
      <c r="C33" s="445">
        <v>50000</v>
      </c>
      <c r="D33" s="166"/>
      <c r="E33" s="393" t="s">
        <v>2170</v>
      </c>
      <c r="F33" s="383" t="b">
        <f t="shared" si="0"/>
        <v>1</v>
      </c>
      <c r="G33" s="37">
        <v>10000</v>
      </c>
    </row>
    <row r="34" spans="1:8" ht="13.5" thickBot="1">
      <c r="A34" s="523"/>
      <c r="B34" s="172" t="s">
        <v>1660</v>
      </c>
      <c r="C34" s="309" t="s">
        <v>2081</v>
      </c>
      <c r="D34" s="171"/>
      <c r="E34" s="385" t="s">
        <v>1546</v>
      </c>
      <c r="F34" s="383" t="b">
        <f t="shared" si="0"/>
        <v>1</v>
      </c>
      <c r="G34" s="37">
        <v>10000</v>
      </c>
    </row>
    <row r="35" spans="1:8">
      <c r="A35" s="542" t="s">
        <v>1677</v>
      </c>
      <c r="B35" s="340" t="s">
        <v>1678</v>
      </c>
      <c r="C35" s="313" t="s">
        <v>2082</v>
      </c>
      <c r="D35" s="300"/>
      <c r="E35" s="385" t="s">
        <v>1393</v>
      </c>
      <c r="F35" s="383" t="b">
        <f t="shared" si="0"/>
        <v>1</v>
      </c>
      <c r="G35" s="37">
        <v>0</v>
      </c>
    </row>
    <row r="36" spans="1:8" ht="25.5">
      <c r="A36" s="542"/>
      <c r="B36" s="340" t="s">
        <v>1681</v>
      </c>
      <c r="C36" s="431">
        <v>7</v>
      </c>
      <c r="D36" s="155"/>
      <c r="E36" s="387" t="s">
        <v>1391</v>
      </c>
      <c r="F36" s="383" t="b">
        <f t="shared" si="0"/>
        <v>1</v>
      </c>
      <c r="G36" s="37">
        <v>50000</v>
      </c>
    </row>
    <row r="37" spans="1:8">
      <c r="A37" s="542"/>
      <c r="B37" s="340" t="s">
        <v>1680</v>
      </c>
      <c r="C37" s="313" t="s">
        <v>2083</v>
      </c>
      <c r="D37" s="300"/>
      <c r="E37" s="385" t="s">
        <v>1393</v>
      </c>
      <c r="F37" s="383" t="b">
        <f t="shared" si="0"/>
        <v>1</v>
      </c>
      <c r="G37" s="37">
        <v>50000</v>
      </c>
    </row>
    <row r="38" spans="1:8">
      <c r="A38" s="521"/>
      <c r="B38" s="159" t="s">
        <v>1631</v>
      </c>
      <c r="C38" s="306" t="s">
        <v>1647</v>
      </c>
      <c r="D38" s="155"/>
      <c r="E38" s="386" t="s">
        <v>1643</v>
      </c>
      <c r="F38" s="383" t="b">
        <f t="shared" si="0"/>
        <v>1</v>
      </c>
      <c r="G38" s="37">
        <v>50000</v>
      </c>
    </row>
    <row r="39" spans="1:8">
      <c r="A39" s="521"/>
      <c r="B39" s="159" t="s">
        <v>1648</v>
      </c>
      <c r="C39" s="308" t="s">
        <v>2084</v>
      </c>
      <c r="D39" s="155"/>
      <c r="E39" s="385" t="s">
        <v>1393</v>
      </c>
      <c r="F39" s="383" t="b">
        <f t="shared" si="0"/>
        <v>1</v>
      </c>
      <c r="G39" s="37">
        <v>50000</v>
      </c>
    </row>
    <row r="40" spans="1:8" ht="13.5" thickBot="1">
      <c r="A40" s="522"/>
      <c r="B40" s="339" t="s">
        <v>1639</v>
      </c>
      <c r="C40" s="311" t="s">
        <v>2085</v>
      </c>
      <c r="D40" s="293"/>
      <c r="E40" s="386" t="s">
        <v>1640</v>
      </c>
      <c r="F40" s="383" t="b">
        <f t="shared" si="0"/>
        <v>1</v>
      </c>
      <c r="G40" s="37">
        <v>50000</v>
      </c>
    </row>
    <row r="41" spans="1:8">
      <c r="A41" s="541" t="s">
        <v>1679</v>
      </c>
      <c r="B41" s="165" t="s">
        <v>1913</v>
      </c>
      <c r="C41" s="310" t="s">
        <v>783</v>
      </c>
      <c r="D41" s="166"/>
      <c r="E41" s="384" t="s">
        <v>1464</v>
      </c>
      <c r="F41" s="383" t="b">
        <f t="shared" si="0"/>
        <v>1</v>
      </c>
      <c r="G41" s="37">
        <v>0</v>
      </c>
    </row>
    <row r="42" spans="1:8">
      <c r="A42" s="542"/>
      <c r="B42" s="239" t="s">
        <v>1914</v>
      </c>
      <c r="C42" s="432" t="s">
        <v>867</v>
      </c>
      <c r="D42" s="300"/>
      <c r="E42" s="384" t="s">
        <v>1464</v>
      </c>
      <c r="F42" s="383" t="b">
        <f t="shared" si="0"/>
        <v>1</v>
      </c>
      <c r="G42" s="37">
        <v>0</v>
      </c>
    </row>
    <row r="43" spans="1:8" ht="25.5">
      <c r="A43" s="521"/>
      <c r="B43" s="240" t="s">
        <v>1915</v>
      </c>
      <c r="C43" s="431">
        <v>0</v>
      </c>
      <c r="D43" s="155"/>
      <c r="E43" s="387" t="s">
        <v>1391</v>
      </c>
      <c r="F43" s="383" t="b">
        <f t="shared" si="0"/>
        <v>1</v>
      </c>
      <c r="G43" s="37">
        <v>100000</v>
      </c>
    </row>
    <row r="44" spans="1:8">
      <c r="A44" s="521"/>
      <c r="B44" s="159" t="s">
        <v>1683</v>
      </c>
      <c r="C44" s="431">
        <v>0</v>
      </c>
      <c r="D44" s="155"/>
      <c r="E44" s="387" t="s">
        <v>1391</v>
      </c>
      <c r="F44" s="383" t="b">
        <f t="shared" si="0"/>
        <v>1</v>
      </c>
      <c r="G44" s="37">
        <v>100000</v>
      </c>
    </row>
    <row r="45" spans="1:8" ht="26.25" thickBot="1">
      <c r="A45" s="523"/>
      <c r="B45" s="245" t="s">
        <v>1916</v>
      </c>
      <c r="C45" s="446">
        <v>3</v>
      </c>
      <c r="D45" s="171"/>
      <c r="E45" s="387" t="s">
        <v>1391</v>
      </c>
      <c r="F45" s="383" t="b">
        <f t="shared" si="0"/>
        <v>1</v>
      </c>
      <c r="G45" s="37">
        <v>100000</v>
      </c>
    </row>
    <row r="46" spans="1:8">
      <c r="A46" s="532" t="s">
        <v>1653</v>
      </c>
      <c r="B46" s="239" t="s">
        <v>1654</v>
      </c>
      <c r="C46" s="432" t="s">
        <v>1656</v>
      </c>
      <c r="D46" s="300"/>
      <c r="E46" s="386" t="s">
        <v>1655</v>
      </c>
      <c r="F46" s="383" t="b">
        <f>AND($G46&lt;=$C$7,OR($C$6='Lookup Tables'!$B$313,$C$6='Lookup Tables'!$C$314,$C$6='Lookup Tables'!$C$315,$C$6='Lookup Tables'!$C$320))</f>
        <v>0</v>
      </c>
      <c r="G46" s="37">
        <v>10000</v>
      </c>
      <c r="H46" s="37" t="s">
        <v>2206</v>
      </c>
    </row>
    <row r="47" spans="1:8" ht="13.5" thickBot="1">
      <c r="A47" s="532"/>
      <c r="B47" s="339" t="s">
        <v>1661</v>
      </c>
      <c r="C47" s="311" t="s">
        <v>1664</v>
      </c>
      <c r="D47" s="293"/>
      <c r="E47" s="386" t="s">
        <v>1662</v>
      </c>
      <c r="F47" s="383" t="b">
        <f t="shared" si="0"/>
        <v>1</v>
      </c>
      <c r="G47" s="37">
        <v>0</v>
      </c>
    </row>
    <row r="48" spans="1:8">
      <c r="A48" s="531" t="s">
        <v>1672</v>
      </c>
      <c r="B48" s="165" t="s">
        <v>1676</v>
      </c>
      <c r="C48" s="310" t="s">
        <v>784</v>
      </c>
      <c r="D48" s="166"/>
      <c r="E48" s="384" t="s">
        <v>1464</v>
      </c>
      <c r="F48" s="383" t="b">
        <f t="shared" si="0"/>
        <v>1</v>
      </c>
      <c r="G48" s="37">
        <v>10000</v>
      </c>
    </row>
    <row r="49" spans="1:8">
      <c r="A49" s="532"/>
      <c r="B49" s="159" t="s">
        <v>1673</v>
      </c>
      <c r="C49" s="306" t="s">
        <v>784</v>
      </c>
      <c r="D49" s="155"/>
      <c r="E49" s="384" t="s">
        <v>1464</v>
      </c>
      <c r="F49" s="383" t="b">
        <f>AND($G49&lt;=$C$7,OR($C$6='Lookup Tables'!$B$313,$C$6='Lookup Tables'!$C$314,$C$6='Lookup Tables'!$C$315,$C$6='Lookup Tables'!$C$320))</f>
        <v>0</v>
      </c>
      <c r="G49" s="37">
        <v>0</v>
      </c>
      <c r="H49" s="37" t="s">
        <v>2206</v>
      </c>
    </row>
    <row r="50" spans="1:8">
      <c r="A50" s="532"/>
      <c r="B50" s="159" t="s">
        <v>1674</v>
      </c>
      <c r="C50" s="306" t="s">
        <v>783</v>
      </c>
      <c r="D50" s="155"/>
      <c r="E50" s="384" t="s">
        <v>1464</v>
      </c>
      <c r="F50" s="383" t="b">
        <f>AND($G50&lt;=$C$7,OR($C$6='Lookup Tables'!$B$313,$C$6='Lookup Tables'!$C$314,$C$6='Lookup Tables'!$C$315,$C$6='Lookup Tables'!$C$320))</f>
        <v>0</v>
      </c>
      <c r="G50" s="37">
        <v>0</v>
      </c>
      <c r="H50" s="37" t="s">
        <v>2206</v>
      </c>
    </row>
    <row r="51" spans="1:8" ht="13.5" thickBot="1">
      <c r="A51" s="532"/>
      <c r="B51" s="339" t="s">
        <v>1675</v>
      </c>
      <c r="C51" s="784">
        <v>10</v>
      </c>
      <c r="D51" s="293"/>
      <c r="E51" s="387" t="s">
        <v>1391</v>
      </c>
      <c r="F51" s="383" t="b">
        <f t="shared" si="0"/>
        <v>1</v>
      </c>
      <c r="G51" s="37">
        <v>10000</v>
      </c>
    </row>
    <row r="52" spans="1:8">
      <c r="A52" s="244" t="s">
        <v>169</v>
      </c>
      <c r="B52" s="165" t="s">
        <v>1731</v>
      </c>
      <c r="C52" s="429">
        <v>3</v>
      </c>
      <c r="D52" s="166"/>
      <c r="E52" s="387" t="s">
        <v>1391</v>
      </c>
      <c r="F52" s="383" t="b">
        <f t="shared" si="0"/>
        <v>1</v>
      </c>
      <c r="G52" s="37">
        <v>10000</v>
      </c>
    </row>
    <row r="53" spans="1:8">
      <c r="A53" s="247"/>
      <c r="B53" s="159" t="s">
        <v>1707</v>
      </c>
      <c r="C53" s="308" t="s">
        <v>2165</v>
      </c>
      <c r="D53" s="155"/>
      <c r="E53" s="387" t="s">
        <v>1728</v>
      </c>
      <c r="F53" s="383" t="b">
        <f t="shared" si="0"/>
        <v>1</v>
      </c>
      <c r="G53" s="37">
        <v>10000</v>
      </c>
    </row>
    <row r="54" spans="1:8">
      <c r="A54" s="247"/>
      <c r="B54" s="159" t="s">
        <v>1708</v>
      </c>
      <c r="C54" s="308" t="s">
        <v>2166</v>
      </c>
      <c r="D54" s="155"/>
      <c r="E54" s="387" t="s">
        <v>1728</v>
      </c>
      <c r="F54" s="383" t="b">
        <f t="shared" si="0"/>
        <v>1</v>
      </c>
      <c r="G54" s="37">
        <v>10000</v>
      </c>
    </row>
    <row r="55" spans="1:8">
      <c r="A55" s="247"/>
      <c r="B55" s="159" t="s">
        <v>1709</v>
      </c>
      <c r="C55" s="308" t="s">
        <v>2167</v>
      </c>
      <c r="D55" s="155"/>
      <c r="E55" s="387" t="s">
        <v>1728</v>
      </c>
      <c r="F55" s="383" t="b">
        <f t="shared" si="0"/>
        <v>1</v>
      </c>
      <c r="G55" s="37">
        <v>10000</v>
      </c>
    </row>
    <row r="56" spans="1:8">
      <c r="A56" s="247"/>
      <c r="B56" s="159" t="s">
        <v>2001</v>
      </c>
      <c r="C56" s="306" t="s">
        <v>1712</v>
      </c>
      <c r="D56" s="155"/>
      <c r="E56" s="386" t="s">
        <v>1727</v>
      </c>
      <c r="F56" s="383" t="b">
        <f t="shared" si="0"/>
        <v>1</v>
      </c>
      <c r="G56" s="37">
        <v>0</v>
      </c>
    </row>
    <row r="57" spans="1:8">
      <c r="A57" s="247"/>
      <c r="B57" s="159" t="s">
        <v>1708</v>
      </c>
      <c r="C57" s="306"/>
      <c r="D57" s="155"/>
      <c r="E57" s="386" t="s">
        <v>1727</v>
      </c>
      <c r="F57" s="383" t="b">
        <f t="shared" si="0"/>
        <v>1</v>
      </c>
      <c r="G57" s="37">
        <v>0</v>
      </c>
    </row>
    <row r="58" spans="1:8">
      <c r="A58" s="247"/>
      <c r="B58" s="159" t="s">
        <v>1709</v>
      </c>
      <c r="C58" s="306" t="s">
        <v>1712</v>
      </c>
      <c r="D58" s="155"/>
      <c r="E58" s="386" t="s">
        <v>1727</v>
      </c>
      <c r="F58" s="383" t="b">
        <f t="shared" si="0"/>
        <v>1</v>
      </c>
      <c r="G58" s="37">
        <v>0</v>
      </c>
    </row>
    <row r="59" spans="1:8" ht="25.5">
      <c r="A59" s="247"/>
      <c r="B59" s="240" t="s">
        <v>1736</v>
      </c>
      <c r="C59" s="431">
        <v>8</v>
      </c>
      <c r="D59" s="155"/>
      <c r="E59" s="387" t="s">
        <v>2171</v>
      </c>
      <c r="F59" s="383" t="b">
        <f t="shared" si="0"/>
        <v>1</v>
      </c>
      <c r="G59" s="37">
        <v>0</v>
      </c>
    </row>
    <row r="60" spans="1:8">
      <c r="A60" s="247"/>
      <c r="B60" s="159" t="s">
        <v>1734</v>
      </c>
      <c r="C60" s="431"/>
      <c r="D60" s="155"/>
      <c r="E60" s="387" t="s">
        <v>2171</v>
      </c>
      <c r="F60" s="383" t="b">
        <f t="shared" si="0"/>
        <v>1</v>
      </c>
      <c r="G60" s="37">
        <v>0</v>
      </c>
    </row>
    <row r="61" spans="1:8">
      <c r="A61" s="247"/>
      <c r="B61" s="159" t="s">
        <v>1735</v>
      </c>
      <c r="C61" s="431"/>
      <c r="D61" s="155"/>
      <c r="E61" s="387" t="s">
        <v>2171</v>
      </c>
      <c r="F61" s="383" t="b">
        <f t="shared" si="0"/>
        <v>1</v>
      </c>
      <c r="G61" s="37">
        <v>0</v>
      </c>
    </row>
    <row r="62" spans="1:8" ht="25.5">
      <c r="A62" s="247"/>
      <c r="B62" s="240" t="s">
        <v>2002</v>
      </c>
      <c r="C62" s="434">
        <v>0.25</v>
      </c>
      <c r="D62" s="155"/>
      <c r="E62" s="387" t="s">
        <v>1693</v>
      </c>
      <c r="F62" s="383" t="b">
        <f t="shared" si="0"/>
        <v>1</v>
      </c>
      <c r="G62" s="37">
        <v>0</v>
      </c>
    </row>
    <row r="63" spans="1:8">
      <c r="A63" s="247"/>
      <c r="B63" s="159" t="s">
        <v>1734</v>
      </c>
      <c r="C63" s="434"/>
      <c r="D63" s="155"/>
      <c r="E63" s="387" t="s">
        <v>1693</v>
      </c>
      <c r="F63" s="383" t="b">
        <f t="shared" si="0"/>
        <v>1</v>
      </c>
      <c r="G63" s="37">
        <v>0</v>
      </c>
    </row>
    <row r="64" spans="1:8">
      <c r="A64" s="247"/>
      <c r="B64" s="159" t="s">
        <v>1735</v>
      </c>
      <c r="C64" s="434"/>
      <c r="D64" s="155"/>
      <c r="E64" s="387" t="s">
        <v>1693</v>
      </c>
      <c r="F64" s="383" t="b">
        <f t="shared" si="0"/>
        <v>1</v>
      </c>
      <c r="G64" s="37">
        <v>0</v>
      </c>
    </row>
    <row r="65" spans="1:8">
      <c r="A65" s="247"/>
      <c r="B65" s="159" t="s">
        <v>1729</v>
      </c>
      <c r="C65" s="306" t="s">
        <v>784</v>
      </c>
      <c r="D65" s="155"/>
      <c r="E65" s="386" t="s">
        <v>1338</v>
      </c>
      <c r="F65" s="383" t="b">
        <f t="shared" si="0"/>
        <v>1</v>
      </c>
      <c r="G65" s="37">
        <v>0</v>
      </c>
    </row>
    <row r="66" spans="1:8">
      <c r="A66" s="247"/>
      <c r="B66" s="159" t="s">
        <v>1730</v>
      </c>
      <c r="C66" s="308" t="s">
        <v>2086</v>
      </c>
      <c r="D66" s="155"/>
      <c r="E66" s="385" t="s">
        <v>1393</v>
      </c>
      <c r="F66" s="383" t="b">
        <f t="shared" si="0"/>
        <v>1</v>
      </c>
      <c r="G66" s="37">
        <v>0</v>
      </c>
    </row>
    <row r="67" spans="1:8">
      <c r="A67" s="247"/>
      <c r="B67" s="159" t="s">
        <v>1737</v>
      </c>
      <c r="C67" s="306" t="s">
        <v>1025</v>
      </c>
      <c r="D67" s="155"/>
      <c r="E67" s="386" t="s">
        <v>1743</v>
      </c>
      <c r="F67" s="383" t="b">
        <f t="shared" si="0"/>
        <v>1</v>
      </c>
      <c r="G67" s="37">
        <v>0</v>
      </c>
    </row>
    <row r="68" spans="1:8">
      <c r="A68" s="247"/>
      <c r="B68" s="159" t="s">
        <v>2527</v>
      </c>
      <c r="C68" s="306" t="s">
        <v>783</v>
      </c>
      <c r="D68" s="155"/>
      <c r="E68" s="386" t="s">
        <v>1338</v>
      </c>
      <c r="F68" s="383" t="b">
        <f t="shared" si="0"/>
        <v>1</v>
      </c>
      <c r="G68" s="37">
        <v>0</v>
      </c>
    </row>
    <row r="69" spans="1:8">
      <c r="A69" s="247"/>
      <c r="B69" s="159" t="s">
        <v>1732</v>
      </c>
      <c r="C69" s="308"/>
      <c r="D69" s="155"/>
      <c r="E69" s="385" t="s">
        <v>1393</v>
      </c>
      <c r="F69" s="383" t="b">
        <f t="shared" ref="F69:F106" si="1">$G69&lt;=$C$7</f>
        <v>1</v>
      </c>
      <c r="G69" s="37">
        <v>0</v>
      </c>
    </row>
    <row r="70" spans="1:8">
      <c r="A70" s="247"/>
      <c r="B70" s="159" t="s">
        <v>2528</v>
      </c>
      <c r="C70" s="306" t="s">
        <v>783</v>
      </c>
      <c r="D70" s="155"/>
      <c r="E70" s="386" t="s">
        <v>1338</v>
      </c>
      <c r="F70" s="383" t="b">
        <f t="shared" si="1"/>
        <v>1</v>
      </c>
      <c r="G70" s="37">
        <v>0</v>
      </c>
    </row>
    <row r="71" spans="1:8" ht="13.5" thickBot="1">
      <c r="A71" s="321"/>
      <c r="B71" s="159" t="s">
        <v>1732</v>
      </c>
      <c r="C71" s="308"/>
      <c r="D71" s="155"/>
      <c r="E71" s="385" t="s">
        <v>1393</v>
      </c>
      <c r="F71" s="383" t="b">
        <f t="shared" si="1"/>
        <v>1</v>
      </c>
      <c r="G71" s="37">
        <v>0</v>
      </c>
    </row>
    <row r="72" spans="1:8" ht="25.5">
      <c r="A72" s="532" t="s">
        <v>1594</v>
      </c>
      <c r="B72" s="340" t="s">
        <v>1733</v>
      </c>
      <c r="C72" s="313" t="s">
        <v>2087</v>
      </c>
      <c r="D72" s="300"/>
      <c r="E72" s="385" t="s">
        <v>1393</v>
      </c>
      <c r="F72" s="383" t="b">
        <f t="shared" si="1"/>
        <v>1</v>
      </c>
      <c r="G72" s="37">
        <v>10000</v>
      </c>
    </row>
    <row r="73" spans="1:8" ht="26.25" thickBot="1">
      <c r="A73" s="535"/>
      <c r="B73" s="245" t="s">
        <v>1593</v>
      </c>
      <c r="C73" s="309" t="s">
        <v>2088</v>
      </c>
      <c r="D73" s="171"/>
      <c r="E73" s="385" t="s">
        <v>1546</v>
      </c>
      <c r="F73" s="383" t="b">
        <f t="shared" si="1"/>
        <v>1</v>
      </c>
      <c r="G73" s="37">
        <v>10000</v>
      </c>
    </row>
    <row r="74" spans="1:8" ht="13.5" thickBot="1">
      <c r="A74" s="375" t="s">
        <v>1900</v>
      </c>
      <c r="B74" s="354" t="s">
        <v>1934</v>
      </c>
      <c r="C74" s="447" t="s">
        <v>784</v>
      </c>
      <c r="D74" s="171"/>
      <c r="E74" s="384" t="s">
        <v>1338</v>
      </c>
      <c r="F74" s="383" t="b">
        <f t="shared" si="1"/>
        <v>1</v>
      </c>
      <c r="G74" s="37">
        <v>0</v>
      </c>
    </row>
    <row r="75" spans="1:8" ht="13.5" thickBot="1"/>
    <row r="76" spans="1:8" ht="20.25" customHeight="1">
      <c r="A76" s="555" t="s">
        <v>1749</v>
      </c>
      <c r="B76" s="556"/>
      <c r="C76" s="556"/>
      <c r="D76" s="557"/>
      <c r="E76" s="552" t="s">
        <v>1907</v>
      </c>
    </row>
    <row r="77" spans="1:8">
      <c r="A77" s="558" t="s">
        <v>1750</v>
      </c>
      <c r="B77" s="559"/>
      <c r="C77" s="559"/>
      <c r="D77" s="560"/>
      <c r="E77" s="553"/>
    </row>
    <row r="78" spans="1:8" ht="13.5" thickBot="1">
      <c r="A78" s="364" t="s">
        <v>1329</v>
      </c>
      <c r="B78" s="365" t="s">
        <v>4</v>
      </c>
      <c r="C78" s="365" t="s">
        <v>1343</v>
      </c>
      <c r="D78" s="366" t="s">
        <v>1308</v>
      </c>
      <c r="E78" s="553"/>
    </row>
    <row r="79" spans="1:8">
      <c r="A79" s="554" t="s">
        <v>180</v>
      </c>
      <c r="B79" s="301" t="s">
        <v>1751</v>
      </c>
      <c r="C79" s="429">
        <v>10</v>
      </c>
      <c r="D79" s="166"/>
      <c r="E79" s="387" t="s">
        <v>1619</v>
      </c>
      <c r="F79" s="383" t="b">
        <f>AND($G79&lt;=$C$7,OR($C$9='Lookup Tables'!$B$444,$C$9='Lookup Tables'!$B$445,$C$9='Lookup Tables'!$B$446))</f>
        <v>1</v>
      </c>
      <c r="G79" s="37">
        <v>50000</v>
      </c>
      <c r="H79" s="37" t="s">
        <v>2207</v>
      </c>
    </row>
    <row r="80" spans="1:8" ht="12.75" customHeight="1" thickBot="1">
      <c r="A80" s="535"/>
      <c r="B80" s="245" t="s">
        <v>1752</v>
      </c>
      <c r="C80" s="446">
        <v>365</v>
      </c>
      <c r="D80" s="171"/>
      <c r="E80" s="387" t="s">
        <v>1619</v>
      </c>
      <c r="F80" s="383" t="b">
        <f>AND($G80&lt;=$C$7,OR($C$9='Lookup Tables'!$B$444,$C$9='Lookup Tables'!$B$445,$C$9='Lookup Tables'!$B$446))</f>
        <v>1</v>
      </c>
      <c r="G80" s="37">
        <v>50000</v>
      </c>
      <c r="H80" s="37" t="s">
        <v>2207</v>
      </c>
    </row>
    <row r="81" spans="1:8" ht="25.5">
      <c r="A81" s="531" t="s">
        <v>1757</v>
      </c>
      <c r="B81" s="301" t="s">
        <v>1756</v>
      </c>
      <c r="C81" s="429">
        <v>5</v>
      </c>
      <c r="D81" s="166"/>
      <c r="E81" s="387" t="s">
        <v>1619</v>
      </c>
      <c r="F81" s="383" t="b">
        <f>AND($G81&lt;=$C$7,OR($C$9='Lookup Tables'!$B$444,$C$9='Lookup Tables'!$B$445,$C$9='Lookup Tables'!$B$446))</f>
        <v>1</v>
      </c>
      <c r="G81" s="37">
        <v>50000</v>
      </c>
      <c r="H81" s="37" t="s">
        <v>2207</v>
      </c>
    </row>
    <row r="82" spans="1:8">
      <c r="A82" s="534"/>
      <c r="B82" s="240" t="s">
        <v>1827</v>
      </c>
      <c r="C82" s="431">
        <v>10</v>
      </c>
      <c r="D82" s="155"/>
      <c r="E82" s="387" t="s">
        <v>1619</v>
      </c>
      <c r="F82" s="383" t="b">
        <f>AND($G82&lt;=$C$7,OR($C$9='Lookup Tables'!$B$444,$C$9='Lookup Tables'!$B$445,$C$9='Lookup Tables'!$B$446))</f>
        <v>1</v>
      </c>
      <c r="H82" s="37" t="s">
        <v>2207</v>
      </c>
    </row>
    <row r="83" spans="1:8">
      <c r="A83" s="534"/>
      <c r="B83" s="240" t="s">
        <v>1759</v>
      </c>
      <c r="C83" s="306" t="s">
        <v>1764</v>
      </c>
      <c r="D83" s="155"/>
      <c r="E83" s="386" t="s">
        <v>1760</v>
      </c>
      <c r="F83" s="383" t="b">
        <f>AND($G83&lt;=$C$7,OR($C$9='Lookup Tables'!$B$444,$C$9='Lookup Tables'!$B$445,$C$9='Lookup Tables'!$B$446))</f>
        <v>1</v>
      </c>
      <c r="G83" s="37">
        <v>0</v>
      </c>
      <c r="H83" s="37" t="s">
        <v>2207</v>
      </c>
    </row>
    <row r="84" spans="1:8">
      <c r="A84" s="534"/>
      <c r="B84" s="240" t="s">
        <v>1758</v>
      </c>
      <c r="C84" s="306" t="s">
        <v>1773</v>
      </c>
      <c r="D84" s="155"/>
      <c r="E84" s="386" t="s">
        <v>1766</v>
      </c>
      <c r="F84" s="383" t="b">
        <f>AND($G84&lt;=$C$7,OR($C$9='Lookup Tables'!$B$444,$C$9='Lookup Tables'!$B$445,$C$9='Lookup Tables'!$B$446))</f>
        <v>1</v>
      </c>
      <c r="G84" s="37">
        <v>0</v>
      </c>
      <c r="H84" s="37" t="s">
        <v>2207</v>
      </c>
    </row>
    <row r="85" spans="1:8" ht="26.25" thickBot="1">
      <c r="A85" s="535"/>
      <c r="B85" s="245" t="s">
        <v>1753</v>
      </c>
      <c r="C85" s="307" t="s">
        <v>1777</v>
      </c>
      <c r="D85" s="171"/>
      <c r="E85" s="386" t="s">
        <v>1774</v>
      </c>
      <c r="F85" s="383" t="b">
        <f>AND($G85&lt;=$C$7,OR($C$9='Lookup Tables'!$B$444,$C$9='Lookup Tables'!$B$445,$C$9='Lookup Tables'!$B$446))</f>
        <v>1</v>
      </c>
      <c r="G85" s="37">
        <v>0</v>
      </c>
      <c r="H85" s="37" t="s">
        <v>2207</v>
      </c>
    </row>
    <row r="86" spans="1:8">
      <c r="A86" s="554" t="s">
        <v>190</v>
      </c>
      <c r="B86" s="165" t="s">
        <v>1754</v>
      </c>
      <c r="C86" s="305" t="s">
        <v>2089</v>
      </c>
      <c r="D86" s="166"/>
      <c r="E86" s="385" t="s">
        <v>1393</v>
      </c>
      <c r="F86" s="383" t="b">
        <f>AND($G86&lt;=$C$7,OR($C$9='Lookup Tables'!$B$444,$C$9='Lookup Tables'!$B$445,$C$9='Lookup Tables'!$B$446))</f>
        <v>1</v>
      </c>
      <c r="G86" s="37">
        <v>0</v>
      </c>
      <c r="H86" s="37" t="s">
        <v>2207</v>
      </c>
    </row>
    <row r="87" spans="1:8">
      <c r="A87" s="534"/>
      <c r="B87" s="159" t="s">
        <v>1755</v>
      </c>
      <c r="C87" s="306" t="s">
        <v>784</v>
      </c>
      <c r="D87" s="155"/>
      <c r="E87" s="386" t="s">
        <v>1338</v>
      </c>
      <c r="F87" s="383" t="b">
        <f>AND($G87&lt;=$C$7,OR($C$9='Lookup Tables'!$B$444,$C$9='Lookup Tables'!$B$445,$C$9='Lookup Tables'!$B$446))</f>
        <v>1</v>
      </c>
      <c r="G87" s="37">
        <v>50000</v>
      </c>
      <c r="H87" s="37" t="s">
        <v>2207</v>
      </c>
    </row>
    <row r="88" spans="1:8">
      <c r="A88" s="534"/>
      <c r="B88" s="159" t="s">
        <v>1781</v>
      </c>
      <c r="C88" s="306" t="s">
        <v>783</v>
      </c>
      <c r="D88" s="155"/>
      <c r="E88" s="386" t="s">
        <v>1338</v>
      </c>
      <c r="F88" s="383" t="b">
        <f>AND($G88&lt;=$C$7,OR($C$9='Lookup Tables'!$B$444,$C$9='Lookup Tables'!$B$445,$C$9='Lookup Tables'!$B$446))</f>
        <v>1</v>
      </c>
      <c r="G88" s="37">
        <v>50000</v>
      </c>
      <c r="H88" s="37" t="s">
        <v>2207</v>
      </c>
    </row>
    <row r="89" spans="1:8">
      <c r="A89" s="534"/>
      <c r="B89" s="159" t="s">
        <v>1790</v>
      </c>
      <c r="C89" s="306" t="s">
        <v>784</v>
      </c>
      <c r="D89" s="155"/>
      <c r="E89" s="386" t="s">
        <v>1338</v>
      </c>
      <c r="F89" s="383" t="b">
        <f>AND($G89&lt;=$C$7,OR($C$9='Lookup Tables'!$B$444,$C$9='Lookup Tables'!$B$445,$C$9='Lookup Tables'!$B$446))</f>
        <v>1</v>
      </c>
      <c r="G89" s="37">
        <v>50000</v>
      </c>
      <c r="H89" s="37" t="s">
        <v>2207</v>
      </c>
    </row>
    <row r="90" spans="1:8">
      <c r="A90" s="534"/>
      <c r="B90" s="324" t="s">
        <v>198</v>
      </c>
      <c r="C90" s="435">
        <v>0.2</v>
      </c>
      <c r="D90" s="293"/>
      <c r="E90" s="387" t="s">
        <v>1694</v>
      </c>
      <c r="F90" s="383" t="b">
        <f>AND($G90&lt;=$C$7,OR($C$9='Lookup Tables'!$B$444,$C$9='Lookup Tables'!$B$445,$C$9='Lookup Tables'!$B$446))</f>
        <v>1</v>
      </c>
      <c r="G90" s="37">
        <v>0</v>
      </c>
      <c r="H90" s="37" t="s">
        <v>2207</v>
      </c>
    </row>
    <row r="91" spans="1:8">
      <c r="A91" s="534"/>
      <c r="B91" s="339" t="s">
        <v>1789</v>
      </c>
      <c r="C91" s="306" t="s">
        <v>1793</v>
      </c>
      <c r="D91" s="155"/>
      <c r="E91" s="386" t="s">
        <v>1796</v>
      </c>
      <c r="F91" s="383" t="b">
        <f>AND($G91&lt;=$C$7,OR($C$9='Lookup Tables'!$B$444,$C$9='Lookup Tables'!$B$445,$C$9='Lookup Tables'!$B$446))</f>
        <v>1</v>
      </c>
      <c r="G91" s="37">
        <v>0</v>
      </c>
      <c r="H91" s="37" t="s">
        <v>2207</v>
      </c>
    </row>
    <row r="92" spans="1:8">
      <c r="A92" s="534"/>
      <c r="B92" s="339" t="s">
        <v>1797</v>
      </c>
      <c r="C92" s="306" t="s">
        <v>1803</v>
      </c>
      <c r="D92" s="155"/>
      <c r="E92" s="386" t="s">
        <v>1798</v>
      </c>
      <c r="F92" s="383" t="b">
        <f>AND($G92&lt;=$C$7,OR($C$9='Lookup Tables'!$B$444,$C$9='Lookup Tables'!$B$445,$C$9='Lookup Tables'!$B$446))</f>
        <v>1</v>
      </c>
      <c r="G92" s="37">
        <v>50000</v>
      </c>
      <c r="H92" s="37" t="s">
        <v>2207</v>
      </c>
    </row>
    <row r="93" spans="1:8" ht="13.5" thickBot="1">
      <c r="A93" s="535"/>
      <c r="B93" s="172" t="s">
        <v>1805</v>
      </c>
      <c r="C93" s="309" t="s">
        <v>2090</v>
      </c>
      <c r="D93" s="171"/>
      <c r="E93" s="385" t="s">
        <v>1393</v>
      </c>
      <c r="F93" s="383" t="b">
        <f>AND($G93&lt;=$C$7,OR($C$9='Lookup Tables'!$B$444,$C$9='Lookup Tables'!$B$445,$C$9='Lookup Tables'!$B$446))</f>
        <v>1</v>
      </c>
      <c r="G93" s="37">
        <v>50000</v>
      </c>
      <c r="H93" s="37" t="s">
        <v>2207</v>
      </c>
    </row>
    <row r="94" spans="1:8">
      <c r="A94" s="554" t="s">
        <v>199</v>
      </c>
      <c r="B94" s="165" t="s">
        <v>1782</v>
      </c>
      <c r="C94" s="310" t="s">
        <v>1613</v>
      </c>
      <c r="D94" s="166"/>
      <c r="E94" s="386" t="s">
        <v>1788</v>
      </c>
      <c r="F94" s="383" t="b">
        <f>AND($G94&lt;=$C$7,OR($C$9='Lookup Tables'!$B$444,$C$9='Lookup Tables'!$B$445,$C$9='Lookup Tables'!$B$446))</f>
        <v>1</v>
      </c>
      <c r="G94" s="37">
        <v>50000</v>
      </c>
      <c r="H94" s="37" t="s">
        <v>2207</v>
      </c>
    </row>
    <row r="95" spans="1:8">
      <c r="A95" s="534"/>
      <c r="B95" s="159" t="s">
        <v>1783</v>
      </c>
      <c r="C95" s="306" t="s">
        <v>1817</v>
      </c>
      <c r="D95" s="155"/>
      <c r="E95" s="386" t="s">
        <v>1813</v>
      </c>
      <c r="F95" s="383" t="b">
        <f>AND($G95&lt;=$C$7,OR($C$9='Lookup Tables'!$B$444,$C$9='Lookup Tables'!$B$445,$C$9='Lookup Tables'!$B$446))</f>
        <v>1</v>
      </c>
      <c r="G95" s="37">
        <v>50000</v>
      </c>
      <c r="H95" s="37" t="s">
        <v>2207</v>
      </c>
    </row>
    <row r="96" spans="1:8">
      <c r="A96" s="534"/>
      <c r="B96" s="159" t="s">
        <v>1784</v>
      </c>
      <c r="C96" s="306" t="s">
        <v>1826</v>
      </c>
      <c r="D96" s="155"/>
      <c r="E96" s="386" t="s">
        <v>1818</v>
      </c>
      <c r="F96" s="383" t="b">
        <f>AND($G96&lt;=$C$7,OR($C$9='Lookup Tables'!$B$444,$C$9='Lookup Tables'!$B$445,$C$9='Lookup Tables'!$B$446))</f>
        <v>1</v>
      </c>
      <c r="G96" s="37">
        <v>50000</v>
      </c>
      <c r="H96" s="37" t="s">
        <v>2207</v>
      </c>
    </row>
    <row r="97" spans="1:8">
      <c r="A97" s="534"/>
      <c r="B97" s="159" t="s">
        <v>1785</v>
      </c>
      <c r="C97" s="306" t="s">
        <v>783</v>
      </c>
      <c r="D97" s="155"/>
      <c r="E97" s="384" t="s">
        <v>1464</v>
      </c>
      <c r="F97" s="383" t="b">
        <f>AND($G97&lt;=$C$7,OR($C$9='Lookup Tables'!$B$444,$C$9='Lookup Tables'!$B$445,$C$9='Lookup Tables'!$B$446))</f>
        <v>1</v>
      </c>
      <c r="G97" s="37">
        <v>50000</v>
      </c>
      <c r="H97" s="37" t="s">
        <v>2207</v>
      </c>
    </row>
    <row r="98" spans="1:8">
      <c r="A98" s="534"/>
      <c r="B98" s="159" t="s">
        <v>1786</v>
      </c>
      <c r="C98" s="306" t="s">
        <v>783</v>
      </c>
      <c r="D98" s="155"/>
      <c r="E98" s="386" t="s">
        <v>1338</v>
      </c>
      <c r="F98" s="383" t="b">
        <f>AND($G98&lt;=$C$7,OR($C$9='Lookup Tables'!$B$444,$C$9='Lookup Tables'!$B$445,$C$9='Lookup Tables'!$B$446))</f>
        <v>1</v>
      </c>
      <c r="G98" s="37">
        <v>50000</v>
      </c>
      <c r="H98" s="37" t="s">
        <v>2207</v>
      </c>
    </row>
    <row r="99" spans="1:8">
      <c r="A99" s="534"/>
      <c r="B99" s="159" t="s">
        <v>1787</v>
      </c>
      <c r="C99" s="313"/>
      <c r="D99" s="300"/>
      <c r="E99" s="385" t="s">
        <v>1393</v>
      </c>
      <c r="F99" s="383" t="b">
        <f>AND($G99&lt;=$C$7,OR($C$9='Lookup Tables'!$B$444,$C$9='Lookup Tables'!$B$445,$C$9='Lookup Tables'!$B$446))</f>
        <v>1</v>
      </c>
      <c r="G99" s="37">
        <v>50000</v>
      </c>
      <c r="H99" s="37" t="s">
        <v>2207</v>
      </c>
    </row>
    <row r="100" spans="1:8">
      <c r="A100" s="534"/>
      <c r="B100" s="159" t="s">
        <v>1828</v>
      </c>
      <c r="C100" s="306" t="s">
        <v>966</v>
      </c>
      <c r="D100" s="155"/>
      <c r="E100" s="386" t="s">
        <v>1832</v>
      </c>
      <c r="F100" s="383" t="b">
        <f>AND($G100&lt;=$C$7,OR($C$9='Lookup Tables'!$B$444,$C$9='Lookup Tables'!$B$445,$C$9='Lookup Tables'!$B$446))</f>
        <v>1</v>
      </c>
      <c r="G100" s="37">
        <v>50000</v>
      </c>
      <c r="H100" s="37" t="s">
        <v>2207</v>
      </c>
    </row>
    <row r="101" spans="1:8" ht="13.5" thickBot="1">
      <c r="A101" s="535"/>
      <c r="B101" s="172" t="s">
        <v>1829</v>
      </c>
      <c r="C101" s="307" t="s">
        <v>966</v>
      </c>
      <c r="D101" s="171"/>
      <c r="E101" s="386" t="s">
        <v>1837</v>
      </c>
      <c r="F101" s="383" t="b">
        <f>AND($G101&lt;=$C$7,OR($C$9='Lookup Tables'!$B$444,$C$9='Lookup Tables'!$B$445,$C$9='Lookup Tables'!$B$446))</f>
        <v>1</v>
      </c>
      <c r="G101" s="37">
        <v>50000</v>
      </c>
      <c r="H101" s="37" t="s">
        <v>2207</v>
      </c>
    </row>
    <row r="102" spans="1:8" ht="25.5">
      <c r="A102" s="541" t="s">
        <v>1847</v>
      </c>
      <c r="B102" s="301" t="s">
        <v>1845</v>
      </c>
      <c r="C102" s="310" t="s">
        <v>784</v>
      </c>
      <c r="D102" s="166"/>
      <c r="E102" s="384" t="s">
        <v>1464</v>
      </c>
      <c r="F102" s="383" t="b">
        <f>AND($G102&lt;=$C$7,OR($C$9='Lookup Tables'!$B$444,$C$9='Lookup Tables'!$B$445,$C$9='Lookup Tables'!$B$446))</f>
        <v>1</v>
      </c>
      <c r="G102" s="37">
        <v>50000</v>
      </c>
      <c r="H102" s="37" t="s">
        <v>2207</v>
      </c>
    </row>
    <row r="103" spans="1:8">
      <c r="A103" s="521"/>
      <c r="B103" s="159" t="s">
        <v>1844</v>
      </c>
      <c r="C103" s="306" t="s">
        <v>784</v>
      </c>
      <c r="D103" s="155"/>
      <c r="E103" s="384" t="s">
        <v>1464</v>
      </c>
      <c r="F103" s="383" t="b">
        <f>AND($G103&lt;=$C$7,OR($C$9='Lookup Tables'!$B$444,$C$9='Lookup Tables'!$B$445,$C$9='Lookup Tables'!$B$446))</f>
        <v>1</v>
      </c>
      <c r="G103" s="37">
        <v>50000</v>
      </c>
      <c r="H103" s="37" t="s">
        <v>2207</v>
      </c>
    </row>
    <row r="104" spans="1:8">
      <c r="A104" s="521"/>
      <c r="B104" s="159" t="s">
        <v>1846</v>
      </c>
      <c r="C104" s="306" t="s">
        <v>783</v>
      </c>
      <c r="D104" s="155"/>
      <c r="E104" s="384" t="s">
        <v>1464</v>
      </c>
      <c r="F104" s="383" t="b">
        <f>AND($G104&lt;=$C$7,OR($C$9='Lookup Tables'!$B$444,$C$9='Lookup Tables'!$B$445,$C$9='Lookup Tables'!$B$446))</f>
        <v>1</v>
      </c>
      <c r="G104" s="37">
        <v>50000</v>
      </c>
      <c r="H104" s="37" t="s">
        <v>2207</v>
      </c>
    </row>
    <row r="105" spans="1:8" ht="13.5" thickBot="1">
      <c r="A105" s="523"/>
      <c r="B105" s="172" t="s">
        <v>1848</v>
      </c>
      <c r="C105" s="307" t="s">
        <v>784</v>
      </c>
      <c r="D105" s="171"/>
      <c r="E105" s="384" t="s">
        <v>1464</v>
      </c>
      <c r="F105" s="383" t="b">
        <f>AND($G105&lt;=$C$7,OR($C$9='Lookup Tables'!$B$444,$C$9='Lookup Tables'!$B$445,$C$9='Lookup Tables'!$B$446))</f>
        <v>1</v>
      </c>
      <c r="G105" s="37">
        <v>50000</v>
      </c>
      <c r="H105" s="37" t="s">
        <v>2207</v>
      </c>
    </row>
    <row r="106" spans="1:8" ht="13.5" thickBot="1">
      <c r="A106" s="375" t="s">
        <v>1900</v>
      </c>
      <c r="B106" s="354" t="s">
        <v>1950</v>
      </c>
      <c r="C106" s="307" t="s">
        <v>784</v>
      </c>
      <c r="D106" s="171"/>
      <c r="E106" s="384" t="s">
        <v>1338</v>
      </c>
      <c r="F106" s="383" t="b">
        <f>AND($G106&lt;=$C$7,OR($C$9='Lookup Tables'!$B$444,$C$9='Lookup Tables'!$B$445,$C$9='Lookup Tables'!$B$446))</f>
        <v>1</v>
      </c>
      <c r="G106" s="37">
        <v>0</v>
      </c>
      <c r="H106" s="37" t="s">
        <v>2207</v>
      </c>
    </row>
  </sheetData>
  <mergeCells count="23">
    <mergeCell ref="A13:A22"/>
    <mergeCell ref="H1:H3"/>
    <mergeCell ref="I1:I3"/>
    <mergeCell ref="A1:D1"/>
    <mergeCell ref="E1:E3"/>
    <mergeCell ref="F1:F3"/>
    <mergeCell ref="G1:G3"/>
    <mergeCell ref="A2:D2"/>
    <mergeCell ref="E76:E78"/>
    <mergeCell ref="A77:D77"/>
    <mergeCell ref="A79:A80"/>
    <mergeCell ref="A23:A28"/>
    <mergeCell ref="A33:A34"/>
    <mergeCell ref="A35:A40"/>
    <mergeCell ref="A41:A45"/>
    <mergeCell ref="A46:A47"/>
    <mergeCell ref="A48:A51"/>
    <mergeCell ref="A81:A85"/>
    <mergeCell ref="A86:A93"/>
    <mergeCell ref="A94:A101"/>
    <mergeCell ref="A102:A105"/>
    <mergeCell ref="A72:A73"/>
    <mergeCell ref="A76:D76"/>
  </mergeCells>
  <conditionalFormatting sqref="F4:F74">
    <cfRule type="cellIs" dxfId="93" priority="3" operator="equal">
      <formula>TRUE</formula>
    </cfRule>
  </conditionalFormatting>
  <conditionalFormatting sqref="F79:F106">
    <cfRule type="cellIs" dxfId="92" priority="2" operator="equal">
      <formula>TRUE</formula>
    </cfRule>
  </conditionalFormatting>
  <conditionalFormatting sqref="A4:D52 A79:D106 A72:D75 B53:D71">
    <cfRule type="expression" dxfId="91" priority="1">
      <formula>$F4=FALSE</formula>
    </cfRule>
  </conditionalFormatting>
  <dataValidations count="3">
    <dataValidation type="decimal" operator="greaterThanOrEqual" allowBlank="1" showInputMessage="1" showErrorMessage="1" sqref="C90 C62:C64" xr:uid="{0502F0D1-D4BF-449F-8AA6-D6E21A8D9AEF}">
      <formula1>0</formula1>
    </dataValidation>
    <dataValidation type="whole" operator="greaterThanOrEqual" allowBlank="1" showInputMessage="1" showErrorMessage="1" sqref="C19:C21 C30:C31 C23:C24 C79:C82 C33 C36 C7 C51:C52 C43:C45 C59:C61" xr:uid="{C9A93C8B-53D7-49D3-84BD-E91C6660DD08}">
      <formula1>0</formula1>
    </dataValidation>
    <dataValidation type="list" allowBlank="1" showInputMessage="1" showErrorMessage="1" sqref="C15:C17 C13 C6 C8:C9 C38 C40:C42 C56:C58 C65 C74 C46:C50 C83:C85 C87:C89 C91:C92 C94:C98 C100:C106 C67:C68 C70" xr:uid="{A08C078F-206F-4938-8785-EBAC655FD0B1}">
      <formula1>INDIRECT($E6)</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294B-85CC-4256-AC47-B74088E5FD43}">
  <sheetPr>
    <tabColor theme="4" tint="0.79998168889431442"/>
  </sheetPr>
  <dimension ref="A1:G19"/>
  <sheetViews>
    <sheetView workbookViewId="0">
      <selection activeCell="C42" sqref="C42"/>
    </sheetView>
  </sheetViews>
  <sheetFormatPr defaultRowHeight="12.75"/>
  <cols>
    <col min="1" max="1" width="20" style="37" customWidth="1"/>
    <col min="2" max="2" width="86.5703125" style="37" customWidth="1"/>
    <col min="3" max="3" width="33.28515625" style="37" customWidth="1"/>
    <col min="4" max="4" width="16.85546875" style="37" customWidth="1"/>
    <col min="5" max="5" width="58.28515625" style="37" customWidth="1"/>
    <col min="6" max="6" width="25.85546875" style="37" customWidth="1"/>
    <col min="7" max="16384" width="9.140625" style="37"/>
  </cols>
  <sheetData>
    <row r="1" spans="1:6" ht="20.25" customHeight="1">
      <c r="A1" s="555" t="s">
        <v>1954</v>
      </c>
      <c r="B1" s="556"/>
      <c r="C1" s="556"/>
      <c r="D1" s="557"/>
      <c r="E1" s="552" t="s">
        <v>1907</v>
      </c>
      <c r="F1" s="517" t="s">
        <v>1953</v>
      </c>
    </row>
    <row r="2" spans="1:6">
      <c r="A2" s="558" t="s">
        <v>1106</v>
      </c>
      <c r="B2" s="559"/>
      <c r="C2" s="559"/>
      <c r="D2" s="560"/>
      <c r="E2" s="553"/>
      <c r="F2" s="517"/>
    </row>
    <row r="3" spans="1:6">
      <c r="A3" s="394" t="s">
        <v>1329</v>
      </c>
      <c r="B3" s="243" t="s">
        <v>4</v>
      </c>
      <c r="C3" s="315" t="s">
        <v>1343</v>
      </c>
      <c r="D3" s="395" t="s">
        <v>1308</v>
      </c>
      <c r="E3" s="553"/>
      <c r="F3" s="517"/>
    </row>
    <row r="4" spans="1:6">
      <c r="A4" s="562" t="s">
        <v>1853</v>
      </c>
      <c r="B4" s="159" t="s">
        <v>1849</v>
      </c>
      <c r="C4" s="136">
        <v>10000</v>
      </c>
      <c r="D4" s="155"/>
      <c r="E4" s="389" t="s">
        <v>1850</v>
      </c>
      <c r="F4" s="383" t="b">
        <v>1</v>
      </c>
    </row>
    <row r="5" spans="1:6" ht="13.5" thickBot="1">
      <c r="A5" s="561"/>
      <c r="B5" s="339" t="s">
        <v>1851</v>
      </c>
      <c r="C5" s="325">
        <v>1</v>
      </c>
      <c r="D5" s="293"/>
      <c r="E5" s="389" t="s">
        <v>1852</v>
      </c>
      <c r="F5" s="383" t="b">
        <v>1</v>
      </c>
    </row>
    <row r="6" spans="1:6">
      <c r="A6" s="563" t="s">
        <v>1854</v>
      </c>
      <c r="B6" s="165" t="s">
        <v>1855</v>
      </c>
      <c r="C6" s="165" t="s">
        <v>2091</v>
      </c>
      <c r="D6" s="166"/>
      <c r="E6" s="385" t="s">
        <v>1859</v>
      </c>
      <c r="F6" s="383" t="b">
        <v>1</v>
      </c>
    </row>
    <row r="7" spans="1:6">
      <c r="A7" s="564"/>
      <c r="B7" s="159" t="s">
        <v>1857</v>
      </c>
      <c r="C7" s="350">
        <v>60</v>
      </c>
      <c r="D7" s="155"/>
      <c r="E7" s="387" t="s">
        <v>1856</v>
      </c>
      <c r="F7" s="383" t="b">
        <v>1</v>
      </c>
    </row>
    <row r="8" spans="1:6">
      <c r="A8" s="564"/>
      <c r="B8" s="159" t="s">
        <v>1858</v>
      </c>
      <c r="C8" s="350"/>
      <c r="D8" s="155"/>
      <c r="E8" s="387" t="s">
        <v>1856</v>
      </c>
      <c r="F8" s="383" t="b">
        <v>1</v>
      </c>
    </row>
    <row r="9" spans="1:6">
      <c r="A9" s="564"/>
      <c r="B9" s="159" t="s">
        <v>1955</v>
      </c>
      <c r="C9" s="450"/>
      <c r="D9" s="155"/>
      <c r="E9" s="387" t="s">
        <v>1956</v>
      </c>
      <c r="F9" s="383" t="b">
        <v>1</v>
      </c>
    </row>
    <row r="10" spans="1:6">
      <c r="A10" s="564"/>
      <c r="B10" s="159" t="s">
        <v>1865</v>
      </c>
      <c r="C10" s="350">
        <v>50</v>
      </c>
      <c r="D10" s="155"/>
      <c r="E10" s="387" t="s">
        <v>1866</v>
      </c>
      <c r="F10" s="383" t="b">
        <v>1</v>
      </c>
    </row>
    <row r="11" spans="1:6">
      <c r="A11" s="564"/>
      <c r="B11" s="159" t="s">
        <v>1860</v>
      </c>
      <c r="C11" s="159" t="s">
        <v>2092</v>
      </c>
      <c r="D11" s="155"/>
      <c r="E11" s="385" t="s">
        <v>1859</v>
      </c>
      <c r="F11" s="383" t="b">
        <v>1</v>
      </c>
    </row>
    <row r="12" spans="1:6">
      <c r="A12" s="564"/>
      <c r="B12" s="159" t="s">
        <v>1861</v>
      </c>
      <c r="C12" s="159" t="s">
        <v>2093</v>
      </c>
      <c r="D12" s="155"/>
      <c r="E12" s="385" t="s">
        <v>1859</v>
      </c>
      <c r="F12" s="383" t="b">
        <v>1</v>
      </c>
    </row>
    <row r="13" spans="1:6">
      <c r="A13" s="564"/>
      <c r="B13" s="159" t="s">
        <v>1862</v>
      </c>
      <c r="C13" s="357">
        <v>20000</v>
      </c>
      <c r="D13" s="155"/>
      <c r="E13" s="387" t="s">
        <v>1863</v>
      </c>
      <c r="F13" s="383" t="b">
        <v>1</v>
      </c>
    </row>
    <row r="14" spans="1:6" ht="38.25">
      <c r="A14" s="564"/>
      <c r="B14" s="240" t="s">
        <v>1868</v>
      </c>
      <c r="C14" s="357">
        <v>0</v>
      </c>
      <c r="D14" s="155"/>
      <c r="E14" s="387" t="s">
        <v>1863</v>
      </c>
      <c r="F14" s="383" t="b">
        <v>1</v>
      </c>
    </row>
    <row r="15" spans="1:6">
      <c r="A15" s="564"/>
      <c r="B15" s="159" t="s">
        <v>1867</v>
      </c>
      <c r="C15" s="357">
        <v>0</v>
      </c>
      <c r="D15" s="155"/>
      <c r="E15" s="387" t="s">
        <v>1863</v>
      </c>
      <c r="F15" s="383" t="b">
        <v>1</v>
      </c>
    </row>
    <row r="16" spans="1:6" ht="25.5">
      <c r="A16" s="564"/>
      <c r="B16" s="240" t="s">
        <v>1869</v>
      </c>
      <c r="C16" s="357">
        <v>0</v>
      </c>
      <c r="D16" s="155"/>
      <c r="E16" s="387" t="s">
        <v>1863</v>
      </c>
      <c r="F16" s="383" t="b">
        <v>1</v>
      </c>
    </row>
    <row r="17" spans="1:7">
      <c r="A17" s="562"/>
      <c r="B17" s="377" t="s">
        <v>1952</v>
      </c>
      <c r="C17" s="357">
        <v>0</v>
      </c>
      <c r="D17" s="155"/>
      <c r="E17" s="387" t="s">
        <v>1863</v>
      </c>
      <c r="F17" s="383" t="b">
        <v>1</v>
      </c>
    </row>
    <row r="18" spans="1:7" ht="13.5" thickBot="1">
      <c r="A18" s="565"/>
      <c r="B18" s="172" t="s">
        <v>1870</v>
      </c>
      <c r="C18" s="367">
        <f>IF(OR(C10="",C13=""),"",(C13-C15-C16+C17)/C10)</f>
        <v>400</v>
      </c>
      <c r="D18" s="171"/>
      <c r="E18" s="396" t="s">
        <v>2173</v>
      </c>
      <c r="F18" s="383" t="b">
        <v>1</v>
      </c>
    </row>
    <row r="19" spans="1:7" ht="13.5" thickBot="1">
      <c r="A19" s="375" t="s">
        <v>1900</v>
      </c>
      <c r="B19" s="354" t="s">
        <v>2027</v>
      </c>
      <c r="C19" s="362" t="b">
        <f>AND(C6&lt;&gt;"",C7&amp;C8&amp;C9&lt;&gt;"",C11&lt;&gt;"",C12&lt;&gt;"",C13&lt;&gt;"")</f>
        <v>1</v>
      </c>
      <c r="D19" s="355"/>
      <c r="E19" s="419" t="s">
        <v>1546</v>
      </c>
      <c r="F19" s="420" t="b">
        <f>$G19&lt;=$C$7</f>
        <v>1</v>
      </c>
      <c r="G19" s="37">
        <v>0</v>
      </c>
    </row>
  </sheetData>
  <mergeCells count="6">
    <mergeCell ref="A6:A18"/>
    <mergeCell ref="A1:D1"/>
    <mergeCell ref="E1:E3"/>
    <mergeCell ref="F1:F3"/>
    <mergeCell ref="A2:D2"/>
    <mergeCell ref="A4:A5"/>
  </mergeCells>
  <conditionalFormatting sqref="F4:F18">
    <cfRule type="cellIs" dxfId="90" priority="5" operator="equal">
      <formula>TRUE</formula>
    </cfRule>
  </conditionalFormatting>
  <conditionalFormatting sqref="F19">
    <cfRule type="cellIs" dxfId="89" priority="1" operator="equal">
      <formula>TRUE</formula>
    </cfRule>
  </conditionalFormatting>
  <conditionalFormatting sqref="B19 D19">
    <cfRule type="expression" dxfId="88" priority="2">
      <formula>$G19&gt;$C$7</formula>
    </cfRule>
  </conditionalFormatting>
  <dataValidations count="1">
    <dataValidation type="whole" operator="greaterThanOrEqual" allowBlank="1" showInputMessage="1" showErrorMessage="1" sqref="C7:C10 C13:C17" xr:uid="{4C29B92B-9765-490E-9510-EC7FFAB2CD00}">
      <formula1>0</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202E8-1F59-41F4-9383-87EBB4EA5A24}">
  <sheetPr>
    <tabColor theme="4" tint="0.79998168889431442"/>
  </sheetPr>
  <dimension ref="A1:G19"/>
  <sheetViews>
    <sheetView workbookViewId="0">
      <selection sqref="A1:D1"/>
    </sheetView>
  </sheetViews>
  <sheetFormatPr defaultRowHeight="12.75"/>
  <cols>
    <col min="1" max="1" width="20" style="37" customWidth="1"/>
    <col min="2" max="2" width="86.5703125" style="37" customWidth="1"/>
    <col min="3" max="3" width="33.28515625" style="37" customWidth="1"/>
    <col min="4" max="4" width="16.85546875" style="37" customWidth="1"/>
    <col min="5" max="5" width="58.28515625" style="37" customWidth="1"/>
    <col min="6" max="6" width="25.85546875" style="37" customWidth="1"/>
    <col min="7" max="16384" width="9.140625" style="37"/>
  </cols>
  <sheetData>
    <row r="1" spans="1:6" ht="20.25" customHeight="1">
      <c r="A1" s="555" t="s">
        <v>1954</v>
      </c>
      <c r="B1" s="556"/>
      <c r="C1" s="556"/>
      <c r="D1" s="557"/>
      <c r="E1" s="552" t="s">
        <v>1907</v>
      </c>
      <c r="F1" s="517" t="s">
        <v>1953</v>
      </c>
    </row>
    <row r="2" spans="1:6">
      <c r="A2" s="558" t="s">
        <v>1106</v>
      </c>
      <c r="B2" s="559"/>
      <c r="C2" s="559"/>
      <c r="D2" s="560"/>
      <c r="E2" s="553"/>
      <c r="F2" s="517"/>
    </row>
    <row r="3" spans="1:6">
      <c r="A3" s="394" t="s">
        <v>1329</v>
      </c>
      <c r="B3" s="243" t="s">
        <v>4</v>
      </c>
      <c r="C3" s="315" t="s">
        <v>1343</v>
      </c>
      <c r="D3" s="395" t="s">
        <v>1308</v>
      </c>
      <c r="E3" s="553"/>
      <c r="F3" s="517"/>
    </row>
    <row r="4" spans="1:6">
      <c r="A4" s="562" t="s">
        <v>1853</v>
      </c>
      <c r="B4" s="159" t="s">
        <v>1849</v>
      </c>
      <c r="C4" s="136">
        <v>10000</v>
      </c>
      <c r="D4" s="155"/>
      <c r="E4" s="389" t="s">
        <v>1850</v>
      </c>
      <c r="F4" s="383" t="b">
        <v>1</v>
      </c>
    </row>
    <row r="5" spans="1:6" ht="13.5" thickBot="1">
      <c r="A5" s="561"/>
      <c r="B5" s="339" t="s">
        <v>1851</v>
      </c>
      <c r="C5" s="325">
        <v>2</v>
      </c>
      <c r="D5" s="293"/>
      <c r="E5" s="389" t="s">
        <v>1852</v>
      </c>
      <c r="F5" s="383" t="b">
        <v>1</v>
      </c>
    </row>
    <row r="6" spans="1:6">
      <c r="A6" s="563" t="s">
        <v>1854</v>
      </c>
      <c r="B6" s="165" t="s">
        <v>1855</v>
      </c>
      <c r="C6" s="165" t="s">
        <v>2094</v>
      </c>
      <c r="D6" s="166"/>
      <c r="E6" s="385" t="s">
        <v>1859</v>
      </c>
      <c r="F6" s="383" t="b">
        <v>1</v>
      </c>
    </row>
    <row r="7" spans="1:6">
      <c r="A7" s="564"/>
      <c r="B7" s="159" t="s">
        <v>1857</v>
      </c>
      <c r="C7" s="350"/>
      <c r="D7" s="155"/>
      <c r="E7" s="387" t="s">
        <v>1856</v>
      </c>
      <c r="F7" s="383" t="b">
        <v>1</v>
      </c>
    </row>
    <row r="8" spans="1:6">
      <c r="A8" s="564"/>
      <c r="B8" s="159" t="s">
        <v>1858</v>
      </c>
      <c r="C8" s="350">
        <v>30</v>
      </c>
      <c r="D8" s="155"/>
      <c r="E8" s="387" t="s">
        <v>1856</v>
      </c>
      <c r="F8" s="383" t="b">
        <v>1</v>
      </c>
    </row>
    <row r="9" spans="1:6">
      <c r="A9" s="564"/>
      <c r="B9" s="159" t="s">
        <v>1955</v>
      </c>
      <c r="C9" s="350"/>
      <c r="D9" s="155"/>
      <c r="E9" s="387" t="s">
        <v>1956</v>
      </c>
      <c r="F9" s="383" t="b">
        <v>1</v>
      </c>
    </row>
    <row r="10" spans="1:6">
      <c r="A10" s="564"/>
      <c r="B10" s="159" t="s">
        <v>1865</v>
      </c>
      <c r="C10" s="350">
        <v>120</v>
      </c>
      <c r="D10" s="155"/>
      <c r="E10" s="387" t="s">
        <v>1866</v>
      </c>
      <c r="F10" s="383" t="b">
        <v>1</v>
      </c>
    </row>
    <row r="11" spans="1:6">
      <c r="A11" s="564"/>
      <c r="B11" s="159" t="s">
        <v>1860</v>
      </c>
      <c r="C11" s="159" t="s">
        <v>2095</v>
      </c>
      <c r="D11" s="155"/>
      <c r="E11" s="385" t="s">
        <v>1859</v>
      </c>
      <c r="F11" s="383" t="b">
        <v>1</v>
      </c>
    </row>
    <row r="12" spans="1:6">
      <c r="A12" s="564"/>
      <c r="B12" s="159" t="s">
        <v>1861</v>
      </c>
      <c r="C12" s="159" t="s">
        <v>2096</v>
      </c>
      <c r="D12" s="155"/>
      <c r="E12" s="385" t="s">
        <v>1859</v>
      </c>
      <c r="F12" s="383" t="b">
        <v>1</v>
      </c>
    </row>
    <row r="13" spans="1:6">
      <c r="A13" s="564"/>
      <c r="B13" s="159" t="s">
        <v>1862</v>
      </c>
      <c r="C13" s="357">
        <v>50000</v>
      </c>
      <c r="D13" s="155"/>
      <c r="E13" s="387" t="s">
        <v>1863</v>
      </c>
      <c r="F13" s="383" t="b">
        <v>1</v>
      </c>
    </row>
    <row r="14" spans="1:6" ht="38.25">
      <c r="A14" s="564"/>
      <c r="B14" s="240" t="s">
        <v>1868</v>
      </c>
      <c r="C14" s="357">
        <v>0</v>
      </c>
      <c r="D14" s="155"/>
      <c r="E14" s="387" t="s">
        <v>1863</v>
      </c>
      <c r="F14" s="383" t="b">
        <v>1</v>
      </c>
    </row>
    <row r="15" spans="1:6">
      <c r="A15" s="564"/>
      <c r="B15" s="159" t="s">
        <v>1867</v>
      </c>
      <c r="C15" s="357">
        <v>0</v>
      </c>
      <c r="D15" s="155"/>
      <c r="E15" s="387" t="s">
        <v>1863</v>
      </c>
      <c r="F15" s="383" t="b">
        <v>1</v>
      </c>
    </row>
    <row r="16" spans="1:6" ht="25.5">
      <c r="A16" s="564"/>
      <c r="B16" s="240" t="s">
        <v>1869</v>
      </c>
      <c r="C16" s="357">
        <v>0</v>
      </c>
      <c r="D16" s="155"/>
      <c r="E16" s="387" t="s">
        <v>1863</v>
      </c>
      <c r="F16" s="383" t="b">
        <v>1</v>
      </c>
    </row>
    <row r="17" spans="1:7">
      <c r="A17" s="562"/>
      <c r="B17" s="377" t="s">
        <v>1952</v>
      </c>
      <c r="C17" s="357">
        <v>0</v>
      </c>
      <c r="D17" s="155"/>
      <c r="E17" s="387" t="s">
        <v>1863</v>
      </c>
      <c r="F17" s="383" t="b">
        <v>1</v>
      </c>
    </row>
    <row r="18" spans="1:7" ht="13.5" thickBot="1">
      <c r="A18" s="565"/>
      <c r="B18" s="172" t="s">
        <v>1870</v>
      </c>
      <c r="C18" s="367">
        <f>IF(OR(C10="",C13=""),"",(C13-C15-C16+C17)/C10)</f>
        <v>416.66666666666669</v>
      </c>
      <c r="D18" s="171"/>
      <c r="E18" s="396" t="s">
        <v>2173</v>
      </c>
      <c r="F18" s="383" t="b">
        <v>1</v>
      </c>
    </row>
    <row r="19" spans="1:7" ht="13.5" thickBot="1">
      <c r="A19" s="375" t="s">
        <v>1900</v>
      </c>
      <c r="B19" s="354" t="s">
        <v>2027</v>
      </c>
      <c r="C19" s="362" t="b">
        <f>AND(C6&lt;&gt;"",C7&amp;C8&amp;C9&lt;&gt;"",C11&lt;&gt;"",C12&lt;&gt;"",C13&lt;&gt;"")</f>
        <v>1</v>
      </c>
      <c r="D19" s="355"/>
      <c r="E19" s="419" t="s">
        <v>1546</v>
      </c>
      <c r="F19" s="420" t="b">
        <f>$G19&lt;=$C$7</f>
        <v>1</v>
      </c>
      <c r="G19" s="37">
        <v>0</v>
      </c>
    </row>
  </sheetData>
  <mergeCells count="6">
    <mergeCell ref="A6:A18"/>
    <mergeCell ref="A1:D1"/>
    <mergeCell ref="E1:E3"/>
    <mergeCell ref="F1:F3"/>
    <mergeCell ref="A2:D2"/>
    <mergeCell ref="A4:A5"/>
  </mergeCells>
  <conditionalFormatting sqref="F4:F18">
    <cfRule type="cellIs" dxfId="87" priority="5" operator="equal">
      <formula>TRUE</formula>
    </cfRule>
  </conditionalFormatting>
  <conditionalFormatting sqref="F19">
    <cfRule type="cellIs" dxfId="86" priority="1" operator="equal">
      <formula>TRUE</formula>
    </cfRule>
  </conditionalFormatting>
  <conditionalFormatting sqref="B19 D19">
    <cfRule type="expression" dxfId="85" priority="2">
      <formula>$G19&gt;$C$7</formula>
    </cfRule>
  </conditionalFormatting>
  <dataValidations count="1">
    <dataValidation type="whole" operator="greaterThanOrEqual" allowBlank="1" showInputMessage="1" showErrorMessage="1" sqref="C7:C10 C13:C17" xr:uid="{F00F0F72-C1EE-4B9B-8AC1-C220D589E529}">
      <formula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E3FD-0910-4843-84F3-59868FD661C1}">
  <sheetPr>
    <tabColor theme="4" tint="0.79998168889431442"/>
  </sheetPr>
  <dimension ref="A1:G19"/>
  <sheetViews>
    <sheetView workbookViewId="0">
      <selection activeCell="B14" sqref="B14"/>
    </sheetView>
  </sheetViews>
  <sheetFormatPr defaultRowHeight="12.75"/>
  <cols>
    <col min="1" max="1" width="20" style="37" customWidth="1"/>
    <col min="2" max="2" width="86.5703125" style="37" customWidth="1"/>
    <col min="3" max="3" width="33.28515625" style="37" customWidth="1"/>
    <col min="4" max="4" width="16.85546875" style="37" customWidth="1"/>
    <col min="5" max="5" width="58.28515625" style="37" customWidth="1"/>
    <col min="6" max="6" width="25.85546875" style="37" customWidth="1"/>
    <col min="7" max="16384" width="9.140625" style="37"/>
  </cols>
  <sheetData>
    <row r="1" spans="1:6" ht="20.25" customHeight="1">
      <c r="A1" s="555" t="s">
        <v>1954</v>
      </c>
      <c r="B1" s="556"/>
      <c r="C1" s="556"/>
      <c r="D1" s="557"/>
      <c r="E1" s="552" t="s">
        <v>1907</v>
      </c>
      <c r="F1" s="517" t="s">
        <v>1953</v>
      </c>
    </row>
    <row r="2" spans="1:6">
      <c r="A2" s="558" t="s">
        <v>1106</v>
      </c>
      <c r="B2" s="559"/>
      <c r="C2" s="559"/>
      <c r="D2" s="560"/>
      <c r="E2" s="553"/>
      <c r="F2" s="517"/>
    </row>
    <row r="3" spans="1:6">
      <c r="A3" s="394" t="s">
        <v>1329</v>
      </c>
      <c r="B3" s="243" t="s">
        <v>4</v>
      </c>
      <c r="C3" s="315" t="s">
        <v>1343</v>
      </c>
      <c r="D3" s="395" t="s">
        <v>1308</v>
      </c>
      <c r="E3" s="553"/>
      <c r="F3" s="517"/>
    </row>
    <row r="4" spans="1:6">
      <c r="A4" s="562" t="s">
        <v>1853</v>
      </c>
      <c r="B4" s="159" t="s">
        <v>1849</v>
      </c>
      <c r="C4" s="136">
        <v>10000</v>
      </c>
      <c r="D4" s="155"/>
      <c r="E4" s="389" t="s">
        <v>1850</v>
      </c>
      <c r="F4" s="383" t="b">
        <v>1</v>
      </c>
    </row>
    <row r="5" spans="1:6" ht="13.5" thickBot="1">
      <c r="A5" s="561"/>
      <c r="B5" s="339" t="s">
        <v>1851</v>
      </c>
      <c r="C5" s="325">
        <v>3</v>
      </c>
      <c r="D5" s="293"/>
      <c r="E5" s="389" t="s">
        <v>1852</v>
      </c>
      <c r="F5" s="383" t="b">
        <v>1</v>
      </c>
    </row>
    <row r="6" spans="1:6">
      <c r="A6" s="563" t="s">
        <v>1854</v>
      </c>
      <c r="B6" s="165" t="s">
        <v>1855</v>
      </c>
      <c r="C6" s="165" t="s">
        <v>2097</v>
      </c>
      <c r="D6" s="166"/>
      <c r="E6" s="385" t="s">
        <v>1859</v>
      </c>
      <c r="F6" s="383" t="b">
        <v>1</v>
      </c>
    </row>
    <row r="7" spans="1:6">
      <c r="A7" s="564"/>
      <c r="B7" s="159" t="s">
        <v>1857</v>
      </c>
      <c r="C7" s="350"/>
      <c r="D7" s="155"/>
      <c r="E7" s="387" t="s">
        <v>1856</v>
      </c>
      <c r="F7" s="383" t="b">
        <v>1</v>
      </c>
    </row>
    <row r="8" spans="1:6">
      <c r="A8" s="564"/>
      <c r="B8" s="159" t="s">
        <v>1858</v>
      </c>
      <c r="C8" s="350">
        <v>30</v>
      </c>
      <c r="D8" s="155"/>
      <c r="E8" s="387" t="s">
        <v>1856</v>
      </c>
      <c r="F8" s="383" t="b">
        <v>1</v>
      </c>
    </row>
    <row r="9" spans="1:6">
      <c r="A9" s="564"/>
      <c r="B9" s="159" t="s">
        <v>1955</v>
      </c>
      <c r="C9" s="350"/>
      <c r="D9" s="155"/>
      <c r="E9" s="387" t="s">
        <v>1956</v>
      </c>
      <c r="F9" s="383" t="b">
        <v>1</v>
      </c>
    </row>
    <row r="10" spans="1:6">
      <c r="A10" s="564"/>
      <c r="B10" s="159" t="s">
        <v>1865</v>
      </c>
      <c r="C10" s="350">
        <v>60</v>
      </c>
      <c r="D10" s="155"/>
      <c r="E10" s="387" t="s">
        <v>1866</v>
      </c>
      <c r="F10" s="383" t="b">
        <v>1</v>
      </c>
    </row>
    <row r="11" spans="1:6">
      <c r="A11" s="564"/>
      <c r="B11" s="159" t="s">
        <v>1860</v>
      </c>
      <c r="C11" s="159" t="s">
        <v>2098</v>
      </c>
      <c r="D11" s="155"/>
      <c r="E11" s="385" t="s">
        <v>1859</v>
      </c>
      <c r="F11" s="383" t="b">
        <v>1</v>
      </c>
    </row>
    <row r="12" spans="1:6">
      <c r="A12" s="564"/>
      <c r="B12" s="159" t="s">
        <v>1861</v>
      </c>
      <c r="C12" s="159" t="s">
        <v>2099</v>
      </c>
      <c r="D12" s="155"/>
      <c r="E12" s="385" t="s">
        <v>1859</v>
      </c>
      <c r="F12" s="383" t="b">
        <v>1</v>
      </c>
    </row>
    <row r="13" spans="1:6">
      <c r="A13" s="564"/>
      <c r="B13" s="159" t="s">
        <v>1862</v>
      </c>
      <c r="C13" s="357">
        <v>30000</v>
      </c>
      <c r="D13" s="155"/>
      <c r="E13" s="387" t="s">
        <v>1863</v>
      </c>
      <c r="F13" s="383" t="b">
        <v>1</v>
      </c>
    </row>
    <row r="14" spans="1:6" ht="38.25">
      <c r="A14" s="564"/>
      <c r="B14" s="240" t="s">
        <v>1868</v>
      </c>
      <c r="C14" s="357">
        <v>0</v>
      </c>
      <c r="D14" s="155"/>
      <c r="E14" s="387" t="s">
        <v>1863</v>
      </c>
      <c r="F14" s="383" t="b">
        <v>1</v>
      </c>
    </row>
    <row r="15" spans="1:6">
      <c r="A15" s="564"/>
      <c r="B15" s="159" t="s">
        <v>1867</v>
      </c>
      <c r="C15" s="357">
        <v>0</v>
      </c>
      <c r="D15" s="155"/>
      <c r="E15" s="387" t="s">
        <v>1863</v>
      </c>
      <c r="F15" s="383" t="b">
        <v>1</v>
      </c>
    </row>
    <row r="16" spans="1:6" ht="25.5">
      <c r="A16" s="564"/>
      <c r="B16" s="240" t="s">
        <v>1869</v>
      </c>
      <c r="C16" s="357">
        <v>0</v>
      </c>
      <c r="D16" s="155"/>
      <c r="E16" s="387" t="s">
        <v>1863</v>
      </c>
      <c r="F16" s="383" t="b">
        <v>1</v>
      </c>
    </row>
    <row r="17" spans="1:7">
      <c r="A17" s="562"/>
      <c r="B17" s="377" t="s">
        <v>1952</v>
      </c>
      <c r="C17" s="357">
        <v>0</v>
      </c>
      <c r="D17" s="155"/>
      <c r="E17" s="387" t="s">
        <v>1863</v>
      </c>
      <c r="F17" s="383" t="b">
        <v>1</v>
      </c>
    </row>
    <row r="18" spans="1:7" ht="13.5" thickBot="1">
      <c r="A18" s="565"/>
      <c r="B18" s="172" t="s">
        <v>1870</v>
      </c>
      <c r="C18" s="367">
        <f>IF(OR(C10="",C13=""),"",(C13-C15-C16+C17)/C10)</f>
        <v>500</v>
      </c>
      <c r="D18" s="171"/>
      <c r="E18" s="396" t="s">
        <v>2173</v>
      </c>
      <c r="F18" s="383" t="b">
        <v>1</v>
      </c>
    </row>
    <row r="19" spans="1:7" ht="13.5" thickBot="1">
      <c r="A19" s="375" t="s">
        <v>1900</v>
      </c>
      <c r="B19" s="354" t="s">
        <v>2027</v>
      </c>
      <c r="C19" s="362" t="b">
        <f>AND(C6&lt;&gt;"",C7&amp;C8&amp;C9&lt;&gt;"",C11&lt;&gt;"",C12&lt;&gt;"",C13&lt;&gt;"")</f>
        <v>1</v>
      </c>
      <c r="D19" s="355"/>
      <c r="E19" s="419" t="s">
        <v>1546</v>
      </c>
      <c r="F19" s="420" t="b">
        <f>$G19&lt;=$C$7</f>
        <v>1</v>
      </c>
      <c r="G19" s="37">
        <v>0</v>
      </c>
    </row>
  </sheetData>
  <mergeCells count="6">
    <mergeCell ref="A6:A18"/>
    <mergeCell ref="A1:D1"/>
    <mergeCell ref="E1:E3"/>
    <mergeCell ref="F1:F3"/>
    <mergeCell ref="A2:D2"/>
    <mergeCell ref="A4:A5"/>
  </mergeCells>
  <conditionalFormatting sqref="F4:F18">
    <cfRule type="cellIs" dxfId="84" priority="3" operator="equal">
      <formula>TRUE</formula>
    </cfRule>
  </conditionalFormatting>
  <conditionalFormatting sqref="F19">
    <cfRule type="cellIs" dxfId="83" priority="1" operator="equal">
      <formula>TRUE</formula>
    </cfRule>
  </conditionalFormatting>
  <conditionalFormatting sqref="B19 D19">
    <cfRule type="expression" dxfId="82" priority="2">
      <formula>$G19&gt;$C$7</formula>
    </cfRule>
  </conditionalFormatting>
  <dataValidations count="1">
    <dataValidation type="whole" operator="greaterThanOrEqual" allowBlank="1" showInputMessage="1" showErrorMessage="1" sqref="C7:C10 C13:C17" xr:uid="{607A40B8-2A41-47BE-BC1D-870FE21DA923}">
      <formula1>0</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1822-2A04-450D-AB15-2DF2A0773628}">
  <sheetPr>
    <tabColor theme="4" tint="0.79998168889431442"/>
  </sheetPr>
  <dimension ref="A1:G19"/>
  <sheetViews>
    <sheetView workbookViewId="0">
      <selection sqref="A1:D1"/>
    </sheetView>
  </sheetViews>
  <sheetFormatPr defaultRowHeight="12.75"/>
  <cols>
    <col min="1" max="1" width="20" style="37" customWidth="1"/>
    <col min="2" max="2" width="86.5703125" style="37" customWidth="1"/>
    <col min="3" max="3" width="33.28515625" style="37" customWidth="1"/>
    <col min="4" max="4" width="16.85546875" style="37" customWidth="1"/>
    <col min="5" max="5" width="58.28515625" style="37" customWidth="1"/>
    <col min="6" max="6" width="25.85546875" style="37" customWidth="1"/>
    <col min="7" max="16384" width="9.140625" style="37"/>
  </cols>
  <sheetData>
    <row r="1" spans="1:6" ht="20.25" customHeight="1">
      <c r="A1" s="555" t="s">
        <v>1954</v>
      </c>
      <c r="B1" s="556"/>
      <c r="C1" s="556"/>
      <c r="D1" s="557"/>
      <c r="E1" s="552" t="s">
        <v>1907</v>
      </c>
      <c r="F1" s="517" t="s">
        <v>1953</v>
      </c>
    </row>
    <row r="2" spans="1:6">
      <c r="A2" s="558" t="s">
        <v>1106</v>
      </c>
      <c r="B2" s="559"/>
      <c r="C2" s="559"/>
      <c r="D2" s="560"/>
      <c r="E2" s="553"/>
      <c r="F2" s="517"/>
    </row>
    <row r="3" spans="1:6">
      <c r="A3" s="394" t="s">
        <v>1329</v>
      </c>
      <c r="B3" s="243" t="s">
        <v>4</v>
      </c>
      <c r="C3" s="315" t="s">
        <v>1343</v>
      </c>
      <c r="D3" s="395" t="s">
        <v>1308</v>
      </c>
      <c r="E3" s="553"/>
      <c r="F3" s="517"/>
    </row>
    <row r="4" spans="1:6">
      <c r="A4" s="562" t="s">
        <v>1853</v>
      </c>
      <c r="B4" s="159" t="s">
        <v>1849</v>
      </c>
      <c r="C4" s="136">
        <v>10000</v>
      </c>
      <c r="D4" s="155"/>
      <c r="E4" s="389" t="s">
        <v>1850</v>
      </c>
      <c r="F4" s="383" t="b">
        <v>1</v>
      </c>
    </row>
    <row r="5" spans="1:6" ht="13.5" thickBot="1">
      <c r="A5" s="561"/>
      <c r="B5" s="339" t="s">
        <v>1851</v>
      </c>
      <c r="C5" s="325">
        <v>4</v>
      </c>
      <c r="D5" s="293"/>
      <c r="E5" s="389" t="s">
        <v>1852</v>
      </c>
      <c r="F5" s="383" t="b">
        <v>1</v>
      </c>
    </row>
    <row r="6" spans="1:6">
      <c r="A6" s="563" t="s">
        <v>1854</v>
      </c>
      <c r="B6" s="165" t="s">
        <v>1855</v>
      </c>
      <c r="C6" s="165" t="s">
        <v>2100</v>
      </c>
      <c r="D6" s="166"/>
      <c r="E6" s="385" t="s">
        <v>1859</v>
      </c>
      <c r="F6" s="383" t="b">
        <v>1</v>
      </c>
    </row>
    <row r="7" spans="1:6">
      <c r="A7" s="564"/>
      <c r="B7" s="159" t="s">
        <v>1857</v>
      </c>
      <c r="C7" s="350"/>
      <c r="D7" s="155"/>
      <c r="E7" s="387" t="s">
        <v>1856</v>
      </c>
      <c r="F7" s="383" t="b">
        <v>1</v>
      </c>
    </row>
    <row r="8" spans="1:6">
      <c r="A8" s="564"/>
      <c r="B8" s="159" t="s">
        <v>1858</v>
      </c>
      <c r="C8" s="350">
        <v>30</v>
      </c>
      <c r="D8" s="155"/>
      <c r="E8" s="387" t="s">
        <v>1856</v>
      </c>
      <c r="F8" s="383" t="b">
        <v>1</v>
      </c>
    </row>
    <row r="9" spans="1:6">
      <c r="A9" s="564"/>
      <c r="B9" s="159" t="s">
        <v>1955</v>
      </c>
      <c r="C9" s="350"/>
      <c r="D9" s="155"/>
      <c r="E9" s="387" t="s">
        <v>1956</v>
      </c>
      <c r="F9" s="383" t="b">
        <v>1</v>
      </c>
    </row>
    <row r="10" spans="1:6">
      <c r="A10" s="564"/>
      <c r="B10" s="159" t="s">
        <v>1865</v>
      </c>
      <c r="C10" s="350">
        <v>200</v>
      </c>
      <c r="D10" s="155"/>
      <c r="E10" s="387" t="s">
        <v>1866</v>
      </c>
      <c r="F10" s="383" t="b">
        <v>1</v>
      </c>
    </row>
    <row r="11" spans="1:6">
      <c r="A11" s="564"/>
      <c r="B11" s="159" t="s">
        <v>1860</v>
      </c>
      <c r="C11" s="159" t="s">
        <v>2101</v>
      </c>
      <c r="D11" s="155"/>
      <c r="E11" s="385" t="s">
        <v>1859</v>
      </c>
      <c r="F11" s="383" t="b">
        <v>1</v>
      </c>
    </row>
    <row r="12" spans="1:6">
      <c r="A12" s="564"/>
      <c r="B12" s="159" t="s">
        <v>1861</v>
      </c>
      <c r="C12" s="159" t="s">
        <v>2102</v>
      </c>
      <c r="D12" s="155"/>
      <c r="E12" s="385" t="s">
        <v>1859</v>
      </c>
      <c r="F12" s="383" t="b">
        <v>1</v>
      </c>
    </row>
    <row r="13" spans="1:6">
      <c r="A13" s="564"/>
      <c r="B13" s="159" t="s">
        <v>1862</v>
      </c>
      <c r="C13" s="357">
        <v>80000</v>
      </c>
      <c r="D13" s="155"/>
      <c r="E13" s="387" t="s">
        <v>1863</v>
      </c>
      <c r="F13" s="383" t="b">
        <v>1</v>
      </c>
    </row>
    <row r="14" spans="1:6" ht="38.25">
      <c r="A14" s="564"/>
      <c r="B14" s="240" t="s">
        <v>1868</v>
      </c>
      <c r="C14" s="357">
        <v>0</v>
      </c>
      <c r="D14" s="155"/>
      <c r="E14" s="387" t="s">
        <v>1863</v>
      </c>
      <c r="F14" s="383" t="b">
        <v>1</v>
      </c>
    </row>
    <row r="15" spans="1:6">
      <c r="A15" s="564"/>
      <c r="B15" s="159" t="s">
        <v>1867</v>
      </c>
      <c r="C15" s="357">
        <v>0</v>
      </c>
      <c r="D15" s="155"/>
      <c r="E15" s="387" t="s">
        <v>1863</v>
      </c>
      <c r="F15" s="383" t="b">
        <v>1</v>
      </c>
    </row>
    <row r="16" spans="1:6" ht="25.5">
      <c r="A16" s="564"/>
      <c r="B16" s="240" t="s">
        <v>1869</v>
      </c>
      <c r="C16" s="357">
        <v>0</v>
      </c>
      <c r="D16" s="155"/>
      <c r="E16" s="387" t="s">
        <v>1863</v>
      </c>
      <c r="F16" s="383" t="b">
        <v>1</v>
      </c>
    </row>
    <row r="17" spans="1:7">
      <c r="A17" s="562"/>
      <c r="B17" s="377" t="s">
        <v>1952</v>
      </c>
      <c r="C17" s="357">
        <v>0</v>
      </c>
      <c r="D17" s="155"/>
      <c r="E17" s="387" t="s">
        <v>1863</v>
      </c>
      <c r="F17" s="383" t="b">
        <v>1</v>
      </c>
    </row>
    <row r="18" spans="1:7" ht="13.5" thickBot="1">
      <c r="A18" s="565"/>
      <c r="B18" s="172" t="s">
        <v>1870</v>
      </c>
      <c r="C18" s="367">
        <f>IF(OR(C10="",C13=""),"",(C13-C15-C16+C17)/C10)</f>
        <v>400</v>
      </c>
      <c r="D18" s="171"/>
      <c r="E18" s="396" t="s">
        <v>2173</v>
      </c>
      <c r="F18" s="383" t="b">
        <v>1</v>
      </c>
    </row>
    <row r="19" spans="1:7" ht="13.5" thickBot="1">
      <c r="A19" s="375" t="s">
        <v>1900</v>
      </c>
      <c r="B19" s="354" t="s">
        <v>2027</v>
      </c>
      <c r="C19" s="362" t="b">
        <f>AND(C6&lt;&gt;"",C7&amp;C8&amp;C9&lt;&gt;"",C11&lt;&gt;"",C12&lt;&gt;"",C13&lt;&gt;"")</f>
        <v>1</v>
      </c>
      <c r="D19" s="355"/>
      <c r="E19" s="419" t="s">
        <v>1546</v>
      </c>
      <c r="F19" s="420" t="b">
        <f>$G19&lt;=$C$7</f>
        <v>1</v>
      </c>
      <c r="G19" s="37">
        <v>0</v>
      </c>
    </row>
  </sheetData>
  <mergeCells count="6">
    <mergeCell ref="A6:A18"/>
    <mergeCell ref="A1:D1"/>
    <mergeCell ref="E1:E3"/>
    <mergeCell ref="F1:F3"/>
    <mergeCell ref="A2:D2"/>
    <mergeCell ref="A4:A5"/>
  </mergeCells>
  <conditionalFormatting sqref="F4:F18">
    <cfRule type="cellIs" dxfId="81" priority="3" operator="equal">
      <formula>TRUE</formula>
    </cfRule>
  </conditionalFormatting>
  <conditionalFormatting sqref="F19">
    <cfRule type="cellIs" dxfId="80" priority="1" operator="equal">
      <formula>TRUE</formula>
    </cfRule>
  </conditionalFormatting>
  <conditionalFormatting sqref="B19 D19">
    <cfRule type="expression" dxfId="79" priority="2">
      <formula>$G19&gt;$C$7</formula>
    </cfRule>
  </conditionalFormatting>
  <dataValidations count="1">
    <dataValidation type="whole" operator="greaterThanOrEqual" allowBlank="1" showInputMessage="1" showErrorMessage="1" sqref="C7:C10 C13:C17" xr:uid="{E7C03170-0754-4C12-9214-D158DE6FDF9E}">
      <formula1>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EC88B-111E-46F4-B7EE-BA2F353F658F}">
  <sheetPr>
    <tabColor theme="6" tint="0.79998168889431442"/>
  </sheetPr>
  <dimension ref="A1:F49"/>
  <sheetViews>
    <sheetView workbookViewId="0">
      <selection activeCell="B51" sqref="B51"/>
    </sheetView>
  </sheetViews>
  <sheetFormatPr defaultRowHeight="12.75"/>
  <cols>
    <col min="1" max="1" width="20" style="37" customWidth="1"/>
    <col min="2" max="2" width="86.5703125" style="37" customWidth="1"/>
    <col min="3" max="3" width="33.28515625" style="37" customWidth="1"/>
    <col min="4" max="4" width="16.85546875" style="37" customWidth="1"/>
    <col min="5" max="5" width="59.7109375" style="37" customWidth="1"/>
    <col min="6" max="6" width="27.28515625" style="37" customWidth="1"/>
    <col min="7" max="7" width="29.7109375" style="37" customWidth="1"/>
    <col min="8" max="16384" width="9.140625" style="37"/>
  </cols>
  <sheetData>
    <row r="1" spans="1:6" ht="20.25">
      <c r="A1" s="545" t="s">
        <v>1902</v>
      </c>
      <c r="B1" s="546"/>
      <c r="C1" s="546"/>
      <c r="D1" s="547"/>
      <c r="E1" s="527" t="s">
        <v>1907</v>
      </c>
      <c r="F1" s="517" t="s">
        <v>1953</v>
      </c>
    </row>
    <row r="2" spans="1:6" ht="13.5" thickBot="1">
      <c r="A2" s="548" t="s">
        <v>1434</v>
      </c>
      <c r="B2" s="549"/>
      <c r="C2" s="549"/>
      <c r="D2" s="550"/>
      <c r="E2" s="528"/>
      <c r="F2" s="517"/>
    </row>
    <row r="3" spans="1:6" ht="13.5" thickBot="1">
      <c r="A3" s="345" t="s">
        <v>1329</v>
      </c>
      <c r="B3" s="346" t="s">
        <v>4</v>
      </c>
      <c r="C3" s="347" t="s">
        <v>1343</v>
      </c>
      <c r="D3" s="348" t="s">
        <v>1308</v>
      </c>
      <c r="E3" s="528"/>
      <c r="F3" s="517"/>
    </row>
    <row r="4" spans="1:6">
      <c r="A4" s="541" t="s">
        <v>1540</v>
      </c>
      <c r="B4" s="165" t="s">
        <v>1439</v>
      </c>
      <c r="C4" s="165" t="s">
        <v>2103</v>
      </c>
      <c r="D4" s="166"/>
      <c r="E4" s="385" t="s">
        <v>1546</v>
      </c>
      <c r="F4" s="383" t="b">
        <v>1</v>
      </c>
    </row>
    <row r="5" spans="1:6" ht="25.5">
      <c r="A5" s="521"/>
      <c r="B5" s="240" t="s">
        <v>1912</v>
      </c>
      <c r="C5" s="316" t="s">
        <v>784</v>
      </c>
      <c r="D5" s="155"/>
      <c r="E5" s="384" t="s">
        <v>1338</v>
      </c>
      <c r="F5" s="383" t="b">
        <v>1</v>
      </c>
    </row>
    <row r="6" spans="1:6" ht="13.5" thickBot="1">
      <c r="A6" s="523"/>
      <c r="B6" s="172" t="s">
        <v>1539</v>
      </c>
      <c r="C6" s="170"/>
      <c r="D6" s="171"/>
      <c r="E6" s="385" t="s">
        <v>1393</v>
      </c>
      <c r="F6" s="383" t="b">
        <f>C5&lt;&gt;"Yes"</f>
        <v>0</v>
      </c>
    </row>
    <row r="7" spans="1:6" ht="12.75" customHeight="1">
      <c r="A7" s="563" t="s">
        <v>1938</v>
      </c>
      <c r="B7" s="165" t="s">
        <v>735</v>
      </c>
      <c r="C7" s="319">
        <v>4</v>
      </c>
      <c r="D7" s="166"/>
      <c r="E7" s="384" t="s">
        <v>1903</v>
      </c>
      <c r="F7" s="383" t="b">
        <v>1</v>
      </c>
    </row>
    <row r="8" spans="1:6">
      <c r="A8" s="564"/>
      <c r="B8" s="159" t="s">
        <v>736</v>
      </c>
      <c r="C8" s="316" t="s">
        <v>1905</v>
      </c>
      <c r="D8" s="155"/>
      <c r="E8" s="384" t="s">
        <v>1903</v>
      </c>
      <c r="F8" s="383" t="b">
        <v>1</v>
      </c>
    </row>
    <row r="9" spans="1:6">
      <c r="A9" s="564"/>
      <c r="B9" s="99" t="s">
        <v>753</v>
      </c>
      <c r="C9" s="316" t="s">
        <v>1905</v>
      </c>
      <c r="D9" s="155"/>
      <c r="E9" s="384" t="s">
        <v>1903</v>
      </c>
      <c r="F9" s="383" t="b">
        <v>1</v>
      </c>
    </row>
    <row r="10" spans="1:6" ht="13.5" thickBot="1">
      <c r="A10" s="565"/>
      <c r="B10" s="172" t="s">
        <v>1919</v>
      </c>
      <c r="C10" s="317">
        <v>3</v>
      </c>
      <c r="D10" s="171"/>
      <c r="E10" s="384" t="s">
        <v>1903</v>
      </c>
      <c r="F10" s="383" t="b">
        <v>1</v>
      </c>
    </row>
    <row r="11" spans="1:6">
      <c r="A11" s="563" t="s">
        <v>89</v>
      </c>
      <c r="B11" s="165" t="s">
        <v>737</v>
      </c>
      <c r="C11" s="319">
        <v>2</v>
      </c>
      <c r="D11" s="166"/>
      <c r="E11" s="384" t="s">
        <v>1903</v>
      </c>
      <c r="F11" s="383" t="b">
        <v>1</v>
      </c>
    </row>
    <row r="12" spans="1:6">
      <c r="A12" s="564"/>
      <c r="B12" s="159" t="s">
        <v>738</v>
      </c>
      <c r="C12" s="316">
        <v>3</v>
      </c>
      <c r="D12" s="155"/>
      <c r="E12" s="384" t="s">
        <v>1903</v>
      </c>
      <c r="F12" s="383" t="b">
        <v>1</v>
      </c>
    </row>
    <row r="13" spans="1:6">
      <c r="A13" s="564"/>
      <c r="B13" s="159" t="s">
        <v>739</v>
      </c>
      <c r="C13" s="316" t="s">
        <v>1905</v>
      </c>
      <c r="D13" s="155"/>
      <c r="E13" s="384" t="s">
        <v>1903</v>
      </c>
      <c r="F13" s="383" t="b">
        <v>1</v>
      </c>
    </row>
    <row r="14" spans="1:6">
      <c r="A14" s="564"/>
      <c r="B14" s="159" t="s">
        <v>741</v>
      </c>
      <c r="C14" s="316" t="s">
        <v>1905</v>
      </c>
      <c r="D14" s="155"/>
      <c r="E14" s="384" t="s">
        <v>1903</v>
      </c>
      <c r="F14" s="383" t="b">
        <v>1</v>
      </c>
    </row>
    <row r="15" spans="1:6">
      <c r="A15" s="564"/>
      <c r="B15" s="159" t="s">
        <v>742</v>
      </c>
      <c r="C15" s="316">
        <v>3</v>
      </c>
      <c r="D15" s="155"/>
      <c r="E15" s="384" t="s">
        <v>1903</v>
      </c>
      <c r="F15" s="383" t="b">
        <v>1</v>
      </c>
    </row>
    <row r="16" spans="1:6" ht="26.25" thickBot="1">
      <c r="A16" s="565"/>
      <c r="B16" s="245" t="s">
        <v>1917</v>
      </c>
      <c r="C16" s="317">
        <v>2</v>
      </c>
      <c r="D16" s="171"/>
      <c r="E16" s="384" t="s">
        <v>1903</v>
      </c>
      <c r="F16" s="383" t="b">
        <v>1</v>
      </c>
    </row>
    <row r="17" spans="1:6">
      <c r="A17" s="563" t="s">
        <v>278</v>
      </c>
      <c r="B17" s="164" t="s">
        <v>748</v>
      </c>
      <c r="C17" s="319" t="s">
        <v>1905</v>
      </c>
      <c r="D17" s="166"/>
      <c r="E17" s="384" t="s">
        <v>1903</v>
      </c>
      <c r="F17" s="383" t="b">
        <v>1</v>
      </c>
    </row>
    <row r="18" spans="1:6">
      <c r="A18" s="564"/>
      <c r="B18" s="99" t="s">
        <v>749</v>
      </c>
      <c r="C18" s="316">
        <v>4</v>
      </c>
      <c r="D18" s="155"/>
      <c r="E18" s="384" t="s">
        <v>1903</v>
      </c>
      <c r="F18" s="383" t="b">
        <v>1</v>
      </c>
    </row>
    <row r="19" spans="1:6">
      <c r="A19" s="564"/>
      <c r="B19" s="99" t="s">
        <v>750</v>
      </c>
      <c r="C19" s="316" t="s">
        <v>1905</v>
      </c>
      <c r="D19" s="155"/>
      <c r="E19" s="384" t="s">
        <v>1903</v>
      </c>
      <c r="F19" s="383" t="b">
        <v>1</v>
      </c>
    </row>
    <row r="20" spans="1:6">
      <c r="A20" s="564"/>
      <c r="B20" s="99" t="s">
        <v>751</v>
      </c>
      <c r="C20" s="316">
        <v>4</v>
      </c>
      <c r="D20" s="155"/>
      <c r="E20" s="384" t="s">
        <v>1903</v>
      </c>
      <c r="F20" s="383" t="b">
        <v>1</v>
      </c>
    </row>
    <row r="21" spans="1:6">
      <c r="A21" s="564"/>
      <c r="B21" s="159" t="s">
        <v>1918</v>
      </c>
      <c r="C21" s="316">
        <v>4</v>
      </c>
      <c r="D21" s="155"/>
      <c r="E21" s="384" t="s">
        <v>1903</v>
      </c>
      <c r="F21" s="383" t="b">
        <v>1</v>
      </c>
    </row>
    <row r="22" spans="1:6">
      <c r="A22" s="564"/>
      <c r="B22" s="99" t="s">
        <v>754</v>
      </c>
      <c r="C22" s="316">
        <v>3</v>
      </c>
      <c r="D22" s="155"/>
      <c r="E22" s="384" t="s">
        <v>1903</v>
      </c>
      <c r="F22" s="383" t="b">
        <v>1</v>
      </c>
    </row>
    <row r="23" spans="1:6">
      <c r="A23" s="564"/>
      <c r="B23" s="159" t="s">
        <v>1935</v>
      </c>
      <c r="C23" s="316">
        <v>4</v>
      </c>
      <c r="D23" s="155"/>
      <c r="E23" s="384" t="s">
        <v>1903</v>
      </c>
      <c r="F23" s="383" t="b">
        <v>1</v>
      </c>
    </row>
    <row r="24" spans="1:6">
      <c r="A24" s="564"/>
      <c r="B24" s="99" t="s">
        <v>764</v>
      </c>
      <c r="C24" s="316" t="s">
        <v>1905</v>
      </c>
      <c r="D24" s="155"/>
      <c r="E24" s="384" t="s">
        <v>1903</v>
      </c>
      <c r="F24" s="383" t="b">
        <v>1</v>
      </c>
    </row>
    <row r="25" spans="1:6">
      <c r="A25" s="564"/>
      <c r="B25" s="159" t="s">
        <v>1936</v>
      </c>
      <c r="C25" s="316">
        <v>4</v>
      </c>
      <c r="D25" s="155"/>
      <c r="E25" s="384" t="s">
        <v>1903</v>
      </c>
      <c r="F25" s="383" t="b">
        <v>1</v>
      </c>
    </row>
    <row r="26" spans="1:6">
      <c r="A26" s="564"/>
      <c r="B26" s="159" t="s">
        <v>1937</v>
      </c>
      <c r="C26" s="316">
        <v>3</v>
      </c>
      <c r="D26" s="155"/>
      <c r="E26" s="384" t="s">
        <v>1903</v>
      </c>
      <c r="F26" s="383" t="b">
        <v>1</v>
      </c>
    </row>
    <row r="27" spans="1:6">
      <c r="A27" s="564"/>
      <c r="B27" s="99" t="s">
        <v>767</v>
      </c>
      <c r="C27" s="316">
        <v>3</v>
      </c>
      <c r="D27" s="155"/>
      <c r="E27" s="384" t="s">
        <v>1903</v>
      </c>
      <c r="F27" s="383" t="b">
        <v>1</v>
      </c>
    </row>
    <row r="28" spans="1:6">
      <c r="A28" s="564"/>
      <c r="B28" s="99" t="s">
        <v>768</v>
      </c>
      <c r="C28" s="316" t="s">
        <v>1905</v>
      </c>
      <c r="D28" s="155"/>
      <c r="E28" s="384" t="s">
        <v>1903</v>
      </c>
      <c r="F28" s="383" t="b">
        <v>1</v>
      </c>
    </row>
    <row r="29" spans="1:6">
      <c r="A29" s="564"/>
      <c r="B29" s="99" t="s">
        <v>769</v>
      </c>
      <c r="C29" s="316" t="s">
        <v>1905</v>
      </c>
      <c r="D29" s="155"/>
      <c r="E29" s="384" t="s">
        <v>1903</v>
      </c>
      <c r="F29" s="383" t="b">
        <v>1</v>
      </c>
    </row>
    <row r="30" spans="1:6">
      <c r="A30" s="564"/>
      <c r="B30" s="99" t="s">
        <v>770</v>
      </c>
      <c r="C30" s="316">
        <v>4</v>
      </c>
      <c r="D30" s="155"/>
      <c r="E30" s="384" t="s">
        <v>1903</v>
      </c>
      <c r="F30" s="383" t="b">
        <v>1</v>
      </c>
    </row>
    <row r="31" spans="1:6">
      <c r="A31" s="564"/>
      <c r="B31" s="99" t="s">
        <v>771</v>
      </c>
      <c r="C31" s="316">
        <v>4</v>
      </c>
      <c r="D31" s="155"/>
      <c r="E31" s="384" t="s">
        <v>1903</v>
      </c>
      <c r="F31" s="383" t="b">
        <v>1</v>
      </c>
    </row>
    <row r="32" spans="1:6" ht="13.5" thickBot="1">
      <c r="A32" s="565"/>
      <c r="B32" s="172" t="s">
        <v>1948</v>
      </c>
      <c r="C32" s="317">
        <v>2</v>
      </c>
      <c r="D32" s="171"/>
      <c r="E32" s="384" t="s">
        <v>1903</v>
      </c>
      <c r="F32" s="383" t="b">
        <v>1</v>
      </c>
    </row>
    <row r="33" spans="1:6">
      <c r="A33" s="563" t="s">
        <v>169</v>
      </c>
      <c r="B33" s="165" t="s">
        <v>1939</v>
      </c>
      <c r="C33" s="319" t="s">
        <v>1905</v>
      </c>
      <c r="D33" s="166"/>
      <c r="E33" s="456" t="s">
        <v>1903</v>
      </c>
      <c r="F33" s="383" t="b">
        <v>1</v>
      </c>
    </row>
    <row r="34" spans="1:6">
      <c r="A34" s="564"/>
      <c r="B34" s="159" t="s">
        <v>1940</v>
      </c>
      <c r="C34" s="316" t="s">
        <v>2105</v>
      </c>
      <c r="D34" s="155"/>
      <c r="E34" s="457" t="s">
        <v>1903</v>
      </c>
      <c r="F34" s="383" t="b">
        <v>1</v>
      </c>
    </row>
    <row r="35" spans="1:6">
      <c r="A35" s="564"/>
      <c r="B35" s="159" t="s">
        <v>1941</v>
      </c>
      <c r="C35" s="316">
        <v>4</v>
      </c>
      <c r="D35" s="155"/>
      <c r="E35" s="457" t="s">
        <v>1903</v>
      </c>
      <c r="F35" s="383" t="b">
        <v>1</v>
      </c>
    </row>
    <row r="36" spans="1:6">
      <c r="A36" s="564"/>
      <c r="B36" s="159" t="s">
        <v>1949</v>
      </c>
      <c r="C36" s="316" t="s">
        <v>2105</v>
      </c>
      <c r="D36" s="155"/>
      <c r="E36" s="457" t="s">
        <v>1903</v>
      </c>
      <c r="F36" s="383" t="b">
        <v>1</v>
      </c>
    </row>
    <row r="37" spans="1:6" ht="13.5" thickBot="1">
      <c r="A37" s="565"/>
      <c r="B37" s="172" t="s">
        <v>1942</v>
      </c>
      <c r="C37" s="411" t="s">
        <v>783</v>
      </c>
      <c r="D37" s="171"/>
      <c r="E37" s="458" t="s">
        <v>1338</v>
      </c>
      <c r="F37" s="383" t="b">
        <v>1</v>
      </c>
    </row>
    <row r="38" spans="1:6">
      <c r="A38" s="566" t="s">
        <v>1943</v>
      </c>
      <c r="B38" s="239" t="s">
        <v>1944</v>
      </c>
      <c r="C38" s="331">
        <v>4</v>
      </c>
      <c r="D38" s="300"/>
      <c r="E38" s="384" t="s">
        <v>1903</v>
      </c>
      <c r="F38" s="383" t="b">
        <v>1</v>
      </c>
    </row>
    <row r="39" spans="1:6">
      <c r="A39" s="564"/>
      <c r="B39" s="159" t="s">
        <v>1945</v>
      </c>
      <c r="C39" s="316">
        <v>4</v>
      </c>
      <c r="D39" s="155"/>
      <c r="E39" s="384" t="s">
        <v>1903</v>
      </c>
      <c r="F39" s="383" t="b">
        <v>1</v>
      </c>
    </row>
    <row r="40" spans="1:6">
      <c r="A40" s="564"/>
      <c r="B40" s="159" t="s">
        <v>1946</v>
      </c>
      <c r="C40" s="316" t="s">
        <v>1513</v>
      </c>
      <c r="D40" s="155"/>
      <c r="E40" s="384" t="s">
        <v>1903</v>
      </c>
      <c r="F40" s="383" t="b">
        <v>1</v>
      </c>
    </row>
    <row r="41" spans="1:6">
      <c r="A41" s="564"/>
      <c r="B41" s="159" t="s">
        <v>1947</v>
      </c>
      <c r="C41" s="316" t="s">
        <v>1905</v>
      </c>
      <c r="D41" s="155"/>
      <c r="E41" s="384" t="s">
        <v>1903</v>
      </c>
      <c r="F41" s="383" t="b">
        <v>1</v>
      </c>
    </row>
    <row r="42" spans="1:6" ht="13.5" thickBot="1">
      <c r="A42" s="565"/>
      <c r="B42" s="172" t="s">
        <v>1951</v>
      </c>
      <c r="C42" s="317">
        <v>3</v>
      </c>
      <c r="D42" s="171"/>
      <c r="E42" s="384" t="s">
        <v>1903</v>
      </c>
      <c r="F42" s="383" t="b">
        <v>1</v>
      </c>
    </row>
    <row r="43" spans="1:6" ht="13.5" thickBot="1">
      <c r="A43" s="321" t="s">
        <v>1900</v>
      </c>
      <c r="B43" s="356" t="s">
        <v>1901</v>
      </c>
      <c r="C43" s="373" t="s">
        <v>784</v>
      </c>
      <c r="D43" s="353"/>
      <c r="E43" s="384" t="s">
        <v>1338</v>
      </c>
      <c r="F43" s="383" t="b">
        <v>1</v>
      </c>
    </row>
    <row r="44" spans="1:6" ht="13.5" thickBot="1"/>
    <row r="45" spans="1:6" ht="21" thickBot="1">
      <c r="A45" s="524" t="s">
        <v>2003</v>
      </c>
      <c r="B45" s="525"/>
      <c r="C45" s="525"/>
      <c r="D45" s="526"/>
    </row>
    <row r="46" spans="1:6">
      <c r="A46" s="518" t="s">
        <v>1684</v>
      </c>
      <c r="B46" s="519"/>
      <c r="C46" s="519"/>
      <c r="D46" s="520"/>
    </row>
    <row r="47" spans="1:6">
      <c r="A47" s="243" t="s">
        <v>1329</v>
      </c>
      <c r="B47" s="243" t="s">
        <v>4</v>
      </c>
      <c r="C47" s="315" t="s">
        <v>1343</v>
      </c>
      <c r="D47" s="243" t="s">
        <v>1308</v>
      </c>
    </row>
    <row r="48" spans="1:6">
      <c r="A48" s="543" t="s">
        <v>1983</v>
      </c>
      <c r="B48" s="159" t="s">
        <v>1985</v>
      </c>
      <c r="C48" s="316" t="s">
        <v>784</v>
      </c>
      <c r="D48" s="159"/>
      <c r="E48" s="349" t="s">
        <v>1338</v>
      </c>
      <c r="F48" s="383" t="b">
        <v>1</v>
      </c>
    </row>
    <row r="49" spans="1:6">
      <c r="A49" s="544"/>
      <c r="B49" s="159" t="s">
        <v>1984</v>
      </c>
      <c r="C49" s="350">
        <v>1000</v>
      </c>
      <c r="D49" s="99"/>
      <c r="E49" s="382" t="s">
        <v>1619</v>
      </c>
      <c r="F49" s="383" t="b">
        <v>1</v>
      </c>
    </row>
  </sheetData>
  <mergeCells count="13">
    <mergeCell ref="A7:A10"/>
    <mergeCell ref="A1:D1"/>
    <mergeCell ref="E1:E3"/>
    <mergeCell ref="F1:F3"/>
    <mergeCell ref="A2:D2"/>
    <mergeCell ref="A4:A6"/>
    <mergeCell ref="A48:A49"/>
    <mergeCell ref="A11:A16"/>
    <mergeCell ref="A17:A32"/>
    <mergeCell ref="A33:A37"/>
    <mergeCell ref="A38:A42"/>
    <mergeCell ref="A45:D45"/>
    <mergeCell ref="A46:D46"/>
  </mergeCells>
  <conditionalFormatting sqref="F4:F5 F7:F43">
    <cfRule type="cellIs" dxfId="78" priority="4" operator="equal">
      <formula>TRUE</formula>
    </cfRule>
  </conditionalFormatting>
  <conditionalFormatting sqref="F48:F49">
    <cfRule type="cellIs" dxfId="77" priority="3" operator="equal">
      <formula>TRUE</formula>
    </cfRule>
  </conditionalFormatting>
  <conditionalFormatting sqref="F6">
    <cfRule type="cellIs" dxfId="76" priority="2" operator="equal">
      <formula>TRUE</formula>
    </cfRule>
  </conditionalFormatting>
  <conditionalFormatting sqref="A4:D43">
    <cfRule type="expression" dxfId="75" priority="1">
      <formula>$F4=FALSE</formula>
    </cfRule>
  </conditionalFormatting>
  <dataValidations count="2">
    <dataValidation type="whole" operator="greaterThanOrEqual" allowBlank="1" showInputMessage="1" showErrorMessage="1" sqref="C49" xr:uid="{9201265E-4DD0-469D-A375-6D7238DF66F8}">
      <formula1>0</formula1>
    </dataValidation>
    <dataValidation type="list" allowBlank="1" showInputMessage="1" showErrorMessage="1" sqref="C5 C48 C7:C43" xr:uid="{6365762A-2385-4A6C-AD3D-41C20AF97294}">
      <formula1>INDIRECT($E5)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F1D1F-2D04-469B-8DD2-4563A2C9E939}">
  <sheetPr>
    <tabColor theme="7" tint="0.79998168889431442"/>
  </sheetPr>
  <dimension ref="B1:H345"/>
  <sheetViews>
    <sheetView workbookViewId="0">
      <pane xSplit="3" ySplit="2" topLeftCell="D3" activePane="bottomRight" state="frozen"/>
      <selection pane="topRight" activeCell="D1" sqref="D1"/>
      <selection pane="bottomLeft" activeCell="A3" sqref="A3"/>
      <selection pane="bottomRight" activeCell="G3" sqref="G3"/>
    </sheetView>
  </sheetViews>
  <sheetFormatPr defaultRowHeight="12.75" outlineLevelCol="1"/>
  <cols>
    <col min="1" max="1" width="3.7109375" style="751" customWidth="1"/>
    <col min="2" max="2" width="18.42578125" style="751" customWidth="1"/>
    <col min="3" max="3" width="9.7109375" style="751" customWidth="1"/>
    <col min="4" max="4" width="52" style="751" customWidth="1"/>
    <col min="5" max="5" width="14.5703125" style="751" customWidth="1"/>
    <col min="6" max="6" width="14.5703125" style="751" customWidth="1" outlineLevel="1"/>
    <col min="7" max="7" width="11" style="751" customWidth="1" outlineLevel="1"/>
    <col min="8" max="16384" width="9.140625" style="751"/>
  </cols>
  <sheetData>
    <row r="1" spans="2:8" ht="69.75" customHeight="1"/>
    <row r="2" spans="2:8" ht="51">
      <c r="B2" s="857" t="s">
        <v>2</v>
      </c>
      <c r="C2" s="857" t="s">
        <v>2598</v>
      </c>
      <c r="D2" s="857" t="s">
        <v>212</v>
      </c>
      <c r="E2" s="857" t="s">
        <v>802</v>
      </c>
      <c r="F2" s="857" t="s">
        <v>2537</v>
      </c>
      <c r="G2" s="857" t="s">
        <v>2599</v>
      </c>
      <c r="H2" s="752"/>
    </row>
    <row r="3" spans="2:8" ht="23.25">
      <c r="B3" s="793" t="s">
        <v>9</v>
      </c>
      <c r="C3" s="793"/>
      <c r="D3" s="793"/>
      <c r="E3" s="793"/>
      <c r="F3" s="793"/>
      <c r="G3" s="793"/>
    </row>
    <row r="4" spans="2:8" ht="20.25">
      <c r="B4" s="795">
        <f ca="1">OFFSET('VA Front Page'!$F$11,MATCH(C4,'VA Front Page'!$C$12:$C$34,0),0)</f>
        <v>9</v>
      </c>
      <c r="C4" s="790" t="s">
        <v>10</v>
      </c>
      <c r="D4" s="790"/>
      <c r="E4" s="791">
        <f ca="1">SUMPRODUCT(E5:E63,G5:G63)</f>
        <v>0.7497280715847715</v>
      </c>
      <c r="F4" s="792"/>
      <c r="G4" s="792">
        <f ca="1">SUM(G5:G63)</f>
        <v>1.0000000000000002</v>
      </c>
    </row>
    <row r="5" spans="2:8">
      <c r="C5" s="785">
        <v>2</v>
      </c>
      <c r="D5" s="159" t="s">
        <v>2524</v>
      </c>
      <c r="E5" s="787">
        <f ca="1">OFFSET('Data Parser'!$AD$1,MATCH(D5,'Data Parser'!AF:AF,0)-1,0)</f>
        <v>0.58851905541148319</v>
      </c>
      <c r="F5" s="794">
        <f ca="1">IF(OFFSET('Data Parser'!$AE$1,MATCH(D5,'Data Parser'!AF:AF,0)-1,0),0,C5)</f>
        <v>2</v>
      </c>
      <c r="G5" s="789">
        <f ca="1">F5/SUM($F$5:$F$63)</f>
        <v>4.7619047619047623E-3</v>
      </c>
    </row>
    <row r="6" spans="2:8">
      <c r="C6" s="785">
        <v>1</v>
      </c>
      <c r="D6" s="159" t="s">
        <v>2523</v>
      </c>
      <c r="E6" s="787">
        <f ca="1">OFFSET('Data Parser'!$AD$1,MATCH(D6,'Data Parser'!AF:AF,0)-1,0)</f>
        <v>1</v>
      </c>
      <c r="F6" s="794">
        <f ca="1">IF(OFFSET('Data Parser'!$AE$1,MATCH(D6,'Data Parser'!AF:AF,0)-1,0),0,C6)</f>
        <v>1</v>
      </c>
      <c r="G6" s="789">
        <f t="shared" ref="G6:G63" ca="1" si="0">F6/SUM($F$5:$F$63)</f>
        <v>2.3809523809523812E-3</v>
      </c>
    </row>
    <row r="7" spans="2:8">
      <c r="C7" s="785">
        <v>5</v>
      </c>
      <c r="D7" s="159" t="s">
        <v>2264</v>
      </c>
      <c r="E7" s="787">
        <f ca="1">OFFSET('Data Parser'!$AD$1,MATCH(D7,'Data Parser'!AF:AF,0)-1,0)</f>
        <v>0</v>
      </c>
      <c r="F7" s="794">
        <f ca="1">IF(OFFSET('Data Parser'!$AE$1,MATCH(D7,'Data Parser'!AF:AF,0)-1,0),0,C7)</f>
        <v>5</v>
      </c>
      <c r="G7" s="789">
        <f t="shared" ca="1" si="0"/>
        <v>1.1904761904761904E-2</v>
      </c>
    </row>
    <row r="8" spans="2:8">
      <c r="C8" s="785">
        <v>2</v>
      </c>
      <c r="D8" s="159" t="s">
        <v>2263</v>
      </c>
      <c r="E8" s="787">
        <f ca="1">OFFSET('Data Parser'!$AD$1,MATCH(D8,'Data Parser'!AF:AF,0)-1,0)</f>
        <v>0</v>
      </c>
      <c r="F8" s="794">
        <f ca="1">IF(OFFSET('Data Parser'!$AE$1,MATCH(D8,'Data Parser'!AF:AF,0)-1,0),0,C8)</f>
        <v>2</v>
      </c>
      <c r="G8" s="789">
        <f t="shared" ca="1" si="0"/>
        <v>4.7619047619047623E-3</v>
      </c>
    </row>
    <row r="9" spans="2:8">
      <c r="C9" s="785">
        <v>5</v>
      </c>
      <c r="D9" s="159" t="s">
        <v>2265</v>
      </c>
      <c r="E9" s="787">
        <f ca="1">OFFSET('Data Parser'!$AD$1,MATCH(D9,'Data Parser'!AF:AF,0)-1,0)</f>
        <v>0.62</v>
      </c>
      <c r="F9" s="794">
        <f ca="1">IF(OFFSET('Data Parser'!$AE$1,MATCH(D9,'Data Parser'!AF:AF,0)-1,0),0,C9)</f>
        <v>5</v>
      </c>
      <c r="G9" s="789">
        <f t="shared" ca="1" si="0"/>
        <v>1.1904761904761904E-2</v>
      </c>
    </row>
    <row r="10" spans="2:8">
      <c r="C10" s="785">
        <v>5</v>
      </c>
      <c r="D10" s="159" t="s">
        <v>2266</v>
      </c>
      <c r="E10" s="787">
        <f ca="1">OFFSET('Data Parser'!$AD$1,MATCH(D10,'Data Parser'!AF:AF,0)-1,0)</f>
        <v>0.87</v>
      </c>
      <c r="F10" s="794">
        <f ca="1">IF(OFFSET('Data Parser'!$AE$1,MATCH(D10,'Data Parser'!AF:AF,0)-1,0),0,C10)</f>
        <v>5</v>
      </c>
      <c r="G10" s="789">
        <f t="shared" ca="1" si="0"/>
        <v>1.1904761904761904E-2</v>
      </c>
    </row>
    <row r="11" spans="2:8">
      <c r="C11" s="785">
        <v>5</v>
      </c>
      <c r="D11" s="159" t="s">
        <v>2267</v>
      </c>
      <c r="E11" s="787">
        <f ca="1">OFFSET('Data Parser'!$AD$1,MATCH(D11,'Data Parser'!AF:AF,0)-1,0)</f>
        <v>1</v>
      </c>
      <c r="F11" s="794">
        <f ca="1">IF(OFFSET('Data Parser'!$AE$1,MATCH(D11,'Data Parser'!AF:AF,0)-1,0),0,C11)</f>
        <v>5</v>
      </c>
      <c r="G11" s="789">
        <f t="shared" ca="1" si="0"/>
        <v>1.1904761904761904E-2</v>
      </c>
    </row>
    <row r="12" spans="2:8">
      <c r="C12" s="785">
        <v>10</v>
      </c>
      <c r="D12" s="159" t="s">
        <v>2270</v>
      </c>
      <c r="E12" s="787">
        <f ca="1">OFFSET('Data Parser'!$AD$1,MATCH(D12,'Data Parser'!AF:AF,0)-1,0)</f>
        <v>0.90887897722276756</v>
      </c>
      <c r="F12" s="794">
        <f ca="1">IF(OFFSET('Data Parser'!$AE$1,MATCH(D12,'Data Parser'!AF:AF,0)-1,0),0,C12)</f>
        <v>10</v>
      </c>
      <c r="G12" s="789">
        <f t="shared" ca="1" si="0"/>
        <v>2.3809523809523808E-2</v>
      </c>
    </row>
    <row r="13" spans="2:8">
      <c r="C13" s="785">
        <v>9</v>
      </c>
      <c r="D13" s="159" t="s">
        <v>2274</v>
      </c>
      <c r="E13" s="787">
        <f ca="1">OFFSET('Data Parser'!$AD$1,MATCH(D13,'Data Parser'!AF:AF,0)-1,0)</f>
        <v>0.6</v>
      </c>
      <c r="F13" s="794">
        <f ca="1">IF(OFFSET('Data Parser'!$AE$1,MATCH(D13,'Data Parser'!AF:AF,0)-1,0),0,C13)</f>
        <v>9</v>
      </c>
      <c r="G13" s="789">
        <f t="shared" ca="1" si="0"/>
        <v>2.1428571428571429E-2</v>
      </c>
    </row>
    <row r="14" spans="2:8">
      <c r="C14" s="785">
        <v>10</v>
      </c>
      <c r="D14" s="159" t="s">
        <v>2276</v>
      </c>
      <c r="E14" s="787">
        <f ca="1">OFFSET('Data Parser'!$AD$1,MATCH(D14,'Data Parser'!AF:AF,0)-1,0)</f>
        <v>0.8</v>
      </c>
      <c r="F14" s="794">
        <f ca="1">IF(OFFSET('Data Parser'!$AE$1,MATCH(D14,'Data Parser'!AF:AF,0)-1,0),0,C14)</f>
        <v>10</v>
      </c>
      <c r="G14" s="789">
        <f t="shared" ca="1" si="0"/>
        <v>2.3809523809523808E-2</v>
      </c>
    </row>
    <row r="15" spans="2:8">
      <c r="C15" s="785">
        <v>10</v>
      </c>
      <c r="D15" s="159" t="s">
        <v>2275</v>
      </c>
      <c r="E15" s="787">
        <f ca="1">OFFSET('Data Parser'!$AD$1,MATCH(D15,'Data Parser'!AF:AF,0)-1,0)</f>
        <v>1</v>
      </c>
      <c r="F15" s="794">
        <f ca="1">IF(OFFSET('Data Parser'!$AE$1,MATCH(D15,'Data Parser'!AF:AF,0)-1,0),0,C15)</f>
        <v>10</v>
      </c>
      <c r="G15" s="789">
        <f t="shared" ca="1" si="0"/>
        <v>2.3809523809523808E-2</v>
      </c>
    </row>
    <row r="16" spans="2:8">
      <c r="C16" s="785">
        <v>10</v>
      </c>
      <c r="D16" s="159" t="s">
        <v>2294</v>
      </c>
      <c r="E16" s="787">
        <f ca="1">OFFSET('Data Parser'!$AD$1,MATCH(D16,'Data Parser'!AF:AF,0)-1,0)</f>
        <v>1</v>
      </c>
      <c r="F16" s="794">
        <f ca="1">IF(OFFSET('Data Parser'!$AE$1,MATCH(D16,'Data Parser'!AF:AF,0)-1,0),0,C16)</f>
        <v>10</v>
      </c>
      <c r="G16" s="789">
        <f t="shared" ca="1" si="0"/>
        <v>2.3809523809523808E-2</v>
      </c>
    </row>
    <row r="17" spans="3:7">
      <c r="C17" s="785">
        <v>10</v>
      </c>
      <c r="D17" s="159" t="s">
        <v>2295</v>
      </c>
      <c r="E17" s="787">
        <f ca="1">OFFSET('Data Parser'!$AD$1,MATCH(D17,'Data Parser'!AF:AF,0)-1,0)</f>
        <v>1</v>
      </c>
      <c r="F17" s="794">
        <f ca="1">IF(OFFSET('Data Parser'!$AE$1,MATCH(D17,'Data Parser'!AF:AF,0)-1,0),0,C17)</f>
        <v>10</v>
      </c>
      <c r="G17" s="789">
        <f t="shared" ca="1" si="0"/>
        <v>2.3809523809523808E-2</v>
      </c>
    </row>
    <row r="18" spans="3:7">
      <c r="C18" s="785">
        <v>2</v>
      </c>
      <c r="D18" s="159" t="s">
        <v>2322</v>
      </c>
      <c r="E18" s="787">
        <f ca="1">OFFSET('Data Parser'!$AD$1,MATCH(D18,'Data Parser'!AF:AF,0)-1,0)</f>
        <v>1</v>
      </c>
      <c r="F18" s="794">
        <f ca="1">IF(OFFSET('Data Parser'!$AE$1,MATCH(D18,'Data Parser'!AF:AF,0)-1,0),0,C18)</f>
        <v>2</v>
      </c>
      <c r="G18" s="789">
        <f t="shared" ca="1" si="0"/>
        <v>4.7619047619047623E-3</v>
      </c>
    </row>
    <row r="19" spans="3:7">
      <c r="C19" s="785">
        <v>7</v>
      </c>
      <c r="D19" s="159" t="s">
        <v>2323</v>
      </c>
      <c r="E19" s="787">
        <f ca="1">OFFSET('Data Parser'!$AD$1,MATCH(D19,'Data Parser'!AF:AF,0)-1,0)</f>
        <v>0.97375666016915019</v>
      </c>
      <c r="F19" s="794">
        <f ca="1">IF(OFFSET('Data Parser'!$AE$1,MATCH(D19,'Data Parser'!AF:AF,0)-1,0),0,C19)</f>
        <v>7</v>
      </c>
      <c r="G19" s="789">
        <f t="shared" ca="1" si="0"/>
        <v>1.6666666666666666E-2</v>
      </c>
    </row>
    <row r="20" spans="3:7">
      <c r="C20" s="785">
        <v>10</v>
      </c>
      <c r="D20" s="159" t="s">
        <v>2324</v>
      </c>
      <c r="E20" s="787">
        <f ca="1">OFFSET('Data Parser'!$AD$1,MATCH(D20,'Data Parser'!AF:AF,0)-1,0)</f>
        <v>1</v>
      </c>
      <c r="F20" s="794">
        <f ca="1">IF(OFFSET('Data Parser'!$AE$1,MATCH(D20,'Data Parser'!AF:AF,0)-1,0),0,C20)</f>
        <v>10</v>
      </c>
      <c r="G20" s="789">
        <f t="shared" ca="1" si="0"/>
        <v>2.3809523809523808E-2</v>
      </c>
    </row>
    <row r="21" spans="3:7">
      <c r="C21" s="785">
        <v>10</v>
      </c>
      <c r="D21" s="159" t="s">
        <v>2406</v>
      </c>
      <c r="E21" s="787">
        <f ca="1">OFFSET('Data Parser'!$AD$1,MATCH(D21,'Data Parser'!AF:AF,0)-1,0)</f>
        <v>0.875</v>
      </c>
      <c r="F21" s="794">
        <f ca="1">IF(OFFSET('Data Parser'!$AE$1,MATCH(D21,'Data Parser'!AF:AF,0)-1,0),0,C21)</f>
        <v>10</v>
      </c>
      <c r="G21" s="789">
        <f t="shared" ca="1" si="0"/>
        <v>2.3809523809523808E-2</v>
      </c>
    </row>
    <row r="22" spans="3:7">
      <c r="C22" s="785">
        <v>10</v>
      </c>
      <c r="D22" s="159" t="s">
        <v>2407</v>
      </c>
      <c r="E22" s="787">
        <f ca="1">OFFSET('Data Parser'!$AD$1,MATCH(D22,'Data Parser'!AF:AF,0)-1,0)</f>
        <v>0.75</v>
      </c>
      <c r="F22" s="794">
        <f ca="1">IF(OFFSET('Data Parser'!$AE$1,MATCH(D22,'Data Parser'!AF:AF,0)-1,0),0,C22)</f>
        <v>10</v>
      </c>
      <c r="G22" s="789">
        <f t="shared" ca="1" si="0"/>
        <v>2.3809523809523808E-2</v>
      </c>
    </row>
    <row r="23" spans="3:7">
      <c r="C23" s="785">
        <v>10</v>
      </c>
      <c r="D23" s="159" t="s">
        <v>2408</v>
      </c>
      <c r="E23" s="787">
        <f ca="1">OFFSET('Data Parser'!$AD$1,MATCH(D23,'Data Parser'!AF:AF,0)-1,0)</f>
        <v>0.375</v>
      </c>
      <c r="F23" s="794">
        <f ca="1">IF(OFFSET('Data Parser'!$AE$1,MATCH(D23,'Data Parser'!AF:AF,0)-1,0),0,C23)</f>
        <v>10</v>
      </c>
      <c r="G23" s="789">
        <f t="shared" ca="1" si="0"/>
        <v>2.3809523809523808E-2</v>
      </c>
    </row>
    <row r="24" spans="3:7">
      <c r="C24" s="785">
        <v>10</v>
      </c>
      <c r="D24" s="159" t="s">
        <v>2409</v>
      </c>
      <c r="E24" s="787">
        <f ca="1">OFFSET('Data Parser'!$AD$1,MATCH(D24,'Data Parser'!AF:AF,0)-1,0)</f>
        <v>0.625</v>
      </c>
      <c r="F24" s="794">
        <f ca="1">IF(OFFSET('Data Parser'!$AE$1,MATCH(D24,'Data Parser'!AF:AF,0)-1,0),0,C24)</f>
        <v>10</v>
      </c>
      <c r="G24" s="789">
        <f t="shared" ca="1" si="0"/>
        <v>2.3809523809523808E-2</v>
      </c>
    </row>
    <row r="25" spans="3:7">
      <c r="C25" s="785">
        <v>5</v>
      </c>
      <c r="D25" s="159" t="s">
        <v>2435</v>
      </c>
      <c r="E25" s="787">
        <f ca="1">OFFSET('Data Parser'!$AD$1,MATCH(D25,'Data Parser'!AF:AF,0)-1,0)</f>
        <v>0.5625</v>
      </c>
      <c r="F25" s="794">
        <f ca="1">IF(OFFSET('Data Parser'!$AE$1,MATCH(D25,'Data Parser'!AF:AF,0)-1,0),0,C25)</f>
        <v>5</v>
      </c>
      <c r="G25" s="789">
        <f t="shared" ca="1" si="0"/>
        <v>1.1904761904761904E-2</v>
      </c>
    </row>
    <row r="26" spans="3:7">
      <c r="C26" s="785">
        <v>5</v>
      </c>
      <c r="D26" s="159" t="s">
        <v>2437</v>
      </c>
      <c r="E26" s="787">
        <f ca="1">OFFSET('Data Parser'!$AD$1,MATCH(D26,'Data Parser'!AF:AF,0)-1,0)</f>
        <v>1</v>
      </c>
      <c r="F26" s="794">
        <f ca="1">IF(OFFSET('Data Parser'!$AE$1,MATCH(D26,'Data Parser'!AF:AF,0)-1,0),0,C26)</f>
        <v>5</v>
      </c>
      <c r="G26" s="789">
        <f t="shared" ca="1" si="0"/>
        <v>1.1904761904761904E-2</v>
      </c>
    </row>
    <row r="27" spans="3:7">
      <c r="C27" s="785">
        <v>5</v>
      </c>
      <c r="D27" s="159" t="s">
        <v>2439</v>
      </c>
      <c r="E27" s="787">
        <f ca="1">OFFSET('Data Parser'!$AD$1,MATCH(D27,'Data Parser'!AF:AF,0)-1,0)</f>
        <v>1</v>
      </c>
      <c r="F27" s="794">
        <f ca="1">IF(OFFSET('Data Parser'!$AE$1,MATCH(D27,'Data Parser'!AF:AF,0)-1,0),0,C27)</f>
        <v>5</v>
      </c>
      <c r="G27" s="789">
        <f t="shared" ca="1" si="0"/>
        <v>1.1904761904761904E-2</v>
      </c>
    </row>
    <row r="28" spans="3:7">
      <c r="C28" s="785">
        <v>2</v>
      </c>
      <c r="D28" s="159" t="s">
        <v>2438</v>
      </c>
      <c r="E28" s="787">
        <f ca="1">OFFSET('Data Parser'!$AD$1,MATCH(D28,'Data Parser'!AF:AF,0)-1,0)</f>
        <v>1</v>
      </c>
      <c r="F28" s="794">
        <f ca="1">IF(OFFSET('Data Parser'!$AE$1,MATCH(D28,'Data Parser'!AF:AF,0)-1,0),0,C28)</f>
        <v>2</v>
      </c>
      <c r="G28" s="789">
        <f t="shared" ca="1" si="0"/>
        <v>4.7619047619047623E-3</v>
      </c>
    </row>
    <row r="29" spans="3:7">
      <c r="C29" s="785">
        <v>2</v>
      </c>
      <c r="D29" s="159" t="s">
        <v>2440</v>
      </c>
      <c r="E29" s="787">
        <f ca="1">OFFSET('Data Parser'!$AD$1,MATCH(D29,'Data Parser'!AF:AF,0)-1,0)</f>
        <v>1</v>
      </c>
      <c r="F29" s="794">
        <f ca="1">IF(OFFSET('Data Parser'!$AE$1,MATCH(D29,'Data Parser'!AF:AF,0)-1,0),0,C29)</f>
        <v>2</v>
      </c>
      <c r="G29" s="789">
        <f t="shared" ca="1" si="0"/>
        <v>4.7619047619047623E-3</v>
      </c>
    </row>
    <row r="30" spans="3:7">
      <c r="C30" s="785">
        <v>5</v>
      </c>
      <c r="D30" s="159" t="s">
        <v>2441</v>
      </c>
      <c r="E30" s="787">
        <f ca="1">OFFSET('Data Parser'!$AD$1,MATCH(D30,'Data Parser'!AF:AF,0)-1,0)</f>
        <v>0.85</v>
      </c>
      <c r="F30" s="794">
        <f ca="1">IF(OFFSET('Data Parser'!$AE$1,MATCH(D30,'Data Parser'!AF:AF,0)-1,0),0,C30)</f>
        <v>5</v>
      </c>
      <c r="G30" s="789">
        <f t="shared" ca="1" si="0"/>
        <v>1.1904761904761904E-2</v>
      </c>
    </row>
    <row r="31" spans="3:7">
      <c r="C31" s="785">
        <v>10</v>
      </c>
      <c r="D31" s="159" t="s">
        <v>2442</v>
      </c>
      <c r="E31" s="787">
        <f ca="1">OFFSET('Data Parser'!$AD$1,MATCH(D31,'Data Parser'!AF:AF,0)-1,0)</f>
        <v>0.5</v>
      </c>
      <c r="F31" s="794">
        <f ca="1">IF(OFFSET('Data Parser'!$AE$1,MATCH(D31,'Data Parser'!AF:AF,0)-1,0),0,C31)</f>
        <v>10</v>
      </c>
      <c r="G31" s="789">
        <f t="shared" ca="1" si="0"/>
        <v>2.3809523809523808E-2</v>
      </c>
    </row>
    <row r="32" spans="3:7">
      <c r="C32" s="785">
        <v>8</v>
      </c>
      <c r="D32" s="159" t="s">
        <v>2443</v>
      </c>
      <c r="E32" s="787">
        <f ca="1">OFFSET('Data Parser'!$AD$1,MATCH(D32,'Data Parser'!AF:AF,0)-1,0)</f>
        <v>0.8</v>
      </c>
      <c r="F32" s="794">
        <f ca="1">IF(OFFSET('Data Parser'!$AE$1,MATCH(D32,'Data Parser'!AF:AF,0)-1,0),0,C32)</f>
        <v>8</v>
      </c>
      <c r="G32" s="789">
        <f t="shared" ca="1" si="0"/>
        <v>1.9047619047619049E-2</v>
      </c>
    </row>
    <row r="33" spans="3:7">
      <c r="C33" s="785">
        <v>6</v>
      </c>
      <c r="D33" s="159" t="s">
        <v>2444</v>
      </c>
      <c r="E33" s="787">
        <f ca="1">OFFSET('Data Parser'!$AD$1,MATCH(D33,'Data Parser'!AF:AF,0)-1,0)</f>
        <v>0.96250000000000002</v>
      </c>
      <c r="F33" s="794">
        <f ca="1">IF(OFFSET('Data Parser'!$AE$1,MATCH(D33,'Data Parser'!AF:AF,0)-1,0),0,C33)</f>
        <v>6</v>
      </c>
      <c r="G33" s="789">
        <f t="shared" ca="1" si="0"/>
        <v>1.4285714285714285E-2</v>
      </c>
    </row>
    <row r="34" spans="3:7">
      <c r="C34" s="785">
        <v>6</v>
      </c>
      <c r="D34" s="159" t="s">
        <v>2445</v>
      </c>
      <c r="E34" s="787">
        <f ca="1">OFFSET('Data Parser'!$AD$1,MATCH(D34,'Data Parser'!AF:AF,0)-1,0)</f>
        <v>0.4375</v>
      </c>
      <c r="F34" s="794">
        <f ca="1">IF(OFFSET('Data Parser'!$AE$1,MATCH(D34,'Data Parser'!AF:AF,0)-1,0),0,C34)</f>
        <v>6</v>
      </c>
      <c r="G34" s="789">
        <f t="shared" ca="1" si="0"/>
        <v>1.4285714285714285E-2</v>
      </c>
    </row>
    <row r="35" spans="3:7">
      <c r="C35" s="785">
        <v>8</v>
      </c>
      <c r="D35" s="159" t="s">
        <v>2509</v>
      </c>
      <c r="E35" s="787">
        <f ca="1">OFFSET('Data Parser'!$AD$1,MATCH(D35,'Data Parser'!AF:AF,0)-1,0)</f>
        <v>0.52380952380952384</v>
      </c>
      <c r="F35" s="794">
        <f ca="1">IF(OFFSET('Data Parser'!$AE$1,MATCH(D35,'Data Parser'!AF:AF,0)-1,0),0,C35)</f>
        <v>8</v>
      </c>
      <c r="G35" s="789">
        <f t="shared" ca="1" si="0"/>
        <v>1.9047619047619049E-2</v>
      </c>
    </row>
    <row r="36" spans="3:7">
      <c r="C36" s="785">
        <v>5</v>
      </c>
      <c r="D36" s="159" t="s">
        <v>2510</v>
      </c>
      <c r="E36" s="787">
        <f ca="1">OFFSET('Data Parser'!$AD$1,MATCH(D36,'Data Parser'!AF:AF,0)-1,0)</f>
        <v>1</v>
      </c>
      <c r="F36" s="794">
        <f ca="1">IF(OFFSET('Data Parser'!$AE$1,MATCH(D36,'Data Parser'!AF:AF,0)-1,0),0,C36)</f>
        <v>5</v>
      </c>
      <c r="G36" s="789">
        <f t="shared" ca="1" si="0"/>
        <v>1.1904761904761904E-2</v>
      </c>
    </row>
    <row r="37" spans="3:7">
      <c r="C37" s="785">
        <v>10</v>
      </c>
      <c r="D37" s="159" t="s">
        <v>2512</v>
      </c>
      <c r="E37" s="787">
        <f ca="1">OFFSET('Data Parser'!$AD$1,MATCH(D37,'Data Parser'!AF:AF,0)-1,0)</f>
        <v>1</v>
      </c>
      <c r="F37" s="794">
        <f ca="1">IF(OFFSET('Data Parser'!$AE$1,MATCH(D37,'Data Parser'!AF:AF,0)-1,0),0,C37)</f>
        <v>10</v>
      </c>
      <c r="G37" s="789">
        <f t="shared" ca="1" si="0"/>
        <v>2.3809523809523808E-2</v>
      </c>
    </row>
    <row r="38" spans="3:7">
      <c r="C38" s="785">
        <v>10</v>
      </c>
      <c r="D38" s="159" t="s">
        <v>2513</v>
      </c>
      <c r="E38" s="787">
        <f ca="1">OFFSET('Data Parser'!$AD$1,MATCH(D38,'Data Parser'!AF:AF,0)-1,0)</f>
        <v>0.23863636363636365</v>
      </c>
      <c r="F38" s="794">
        <f ca="1">IF(OFFSET('Data Parser'!$AE$1,MATCH(D38,'Data Parser'!AF:AF,0)-1,0),0,C38)</f>
        <v>10</v>
      </c>
      <c r="G38" s="789">
        <f t="shared" ca="1" si="0"/>
        <v>2.3809523809523808E-2</v>
      </c>
    </row>
    <row r="39" spans="3:7">
      <c r="C39" s="785">
        <v>10</v>
      </c>
      <c r="D39" s="159" t="s">
        <v>2514</v>
      </c>
      <c r="E39" s="787">
        <f ca="1">OFFSET('Data Parser'!$AD$1,MATCH(D39,'Data Parser'!AF:AF,0)-1,0)</f>
        <v>0.23863636363636365</v>
      </c>
      <c r="F39" s="794">
        <f ca="1">IF(OFFSET('Data Parser'!$AE$1,MATCH(D39,'Data Parser'!AF:AF,0)-1,0),0,C39)</f>
        <v>10</v>
      </c>
      <c r="G39" s="789">
        <f t="shared" ca="1" si="0"/>
        <v>2.3809523809523808E-2</v>
      </c>
    </row>
    <row r="40" spans="3:7">
      <c r="C40" s="785">
        <v>10</v>
      </c>
      <c r="D40" s="159" t="s">
        <v>2515</v>
      </c>
      <c r="E40" s="787">
        <f ca="1">OFFSET('Data Parser'!$AD$1,MATCH(D40,'Data Parser'!AF:AF,0)-1,0)</f>
        <v>1</v>
      </c>
      <c r="F40" s="794">
        <f ca="1">IF(OFFSET('Data Parser'!$AE$1,MATCH(D40,'Data Parser'!AF:AF,0)-1,0),0,C40)</f>
        <v>10</v>
      </c>
      <c r="G40" s="789">
        <f t="shared" ca="1" si="0"/>
        <v>2.3809523809523808E-2</v>
      </c>
    </row>
    <row r="41" spans="3:7">
      <c r="C41" s="785">
        <v>10</v>
      </c>
      <c r="D41" s="159" t="s">
        <v>2516</v>
      </c>
      <c r="E41" s="787">
        <f ca="1">OFFSET('Data Parser'!$AD$1,MATCH(D41,'Data Parser'!AF:AF,0)-1,0)</f>
        <v>0.5357142857142857</v>
      </c>
      <c r="F41" s="794">
        <f ca="1">IF(OFFSET('Data Parser'!$AE$1,MATCH(D41,'Data Parser'!AF:AF,0)-1,0),0,C41)</f>
        <v>10</v>
      </c>
      <c r="G41" s="789">
        <f t="shared" ca="1" si="0"/>
        <v>2.3809523809523808E-2</v>
      </c>
    </row>
    <row r="42" spans="3:7">
      <c r="C42" s="785">
        <v>5</v>
      </c>
      <c r="D42" s="159" t="s">
        <v>2457</v>
      </c>
      <c r="E42" s="787">
        <f ca="1">OFFSET('Data Parser'!$AD$1,MATCH(D42,'Data Parser'!AF:AF,0)-1,0)</f>
        <v>1</v>
      </c>
      <c r="F42" s="794">
        <f ca="1">IF(OFFSET('Data Parser'!$AE$1,MATCH(D42,'Data Parser'!AF:AF,0)-1,0),0,C42)</f>
        <v>5</v>
      </c>
      <c r="G42" s="789">
        <f t="shared" ca="1" si="0"/>
        <v>1.1904761904761904E-2</v>
      </c>
    </row>
    <row r="43" spans="3:7">
      <c r="C43" s="785">
        <v>5</v>
      </c>
      <c r="D43" s="159" t="s">
        <v>2458</v>
      </c>
      <c r="E43" s="787">
        <f ca="1">OFFSET('Data Parser'!$AD$1,MATCH(D43,'Data Parser'!AF:AF,0)-1,0)</f>
        <v>0.75</v>
      </c>
      <c r="F43" s="794">
        <f ca="1">IF(OFFSET('Data Parser'!$AE$1,MATCH(D43,'Data Parser'!AF:AF,0)-1,0),0,C43)</f>
        <v>5</v>
      </c>
      <c r="G43" s="789">
        <f t="shared" ca="1" si="0"/>
        <v>1.1904761904761904E-2</v>
      </c>
    </row>
    <row r="44" spans="3:7">
      <c r="C44" s="785">
        <v>5</v>
      </c>
      <c r="D44" s="159" t="s">
        <v>2459</v>
      </c>
      <c r="E44" s="787">
        <f ca="1">OFFSET('Data Parser'!$AD$1,MATCH(D44,'Data Parser'!AF:AF,0)-1,0)</f>
        <v>1</v>
      </c>
      <c r="F44" s="794">
        <f ca="1">IF(OFFSET('Data Parser'!$AE$1,MATCH(D44,'Data Parser'!AF:AF,0)-1,0),0,C44)</f>
        <v>5</v>
      </c>
      <c r="G44" s="789">
        <f t="shared" ca="1" si="0"/>
        <v>1.1904761904761904E-2</v>
      </c>
    </row>
    <row r="45" spans="3:7">
      <c r="C45" s="785">
        <v>8</v>
      </c>
      <c r="D45" s="159" t="s">
        <v>2460</v>
      </c>
      <c r="E45" s="787">
        <f ca="1">OFFSET('Data Parser'!$AD$1,MATCH(D45,'Data Parser'!AF:AF,0)-1,0)</f>
        <v>1</v>
      </c>
      <c r="F45" s="794">
        <f ca="1">IF(OFFSET('Data Parser'!$AE$1,MATCH(D45,'Data Parser'!AF:AF,0)-1,0),0,C45)</f>
        <v>8</v>
      </c>
      <c r="G45" s="789">
        <f t="shared" ca="1" si="0"/>
        <v>1.9047619047619049E-2</v>
      </c>
    </row>
    <row r="46" spans="3:7">
      <c r="C46" s="785">
        <v>8</v>
      </c>
      <c r="D46" s="159" t="s">
        <v>2461</v>
      </c>
      <c r="E46" s="787">
        <f ca="1">OFFSET('Data Parser'!$AD$1,MATCH(D46,'Data Parser'!AF:AF,0)-1,0)</f>
        <v>1</v>
      </c>
      <c r="F46" s="794">
        <f ca="1">IF(OFFSET('Data Parser'!$AE$1,MATCH(D46,'Data Parser'!AF:AF,0)-1,0),0,C46)</f>
        <v>8</v>
      </c>
      <c r="G46" s="789">
        <f t="shared" ca="1" si="0"/>
        <v>1.9047619047619049E-2</v>
      </c>
    </row>
    <row r="47" spans="3:7">
      <c r="C47" s="785">
        <v>3</v>
      </c>
      <c r="D47" s="159" t="s">
        <v>2477</v>
      </c>
      <c r="E47" s="787">
        <f ca="1">OFFSET('Data Parser'!$AD$1,MATCH(D47,'Data Parser'!AF:AF,0)-1,0)</f>
        <v>1</v>
      </c>
      <c r="F47" s="794">
        <f ca="1">IF(OFFSET('Data Parser'!$AE$1,MATCH(D47,'Data Parser'!AF:AF,0)-1,0),0,C47)</f>
        <v>3</v>
      </c>
      <c r="G47" s="789">
        <f t="shared" ca="1" si="0"/>
        <v>7.1428571428571426E-3</v>
      </c>
    </row>
    <row r="48" spans="3:7">
      <c r="C48" s="785">
        <v>10</v>
      </c>
      <c r="D48" s="159" t="s">
        <v>2478</v>
      </c>
      <c r="E48" s="787">
        <f ca="1">OFFSET('Data Parser'!$AD$1,MATCH(D48,'Data Parser'!AF:AF,0)-1,0)</f>
        <v>0.75</v>
      </c>
      <c r="F48" s="794">
        <f ca="1">IF(OFFSET('Data Parser'!$AE$1,MATCH(D48,'Data Parser'!AF:AF,0)-1,0),0,C48)</f>
        <v>10</v>
      </c>
      <c r="G48" s="789">
        <f t="shared" ca="1" si="0"/>
        <v>2.3809523809523808E-2</v>
      </c>
    </row>
    <row r="49" spans="3:7">
      <c r="C49" s="785">
        <v>8</v>
      </c>
      <c r="D49" s="159" t="s">
        <v>2479</v>
      </c>
      <c r="E49" s="787">
        <f ca="1">OFFSET('Data Parser'!$AD$1,MATCH(D49,'Data Parser'!AF:AF,0)-1,0)</f>
        <v>0.8445244142080589</v>
      </c>
      <c r="F49" s="794">
        <f ca="1">IF(OFFSET('Data Parser'!$AE$1,MATCH(D49,'Data Parser'!AF:AF,0)-1,0),0,C49)</f>
        <v>8</v>
      </c>
      <c r="G49" s="789">
        <f t="shared" ca="1" si="0"/>
        <v>1.9047619047619049E-2</v>
      </c>
    </row>
    <row r="50" spans="3:7">
      <c r="C50" s="785">
        <v>3</v>
      </c>
      <c r="D50" s="159" t="s">
        <v>2480</v>
      </c>
      <c r="E50" s="787">
        <f ca="1">OFFSET('Data Parser'!$AD$1,MATCH(D50,'Data Parser'!AF:AF,0)-1,0)</f>
        <v>0.37346841679564013</v>
      </c>
      <c r="F50" s="794">
        <f ca="1">IF(OFFSET('Data Parser'!$AE$1,MATCH(D50,'Data Parser'!AF:AF,0)-1,0),0,C50)</f>
        <v>3</v>
      </c>
      <c r="G50" s="789">
        <f t="shared" ca="1" si="0"/>
        <v>7.1428571428571426E-3</v>
      </c>
    </row>
    <row r="51" spans="3:7">
      <c r="C51" s="785">
        <v>8</v>
      </c>
      <c r="D51" s="159" t="s">
        <v>2481</v>
      </c>
      <c r="E51" s="787">
        <f ca="1">OFFSET('Data Parser'!$AD$1,MATCH(D51,'Data Parser'!AF:AF,0)-1,0)</f>
        <v>0.52863394681944809</v>
      </c>
      <c r="F51" s="794">
        <f ca="1">IF(OFFSET('Data Parser'!$AE$1,MATCH(D51,'Data Parser'!AF:AF,0)-1,0),0,C51)</f>
        <v>8</v>
      </c>
      <c r="G51" s="789">
        <f t="shared" ca="1" si="0"/>
        <v>1.9047619047619049E-2</v>
      </c>
    </row>
    <row r="52" spans="3:7">
      <c r="C52" s="786">
        <v>10</v>
      </c>
      <c r="D52" s="159" t="s">
        <v>2483</v>
      </c>
      <c r="E52" s="787">
        <f ca="1">OFFSET('Data Parser'!$AD$1,MATCH(D52,'Data Parser'!AF:AF,0)-1,0)</f>
        <v>0.68861773354579914</v>
      </c>
      <c r="F52" s="794">
        <f ca="1">IF(OFFSET('Data Parser'!$AE$1,MATCH(D52,'Data Parser'!AF:AF,0)-1,0),0,C52)</f>
        <v>10</v>
      </c>
      <c r="G52" s="789">
        <f t="shared" ca="1" si="0"/>
        <v>2.3809523809523808E-2</v>
      </c>
    </row>
    <row r="53" spans="3:7">
      <c r="C53" s="785">
        <v>7</v>
      </c>
      <c r="D53" s="159" t="s">
        <v>2484</v>
      </c>
      <c r="E53" s="787">
        <f ca="1">OFFSET('Data Parser'!$AD$1,MATCH(D53,'Data Parser'!AF:AF,0)-1,0)</f>
        <v>0.36084880671453018</v>
      </c>
      <c r="F53" s="794">
        <f ca="1">IF(OFFSET('Data Parser'!$AE$1,MATCH(D53,'Data Parser'!AF:AF,0)-1,0),0,C53)</f>
        <v>7</v>
      </c>
      <c r="G53" s="789">
        <f t="shared" ca="1" si="0"/>
        <v>1.6666666666666666E-2</v>
      </c>
    </row>
    <row r="54" spans="3:7">
      <c r="C54" s="785">
        <v>10</v>
      </c>
      <c r="D54" s="159" t="s">
        <v>2485</v>
      </c>
      <c r="E54" s="787">
        <f ca="1">OFFSET('Data Parser'!$AD$1,MATCH(D54,'Data Parser'!AF:AF,0)-1,0)</f>
        <v>0.82530281199562483</v>
      </c>
      <c r="F54" s="794">
        <f ca="1">IF(OFFSET('Data Parser'!$AE$1,MATCH(D54,'Data Parser'!AF:AF,0)-1,0),0,C54)</f>
        <v>10</v>
      </c>
      <c r="G54" s="789">
        <f t="shared" ca="1" si="0"/>
        <v>2.3809523809523808E-2</v>
      </c>
    </row>
    <row r="55" spans="3:7">
      <c r="C55" s="785">
        <v>10</v>
      </c>
      <c r="D55" s="159" t="s">
        <v>2486</v>
      </c>
      <c r="E55" s="787">
        <f ca="1">OFFSET('Data Parser'!$AD$1,MATCH(D55,'Data Parser'!AF:AF,0)-1,0)</f>
        <v>0.75</v>
      </c>
      <c r="F55" s="794">
        <f ca="1">IF(OFFSET('Data Parser'!$AE$1,MATCH(D55,'Data Parser'!AF:AF,0)-1,0),0,C55)</f>
        <v>10</v>
      </c>
      <c r="G55" s="789">
        <f t="shared" ca="1" si="0"/>
        <v>2.3809523809523808E-2</v>
      </c>
    </row>
    <row r="56" spans="3:7">
      <c r="C56" s="785">
        <v>10</v>
      </c>
      <c r="D56" s="159" t="s">
        <v>2487</v>
      </c>
      <c r="E56" s="787">
        <f ca="1">OFFSET('Data Parser'!$AD$1,MATCH(D56,'Data Parser'!AF:AF,0)-1,0)</f>
        <v>0.5</v>
      </c>
      <c r="F56" s="794">
        <f ca="1">IF(OFFSET('Data Parser'!$AE$1,MATCH(D56,'Data Parser'!AF:AF,0)-1,0),0,C56)</f>
        <v>10</v>
      </c>
      <c r="G56" s="789">
        <f t="shared" ca="1" si="0"/>
        <v>2.3809523809523808E-2</v>
      </c>
    </row>
    <row r="57" spans="3:7">
      <c r="C57" s="785">
        <v>10</v>
      </c>
      <c r="D57" s="159" t="s">
        <v>2488</v>
      </c>
      <c r="E57" s="787">
        <f ca="1">OFFSET('Data Parser'!$AD$1,MATCH(D57,'Data Parser'!AF:AF,0)-1,0)</f>
        <v>0.75</v>
      </c>
      <c r="F57" s="794">
        <f ca="1">IF(OFFSET('Data Parser'!$AE$1,MATCH(D57,'Data Parser'!AF:AF,0)-1,0),0,C57)</f>
        <v>10</v>
      </c>
      <c r="G57" s="789">
        <f t="shared" ca="1" si="0"/>
        <v>2.3809523809523808E-2</v>
      </c>
    </row>
    <row r="58" spans="3:7">
      <c r="C58" s="785">
        <v>10</v>
      </c>
      <c r="D58" s="159" t="s">
        <v>2489</v>
      </c>
      <c r="E58" s="787">
        <f ca="1">OFFSET('Data Parser'!$AD$1,MATCH(D58,'Data Parser'!AF:AF,0)-1,0)</f>
        <v>0.75</v>
      </c>
      <c r="F58" s="794">
        <f ca="1">IF(OFFSET('Data Parser'!$AE$1,MATCH(D58,'Data Parser'!AF:AF,0)-1,0),0,C58)</f>
        <v>10</v>
      </c>
      <c r="G58" s="789">
        <f t="shared" ca="1" si="0"/>
        <v>2.3809523809523808E-2</v>
      </c>
    </row>
    <row r="59" spans="3:7">
      <c r="C59" s="785">
        <v>4</v>
      </c>
      <c r="D59" s="159" t="s">
        <v>2494</v>
      </c>
      <c r="E59" s="787">
        <f ca="1">OFFSET('Data Parser'!$AD$1,MATCH(D59,'Data Parser'!AF:AF,0)-1,0)</f>
        <v>1</v>
      </c>
      <c r="F59" s="794">
        <f ca="1">IF(OFFSET('Data Parser'!$AE$1,MATCH(D59,'Data Parser'!AF:AF,0)-1,0),0,C59)</f>
        <v>4</v>
      </c>
      <c r="G59" s="789">
        <f t="shared" ca="1" si="0"/>
        <v>9.5238095238095247E-3</v>
      </c>
    </row>
    <row r="60" spans="3:7">
      <c r="C60" s="785">
        <v>10</v>
      </c>
      <c r="D60" s="159" t="s">
        <v>2495</v>
      </c>
      <c r="E60" s="787">
        <f ca="1">OFFSET('Data Parser'!$AD$1,MATCH(D60,'Data Parser'!AF:AF,0)-1,0)</f>
        <v>0.75</v>
      </c>
      <c r="F60" s="794">
        <f ca="1">IF(OFFSET('Data Parser'!$AE$1,MATCH(D60,'Data Parser'!AF:AF,0)-1,0),0,C60)</f>
        <v>10</v>
      </c>
      <c r="G60" s="789">
        <f t="shared" ca="1" si="0"/>
        <v>2.3809523809523808E-2</v>
      </c>
    </row>
    <row r="61" spans="3:7">
      <c r="C61" s="785">
        <v>3</v>
      </c>
      <c r="D61" s="159" t="s">
        <v>2500</v>
      </c>
      <c r="E61" s="787">
        <f ca="1">OFFSET('Data Parser'!$AD$1,MATCH(D61,'Data Parser'!AF:AF,0)-1,0)</f>
        <v>1</v>
      </c>
      <c r="F61" s="794">
        <f ca="1">IF(OFFSET('Data Parser'!$AE$1,MATCH(D61,'Data Parser'!AF:AF,0)-1,0),0,C61)</f>
        <v>3</v>
      </c>
      <c r="G61" s="789">
        <f t="shared" ca="1" si="0"/>
        <v>7.1428571428571426E-3</v>
      </c>
    </row>
    <row r="62" spans="3:7">
      <c r="C62" s="785">
        <v>3</v>
      </c>
      <c r="D62" s="159" t="s">
        <v>2501</v>
      </c>
      <c r="E62" s="787">
        <f ca="1">OFFSET('Data Parser'!$AD$1,MATCH(D62,'Data Parser'!AF:AF,0)-1,0)</f>
        <v>1</v>
      </c>
      <c r="F62" s="794">
        <f ca="1">IF(OFFSET('Data Parser'!$AE$1,MATCH(D62,'Data Parser'!AF:AF,0)-1,0),0,C62)</f>
        <v>3</v>
      </c>
      <c r="G62" s="789">
        <f t="shared" ca="1" si="0"/>
        <v>7.1428571428571426E-3</v>
      </c>
    </row>
    <row r="63" spans="3:7">
      <c r="C63" s="785">
        <v>10</v>
      </c>
      <c r="D63" s="159" t="s">
        <v>2502</v>
      </c>
      <c r="E63" s="787">
        <f ca="1">OFFSET('Data Parser'!$AD$1,MATCH(D63,'Data Parser'!AF:AF,0)-1,0)</f>
        <v>0.75</v>
      </c>
      <c r="F63" s="794">
        <f ca="1">IF(OFFSET('Data Parser'!$AE$1,MATCH(D63,'Data Parser'!AF:AF,0)-1,0),0,C63)</f>
        <v>10</v>
      </c>
      <c r="G63" s="789">
        <f t="shared" ca="1" si="0"/>
        <v>2.3809523809523808E-2</v>
      </c>
    </row>
    <row r="64" spans="3:7">
      <c r="D64" s="772"/>
      <c r="G64" s="796"/>
    </row>
    <row r="65" spans="2:7" ht="20.25">
      <c r="B65" s="795">
        <f ca="1">OFFSET('VA Front Page'!$F$11,MATCH(C65,'VA Front Page'!$C$12:$C$34,0),0)</f>
        <v>9</v>
      </c>
      <c r="C65" s="790" t="s">
        <v>46</v>
      </c>
      <c r="D65" s="790"/>
      <c r="E65" s="791">
        <f ca="1">SUMPRODUCT(E66:E86,G66:G86)</f>
        <v>0.58763625412892651</v>
      </c>
      <c r="F65" s="791"/>
      <c r="G65" s="792">
        <f ca="1">SUM(G66:G86)</f>
        <v>0.99999999999999989</v>
      </c>
    </row>
    <row r="66" spans="2:7">
      <c r="C66" s="785">
        <v>6</v>
      </c>
      <c r="D66" s="159" t="s">
        <v>2254</v>
      </c>
      <c r="E66" s="787">
        <f ca="1">OFFSET('Data Parser'!$AD$1,MATCH(D66,'Data Parser'!AF:AF,0)-1,0)</f>
        <v>1</v>
      </c>
      <c r="F66" s="794">
        <f ca="1">IF(OFFSET('Data Parser'!$AE$1,MATCH(D66,'Data Parser'!AF:AF,0)-1,0),0,C66)</f>
        <v>6</v>
      </c>
      <c r="G66" s="789">
        <f ca="1">F66/SUM($F$66:$F$86)</f>
        <v>3.8216560509554139E-2</v>
      </c>
    </row>
    <row r="67" spans="2:7">
      <c r="C67" s="785">
        <v>3</v>
      </c>
      <c r="D67" s="159" t="s">
        <v>2255</v>
      </c>
      <c r="E67" s="787">
        <f ca="1">OFFSET('Data Parser'!$AD$1,MATCH(D67,'Data Parser'!AF:AF,0)-1,0)</f>
        <v>0</v>
      </c>
      <c r="F67" s="794">
        <f ca="1">IF(OFFSET('Data Parser'!$AE$1,MATCH(D67,'Data Parser'!AF:AF,0)-1,0),0,C67)</f>
        <v>3</v>
      </c>
      <c r="G67" s="789">
        <f t="shared" ref="G67:G86" ca="1" si="1">F67/SUM($F$66:$F$86)</f>
        <v>1.9108280254777069E-2</v>
      </c>
    </row>
    <row r="68" spans="2:7">
      <c r="C68" s="785">
        <v>8</v>
      </c>
      <c r="D68" s="159" t="s">
        <v>2526</v>
      </c>
      <c r="E68" s="787">
        <f ca="1">OFFSET('Data Parser'!$AD$1,MATCH(D68,'Data Parser'!AF:AF,0)-1,0)</f>
        <v>0.5</v>
      </c>
      <c r="F68" s="794">
        <f ca="1">IF(OFFSET('Data Parser'!$AE$1,MATCH(D68,'Data Parser'!AF:AF,0)-1,0),0,C68)</f>
        <v>8</v>
      </c>
      <c r="G68" s="789">
        <f t="shared" ca="1" si="1"/>
        <v>5.0955414012738856E-2</v>
      </c>
    </row>
    <row r="69" spans="2:7">
      <c r="C69" s="785">
        <v>10</v>
      </c>
      <c r="D69" s="159" t="s">
        <v>2256</v>
      </c>
      <c r="E69" s="787">
        <f ca="1">OFFSET('Data Parser'!$AD$1,MATCH(D69,'Data Parser'!AF:AF,0)-1,0)</f>
        <v>1</v>
      </c>
      <c r="F69" s="794">
        <f ca="1">IF(OFFSET('Data Parser'!$AE$1,MATCH(D69,'Data Parser'!AF:AF,0)-1,0),0,C69)</f>
        <v>10</v>
      </c>
      <c r="G69" s="789">
        <f t="shared" ca="1" si="1"/>
        <v>6.3694267515923567E-2</v>
      </c>
    </row>
    <row r="70" spans="2:7">
      <c r="C70" s="785">
        <v>5</v>
      </c>
      <c r="D70" s="159" t="s">
        <v>2524</v>
      </c>
      <c r="E70" s="787">
        <f ca="1">OFFSET('Data Parser'!$AD$1,MATCH(D70,'Data Parser'!AF:AF,0)-1,0)</f>
        <v>0.58851905541148319</v>
      </c>
      <c r="F70" s="794">
        <f ca="1">IF(OFFSET('Data Parser'!$AE$1,MATCH(D70,'Data Parser'!AF:AF,0)-1,0),0,C70)</f>
        <v>5</v>
      </c>
      <c r="G70" s="789">
        <f t="shared" ca="1" si="1"/>
        <v>3.1847133757961783E-2</v>
      </c>
    </row>
    <row r="71" spans="2:7">
      <c r="C71" s="785">
        <v>8</v>
      </c>
      <c r="D71" s="159" t="s">
        <v>2264</v>
      </c>
      <c r="E71" s="787">
        <f ca="1">OFFSET('Data Parser'!$AD$1,MATCH(D71,'Data Parser'!AF:AF,0)-1,0)</f>
        <v>0</v>
      </c>
      <c r="F71" s="794">
        <f ca="1">IF(OFFSET('Data Parser'!$AE$1,MATCH(D71,'Data Parser'!AF:AF,0)-1,0),0,C71)</f>
        <v>8</v>
      </c>
      <c r="G71" s="789">
        <f t="shared" ca="1" si="1"/>
        <v>5.0955414012738856E-2</v>
      </c>
    </row>
    <row r="72" spans="2:7">
      <c r="C72" s="785">
        <v>2</v>
      </c>
      <c r="D72" s="159" t="s">
        <v>2263</v>
      </c>
      <c r="E72" s="787">
        <f ca="1">OFFSET('Data Parser'!$AD$1,MATCH(D72,'Data Parser'!AF:AF,0)-1,0)</f>
        <v>0</v>
      </c>
      <c r="F72" s="794">
        <f ca="1">IF(OFFSET('Data Parser'!$AE$1,MATCH(D72,'Data Parser'!AF:AF,0)-1,0),0,C72)</f>
        <v>2</v>
      </c>
      <c r="G72" s="789">
        <f t="shared" ca="1" si="1"/>
        <v>1.2738853503184714E-2</v>
      </c>
    </row>
    <row r="73" spans="2:7">
      <c r="C73" s="785">
        <v>10</v>
      </c>
      <c r="D73" s="159" t="s">
        <v>2290</v>
      </c>
      <c r="E73" s="787">
        <f ca="1">OFFSET('Data Parser'!$AD$1,MATCH(D73,'Data Parser'!AF:AF,0)-1,0)</f>
        <v>1</v>
      </c>
      <c r="F73" s="794">
        <f ca="1">IF(OFFSET('Data Parser'!$AE$1,MATCH(D73,'Data Parser'!AF:AF,0)-1,0),0,C73)</f>
        <v>10</v>
      </c>
      <c r="G73" s="789">
        <f t="shared" ca="1" si="1"/>
        <v>6.3694267515923567E-2</v>
      </c>
    </row>
    <row r="74" spans="2:7">
      <c r="C74" s="785">
        <v>7</v>
      </c>
      <c r="D74" s="159" t="s">
        <v>2323</v>
      </c>
      <c r="E74" s="787">
        <f ca="1">OFFSET('Data Parser'!$AD$1,MATCH(D74,'Data Parser'!AF:AF,0)-1,0)</f>
        <v>0.97375666016915019</v>
      </c>
      <c r="F74" s="794">
        <f ca="1">IF(OFFSET('Data Parser'!$AE$1,MATCH(D74,'Data Parser'!AF:AF,0)-1,0),0,C74)</f>
        <v>7</v>
      </c>
      <c r="G74" s="789">
        <f t="shared" ca="1" si="1"/>
        <v>4.4585987261146494E-2</v>
      </c>
    </row>
    <row r="75" spans="2:7">
      <c r="C75" s="785">
        <v>7</v>
      </c>
      <c r="D75" s="159" t="s">
        <v>2324</v>
      </c>
      <c r="E75" s="787">
        <f ca="1">OFFSET('Data Parser'!$AD$1,MATCH(D75,'Data Parser'!AF:AF,0)-1,0)</f>
        <v>1</v>
      </c>
      <c r="F75" s="794">
        <f ca="1">IF(OFFSET('Data Parser'!$AE$1,MATCH(D75,'Data Parser'!AF:AF,0)-1,0),0,C75)</f>
        <v>7</v>
      </c>
      <c r="G75" s="789">
        <f t="shared" ca="1" si="1"/>
        <v>4.4585987261146494E-2</v>
      </c>
    </row>
    <row r="76" spans="2:7">
      <c r="C76" s="785">
        <v>10</v>
      </c>
      <c r="D76" s="159" t="s">
        <v>2353</v>
      </c>
      <c r="E76" s="787">
        <f ca="1">OFFSET('Data Parser'!$AD$1,MATCH(D76,'Data Parser'!AF:AF,0)-1,0)</f>
        <v>0.1</v>
      </c>
      <c r="F76" s="794">
        <f ca="1">IF(OFFSET('Data Parser'!$AE$1,MATCH(D76,'Data Parser'!AF:AF,0)-1,0),0,C76)</f>
        <v>10</v>
      </c>
      <c r="G76" s="789">
        <f t="shared" ca="1" si="1"/>
        <v>6.3694267515923567E-2</v>
      </c>
    </row>
    <row r="77" spans="2:7">
      <c r="C77" s="785">
        <v>5</v>
      </c>
      <c r="D77" s="159" t="s">
        <v>2354</v>
      </c>
      <c r="E77" s="787">
        <f ca="1">OFFSET('Data Parser'!$AD$1,MATCH(D77,'Data Parser'!AF:AF,0)-1,0)</f>
        <v>0.5</v>
      </c>
      <c r="F77" s="794">
        <f ca="1">IF(OFFSET('Data Parser'!$AE$1,MATCH(D77,'Data Parser'!AF:AF,0)-1,0),0,C77)</f>
        <v>5</v>
      </c>
      <c r="G77" s="789">
        <f t="shared" ca="1" si="1"/>
        <v>3.1847133757961783E-2</v>
      </c>
    </row>
    <row r="78" spans="2:7">
      <c r="C78" s="785">
        <v>8</v>
      </c>
      <c r="D78" s="159" t="s">
        <v>2355</v>
      </c>
      <c r="E78" s="787">
        <f ca="1">OFFSET('Data Parser'!$AD$1,MATCH(D78,'Data Parser'!AF:AF,0)-1,0)</f>
        <v>0.25</v>
      </c>
      <c r="F78" s="794">
        <f ca="1">IF(OFFSET('Data Parser'!$AE$1,MATCH(D78,'Data Parser'!AF:AF,0)-1,0),0,C78)</f>
        <v>8</v>
      </c>
      <c r="G78" s="789">
        <f t="shared" ca="1" si="1"/>
        <v>5.0955414012738856E-2</v>
      </c>
    </row>
    <row r="79" spans="2:7">
      <c r="C79" s="785">
        <v>8</v>
      </c>
      <c r="D79" s="159" t="s">
        <v>2356</v>
      </c>
      <c r="E79" s="787">
        <f ca="1">OFFSET('Data Parser'!$AD$1,MATCH(D79,'Data Parser'!AF:AF,0)-1,0)</f>
        <v>0.1</v>
      </c>
      <c r="F79" s="794">
        <f ca="1">IF(OFFSET('Data Parser'!$AE$1,MATCH(D79,'Data Parser'!AF:AF,0)-1,0),0,C79)</f>
        <v>8</v>
      </c>
      <c r="G79" s="789">
        <f t="shared" ca="1" si="1"/>
        <v>5.0955414012738856E-2</v>
      </c>
    </row>
    <row r="80" spans="2:7">
      <c r="C80" s="785">
        <v>5</v>
      </c>
      <c r="D80" s="159" t="s">
        <v>2357</v>
      </c>
      <c r="E80" s="787">
        <f ca="1">OFFSET('Data Parser'!$AD$1,MATCH(D80,'Data Parser'!AF:AF,0)-1,0)</f>
        <v>0.75</v>
      </c>
      <c r="F80" s="794">
        <f ca="1">IF(OFFSET('Data Parser'!$AE$1,MATCH(D80,'Data Parser'!AF:AF,0)-1,0),0,C80)</f>
        <v>5</v>
      </c>
      <c r="G80" s="789">
        <f t="shared" ca="1" si="1"/>
        <v>3.1847133757961783E-2</v>
      </c>
    </row>
    <row r="81" spans="2:7">
      <c r="C81" s="785">
        <v>10</v>
      </c>
      <c r="D81" s="159" t="s">
        <v>2358</v>
      </c>
      <c r="E81" s="787">
        <f ca="1">OFFSET('Data Parser'!$AD$1,MATCH(D81,'Data Parser'!AF:AF,0)-1,0)</f>
        <v>0</v>
      </c>
      <c r="F81" s="794">
        <f ca="1">IF(OFFSET('Data Parser'!$AE$1,MATCH(D81,'Data Parser'!AF:AF,0)-1,0),0,C81)</f>
        <v>10</v>
      </c>
      <c r="G81" s="789">
        <f t="shared" ca="1" si="1"/>
        <v>6.3694267515923567E-2</v>
      </c>
    </row>
    <row r="82" spans="2:7">
      <c r="C82" s="785">
        <v>8</v>
      </c>
      <c r="D82" s="159" t="s">
        <v>2359</v>
      </c>
      <c r="E82" s="787">
        <f ca="1">OFFSET('Data Parser'!$AD$1,MATCH(D82,'Data Parser'!AF:AF,0)-1,0)</f>
        <v>0.9</v>
      </c>
      <c r="F82" s="794">
        <f ca="1">IF(OFFSET('Data Parser'!$AE$1,MATCH(D82,'Data Parser'!AF:AF,0)-1,0),0,C82)</f>
        <v>8</v>
      </c>
      <c r="G82" s="789">
        <f t="shared" ca="1" si="1"/>
        <v>5.0955414012738856E-2</v>
      </c>
    </row>
    <row r="83" spans="2:7">
      <c r="C83" s="785">
        <v>7</v>
      </c>
      <c r="D83" s="159" t="s">
        <v>2360</v>
      </c>
      <c r="E83" s="787">
        <f ca="1">OFFSET('Data Parser'!$AD$1,MATCH(D83,'Data Parser'!AF:AF,0)-1,0)</f>
        <v>1</v>
      </c>
      <c r="F83" s="794">
        <f ca="1">IF(OFFSET('Data Parser'!$AE$1,MATCH(D83,'Data Parser'!AF:AF,0)-1,0),0,C83)</f>
        <v>7</v>
      </c>
      <c r="G83" s="789">
        <f t="shared" ca="1" si="1"/>
        <v>4.4585987261146494E-2</v>
      </c>
    </row>
    <row r="84" spans="2:7">
      <c r="C84" s="785">
        <v>10</v>
      </c>
      <c r="D84" s="159" t="s">
        <v>2531</v>
      </c>
      <c r="E84" s="787">
        <f ca="1">OFFSET('Data Parser'!$AD$1,MATCH(D84,'Data Parser'!AF:AF,0)-1,0)</f>
        <v>0.75</v>
      </c>
      <c r="F84" s="794">
        <f ca="1">IF(OFFSET('Data Parser'!$AE$1,MATCH(D84,'Data Parser'!AF:AF,0)-1,0),0,C84)</f>
        <v>10</v>
      </c>
      <c r="G84" s="789">
        <f t="shared" ca="1" si="1"/>
        <v>6.3694267515923567E-2</v>
      </c>
    </row>
    <row r="85" spans="2:7">
      <c r="C85" s="785">
        <v>10</v>
      </c>
      <c r="D85" s="159" t="s">
        <v>2533</v>
      </c>
      <c r="E85" s="787">
        <f ca="1">OFFSET('Data Parser'!$AD$1,MATCH(D85,'Data Parser'!AF:AF,0)-1,0)</f>
        <v>0.375</v>
      </c>
      <c r="F85" s="794">
        <f ca="1">IF(OFFSET('Data Parser'!$AE$1,MATCH(D85,'Data Parser'!AF:AF,0)-1,0),0,C85)</f>
        <v>10</v>
      </c>
      <c r="G85" s="789">
        <f t="shared" ca="1" si="1"/>
        <v>6.3694267515923567E-2</v>
      </c>
    </row>
    <row r="86" spans="2:7">
      <c r="C86" s="785">
        <v>10</v>
      </c>
      <c r="D86" s="159" t="s">
        <v>2503</v>
      </c>
      <c r="E86" s="787">
        <f ca="1">OFFSET('Data Parser'!$AD$1,MATCH(D86,'Data Parser'!AF:AF,0)-1,0)</f>
        <v>1</v>
      </c>
      <c r="F86" s="794">
        <f ca="1">IF(OFFSET('Data Parser'!$AE$1,MATCH(D86,'Data Parser'!AF:AF,0)-1,0),0,C86)</f>
        <v>10</v>
      </c>
      <c r="G86" s="789">
        <f t="shared" ca="1" si="1"/>
        <v>6.3694267515923567E-2</v>
      </c>
    </row>
    <row r="87" spans="2:7">
      <c r="D87" s="772"/>
      <c r="G87" s="796"/>
    </row>
    <row r="88" spans="2:7" ht="20.25">
      <c r="B88" s="795">
        <f ca="1">OFFSET('VA Front Page'!$F$11,MATCH(C88,'VA Front Page'!$C$12:$C$34,0),0)</f>
        <v>5</v>
      </c>
      <c r="C88" s="790" t="s">
        <v>59</v>
      </c>
      <c r="D88" s="790"/>
      <c r="E88" s="791">
        <f ca="1">SUMPRODUCT(E89:E100,G89:G100)</f>
        <v>0.6219542362399505</v>
      </c>
      <c r="G88" s="792">
        <f ca="1">SUM(G89:G100)</f>
        <v>1</v>
      </c>
    </row>
    <row r="89" spans="2:7">
      <c r="C89" s="785">
        <v>5</v>
      </c>
      <c r="D89" s="159" t="s">
        <v>2281</v>
      </c>
      <c r="E89" s="787">
        <f ca="1">OFFSET('Data Parser'!$AD$1,MATCH(D89,'Data Parser'!AF:AF,0)-1,0)</f>
        <v>1</v>
      </c>
      <c r="F89" s="794">
        <f ca="1">IF(OFFSET('Data Parser'!$AE$1,MATCH(D89,'Data Parser'!AF:AF,0)-1,0),0,C89)</f>
        <v>5</v>
      </c>
      <c r="G89" s="789">
        <f ca="1">F89/SUM($F$89:$F$100)</f>
        <v>6.4935064935064929E-2</v>
      </c>
    </row>
    <row r="90" spans="2:7">
      <c r="C90" s="785">
        <v>10</v>
      </c>
      <c r="D90" s="159" t="s">
        <v>2252</v>
      </c>
      <c r="E90" s="787">
        <f ca="1">OFFSET('Data Parser'!$AD$1,MATCH(D90,'Data Parser'!AF:AF,0)-1,0)</f>
        <v>0.5</v>
      </c>
      <c r="F90" s="794">
        <f ca="1">IF(OFFSET('Data Parser'!$AE$1,MATCH(D90,'Data Parser'!AF:AF,0)-1,0),0,C90)</f>
        <v>10</v>
      </c>
      <c r="G90" s="789">
        <f t="shared" ref="G90:G100" ca="1" si="2">F90/SUM($F$89:$F$100)</f>
        <v>0.12987012987012986</v>
      </c>
    </row>
    <row r="91" spans="2:7">
      <c r="C91" s="785">
        <v>10</v>
      </c>
      <c r="D91" s="159" t="s">
        <v>2248</v>
      </c>
      <c r="E91" s="787">
        <f ca="1">OFFSET('Data Parser'!$AD$1,MATCH(D91,'Data Parser'!AF:AF,0)-1,0)</f>
        <v>0.9</v>
      </c>
      <c r="F91" s="794">
        <f ca="1">IF(OFFSET('Data Parser'!$AE$1,MATCH(D91,'Data Parser'!AF:AF,0)-1,0),0,C91)</f>
        <v>10</v>
      </c>
      <c r="G91" s="789">
        <f t="shared" ca="1" si="2"/>
        <v>0.12987012987012986</v>
      </c>
    </row>
    <row r="92" spans="2:7">
      <c r="C92" s="785">
        <v>6</v>
      </c>
      <c r="D92" s="159" t="s">
        <v>2249</v>
      </c>
      <c r="E92" s="787">
        <f ca="1">OFFSET('Data Parser'!$AD$1,MATCH(D92,'Data Parser'!AF:AF,0)-1,0)</f>
        <v>1</v>
      </c>
      <c r="F92" s="794">
        <f ca="1">IF(OFFSET('Data Parser'!$AE$1,MATCH(D92,'Data Parser'!AF:AF,0)-1,0),0,C92)</f>
        <v>6</v>
      </c>
      <c r="G92" s="789">
        <f t="shared" ca="1" si="2"/>
        <v>7.792207792207792E-2</v>
      </c>
    </row>
    <row r="93" spans="2:7">
      <c r="C93" s="785">
        <v>4</v>
      </c>
      <c r="D93" s="159" t="s">
        <v>2250</v>
      </c>
      <c r="E93" s="787">
        <f ca="1">OFFSET('Data Parser'!$AD$1,MATCH(D93,'Data Parser'!AF:AF,0)-1,0)</f>
        <v>0</v>
      </c>
      <c r="F93" s="794">
        <f ca="1">IF(OFFSET('Data Parser'!$AE$1,MATCH(D93,'Data Parser'!AF:AF,0)-1,0),0,C93)</f>
        <v>4</v>
      </c>
      <c r="G93" s="789">
        <f t="shared" ca="1" si="2"/>
        <v>5.1948051948051951E-2</v>
      </c>
    </row>
    <row r="94" spans="2:7">
      <c r="C94" s="785">
        <v>7</v>
      </c>
      <c r="D94" s="159" t="s">
        <v>2251</v>
      </c>
      <c r="E94" s="787">
        <f ca="1">OFFSET('Data Parser'!$AD$1,MATCH(D94,'Data Parser'!AF:AF,0)-1,0)</f>
        <v>0.1</v>
      </c>
      <c r="F94" s="794">
        <f ca="1">IF(OFFSET('Data Parser'!$AE$1,MATCH(D94,'Data Parser'!AF:AF,0)-1,0),0,C94)</f>
        <v>7</v>
      </c>
      <c r="G94" s="789">
        <f t="shared" ca="1" si="2"/>
        <v>9.0909090909090912E-2</v>
      </c>
    </row>
    <row r="95" spans="2:7">
      <c r="C95" s="785">
        <v>4</v>
      </c>
      <c r="D95" s="159" t="s">
        <v>2253</v>
      </c>
      <c r="E95" s="787">
        <f ca="1">OFFSET('Data Parser'!$AD$1,MATCH(D95,'Data Parser'!AF:AF,0)-1,0)</f>
        <v>0</v>
      </c>
      <c r="F95" s="794">
        <f ca="1">IF(OFFSET('Data Parser'!$AE$1,MATCH(D95,'Data Parser'!AF:AF,0)-1,0),0,C95)</f>
        <v>4</v>
      </c>
      <c r="G95" s="789">
        <f t="shared" ca="1" si="2"/>
        <v>5.1948051948051951E-2</v>
      </c>
    </row>
    <row r="96" spans="2:7">
      <c r="C96" s="785">
        <v>10</v>
      </c>
      <c r="D96" s="159" t="s">
        <v>2293</v>
      </c>
      <c r="E96" s="787">
        <f ca="1">OFFSET('Data Parser'!$AD$1,MATCH(D96,'Data Parser'!AF:AF,0)-1,0)</f>
        <v>1</v>
      </c>
      <c r="F96" s="794">
        <f ca="1">IF(OFFSET('Data Parser'!$AE$1,MATCH(D96,'Data Parser'!AF:AF,0)-1,0),0,C96)</f>
        <v>10</v>
      </c>
      <c r="G96" s="789">
        <f t="shared" ca="1" si="2"/>
        <v>0.12987012987012986</v>
      </c>
    </row>
    <row r="97" spans="2:8">
      <c r="C97" s="785">
        <v>2</v>
      </c>
      <c r="D97" s="159" t="s">
        <v>2430</v>
      </c>
      <c r="E97" s="787">
        <f ca="1">OFFSET('Data Parser'!$AD$1,MATCH(D97,'Data Parser'!AF:AF,0)-1,0)</f>
        <v>1</v>
      </c>
      <c r="F97" s="794">
        <f ca="1">IF(OFFSET('Data Parser'!$AE$1,MATCH(D97,'Data Parser'!AF:AF,0)-1,0),0,C97)</f>
        <v>2</v>
      </c>
      <c r="G97" s="789">
        <f t="shared" ca="1" si="2"/>
        <v>2.5974025974025976E-2</v>
      </c>
    </row>
    <row r="98" spans="2:8">
      <c r="C98" s="785">
        <v>1</v>
      </c>
      <c r="D98" s="159" t="s">
        <v>2431</v>
      </c>
      <c r="E98" s="787">
        <f ca="1">OFFSET('Data Parser'!$AD$1,MATCH(D98,'Data Parser'!AF:AF,0)-1,0)</f>
        <v>0.75</v>
      </c>
      <c r="F98" s="794">
        <f ca="1">IF(OFFSET('Data Parser'!$AE$1,MATCH(D98,'Data Parser'!AF:AF,0)-1,0),0,C98)</f>
        <v>1</v>
      </c>
      <c r="G98" s="789">
        <f t="shared" ca="1" si="2"/>
        <v>1.2987012987012988E-2</v>
      </c>
    </row>
    <row r="99" spans="2:8">
      <c r="C99" s="785">
        <v>10</v>
      </c>
      <c r="D99" s="159" t="s">
        <v>2517</v>
      </c>
      <c r="E99" s="787">
        <f ca="1">OFFSET('Data Parser'!$AD$1,MATCH(D99,'Data Parser'!AF:AF,0)-1,0)</f>
        <v>0.74404761904761907</v>
      </c>
      <c r="F99" s="794">
        <f ca="1">IF(OFFSET('Data Parser'!$AE$1,MATCH(D99,'Data Parser'!AF:AF,0)-1,0),0,C99)</f>
        <v>10</v>
      </c>
      <c r="G99" s="789">
        <f t="shared" ca="1" si="2"/>
        <v>0.12987012987012986</v>
      </c>
    </row>
    <row r="100" spans="2:8">
      <c r="C100" s="785">
        <v>8</v>
      </c>
      <c r="D100" s="159" t="s">
        <v>2497</v>
      </c>
      <c r="E100" s="787">
        <f ca="1">OFFSET('Data Parser'!$AD$1,MATCH(D100,'Data Parser'!AF:AF,0)-1,0)</f>
        <v>0.25</v>
      </c>
      <c r="F100" s="794">
        <f ca="1">IF(OFFSET('Data Parser'!$AE$1,MATCH(D100,'Data Parser'!AF:AF,0)-1,0),0,C100)</f>
        <v>8</v>
      </c>
      <c r="G100" s="789">
        <f t="shared" ca="1" si="2"/>
        <v>0.1038961038961039</v>
      </c>
    </row>
    <row r="102" spans="2:8" ht="20.25">
      <c r="B102" s="795">
        <f ca="1">OFFSET('VA Front Page'!$F$11,MATCH(C102,'VA Front Page'!$C$12:$C$34,0),0)</f>
        <v>4</v>
      </c>
      <c r="C102" s="790" t="s">
        <v>75</v>
      </c>
      <c r="D102" s="790"/>
      <c r="E102" s="791">
        <f ca="1">SUMPRODUCT(E103:E115,G103:G115)</f>
        <v>0.43333333333333324</v>
      </c>
      <c r="G102" s="792">
        <f ca="1">SUM(G103:G115)</f>
        <v>0.99999999999999989</v>
      </c>
    </row>
    <row r="103" spans="2:8">
      <c r="C103" s="785">
        <v>9</v>
      </c>
      <c r="D103" s="788" t="s">
        <v>2257</v>
      </c>
      <c r="E103" s="787">
        <f ca="1">OFFSET('Data Parser'!$AD$1,MATCH(D103,'Data Parser'!AF:AF,0)-1,0)</f>
        <v>0</v>
      </c>
      <c r="F103" s="794">
        <f ca="1">IF(OFFSET('Data Parser'!$AE$1,MATCH(D103,'Data Parser'!AF:AF,0)-1,0),0,C103)</f>
        <v>9</v>
      </c>
      <c r="G103" s="789">
        <f ca="1">F103/SUM($F$103:$F$115)</f>
        <v>9.2783505154639179E-2</v>
      </c>
    </row>
    <row r="104" spans="2:8">
      <c r="C104" s="785">
        <v>4</v>
      </c>
      <c r="D104" s="788" t="s">
        <v>2258</v>
      </c>
      <c r="E104" s="787">
        <f ca="1">OFFSET('Data Parser'!$AD$1,MATCH(D104,'Data Parser'!AF:AF,0)-1,0)</f>
        <v>0</v>
      </c>
      <c r="F104" s="794">
        <f ca="1">IF(OFFSET('Data Parser'!$AE$1,MATCH(D104,'Data Parser'!AF:AF,0)-1,0),0,C104)</f>
        <v>4</v>
      </c>
      <c r="G104" s="789">
        <f t="shared" ref="G104:G115" ca="1" si="3">F104/SUM($F$103:$F$115)</f>
        <v>4.1237113402061855E-2</v>
      </c>
    </row>
    <row r="105" spans="2:8">
      <c r="C105" s="785">
        <v>6</v>
      </c>
      <c r="D105" s="99" t="s">
        <v>2259</v>
      </c>
      <c r="E105" s="787">
        <f ca="1">OFFSET('Data Parser'!$AD$1,MATCH(D105,'Data Parser'!AF:AF,0)-1,0)</f>
        <v>0.1</v>
      </c>
      <c r="F105" s="794">
        <f ca="1">IF(OFFSET('Data Parser'!$AE$1,MATCH(D105,'Data Parser'!AF:AF,0)-1,0),0,C105)</f>
        <v>6</v>
      </c>
      <c r="G105" s="789">
        <f t="shared" ca="1" si="3"/>
        <v>6.1855670103092786E-2</v>
      </c>
    </row>
    <row r="106" spans="2:8">
      <c r="C106" s="785">
        <v>6</v>
      </c>
      <c r="D106" s="99" t="s">
        <v>2261</v>
      </c>
      <c r="E106" s="787">
        <f ca="1">OFFSET('Data Parser'!$AD$1,MATCH(D106,'Data Parser'!AF:AF,0)-1,0)</f>
        <v>1</v>
      </c>
      <c r="F106" s="794">
        <f ca="1">IF(OFFSET('Data Parser'!$AE$1,MATCH(D106,'Data Parser'!AF:AF,0)-1,0),0,C106)</f>
        <v>6</v>
      </c>
      <c r="G106" s="789">
        <f t="shared" ca="1" si="3"/>
        <v>6.1855670103092786E-2</v>
      </c>
    </row>
    <row r="107" spans="2:8">
      <c r="C107" s="785">
        <v>4</v>
      </c>
      <c r="D107" s="382" t="s">
        <v>2262</v>
      </c>
      <c r="E107" s="810">
        <f ca="1">1-OFFSET('Data Parser'!$AD$1,MATCH(D107,'Data Parser'!AF:AF,0)-1,0)</f>
        <v>0.5</v>
      </c>
      <c r="F107" s="794">
        <f ca="1">IF(OFFSET('Data Parser'!$AE$1,MATCH(D107,'Data Parser'!AF:AF,0)-1,0),0,C107)</f>
        <v>4</v>
      </c>
      <c r="G107" s="789">
        <f t="shared" ca="1" si="3"/>
        <v>4.1237113402061855E-2</v>
      </c>
      <c r="H107" s="752" t="s">
        <v>2538</v>
      </c>
    </row>
    <row r="108" spans="2:8">
      <c r="C108" s="785">
        <v>8</v>
      </c>
      <c r="D108" s="159" t="s">
        <v>2297</v>
      </c>
      <c r="E108" s="787">
        <f ca="1">OFFSET('Data Parser'!$AD$1,MATCH(D108,'Data Parser'!AF:AF,0)-1,0)</f>
        <v>0.6</v>
      </c>
      <c r="F108" s="794">
        <f ca="1">IF(OFFSET('Data Parser'!$AE$1,MATCH(D108,'Data Parser'!AF:AF,0)-1,0),0,C108)</f>
        <v>8</v>
      </c>
      <c r="G108" s="789">
        <f t="shared" ca="1" si="3"/>
        <v>8.247422680412371E-2</v>
      </c>
    </row>
    <row r="109" spans="2:8">
      <c r="C109" s="785">
        <v>10</v>
      </c>
      <c r="D109" s="159" t="s">
        <v>2298</v>
      </c>
      <c r="E109" s="787">
        <f ca="1">OFFSET('Data Parser'!$AD$1,MATCH(D109,'Data Parser'!AF:AF,0)-1,0)</f>
        <v>0</v>
      </c>
      <c r="F109" s="794">
        <f ca="1">IF(OFFSET('Data Parser'!$AE$1,MATCH(D109,'Data Parser'!AF:AF,0)-1,0),0,C109)</f>
        <v>10</v>
      </c>
      <c r="G109" s="789">
        <f t="shared" ca="1" si="3"/>
        <v>0.10309278350515463</v>
      </c>
    </row>
    <row r="110" spans="2:8">
      <c r="C110" s="785">
        <v>10</v>
      </c>
      <c r="D110" s="159" t="s">
        <v>2299</v>
      </c>
      <c r="E110" s="787">
        <f ca="1">OFFSET('Data Parser'!$AD$1,MATCH(D110,'Data Parser'!AF:AF,0)-1,0)</f>
        <v>0.5</v>
      </c>
      <c r="F110" s="794">
        <f ca="1">IF(OFFSET('Data Parser'!$AE$1,MATCH(D110,'Data Parser'!AF:AF,0)-1,0),0,C110)</f>
        <v>10</v>
      </c>
      <c r="G110" s="789">
        <f t="shared" ca="1" si="3"/>
        <v>0.10309278350515463</v>
      </c>
    </row>
    <row r="111" spans="2:8">
      <c r="C111" s="785">
        <v>10</v>
      </c>
      <c r="D111" s="159" t="s">
        <v>2300</v>
      </c>
      <c r="E111" s="787">
        <f ca="1">OFFSET('Data Parser'!$AD$1,MATCH(D111,'Data Parser'!AF:AF,0)-1,0)</f>
        <v>0</v>
      </c>
      <c r="F111" s="794">
        <f ca="1">IF(OFFSET('Data Parser'!$AE$1,MATCH(D111,'Data Parser'!AF:AF,0)-1,0),0,C111)</f>
        <v>10</v>
      </c>
      <c r="G111" s="789">
        <f t="shared" ca="1" si="3"/>
        <v>0.10309278350515463</v>
      </c>
    </row>
    <row r="112" spans="2:8">
      <c r="C112" s="785">
        <v>10</v>
      </c>
      <c r="D112" s="788" t="s">
        <v>2301</v>
      </c>
      <c r="E112" s="787">
        <f ca="1">OFFSET('Data Parser'!$AD$1,MATCH(D112,'Data Parser'!AF:AF,0)-1,0)</f>
        <v>0.65</v>
      </c>
      <c r="F112" s="794">
        <f ca="1">IF(OFFSET('Data Parser'!$AE$1,MATCH(D112,'Data Parser'!AF:AF,0)-1,0),0,C112)</f>
        <v>10</v>
      </c>
      <c r="G112" s="789">
        <f t="shared" ca="1" si="3"/>
        <v>0.10309278350515463</v>
      </c>
    </row>
    <row r="113" spans="2:7">
      <c r="C113" s="785">
        <v>8</v>
      </c>
      <c r="D113" s="788" t="s">
        <v>2302</v>
      </c>
      <c r="E113" s="787">
        <f ca="1">OFFSET('Data Parser'!$AD$1,MATCH(D113,'Data Parser'!AF:AF,0)-1,0)</f>
        <v>0.85</v>
      </c>
      <c r="F113" s="794">
        <f ca="1">IF(OFFSET('Data Parser'!$AE$1,MATCH(D113,'Data Parser'!AF:AF,0)-1,0),0,C113)</f>
        <v>8</v>
      </c>
      <c r="G113" s="789">
        <f t="shared" ca="1" si="3"/>
        <v>8.247422680412371E-2</v>
      </c>
    </row>
    <row r="114" spans="2:7">
      <c r="C114" s="785">
        <v>2</v>
      </c>
      <c r="D114" s="159" t="s">
        <v>2428</v>
      </c>
      <c r="E114" s="787">
        <f ca="1">OFFSET('Data Parser'!$AD$1,MATCH(D114,'Data Parser'!AF:AF,0)-1,0)</f>
        <v>1</v>
      </c>
      <c r="F114" s="794">
        <f ca="1">IF(OFFSET('Data Parser'!$AE$1,MATCH(D114,'Data Parser'!AF:AF,0)-1,0),0,C114)</f>
        <v>2</v>
      </c>
      <c r="G114" s="789">
        <f t="shared" ca="1" si="3"/>
        <v>2.0618556701030927E-2</v>
      </c>
    </row>
    <row r="115" spans="2:7">
      <c r="C115" s="785">
        <v>10</v>
      </c>
      <c r="D115" s="159" t="s">
        <v>2518</v>
      </c>
      <c r="E115" s="787">
        <f ca="1">OFFSET('Data Parser'!$AD$1,MATCH(D115,'Data Parser'!AF:AF,0)-1,0)</f>
        <v>0.83333333333333337</v>
      </c>
      <c r="F115" s="794">
        <f ca="1">IF(OFFSET('Data Parser'!$AE$1,MATCH(D115,'Data Parser'!AF:AF,0)-1,0),0,C115)</f>
        <v>10</v>
      </c>
      <c r="G115" s="789">
        <f t="shared" ca="1" si="3"/>
        <v>0.10309278350515463</v>
      </c>
    </row>
    <row r="117" spans="2:7" ht="20.25">
      <c r="B117" s="795">
        <f ca="1">OFFSET('VA Front Page'!$F$11,MATCH(C117,'VA Front Page'!$C$12:$C$34,0),0)</f>
        <v>3</v>
      </c>
      <c r="C117" s="790" t="s">
        <v>83</v>
      </c>
      <c r="D117" s="790"/>
      <c r="E117" s="791">
        <f ca="1">SUMPRODUCT(E118:E133,G118:G133)</f>
        <v>0.67048113777100249</v>
      </c>
      <c r="G117" s="792">
        <f ca="1">SUM(G118:G133)</f>
        <v>1.0000000000000002</v>
      </c>
    </row>
    <row r="118" spans="2:7">
      <c r="C118" s="785">
        <v>6</v>
      </c>
      <c r="D118" s="159" t="s">
        <v>2526</v>
      </c>
      <c r="E118" s="787">
        <f ca="1">OFFSET('Data Parser'!$AD$1,MATCH(D118,'Data Parser'!AF:AF,0)-1,0)</f>
        <v>0.5</v>
      </c>
      <c r="F118" s="794">
        <f ca="1">IF(OFFSET('Data Parser'!$AE$1,MATCH(D118,'Data Parser'!AF:AF,0)-1,0),0,C118)</f>
        <v>6</v>
      </c>
      <c r="G118" s="789">
        <f ca="1">F118/SUM($F$118:$F$133)</f>
        <v>5.5045871559633031E-2</v>
      </c>
    </row>
    <row r="119" spans="2:7">
      <c r="C119" s="785">
        <v>10</v>
      </c>
      <c r="D119" s="159" t="s">
        <v>2256</v>
      </c>
      <c r="E119" s="787">
        <f ca="1">OFFSET('Data Parser'!$AD$1,MATCH(D119,'Data Parser'!AF:AF,0)-1,0)</f>
        <v>1</v>
      </c>
      <c r="F119" s="794">
        <f ca="1">IF(OFFSET('Data Parser'!$AE$1,MATCH(D119,'Data Parser'!AF:AF,0)-1,0),0,C119)</f>
        <v>10</v>
      </c>
      <c r="G119" s="789">
        <f t="shared" ref="G119:G133" ca="1" si="4">F119/SUM($F$118:$F$133)</f>
        <v>9.1743119266055051E-2</v>
      </c>
    </row>
    <row r="120" spans="2:7">
      <c r="C120" s="785">
        <v>10</v>
      </c>
      <c r="D120" s="159" t="s">
        <v>2289</v>
      </c>
      <c r="E120" s="787">
        <f ca="1">OFFSET('Data Parser'!$AD$1,MATCH(D120,'Data Parser'!AF:AF,0)-1,0)</f>
        <v>0.95929776068157102</v>
      </c>
      <c r="F120" s="794">
        <f ca="1">IF(OFFSET('Data Parser'!$AE$1,MATCH(D120,'Data Parser'!AF:AF,0)-1,0),0,C120)</f>
        <v>10</v>
      </c>
      <c r="G120" s="789">
        <f t="shared" ca="1" si="4"/>
        <v>9.1743119266055051E-2</v>
      </c>
    </row>
    <row r="121" spans="2:7">
      <c r="C121" s="785">
        <v>6</v>
      </c>
      <c r="D121" s="159" t="s">
        <v>2320</v>
      </c>
      <c r="E121" s="787">
        <f ca="1">OFFSET('Data Parser'!$AD$1,MATCH(D121,'Data Parser'!AF:AF,0)-1,0)</f>
        <v>0.89824440170392728</v>
      </c>
      <c r="F121" s="794">
        <f ca="1">IF(OFFSET('Data Parser'!$AE$1,MATCH(D121,'Data Parser'!AF:AF,0)-1,0),0,C121)</f>
        <v>6</v>
      </c>
      <c r="G121" s="789">
        <f t="shared" ca="1" si="4"/>
        <v>5.5045871559633031E-2</v>
      </c>
    </row>
    <row r="122" spans="2:7">
      <c r="C122" s="785">
        <v>10</v>
      </c>
      <c r="D122" s="159" t="s">
        <v>2321</v>
      </c>
      <c r="E122" s="787">
        <f ca="1">OFFSET('Data Parser'!$AD$1,MATCH(D122,'Data Parser'!AF:AF,0)-1,0)</f>
        <v>1</v>
      </c>
      <c r="F122" s="794">
        <f ca="1">IF(OFFSET('Data Parser'!$AE$1,MATCH(D122,'Data Parser'!AF:AF,0)-1,0),0,C122)</f>
        <v>10</v>
      </c>
      <c r="G122" s="789">
        <f t="shared" ca="1" si="4"/>
        <v>9.1743119266055051E-2</v>
      </c>
    </row>
    <row r="123" spans="2:7">
      <c r="C123" s="785">
        <v>10</v>
      </c>
      <c r="D123" s="159" t="s">
        <v>2353</v>
      </c>
      <c r="E123" s="787">
        <f ca="1">OFFSET('Data Parser'!$AD$1,MATCH(D123,'Data Parser'!AF:AF,0)-1,0)</f>
        <v>0.1</v>
      </c>
      <c r="F123" s="794">
        <f ca="1">IF(OFFSET('Data Parser'!$AE$1,MATCH(D123,'Data Parser'!AF:AF,0)-1,0),0,C123)</f>
        <v>10</v>
      </c>
      <c r="G123" s="789">
        <f t="shared" ca="1" si="4"/>
        <v>9.1743119266055051E-2</v>
      </c>
    </row>
    <row r="124" spans="2:7">
      <c r="C124" s="785">
        <v>3</v>
      </c>
      <c r="D124" s="159" t="s">
        <v>2355</v>
      </c>
      <c r="E124" s="787">
        <f ca="1">OFFSET('Data Parser'!$AD$1,MATCH(D124,'Data Parser'!AF:AF,0)-1,0)</f>
        <v>0.25</v>
      </c>
      <c r="F124" s="794">
        <f ca="1">IF(OFFSET('Data Parser'!$AE$1,MATCH(D124,'Data Parser'!AF:AF,0)-1,0),0,C124)</f>
        <v>3</v>
      </c>
      <c r="G124" s="789">
        <f t="shared" ca="1" si="4"/>
        <v>2.7522935779816515E-2</v>
      </c>
    </row>
    <row r="125" spans="2:7">
      <c r="C125" s="785">
        <v>3</v>
      </c>
      <c r="D125" s="159" t="s">
        <v>2356</v>
      </c>
      <c r="E125" s="787">
        <f ca="1">OFFSET('Data Parser'!$AD$1,MATCH(D125,'Data Parser'!AF:AF,0)-1,0)</f>
        <v>0.1</v>
      </c>
      <c r="F125" s="794">
        <f ca="1">IF(OFFSET('Data Parser'!$AE$1,MATCH(D125,'Data Parser'!AF:AF,0)-1,0),0,C125)</f>
        <v>3</v>
      </c>
      <c r="G125" s="789">
        <f t="shared" ca="1" si="4"/>
        <v>2.7522935779816515E-2</v>
      </c>
    </row>
    <row r="126" spans="2:7">
      <c r="C126" s="785">
        <v>4</v>
      </c>
      <c r="D126" s="159" t="s">
        <v>2358</v>
      </c>
      <c r="E126" s="787">
        <f ca="1">OFFSET('Data Parser'!$AD$1,MATCH(D126,'Data Parser'!AF:AF,0)-1,0)</f>
        <v>0</v>
      </c>
      <c r="F126" s="794">
        <f ca="1">IF(OFFSET('Data Parser'!$AE$1,MATCH(D126,'Data Parser'!AF:AF,0)-1,0),0,C126)</f>
        <v>4</v>
      </c>
      <c r="G126" s="789">
        <f t="shared" ca="1" si="4"/>
        <v>3.669724770642202E-2</v>
      </c>
    </row>
    <row r="127" spans="2:7">
      <c r="C127" s="785">
        <v>2</v>
      </c>
      <c r="D127" s="159" t="s">
        <v>2359</v>
      </c>
      <c r="E127" s="787">
        <f ca="1">OFFSET('Data Parser'!$AD$1,MATCH(D127,'Data Parser'!AF:AF,0)-1,0)</f>
        <v>0.9</v>
      </c>
      <c r="F127" s="794">
        <f ca="1">IF(OFFSET('Data Parser'!$AE$1,MATCH(D127,'Data Parser'!AF:AF,0)-1,0),0,C127)</f>
        <v>2</v>
      </c>
      <c r="G127" s="789">
        <f t="shared" ca="1" si="4"/>
        <v>1.834862385321101E-2</v>
      </c>
    </row>
    <row r="128" spans="2:7">
      <c r="C128" s="785">
        <v>2</v>
      </c>
      <c r="D128" s="159" t="s">
        <v>2360</v>
      </c>
      <c r="E128" s="787">
        <f ca="1">OFFSET('Data Parser'!$AD$1,MATCH(D128,'Data Parser'!AF:AF,0)-1,0)</f>
        <v>1</v>
      </c>
      <c r="F128" s="794">
        <f ca="1">IF(OFFSET('Data Parser'!$AE$1,MATCH(D128,'Data Parser'!AF:AF,0)-1,0),0,C128)</f>
        <v>2</v>
      </c>
      <c r="G128" s="789">
        <f t="shared" ca="1" si="4"/>
        <v>1.834862385321101E-2</v>
      </c>
    </row>
    <row r="129" spans="2:7">
      <c r="C129" s="785">
        <v>10</v>
      </c>
      <c r="D129" s="159" t="s">
        <v>2393</v>
      </c>
      <c r="E129" s="787">
        <f ca="1">OFFSET('Data Parser'!$AD$1,MATCH(D129,'Data Parser'!AF:AF,0)-1,0)</f>
        <v>0.75</v>
      </c>
      <c r="F129" s="794">
        <f ca="1">IF(OFFSET('Data Parser'!$AE$1,MATCH(D129,'Data Parser'!AF:AF,0)-1,0),0,C129)</f>
        <v>10</v>
      </c>
      <c r="G129" s="789">
        <f t="shared" ca="1" si="4"/>
        <v>9.1743119266055051E-2</v>
      </c>
    </row>
    <row r="130" spans="2:7">
      <c r="C130" s="785">
        <v>10</v>
      </c>
      <c r="D130" s="159" t="s">
        <v>2394</v>
      </c>
      <c r="E130" s="787">
        <f ca="1">OFFSET('Data Parser'!$AD$1,MATCH(D130,'Data Parser'!AF:AF,0)-1,0)</f>
        <v>0.75</v>
      </c>
      <c r="F130" s="794">
        <f ca="1">IF(OFFSET('Data Parser'!$AE$1,MATCH(D130,'Data Parser'!AF:AF,0)-1,0),0,C130)</f>
        <v>10</v>
      </c>
      <c r="G130" s="789">
        <f t="shared" ca="1" si="4"/>
        <v>9.1743119266055051E-2</v>
      </c>
    </row>
    <row r="131" spans="2:7">
      <c r="C131" s="785">
        <v>10</v>
      </c>
      <c r="D131" s="159" t="s">
        <v>2531</v>
      </c>
      <c r="E131" s="787">
        <f ca="1">OFFSET('Data Parser'!$AD$1,MATCH(D131,'Data Parser'!AF:AF,0)-1,0)</f>
        <v>0.75</v>
      </c>
      <c r="F131" s="794">
        <f ca="1">IF(OFFSET('Data Parser'!$AE$1,MATCH(D131,'Data Parser'!AF:AF,0)-1,0),0,C131)</f>
        <v>10</v>
      </c>
      <c r="G131" s="789">
        <f t="shared" ca="1" si="4"/>
        <v>9.1743119266055051E-2</v>
      </c>
    </row>
    <row r="132" spans="2:7">
      <c r="C132" s="785">
        <v>10</v>
      </c>
      <c r="D132" s="159" t="s">
        <v>2533</v>
      </c>
      <c r="E132" s="787">
        <f ca="1">OFFSET('Data Parser'!$AD$1,MATCH(D132,'Data Parser'!AF:AF,0)-1,0)</f>
        <v>0.375</v>
      </c>
      <c r="F132" s="794">
        <f ca="1">IF(OFFSET('Data Parser'!$AE$1,MATCH(D132,'Data Parser'!AF:AF,0)-1,0),0,C132)</f>
        <v>10</v>
      </c>
      <c r="G132" s="789">
        <f t="shared" ca="1" si="4"/>
        <v>9.1743119266055051E-2</v>
      </c>
    </row>
    <row r="133" spans="2:7">
      <c r="C133" s="785">
        <v>3</v>
      </c>
      <c r="D133" s="159" t="s">
        <v>2534</v>
      </c>
      <c r="E133" s="787">
        <f ca="1">OFFSET('Data Parser'!$AD$1,MATCH(D133,'Data Parser'!AF:AF,0)-1,0)</f>
        <v>1</v>
      </c>
      <c r="F133" s="794">
        <f ca="1">IF(OFFSET('Data Parser'!$AE$1,MATCH(D133,'Data Parser'!AF:AF,0)-1,0),0,C133)</f>
        <v>3</v>
      </c>
      <c r="G133" s="789">
        <f t="shared" ca="1" si="4"/>
        <v>2.7522935779816515E-2</v>
      </c>
    </row>
    <row r="135" spans="2:7" ht="23.25">
      <c r="B135" s="793" t="s">
        <v>89</v>
      </c>
      <c r="C135" s="793"/>
      <c r="D135" s="793"/>
      <c r="E135" s="793"/>
      <c r="F135" s="793"/>
      <c r="G135" s="793"/>
    </row>
    <row r="136" spans="2:7" ht="20.25">
      <c r="B136" s="795">
        <f ca="1">OFFSET('VA Front Page'!$F$11,MATCH(C136,'VA Front Page'!$C$12:$C$34,0),0)</f>
        <v>7</v>
      </c>
      <c r="C136" s="790" t="s">
        <v>90</v>
      </c>
      <c r="D136" s="790"/>
      <c r="E136" s="791">
        <f ca="1">SUMPRODUCT(E137:E153,G137:G153)</f>
        <v>0.62669886621083049</v>
      </c>
      <c r="G136" s="792">
        <f ca="1">SUM(G137:G153)</f>
        <v>0.99999999999999989</v>
      </c>
    </row>
    <row r="137" spans="2:7">
      <c r="C137" s="785">
        <v>3</v>
      </c>
      <c r="D137" s="159" t="s">
        <v>2524</v>
      </c>
      <c r="E137" s="787">
        <f ca="1">OFFSET('Data Parser'!$AD$1,MATCH(D137,'Data Parser'!AF:AF,0)-1,0)</f>
        <v>0.58851905541148319</v>
      </c>
      <c r="F137" s="794">
        <f ca="1">IF(OFFSET('Data Parser'!$AE$1,MATCH(D137,'Data Parser'!AF:AF,0)-1,0),0,C137)</f>
        <v>3</v>
      </c>
      <c r="G137" s="789">
        <f ca="1">F137/SUM($F$137:$F$153)</f>
        <v>2.2222222222222223E-2</v>
      </c>
    </row>
    <row r="138" spans="2:7">
      <c r="C138" s="785">
        <v>1</v>
      </c>
      <c r="D138" s="159" t="s">
        <v>2523</v>
      </c>
      <c r="E138" s="787">
        <f ca="1">OFFSET('Data Parser'!$AD$1,MATCH(D138,'Data Parser'!AF:AF,0)-1,0)</f>
        <v>1</v>
      </c>
      <c r="F138" s="794">
        <f ca="1">IF(OFFSET('Data Parser'!$AE$1,MATCH(D138,'Data Parser'!AF:AF,0)-1,0),0,C138)</f>
        <v>1</v>
      </c>
      <c r="G138" s="789">
        <f t="shared" ref="G138:G153" ca="1" si="5">F138/SUM($F$137:$F$153)</f>
        <v>7.4074074074074077E-3</v>
      </c>
    </row>
    <row r="139" spans="2:7">
      <c r="C139" s="785">
        <v>10</v>
      </c>
      <c r="D139" s="159" t="s">
        <v>2269</v>
      </c>
      <c r="E139" s="787">
        <f ca="1">OFFSET('Data Parser'!$AD$1,MATCH(D139,'Data Parser'!AF:AF,0)-1,0)</f>
        <v>1</v>
      </c>
      <c r="F139" s="794">
        <f ca="1">IF(OFFSET('Data Parser'!$AE$1,MATCH(D139,'Data Parser'!AF:AF,0)-1,0),0,C139)</f>
        <v>10</v>
      </c>
      <c r="G139" s="789">
        <f t="shared" ca="1" si="5"/>
        <v>7.407407407407407E-2</v>
      </c>
    </row>
    <row r="140" spans="2:7">
      <c r="C140" s="785">
        <v>10</v>
      </c>
      <c r="D140" s="159" t="s">
        <v>2270</v>
      </c>
      <c r="E140" s="787">
        <f ca="1">OFFSET('Data Parser'!$AD$1,MATCH(D140,'Data Parser'!AF:AF,0)-1,0)</f>
        <v>0.90887897722276756</v>
      </c>
      <c r="F140" s="794">
        <f ca="1">IF(OFFSET('Data Parser'!$AE$1,MATCH(D140,'Data Parser'!AF:AF,0)-1,0),0,C140)</f>
        <v>10</v>
      </c>
      <c r="G140" s="789">
        <f t="shared" ca="1" si="5"/>
        <v>7.407407407407407E-2</v>
      </c>
    </row>
    <row r="141" spans="2:7">
      <c r="C141" s="785">
        <v>8</v>
      </c>
      <c r="D141" s="159" t="s">
        <v>2264</v>
      </c>
      <c r="E141" s="787">
        <f ca="1">OFFSET('Data Parser'!$AD$1,MATCH(D141,'Data Parser'!AF:AF,0)-1,0)</f>
        <v>0</v>
      </c>
      <c r="F141" s="794">
        <f ca="1">IF(OFFSET('Data Parser'!$AE$1,MATCH(D141,'Data Parser'!AF:AF,0)-1,0),0,C141)</f>
        <v>8</v>
      </c>
      <c r="G141" s="789">
        <f t="shared" ca="1" si="5"/>
        <v>5.9259259259259262E-2</v>
      </c>
    </row>
    <row r="142" spans="2:7">
      <c r="C142" s="785">
        <v>5</v>
      </c>
      <c r="D142" s="159" t="s">
        <v>2263</v>
      </c>
      <c r="E142" s="787">
        <f ca="1">OFFSET('Data Parser'!$AD$1,MATCH(D142,'Data Parser'!AF:AF,0)-1,0)</f>
        <v>0</v>
      </c>
      <c r="F142" s="794">
        <f ca="1">IF(OFFSET('Data Parser'!$AE$1,MATCH(D142,'Data Parser'!AF:AF,0)-1,0),0,C142)</f>
        <v>5</v>
      </c>
      <c r="G142" s="789">
        <f t="shared" ca="1" si="5"/>
        <v>3.7037037037037035E-2</v>
      </c>
    </row>
    <row r="143" spans="2:7">
      <c r="C143" s="785">
        <v>5</v>
      </c>
      <c r="D143" s="159" t="s">
        <v>2308</v>
      </c>
      <c r="E143" s="787">
        <f ca="1">OFFSET('Data Parser'!$AD$1,MATCH(D143,'Data Parser'!AF:AF,0)-1,0)</f>
        <v>0.75</v>
      </c>
      <c r="F143" s="794">
        <f ca="1">IF(OFFSET('Data Parser'!$AE$1,MATCH(D143,'Data Parser'!AF:AF,0)-1,0),0,C143)</f>
        <v>5</v>
      </c>
      <c r="G143" s="789">
        <f t="shared" ca="1" si="5"/>
        <v>3.7037037037037035E-2</v>
      </c>
    </row>
    <row r="144" spans="2:7">
      <c r="C144" s="785">
        <v>10</v>
      </c>
      <c r="D144" s="159" t="s">
        <v>2314</v>
      </c>
      <c r="E144" s="787">
        <f ca="1">OFFSET('Data Parser'!$AD$1,MATCH(D144,'Data Parser'!AF:AF,0)-1,0)</f>
        <v>1</v>
      </c>
      <c r="F144" s="794">
        <f ca="1">IF(OFFSET('Data Parser'!$AE$1,MATCH(D144,'Data Parser'!AF:AF,0)-1,0),0,C144)</f>
        <v>10</v>
      </c>
      <c r="G144" s="789">
        <f t="shared" ca="1" si="5"/>
        <v>7.407407407407407E-2</v>
      </c>
    </row>
    <row r="145" spans="2:7">
      <c r="C145" s="785">
        <v>5</v>
      </c>
      <c r="D145" s="159" t="s">
        <v>2315</v>
      </c>
      <c r="E145" s="787">
        <f ca="1">OFFSET('Data Parser'!$AD$1,MATCH(D145,'Data Parser'!AF:AF,0)-1,0)</f>
        <v>1</v>
      </c>
      <c r="F145" s="794">
        <f ca="1">IF(OFFSET('Data Parser'!$AE$1,MATCH(D145,'Data Parser'!AF:AF,0)-1,0),0,C145)</f>
        <v>5</v>
      </c>
      <c r="G145" s="789">
        <f t="shared" ca="1" si="5"/>
        <v>3.7037037037037035E-2</v>
      </c>
    </row>
    <row r="146" spans="2:7">
      <c r="C146" s="785">
        <v>10</v>
      </c>
      <c r="D146" s="159" t="s">
        <v>2330</v>
      </c>
      <c r="E146" s="787">
        <f ca="1">OFFSET('Data Parser'!$AD$1,MATCH(D146,'Data Parser'!AF:AF,0)-1,0)</f>
        <v>1</v>
      </c>
      <c r="F146" s="794">
        <f ca="1">IF(OFFSET('Data Parser'!$AE$1,MATCH(D146,'Data Parser'!AF:AF,0)-1,0),0,C146)</f>
        <v>10</v>
      </c>
      <c r="G146" s="789">
        <f t="shared" ca="1" si="5"/>
        <v>7.407407407407407E-2</v>
      </c>
    </row>
    <row r="147" spans="2:7">
      <c r="C147" s="785">
        <v>10</v>
      </c>
      <c r="D147" s="159" t="s">
        <v>2397</v>
      </c>
      <c r="E147" s="787">
        <f ca="1">OFFSET('Data Parser'!$AD$1,MATCH(D147,'Data Parser'!AF:AF,0)-1,0)</f>
        <v>0.25</v>
      </c>
      <c r="F147" s="794">
        <f ca="1">IF(OFFSET('Data Parser'!$AE$1,MATCH(D147,'Data Parser'!AF:AF,0)-1,0),0,C147)</f>
        <v>10</v>
      </c>
      <c r="G147" s="789">
        <f t="shared" ca="1" si="5"/>
        <v>7.407407407407407E-2</v>
      </c>
    </row>
    <row r="148" spans="2:7">
      <c r="C148" s="785">
        <v>10</v>
      </c>
      <c r="D148" s="159" t="s">
        <v>2398</v>
      </c>
      <c r="E148" s="787">
        <f ca="1">OFFSET('Data Parser'!$AD$1,MATCH(D148,'Data Parser'!AF:AF,0)-1,0)</f>
        <v>0.375</v>
      </c>
      <c r="F148" s="794">
        <f ca="1">IF(OFFSET('Data Parser'!$AE$1,MATCH(D148,'Data Parser'!AF:AF,0)-1,0),0,C148)</f>
        <v>10</v>
      </c>
      <c r="G148" s="789">
        <f t="shared" ca="1" si="5"/>
        <v>7.407407407407407E-2</v>
      </c>
    </row>
    <row r="149" spans="2:7">
      <c r="C149" s="785">
        <v>10</v>
      </c>
      <c r="D149" s="159" t="s">
        <v>2399</v>
      </c>
      <c r="E149" s="787">
        <f ca="1">OFFSET('Data Parser'!$AD$1,MATCH(D149,'Data Parser'!AF:AF,0)-1,0)</f>
        <v>0.875</v>
      </c>
      <c r="F149" s="794">
        <f ca="1">IF(OFFSET('Data Parser'!$AE$1,MATCH(D149,'Data Parser'!AF:AF,0)-1,0),0,C149)</f>
        <v>10</v>
      </c>
      <c r="G149" s="789">
        <f t="shared" ca="1" si="5"/>
        <v>7.407407407407407E-2</v>
      </c>
    </row>
    <row r="150" spans="2:7">
      <c r="C150" s="785">
        <v>8</v>
      </c>
      <c r="D150" s="159" t="s">
        <v>2455</v>
      </c>
      <c r="E150" s="787">
        <f ca="1">OFFSET('Data Parser'!$AD$1,MATCH(D150,'Data Parser'!AF:AF,0)-1,0)</f>
        <v>0.5</v>
      </c>
      <c r="F150" s="794">
        <f ca="1">IF(OFFSET('Data Parser'!$AE$1,MATCH(D150,'Data Parser'!AF:AF,0)-1,0),0,C150)</f>
        <v>8</v>
      </c>
      <c r="G150" s="789">
        <f t="shared" ca="1" si="5"/>
        <v>5.9259259259259262E-2</v>
      </c>
    </row>
    <row r="151" spans="2:7">
      <c r="C151" s="785">
        <v>10</v>
      </c>
      <c r="D151" s="159" t="s">
        <v>2497</v>
      </c>
      <c r="E151" s="787">
        <f ca="1">OFFSET('Data Parser'!$AD$1,MATCH(D151,'Data Parser'!AF:AF,0)-1,0)</f>
        <v>0.25</v>
      </c>
      <c r="F151" s="794">
        <f ca="1">IF(OFFSET('Data Parser'!$AE$1,MATCH(D151,'Data Parser'!AF:AF,0)-1,0),0,C151)</f>
        <v>10</v>
      </c>
      <c r="G151" s="789">
        <f t="shared" ca="1" si="5"/>
        <v>7.407407407407407E-2</v>
      </c>
    </row>
    <row r="152" spans="2:7">
      <c r="C152" s="785">
        <v>10</v>
      </c>
      <c r="D152" s="159" t="s">
        <v>2498</v>
      </c>
      <c r="E152" s="787">
        <f ca="1">OFFSET('Data Parser'!$AD$1,MATCH(D152,'Data Parser'!AF:AF,0)-1,0)</f>
        <v>0.25</v>
      </c>
      <c r="F152" s="794">
        <f ca="1">IF(OFFSET('Data Parser'!$AE$1,MATCH(D152,'Data Parser'!AF:AF,0)-1,0),0,C152)</f>
        <v>10</v>
      </c>
      <c r="G152" s="789">
        <f t="shared" ca="1" si="5"/>
        <v>7.407407407407407E-2</v>
      </c>
    </row>
    <row r="153" spans="2:7">
      <c r="C153" s="785">
        <v>10</v>
      </c>
      <c r="D153" s="159" t="s">
        <v>2499</v>
      </c>
      <c r="E153" s="787">
        <f ca="1">OFFSET('Data Parser'!$AD$1,MATCH(D153,'Data Parser'!AF:AF,0)-1,0)</f>
        <v>1</v>
      </c>
      <c r="F153" s="794">
        <f ca="1">IF(OFFSET('Data Parser'!$AE$1,MATCH(D153,'Data Parser'!AF:AF,0)-1,0),0,C153)</f>
        <v>10</v>
      </c>
      <c r="G153" s="789">
        <f t="shared" ca="1" si="5"/>
        <v>7.407407407407407E-2</v>
      </c>
    </row>
    <row r="155" spans="2:7" ht="20.25">
      <c r="B155" s="795">
        <f ca="1">OFFSET('VA Front Page'!$F$11,MATCH(C155,'VA Front Page'!$C$12:$C$34,0),0)</f>
        <v>9</v>
      </c>
      <c r="C155" s="790" t="s">
        <v>100</v>
      </c>
      <c r="D155" s="790"/>
      <c r="E155" s="791">
        <f ca="1">SUMPRODUCT(E156:E165,G156:G165)</f>
        <v>0.86954664895789291</v>
      </c>
      <c r="G155" s="792">
        <f ca="1">SUM(G156:G165)</f>
        <v>1</v>
      </c>
    </row>
    <row r="156" spans="2:7">
      <c r="C156" s="785">
        <v>10</v>
      </c>
      <c r="D156" s="159" t="s">
        <v>2316</v>
      </c>
      <c r="E156" s="787">
        <f ca="1">OFFSET('Data Parser'!$AD$1,MATCH(D156,'Data Parser'!AF:AF,0)-1,0)</f>
        <v>0</v>
      </c>
      <c r="F156" s="794">
        <f ca="1">IF(OFFSET('Data Parser'!$AE$1,MATCH(D156,'Data Parser'!AF:AF,0)-1,0),0,C156)</f>
        <v>0</v>
      </c>
      <c r="G156" s="789">
        <f ca="1">F156/SUM($F$156:$F$165)</f>
        <v>0</v>
      </c>
    </row>
    <row r="157" spans="2:7">
      <c r="C157" s="785">
        <v>5</v>
      </c>
      <c r="D157" s="159" t="s">
        <v>2318</v>
      </c>
      <c r="E157" s="787">
        <f ca="1">OFFSET('Data Parser'!$AD$1,MATCH(D157,'Data Parser'!AF:AF,0)-1,0)</f>
        <v>1</v>
      </c>
      <c r="F157" s="794">
        <f ca="1">IF(OFFSET('Data Parser'!$AE$1,MATCH(D157,'Data Parser'!AF:AF,0)-1,0),0,C157)</f>
        <v>5</v>
      </c>
      <c r="G157" s="789">
        <f t="shared" ref="G157:G165" ca="1" si="6">F157/SUM($F$156:$F$165)</f>
        <v>9.4339622641509441E-2</v>
      </c>
    </row>
    <row r="158" spans="2:7">
      <c r="C158" s="785">
        <v>5</v>
      </c>
      <c r="D158" s="159" t="s">
        <v>2319</v>
      </c>
      <c r="E158" s="787">
        <f ca="1">OFFSET('Data Parser'!$AD$1,MATCH(D158,'Data Parser'!AF:AF,0)-1,0)</f>
        <v>1</v>
      </c>
      <c r="F158" s="794">
        <f ca="1">IF(OFFSET('Data Parser'!$AE$1,MATCH(D158,'Data Parser'!AF:AF,0)-1,0),0,C158)</f>
        <v>5</v>
      </c>
      <c r="G158" s="789">
        <f t="shared" ca="1" si="6"/>
        <v>9.4339622641509441E-2</v>
      </c>
    </row>
    <row r="159" spans="2:7">
      <c r="C159" s="785">
        <v>8</v>
      </c>
      <c r="D159" s="159" t="s">
        <v>2325</v>
      </c>
      <c r="E159" s="787">
        <f ca="1">OFFSET('Data Parser'!$AD$1,MATCH(D159,'Data Parser'!AF:AF,0)-1,0)</f>
        <v>1</v>
      </c>
      <c r="F159" s="794">
        <f ca="1">IF(OFFSET('Data Parser'!$AE$1,MATCH(D159,'Data Parser'!AF:AF,0)-1,0),0,C159)</f>
        <v>8</v>
      </c>
      <c r="G159" s="789">
        <f t="shared" ca="1" si="6"/>
        <v>0.15094339622641509</v>
      </c>
    </row>
    <row r="160" spans="2:7">
      <c r="C160" s="785">
        <v>5</v>
      </c>
      <c r="D160" s="159" t="s">
        <v>2326</v>
      </c>
      <c r="E160" s="787">
        <f ca="1">OFFSET('Data Parser'!$AD$1,MATCH(D160,'Data Parser'!AF:AF,0)-1,0)</f>
        <v>0.86719447895366342</v>
      </c>
      <c r="F160" s="794">
        <f ca="1">IF(OFFSET('Data Parser'!$AE$1,MATCH(D160,'Data Parser'!AF:AF,0)-1,0),0,C160)</f>
        <v>5</v>
      </c>
      <c r="G160" s="789">
        <f t="shared" ca="1" si="6"/>
        <v>9.4339622641509441E-2</v>
      </c>
    </row>
    <row r="161" spans="2:7">
      <c r="C161" s="785">
        <v>2</v>
      </c>
      <c r="D161" s="159" t="s">
        <v>2327</v>
      </c>
      <c r="E161" s="787">
        <f ca="1">OFFSET('Data Parser'!$AD$1,MATCH(D161,'Data Parser'!AF:AF,0)-1,0)</f>
        <v>1</v>
      </c>
      <c r="F161" s="794">
        <f ca="1">IF(OFFSET('Data Parser'!$AE$1,MATCH(D161,'Data Parser'!AF:AF,0)-1,0),0,C161)</f>
        <v>2</v>
      </c>
      <c r="G161" s="789">
        <f t="shared" ca="1" si="6"/>
        <v>3.7735849056603772E-2</v>
      </c>
    </row>
    <row r="162" spans="2:7">
      <c r="C162" s="785">
        <v>5</v>
      </c>
      <c r="D162" s="159" t="s">
        <v>2328</v>
      </c>
      <c r="E162" s="787">
        <f ca="1">OFFSET('Data Parser'!$AD$1,MATCH(D162,'Data Parser'!AF:AF,0)-1,0)</f>
        <v>0.5</v>
      </c>
      <c r="F162" s="794">
        <f ca="1">IF(OFFSET('Data Parser'!$AE$1,MATCH(D162,'Data Parser'!AF:AF,0)-1,0),0,C162)</f>
        <v>5</v>
      </c>
      <c r="G162" s="789">
        <f t="shared" ca="1" si="6"/>
        <v>9.4339622641509441E-2</v>
      </c>
    </row>
    <row r="163" spans="2:7">
      <c r="C163" s="785">
        <v>3</v>
      </c>
      <c r="D163" s="159" t="s">
        <v>2329</v>
      </c>
      <c r="E163" s="787">
        <f ca="1">OFFSET('Data Parser'!$AD$1,MATCH(D163,'Data Parser'!AF:AF,0)-1,0)</f>
        <v>1</v>
      </c>
      <c r="F163" s="794">
        <f ca="1">IF(OFFSET('Data Parser'!$AE$1,MATCH(D163,'Data Parser'!AF:AF,0)-1,0),0,C163)</f>
        <v>3</v>
      </c>
      <c r="G163" s="789">
        <f t="shared" ca="1" si="6"/>
        <v>5.6603773584905662E-2</v>
      </c>
    </row>
    <row r="164" spans="2:7">
      <c r="C164" s="785">
        <v>10</v>
      </c>
      <c r="D164" s="159" t="s">
        <v>2400</v>
      </c>
      <c r="E164" s="787">
        <f ca="1">OFFSET('Data Parser'!$AD$1,MATCH(D164,'Data Parser'!AF:AF,0)-1,0)</f>
        <v>0.875</v>
      </c>
      <c r="F164" s="794">
        <f ca="1">IF(OFFSET('Data Parser'!$AE$1,MATCH(D164,'Data Parser'!AF:AF,0)-1,0),0,C164)</f>
        <v>10</v>
      </c>
      <c r="G164" s="789">
        <f t="shared" ca="1" si="6"/>
        <v>0.18867924528301888</v>
      </c>
    </row>
    <row r="165" spans="2:7">
      <c r="C165" s="785">
        <v>10</v>
      </c>
      <c r="D165" s="159" t="s">
        <v>2401</v>
      </c>
      <c r="E165" s="787">
        <f ca="1">OFFSET('Data Parser'!$AD$1,MATCH(D165,'Data Parser'!AF:AF,0)-1,0)</f>
        <v>0.75</v>
      </c>
      <c r="F165" s="794">
        <f ca="1">IF(OFFSET('Data Parser'!$AE$1,MATCH(D165,'Data Parser'!AF:AF,0)-1,0),0,C165)</f>
        <v>10</v>
      </c>
      <c r="G165" s="789">
        <f t="shared" ca="1" si="6"/>
        <v>0.18867924528301888</v>
      </c>
    </row>
    <row r="166" spans="2:7">
      <c r="C166" s="137"/>
    </row>
    <row r="167" spans="2:7" ht="20.25">
      <c r="B167" s="795">
        <f ca="1">OFFSET('VA Front Page'!$F$11,MATCH(C167,'VA Front Page'!$C$12:$C$34,0),0)</f>
        <v>2</v>
      </c>
      <c r="C167" s="790" t="s">
        <v>112</v>
      </c>
      <c r="D167" s="790"/>
      <c r="E167" s="791">
        <f ca="1">SUMPRODUCT(E168:E174,G168:G174)</f>
        <v>0.36562305802928907</v>
      </c>
      <c r="G167" s="792">
        <f ca="1">SUM(G168:G174)</f>
        <v>1</v>
      </c>
    </row>
    <row r="168" spans="2:7">
      <c r="C168" s="785">
        <v>9</v>
      </c>
      <c r="D168" s="159" t="s">
        <v>2331</v>
      </c>
      <c r="E168" s="787">
        <f ca="1">OFFSET('Data Parser'!$AD$1,MATCH(D168,'Data Parser'!AF:AF,0)-1,0)</f>
        <v>0</v>
      </c>
      <c r="F168" s="794">
        <f ca="1">IF(OFFSET('Data Parser'!$AE$1,MATCH(D168,'Data Parser'!AF:AF,0)-1,0),0,C168)</f>
        <v>9</v>
      </c>
      <c r="G168" s="789">
        <f ca="1">F168/SUM($F$168:$F$174)</f>
        <v>0.15</v>
      </c>
    </row>
    <row r="169" spans="2:7">
      <c r="C169" s="785">
        <v>10</v>
      </c>
      <c r="D169" s="159" t="s">
        <v>2332</v>
      </c>
      <c r="E169" s="787">
        <f ca="1">OFFSET('Data Parser'!$AD$1,MATCH(D169,'Data Parser'!AF:AF,0)-1,0)</f>
        <v>1</v>
      </c>
      <c r="F169" s="794">
        <f ca="1">IF(OFFSET('Data Parser'!$AE$1,MATCH(D169,'Data Parser'!AF:AF,0)-1,0),0,C169)</f>
        <v>10</v>
      </c>
      <c r="G169" s="789">
        <f t="shared" ref="G169:G174" ca="1" si="7">F169/SUM($F$168:$F$174)</f>
        <v>0.16666666666666666</v>
      </c>
    </row>
    <row r="170" spans="2:7">
      <c r="C170" s="785">
        <v>7</v>
      </c>
      <c r="D170" s="159" t="s">
        <v>2333</v>
      </c>
      <c r="E170" s="787">
        <f ca="1">OFFSET('Data Parser'!$AD$1,MATCH(D170,'Data Parser'!AF:AF,0)-1,0)</f>
        <v>0</v>
      </c>
      <c r="F170" s="794">
        <f ca="1">IF(OFFSET('Data Parser'!$AE$1,MATCH(D170,'Data Parser'!AF:AF,0)-1,0),0,C170)</f>
        <v>7</v>
      </c>
      <c r="G170" s="789">
        <f t="shared" ca="1" si="7"/>
        <v>0.11666666666666667</v>
      </c>
    </row>
    <row r="171" spans="2:7">
      <c r="C171" s="785">
        <v>7</v>
      </c>
      <c r="D171" s="159" t="s">
        <v>2334</v>
      </c>
      <c r="E171" s="787">
        <f ca="1">OFFSET('Data Parser'!$AD$1,MATCH(D171,'Data Parser'!AF:AF,0)-1,0)</f>
        <v>0</v>
      </c>
      <c r="F171" s="794">
        <f ca="1">IF(OFFSET('Data Parser'!$AE$1,MATCH(D171,'Data Parser'!AF:AF,0)-1,0),0,C171)</f>
        <v>7</v>
      </c>
      <c r="G171" s="789">
        <f t="shared" ca="1" si="7"/>
        <v>0.11666666666666667</v>
      </c>
    </row>
    <row r="172" spans="2:7">
      <c r="C172" s="785">
        <v>7</v>
      </c>
      <c r="D172" s="159" t="s">
        <v>2335</v>
      </c>
      <c r="E172" s="787">
        <f ca="1">OFFSET('Data Parser'!$AD$1,MATCH(D172,'Data Parser'!AF:AF,0)-1,0)</f>
        <v>0.45534049739390597</v>
      </c>
      <c r="F172" s="794">
        <f ca="1">IF(OFFSET('Data Parser'!$AE$1,MATCH(D172,'Data Parser'!AF:AF,0)-1,0),0,C172)</f>
        <v>7</v>
      </c>
      <c r="G172" s="789">
        <f t="shared" ca="1" si="7"/>
        <v>0.11666666666666667</v>
      </c>
    </row>
    <row r="173" spans="2:7">
      <c r="C173" s="785">
        <v>10</v>
      </c>
      <c r="D173" s="159" t="s">
        <v>2402</v>
      </c>
      <c r="E173" s="787">
        <f ca="1">OFFSET('Data Parser'!$AD$1,MATCH(D173,'Data Parser'!AF:AF,0)-1,0)</f>
        <v>0.125</v>
      </c>
      <c r="F173" s="794">
        <f ca="1">IF(OFFSET('Data Parser'!$AE$1,MATCH(D173,'Data Parser'!AF:AF,0)-1,0),0,C173)</f>
        <v>10</v>
      </c>
      <c r="G173" s="789">
        <f t="shared" ca="1" si="7"/>
        <v>0.16666666666666666</v>
      </c>
    </row>
    <row r="174" spans="2:7">
      <c r="C174" s="785">
        <v>10</v>
      </c>
      <c r="D174" s="159" t="s">
        <v>2458</v>
      </c>
      <c r="E174" s="787">
        <f ca="1">OFFSET('Data Parser'!$AD$1,MATCH(D174,'Data Parser'!AF:AF,0)-1,0)</f>
        <v>0.75</v>
      </c>
      <c r="F174" s="794">
        <f ca="1">IF(OFFSET('Data Parser'!$AE$1,MATCH(D174,'Data Parser'!AF:AF,0)-1,0),0,C174)</f>
        <v>10</v>
      </c>
      <c r="G174" s="789">
        <f t="shared" ca="1" si="7"/>
        <v>0.16666666666666666</v>
      </c>
    </row>
    <row r="175" spans="2:7">
      <c r="C175" s="137"/>
    </row>
    <row r="176" spans="2:7" ht="20.25">
      <c r="B176" s="795">
        <f ca="1">OFFSET('VA Front Page'!$F$11,MATCH(C176,'VA Front Page'!$C$12:$C$34,0),0)</f>
        <v>4</v>
      </c>
      <c r="C176" s="790" t="s">
        <v>123</v>
      </c>
      <c r="D176" s="790"/>
      <c r="E176" s="791">
        <f ca="1">SUMPRODUCT(E177:E180,G177:G180)</f>
        <v>0.62</v>
      </c>
      <c r="G176" s="792"/>
    </row>
    <row r="177" spans="2:7">
      <c r="C177" s="785">
        <v>5</v>
      </c>
      <c r="D177" s="159" t="s">
        <v>2259</v>
      </c>
      <c r="E177" s="787">
        <f ca="1">OFFSET('Data Parser'!$AD$1,MATCH(D177,'Data Parser'!AF:AF,0)-1,0)</f>
        <v>0.1</v>
      </c>
      <c r="F177" s="794">
        <f ca="1">IF(OFFSET('Data Parser'!$AE$1,MATCH(D177,'Data Parser'!AF:AF,0)-1,0),0,C177)</f>
        <v>5</v>
      </c>
      <c r="G177" s="789">
        <f ca="1">F177/SUM($F$177:$F$180)</f>
        <v>0.2</v>
      </c>
    </row>
    <row r="178" spans="2:7">
      <c r="C178" s="785">
        <v>5</v>
      </c>
      <c r="D178" s="159" t="s">
        <v>2261</v>
      </c>
      <c r="E178" s="787">
        <f ca="1">OFFSET('Data Parser'!$AD$1,MATCH(D178,'Data Parser'!AF:AF,0)-1,0)</f>
        <v>1</v>
      </c>
      <c r="F178" s="794">
        <f ca="1">IF(OFFSET('Data Parser'!$AE$1,MATCH(D178,'Data Parser'!AF:AF,0)-1,0),0,C178)</f>
        <v>5</v>
      </c>
      <c r="G178" s="789">
        <f t="shared" ref="G178:G180" ca="1" si="8">F178/SUM($F$177:$F$180)</f>
        <v>0.2</v>
      </c>
    </row>
    <row r="179" spans="2:7">
      <c r="C179" s="785">
        <v>10</v>
      </c>
      <c r="D179" s="159" t="s">
        <v>2308</v>
      </c>
      <c r="E179" s="787">
        <f ca="1">OFFSET('Data Parser'!$AD$1,MATCH(D179,'Data Parser'!AF:AF,0)-1,0)</f>
        <v>0.75</v>
      </c>
      <c r="F179" s="794">
        <f ca="1">IF(OFFSET('Data Parser'!$AE$1,MATCH(D179,'Data Parser'!AF:AF,0)-1,0),0,C179)</f>
        <v>10</v>
      </c>
      <c r="G179" s="789">
        <f t="shared" ca="1" si="8"/>
        <v>0.4</v>
      </c>
    </row>
    <row r="180" spans="2:7">
      <c r="C180" s="785">
        <v>5</v>
      </c>
      <c r="D180" s="159" t="s">
        <v>2455</v>
      </c>
      <c r="E180" s="787">
        <f ca="1">OFFSET('Data Parser'!$AD$1,MATCH(D180,'Data Parser'!AF:AF,0)-1,0)</f>
        <v>0.5</v>
      </c>
      <c r="F180" s="794">
        <f ca="1">IF(OFFSET('Data Parser'!$AE$1,MATCH(D180,'Data Parser'!AF:AF,0)-1,0),0,C180)</f>
        <v>5</v>
      </c>
      <c r="G180" s="789">
        <f t="shared" ca="1" si="8"/>
        <v>0.2</v>
      </c>
    </row>
    <row r="181" spans="2:7">
      <c r="C181" s="137"/>
    </row>
    <row r="182" spans="2:7" ht="20.25">
      <c r="B182" s="795">
        <f ca="1">OFFSET('VA Front Page'!$F$11,MATCH(C182,'VA Front Page'!$C$12:$C$34,0),0)</f>
        <v>9</v>
      </c>
      <c r="C182" s="790" t="s">
        <v>134</v>
      </c>
      <c r="D182" s="790"/>
      <c r="E182" s="791">
        <f ca="1">SUMPRODUCT(E183:E185,G183:G185)</f>
        <v>0.68452380952380953</v>
      </c>
      <c r="G182" s="792">
        <f ca="1">SUM(G183:G185)</f>
        <v>1</v>
      </c>
    </row>
    <row r="183" spans="2:7">
      <c r="C183" s="785">
        <v>2</v>
      </c>
      <c r="D183" s="159" t="s">
        <v>2261</v>
      </c>
      <c r="E183" s="787">
        <f ca="1">OFFSET('Data Parser'!$AD$1,MATCH(D183,'Data Parser'!AF:AF,0)-1,0)</f>
        <v>1</v>
      </c>
      <c r="F183" s="794">
        <f ca="1">IF(OFFSET('Data Parser'!$AE$1,MATCH(D183,'Data Parser'!AF:AF,0)-1,0),0,C183)</f>
        <v>2</v>
      </c>
      <c r="G183" s="789">
        <f ca="1">F183/SUM($F$183:$F$185)</f>
        <v>0.1</v>
      </c>
    </row>
    <row r="184" spans="2:7">
      <c r="C184" s="785">
        <v>10</v>
      </c>
      <c r="D184" s="159" t="s">
        <v>2308</v>
      </c>
      <c r="E184" s="787">
        <f ca="1">OFFSET('Data Parser'!$AD$1,MATCH(D184,'Data Parser'!AF:AF,0)-1,0)</f>
        <v>0.75</v>
      </c>
      <c r="F184" s="794">
        <f ca="1">IF(OFFSET('Data Parser'!$AE$1,MATCH(D184,'Data Parser'!AF:AF,0)-1,0),0,C184)</f>
        <v>10</v>
      </c>
      <c r="G184" s="789">
        <f t="shared" ref="G184:G185" ca="1" si="9">F184/SUM($F$183:$F$185)</f>
        <v>0.5</v>
      </c>
    </row>
    <row r="185" spans="2:7">
      <c r="C185" s="785">
        <v>8</v>
      </c>
      <c r="D185" s="159" t="s">
        <v>2509</v>
      </c>
      <c r="E185" s="787">
        <f ca="1">OFFSET('Data Parser'!$AD$1,MATCH(D185,'Data Parser'!AF:AF,0)-1,0)</f>
        <v>0.52380952380952384</v>
      </c>
      <c r="F185" s="794">
        <f ca="1">IF(OFFSET('Data Parser'!$AE$1,MATCH(D185,'Data Parser'!AF:AF,0)-1,0),0,C185)</f>
        <v>8</v>
      </c>
      <c r="G185" s="789">
        <f t="shared" ca="1" si="9"/>
        <v>0.4</v>
      </c>
    </row>
    <row r="186" spans="2:7">
      <c r="C186" s="137"/>
      <c r="D186" s="772"/>
    </row>
    <row r="187" spans="2:7" ht="23.25">
      <c r="B187" s="793" t="s">
        <v>278</v>
      </c>
      <c r="C187" s="793"/>
      <c r="D187" s="793"/>
      <c r="E187" s="793"/>
      <c r="F187" s="793"/>
      <c r="G187" s="793"/>
    </row>
    <row r="188" spans="2:7" ht="20.25">
      <c r="B188" s="795">
        <f ca="1">OFFSET('VA Front Page'!$F$11,MATCH(C188,'VA Front Page'!$C$12:$C$34,0),0)</f>
        <v>5</v>
      </c>
      <c r="C188" s="790" t="s">
        <v>139</v>
      </c>
      <c r="D188" s="790"/>
      <c r="E188" s="791">
        <f ca="1">SUMPRODUCT(E189:E202,G189:G202)</f>
        <v>0.68817231052370109</v>
      </c>
      <c r="G188" s="792">
        <f ca="1">SUM(G189:G202)</f>
        <v>1</v>
      </c>
    </row>
    <row r="189" spans="2:7">
      <c r="C189" s="785">
        <v>4</v>
      </c>
      <c r="D189" s="159" t="s">
        <v>2267</v>
      </c>
      <c r="E189" s="787">
        <f ca="1">OFFSET('Data Parser'!$AD$1,MATCH(D189,'Data Parser'!AF:AF,0)-1,0)</f>
        <v>1</v>
      </c>
      <c r="F189" s="794">
        <f ca="1">IF(OFFSET('Data Parser'!$AE$1,MATCH(D189,'Data Parser'!AF:AF,0)-1,0),0,C189)</f>
        <v>4</v>
      </c>
      <c r="G189" s="789">
        <f ca="1">F189/SUM($F$189:$F$202)</f>
        <v>3.0303030303030304E-2</v>
      </c>
    </row>
    <row r="190" spans="2:7">
      <c r="C190" s="785">
        <v>10</v>
      </c>
      <c r="D190" s="159" t="s">
        <v>2309</v>
      </c>
      <c r="E190" s="787">
        <f ca="1">OFFSET('Data Parser'!$AD$1,MATCH(D190,'Data Parser'!AF:AF,0)-1,0)</f>
        <v>0.35996236982380592</v>
      </c>
      <c r="F190" s="794">
        <f ca="1">IF(OFFSET('Data Parser'!$AE$1,MATCH(D190,'Data Parser'!AF:AF,0)-1,0),0,C190)</f>
        <v>10</v>
      </c>
      <c r="G190" s="789">
        <f t="shared" ref="G190:G202" ca="1" si="10">F190/SUM($F$189:$F$202)</f>
        <v>7.575757575757576E-2</v>
      </c>
    </row>
    <row r="191" spans="2:7">
      <c r="C191" s="785">
        <v>8</v>
      </c>
      <c r="D191" s="159" t="s">
        <v>2310</v>
      </c>
      <c r="E191" s="787">
        <f ca="1">OFFSET('Data Parser'!$AD$1,MATCH(D191,'Data Parser'!AF:AF,0)-1,0)</f>
        <v>1</v>
      </c>
      <c r="F191" s="794">
        <f ca="1">IF(OFFSET('Data Parser'!$AE$1,MATCH(D191,'Data Parser'!AF:AF,0)-1,0),0,C191)</f>
        <v>8</v>
      </c>
      <c r="G191" s="789">
        <f t="shared" ca="1" si="10"/>
        <v>6.0606060606060608E-2</v>
      </c>
    </row>
    <row r="192" spans="2:7">
      <c r="C192" s="785">
        <v>8</v>
      </c>
      <c r="D192" s="159" t="s">
        <v>2274</v>
      </c>
      <c r="E192" s="787">
        <f ca="1">OFFSET('Data Parser'!$AD$1,MATCH(D192,'Data Parser'!AF:AF,0)-1,0)</f>
        <v>0.6</v>
      </c>
      <c r="F192" s="794">
        <f ca="1">IF(OFFSET('Data Parser'!$AE$1,MATCH(D192,'Data Parser'!AF:AF,0)-1,0),0,C192)</f>
        <v>8</v>
      </c>
      <c r="G192" s="789">
        <f t="shared" ca="1" si="10"/>
        <v>6.0606060606060608E-2</v>
      </c>
    </row>
    <row r="193" spans="2:7">
      <c r="C193" s="785">
        <v>10</v>
      </c>
      <c r="D193" s="159" t="s">
        <v>2276</v>
      </c>
      <c r="E193" s="787">
        <f ca="1">OFFSET('Data Parser'!$AD$1,MATCH(D193,'Data Parser'!AF:AF,0)-1,0)</f>
        <v>0.8</v>
      </c>
      <c r="F193" s="794">
        <f ca="1">IF(OFFSET('Data Parser'!$AE$1,MATCH(D193,'Data Parser'!AF:AF,0)-1,0),0,C193)</f>
        <v>10</v>
      </c>
      <c r="G193" s="789">
        <f t="shared" ca="1" si="10"/>
        <v>7.575757575757576E-2</v>
      </c>
    </row>
    <row r="194" spans="2:7">
      <c r="C194" s="785">
        <v>20</v>
      </c>
      <c r="D194" s="159" t="s">
        <v>2275</v>
      </c>
      <c r="E194" s="787">
        <f ca="1">OFFSET('Data Parser'!$AD$1,MATCH(D194,'Data Parser'!AF:AF,0)-1,0)</f>
        <v>1</v>
      </c>
      <c r="F194" s="794">
        <f ca="1">IF(OFFSET('Data Parser'!$AE$1,MATCH(D194,'Data Parser'!AF:AF,0)-1,0),0,C194)</f>
        <v>20</v>
      </c>
      <c r="G194" s="789">
        <f t="shared" ca="1" si="10"/>
        <v>0.15151515151515152</v>
      </c>
    </row>
    <row r="195" spans="2:7">
      <c r="C195" s="785">
        <v>4</v>
      </c>
      <c r="D195" s="159" t="s">
        <v>2386</v>
      </c>
      <c r="E195" s="787">
        <f ca="1">OFFSET('Data Parser'!$AD$1,MATCH(D195,'Data Parser'!AF:AF,0)-1,0)</f>
        <v>0.56128761535389127</v>
      </c>
      <c r="F195" s="794">
        <f ca="1">IF(OFFSET('Data Parser'!$AE$1,MATCH(D195,'Data Parser'!AF:AF,0)-1,0),0,C195)</f>
        <v>4</v>
      </c>
      <c r="G195" s="789">
        <f t="shared" ca="1" si="10"/>
        <v>3.0303030303030304E-2</v>
      </c>
    </row>
    <row r="196" spans="2:7">
      <c r="C196" s="785">
        <v>8</v>
      </c>
      <c r="D196" s="159" t="s">
        <v>2387</v>
      </c>
      <c r="E196" s="787">
        <f ca="1">OFFSET('Data Parser'!$AD$1,MATCH(D196,'Data Parser'!AF:AF,0)-1,0)</f>
        <v>1</v>
      </c>
      <c r="F196" s="794">
        <f ca="1">IF(OFFSET('Data Parser'!$AE$1,MATCH(D196,'Data Parser'!AF:AF,0)-1,0),0,C196)</f>
        <v>8</v>
      </c>
      <c r="G196" s="789">
        <f t="shared" ca="1" si="10"/>
        <v>6.0606060606060608E-2</v>
      </c>
    </row>
    <row r="197" spans="2:7">
      <c r="C197" s="785">
        <v>8</v>
      </c>
      <c r="D197" s="159" t="s">
        <v>2388</v>
      </c>
      <c r="E197" s="787">
        <f ca="1">OFFSET('Data Parser'!$AD$1,MATCH(D197,'Data Parser'!AF:AF,0)-1,0)</f>
        <v>1</v>
      </c>
      <c r="F197" s="794">
        <f ca="1">IF(OFFSET('Data Parser'!$AE$1,MATCH(D197,'Data Parser'!AF:AF,0)-1,0),0,C197)</f>
        <v>8</v>
      </c>
      <c r="G197" s="789">
        <f t="shared" ca="1" si="10"/>
        <v>6.0606060606060608E-2</v>
      </c>
    </row>
    <row r="198" spans="2:7">
      <c r="C198" s="785">
        <v>20</v>
      </c>
      <c r="D198" s="159" t="s">
        <v>2389</v>
      </c>
      <c r="E198" s="787">
        <f ca="1">OFFSET('Data Parser'!$AD$1,MATCH(D198,'Data Parser'!AF:AF,0)-1,0)</f>
        <v>0.34212482310273185</v>
      </c>
      <c r="F198" s="794">
        <f ca="1">IF(OFFSET('Data Parser'!$AE$1,MATCH(D198,'Data Parser'!AF:AF,0)-1,0),0,C198)</f>
        <v>20</v>
      </c>
      <c r="G198" s="789">
        <f t="shared" ca="1" si="10"/>
        <v>0.15151515151515152</v>
      </c>
    </row>
    <row r="199" spans="2:7">
      <c r="C199" s="785">
        <v>2</v>
      </c>
      <c r="D199" s="159" t="s">
        <v>2390</v>
      </c>
      <c r="E199" s="787">
        <f ca="1">OFFSET('Data Parser'!$AD$1,MATCH(D199,'Data Parser'!AF:AF,0)-1,0)</f>
        <v>0.55073718371013825</v>
      </c>
      <c r="F199" s="794">
        <f ca="1">IF(OFFSET('Data Parser'!$AE$1,MATCH(D199,'Data Parser'!AF:AF,0)-1,0),0,C199)</f>
        <v>2</v>
      </c>
      <c r="G199" s="789">
        <f t="shared" ca="1" si="10"/>
        <v>1.5151515151515152E-2</v>
      </c>
    </row>
    <row r="200" spans="2:7">
      <c r="C200" s="785">
        <v>10</v>
      </c>
      <c r="D200" s="159" t="s">
        <v>2395</v>
      </c>
      <c r="E200" s="787">
        <f ca="1">OFFSET('Data Parser'!$AD$1,MATCH(D200,'Data Parser'!AF:AF,0)-1,0)</f>
        <v>1</v>
      </c>
      <c r="F200" s="794">
        <f ca="1">IF(OFFSET('Data Parser'!$AE$1,MATCH(D200,'Data Parser'!AF:AF,0)-1,0),0,C200)</f>
        <v>10</v>
      </c>
      <c r="G200" s="789">
        <f t="shared" ca="1" si="10"/>
        <v>7.575757575757576E-2</v>
      </c>
    </row>
    <row r="201" spans="2:7">
      <c r="C201" s="785">
        <v>10</v>
      </c>
      <c r="D201" s="159" t="s">
        <v>2396</v>
      </c>
      <c r="E201" s="787">
        <f ca="1">OFFSET('Data Parser'!$AD$1,MATCH(D201,'Data Parser'!AF:AF,0)-1,0)</f>
        <v>0.375</v>
      </c>
      <c r="F201" s="794">
        <f ca="1">IF(OFFSET('Data Parser'!$AE$1,MATCH(D201,'Data Parser'!AF:AF,0)-1,0),0,C201)</f>
        <v>10</v>
      </c>
      <c r="G201" s="789">
        <f t="shared" ca="1" si="10"/>
        <v>7.575757575757576E-2</v>
      </c>
    </row>
    <row r="202" spans="2:7">
      <c r="C202" s="785">
        <v>10</v>
      </c>
      <c r="D202" s="159" t="s">
        <v>2504</v>
      </c>
      <c r="E202" s="787">
        <f ca="1">OFFSET('Data Parser'!$AD$1,MATCH(D202,'Data Parser'!AF:AF,0)-1,0)</f>
        <v>0.25</v>
      </c>
      <c r="F202" s="794">
        <f ca="1">IF(OFFSET('Data Parser'!$AE$1,MATCH(D202,'Data Parser'!AF:AF,0)-1,0),0,C202)</f>
        <v>10</v>
      </c>
      <c r="G202" s="789">
        <f t="shared" ca="1" si="10"/>
        <v>7.575757575757576E-2</v>
      </c>
    </row>
    <row r="203" spans="2:7">
      <c r="C203" s="137"/>
      <c r="D203" s="772"/>
    </row>
    <row r="204" spans="2:7" ht="20.25">
      <c r="B204" s="795">
        <f ca="1">OFFSET('VA Front Page'!$F$11,MATCH(C204,'VA Front Page'!$C$12:$C$34,0),0)</f>
        <v>9</v>
      </c>
      <c r="C204" s="790" t="s">
        <v>145</v>
      </c>
      <c r="D204" s="790"/>
      <c r="E204" s="791">
        <f ca="1">SUMPRODUCT(E205:E209,G205:G209)</f>
        <v>0.71428571428571419</v>
      </c>
      <c r="G204" s="792">
        <f ca="1">SUM(G205:G209)</f>
        <v>0.99999999999999989</v>
      </c>
    </row>
    <row r="205" spans="2:7">
      <c r="C205" s="785">
        <v>5</v>
      </c>
      <c r="D205" s="159" t="s">
        <v>2319</v>
      </c>
      <c r="E205" s="787">
        <f ca="1">OFFSET('Data Parser'!$AD$1,MATCH(D205,'Data Parser'!AF:AF,0)-1,0)</f>
        <v>1</v>
      </c>
      <c r="F205" s="794">
        <f ca="1">IF(OFFSET('Data Parser'!$AE$1,MATCH(D205,'Data Parser'!AF:AF,0)-1,0),0,C205)</f>
        <v>5</v>
      </c>
      <c r="G205" s="789">
        <f ca="1">F205/SUM($F$205:$F$209)</f>
        <v>0.14285714285714285</v>
      </c>
    </row>
    <row r="206" spans="2:7">
      <c r="C206" s="785">
        <v>7</v>
      </c>
      <c r="D206" s="159" t="s">
        <v>2340</v>
      </c>
      <c r="E206" s="787">
        <f ca="1">OFFSET('Data Parser'!$AD$1,MATCH(D206,'Data Parser'!AF:AF,0)-1,0)</f>
        <v>0</v>
      </c>
      <c r="F206" s="794">
        <f ca="1">IF(OFFSET('Data Parser'!$AE$1,MATCH(D206,'Data Parser'!AF:AF,0)-1,0),0,C206)</f>
        <v>0</v>
      </c>
      <c r="G206" s="789">
        <f t="shared" ref="G206:G209" ca="1" si="11">F206/SUM($F$205:$F$209)</f>
        <v>0</v>
      </c>
    </row>
    <row r="207" spans="2:7">
      <c r="C207" s="785">
        <v>10</v>
      </c>
      <c r="D207" s="159" t="s">
        <v>2411</v>
      </c>
      <c r="E207" s="787">
        <f ca="1">OFFSET('Data Parser'!$AD$1,MATCH(D207,'Data Parser'!AF:AF,0)-1,0)</f>
        <v>0.875</v>
      </c>
      <c r="F207" s="794">
        <f ca="1">IF(OFFSET('Data Parser'!$AE$1,MATCH(D207,'Data Parser'!AF:AF,0)-1,0),0,C207)</f>
        <v>10</v>
      </c>
      <c r="G207" s="789">
        <f t="shared" ca="1" si="11"/>
        <v>0.2857142857142857</v>
      </c>
    </row>
    <row r="208" spans="2:7">
      <c r="C208" s="785">
        <v>10</v>
      </c>
      <c r="D208" s="159" t="s">
        <v>2410</v>
      </c>
      <c r="E208" s="787">
        <f ca="1">OFFSET('Data Parser'!$AD$1,MATCH(D208,'Data Parser'!AF:AF,0)-1,0)</f>
        <v>0.625</v>
      </c>
      <c r="F208" s="794">
        <f ca="1">IF(OFFSET('Data Parser'!$AE$1,MATCH(D208,'Data Parser'!AF:AF,0)-1,0),0,C208)</f>
        <v>10</v>
      </c>
      <c r="G208" s="789">
        <f t="shared" ca="1" si="11"/>
        <v>0.2857142857142857</v>
      </c>
    </row>
    <row r="209" spans="2:7">
      <c r="C209" s="785">
        <v>10</v>
      </c>
      <c r="D209" s="159" t="s">
        <v>2412</v>
      </c>
      <c r="E209" s="787">
        <f ca="1">OFFSET('Data Parser'!$AD$1,MATCH(D209,'Data Parser'!AF:AF,0)-1,0)</f>
        <v>0.5</v>
      </c>
      <c r="F209" s="794">
        <f ca="1">IF(OFFSET('Data Parser'!$AE$1,MATCH(D209,'Data Parser'!AF:AF,0)-1,0),0,C209)</f>
        <v>10</v>
      </c>
      <c r="G209" s="789">
        <f t="shared" ca="1" si="11"/>
        <v>0.2857142857142857</v>
      </c>
    </row>
    <row r="210" spans="2:7">
      <c r="C210" s="137"/>
    </row>
    <row r="211" spans="2:7" ht="20.25">
      <c r="B211" s="795">
        <f ca="1">OFFSET('VA Front Page'!$F$11,MATCH(C211,'VA Front Page'!$C$12:$C$34,0),0)</f>
        <v>2</v>
      </c>
      <c r="C211" s="790" t="s">
        <v>151</v>
      </c>
      <c r="D211" s="790"/>
      <c r="E211" s="791">
        <f ca="1">SUMPRODUCT(E212:E253,G212:G253)</f>
        <v>0.58535957064026145</v>
      </c>
      <c r="G211" s="792">
        <f ca="1">SUM(G212:G253)</f>
        <v>0.99999999999999922</v>
      </c>
    </row>
    <row r="212" spans="2:7">
      <c r="C212" s="785">
        <v>3</v>
      </c>
      <c r="D212" s="159" t="s">
        <v>2319</v>
      </c>
      <c r="E212" s="787">
        <f ca="1">OFFSET('Data Parser'!$AD$1,MATCH(D212,'Data Parser'!AF:AF,0)-1,0)</f>
        <v>1</v>
      </c>
      <c r="F212" s="794">
        <f ca="1">IF(OFFSET('Data Parser'!$AE$1,MATCH(D212,'Data Parser'!AF:AF,0)-1,0),0,C212)</f>
        <v>3</v>
      </c>
      <c r="G212" s="789">
        <f ca="1">F212/SUM($F$212:$F$253)</f>
        <v>1.0563380281690141E-2</v>
      </c>
    </row>
    <row r="213" spans="2:7">
      <c r="C213" s="785">
        <v>5</v>
      </c>
      <c r="D213" s="159" t="s">
        <v>2336</v>
      </c>
      <c r="E213" s="787">
        <f ca="1">OFFSET('Data Parser'!$AD$1,MATCH(D213,'Data Parser'!AF:AF,0)-1,0)</f>
        <v>1</v>
      </c>
      <c r="F213" s="794">
        <f ca="1">IF(OFFSET('Data Parser'!$AE$1,MATCH(D213,'Data Parser'!AF:AF,0)-1,0),0,C213)</f>
        <v>0</v>
      </c>
      <c r="G213" s="789">
        <f t="shared" ref="G213:G253" ca="1" si="12">F213/SUM($F$212:$F$253)</f>
        <v>0</v>
      </c>
    </row>
    <row r="214" spans="2:7">
      <c r="C214" s="785">
        <v>3</v>
      </c>
      <c r="D214" s="159" t="s">
        <v>2337</v>
      </c>
      <c r="E214" s="787">
        <f ca="1">OFFSET('Data Parser'!$AD$1,MATCH(D214,'Data Parser'!AF:AF,0)-1,0)</f>
        <v>1</v>
      </c>
      <c r="F214" s="794">
        <f ca="1">IF(OFFSET('Data Parser'!$AE$1,MATCH(D214,'Data Parser'!AF:AF,0)-1,0),0,C214)</f>
        <v>3</v>
      </c>
      <c r="G214" s="789">
        <f t="shared" ca="1" si="12"/>
        <v>1.0563380281690141E-2</v>
      </c>
    </row>
    <row r="215" spans="2:7">
      <c r="C215" s="785">
        <v>8</v>
      </c>
      <c r="D215" s="159" t="s">
        <v>2338</v>
      </c>
      <c r="E215" s="787">
        <f ca="1">OFFSET('Data Parser'!$AD$1,MATCH(D215,'Data Parser'!AF:AF,0)-1,0)</f>
        <v>1</v>
      </c>
      <c r="F215" s="794">
        <f ca="1">IF(OFFSET('Data Parser'!$AE$1,MATCH(D215,'Data Parser'!AF:AF,0)-1,0),0,C215)</f>
        <v>8</v>
      </c>
      <c r="G215" s="789">
        <f t="shared" ca="1" si="12"/>
        <v>2.8169014084507043E-2</v>
      </c>
    </row>
    <row r="216" spans="2:7">
      <c r="C216" s="785">
        <v>10</v>
      </c>
      <c r="D216" s="159" t="s">
        <v>2339</v>
      </c>
      <c r="E216" s="787">
        <f ca="1">OFFSET('Data Parser'!$AD$1,MATCH(D216,'Data Parser'!AF:AF,0)-1,0)</f>
        <v>1</v>
      </c>
      <c r="F216" s="794">
        <f ca="1">IF(OFFSET('Data Parser'!$AE$1,MATCH(D216,'Data Parser'!AF:AF,0)-1,0),0,C216)</f>
        <v>0</v>
      </c>
      <c r="G216" s="789">
        <f t="shared" ca="1" si="12"/>
        <v>0</v>
      </c>
    </row>
    <row r="217" spans="2:7">
      <c r="C217" s="785">
        <v>10</v>
      </c>
      <c r="D217" s="159" t="s">
        <v>2341</v>
      </c>
      <c r="E217" s="787">
        <f ca="1">OFFSET('Data Parser'!$AD$1,MATCH(D217,'Data Parser'!AF:AF,0)-1,0)</f>
        <v>0.7876096569652562</v>
      </c>
      <c r="F217" s="794">
        <f ca="1">IF(OFFSET('Data Parser'!$AE$1,MATCH(D217,'Data Parser'!AF:AF,0)-1,0),0,C217)</f>
        <v>10</v>
      </c>
      <c r="G217" s="789">
        <f t="shared" ca="1" si="12"/>
        <v>3.5211267605633804E-2</v>
      </c>
    </row>
    <row r="218" spans="2:7">
      <c r="C218" s="785">
        <v>5</v>
      </c>
      <c r="D218" s="159" t="s">
        <v>2349</v>
      </c>
      <c r="E218" s="787">
        <f ca="1">OFFSET('Data Parser'!$AD$1,MATCH(D218,'Data Parser'!AF:AF,0)-1,0)</f>
        <v>1</v>
      </c>
      <c r="F218" s="794">
        <f ca="1">IF(OFFSET('Data Parser'!$AE$1,MATCH(D218,'Data Parser'!AF:AF,0)-1,0),0,C218)</f>
        <v>5</v>
      </c>
      <c r="G218" s="789">
        <f t="shared" ca="1" si="12"/>
        <v>1.7605633802816902E-2</v>
      </c>
    </row>
    <row r="219" spans="2:7">
      <c r="C219" s="785">
        <v>10</v>
      </c>
      <c r="D219" s="159" t="s">
        <v>2361</v>
      </c>
      <c r="E219" s="787">
        <f ca="1">OFFSET('Data Parser'!$AD$1,MATCH(D219,'Data Parser'!AF:AF,0)-1,0)</f>
        <v>1</v>
      </c>
      <c r="F219" s="794">
        <f ca="1">IF(OFFSET('Data Parser'!$AE$1,MATCH(D219,'Data Parser'!AF:AF,0)-1,0),0,C219)</f>
        <v>10</v>
      </c>
      <c r="G219" s="789">
        <f t="shared" ca="1" si="12"/>
        <v>3.5211267605633804E-2</v>
      </c>
    </row>
    <row r="220" spans="2:7">
      <c r="C220" s="785">
        <v>10</v>
      </c>
      <c r="D220" s="159" t="s">
        <v>2362</v>
      </c>
      <c r="E220" s="787">
        <f ca="1">OFFSET('Data Parser'!$AD$1,MATCH(D220,'Data Parser'!AF:AF,0)-1,0)</f>
        <v>0</v>
      </c>
      <c r="F220" s="794">
        <f ca="1">IF(OFFSET('Data Parser'!$AE$1,MATCH(D220,'Data Parser'!AF:AF,0)-1,0),0,C220)</f>
        <v>10</v>
      </c>
      <c r="G220" s="789">
        <f t="shared" ca="1" si="12"/>
        <v>3.5211267605633804E-2</v>
      </c>
    </row>
    <row r="221" spans="2:7">
      <c r="C221" s="785">
        <v>10</v>
      </c>
      <c r="D221" s="159" t="s">
        <v>2363</v>
      </c>
      <c r="E221" s="787">
        <f ca="1">OFFSET('Data Parser'!$AD$1,MATCH(D221,'Data Parser'!AF:AF,0)-1,0)</f>
        <v>1</v>
      </c>
      <c r="F221" s="794">
        <f ca="1">IF(OFFSET('Data Parser'!$AE$1,MATCH(D221,'Data Parser'!AF:AF,0)-1,0),0,C221)</f>
        <v>10</v>
      </c>
      <c r="G221" s="789">
        <f t="shared" ca="1" si="12"/>
        <v>3.5211267605633804E-2</v>
      </c>
    </row>
    <row r="222" spans="2:7">
      <c r="C222" s="785">
        <v>5</v>
      </c>
      <c r="D222" s="159" t="s">
        <v>2364</v>
      </c>
      <c r="E222" s="787">
        <f ca="1">OFFSET('Data Parser'!$AD$1,MATCH(D222,'Data Parser'!AF:AF,0)-1,0)</f>
        <v>0.6</v>
      </c>
      <c r="F222" s="794">
        <f ca="1">IF(OFFSET('Data Parser'!$AE$1,MATCH(D222,'Data Parser'!AF:AF,0)-1,0),0,C222)</f>
        <v>5</v>
      </c>
      <c r="G222" s="789">
        <f t="shared" ca="1" si="12"/>
        <v>1.7605633802816902E-2</v>
      </c>
    </row>
    <row r="223" spans="2:7">
      <c r="C223" s="785">
        <v>10</v>
      </c>
      <c r="D223" s="159" t="s">
        <v>2365</v>
      </c>
      <c r="E223" s="787">
        <f ca="1">OFFSET('Data Parser'!$AD$1,MATCH(D223,'Data Parser'!AF:AF,0)-1,0)</f>
        <v>0.5</v>
      </c>
      <c r="F223" s="794">
        <f ca="1">IF(OFFSET('Data Parser'!$AE$1,MATCH(D223,'Data Parser'!AF:AF,0)-1,0),0,C223)</f>
        <v>10</v>
      </c>
      <c r="G223" s="789">
        <f t="shared" ca="1" si="12"/>
        <v>3.5211267605633804E-2</v>
      </c>
    </row>
    <row r="224" spans="2:7">
      <c r="C224" s="785">
        <v>8</v>
      </c>
      <c r="D224" s="159" t="s">
        <v>2366</v>
      </c>
      <c r="E224" s="787">
        <f ca="1">OFFSET('Data Parser'!$AD$1,MATCH(D224,'Data Parser'!AF:AF,0)-1,0)</f>
        <v>0.25</v>
      </c>
      <c r="F224" s="794">
        <f ca="1">IF(OFFSET('Data Parser'!$AE$1,MATCH(D224,'Data Parser'!AF:AF,0)-1,0),0,C224)</f>
        <v>8</v>
      </c>
      <c r="G224" s="789">
        <f t="shared" ca="1" si="12"/>
        <v>2.8169014084507043E-2</v>
      </c>
    </row>
    <row r="225" spans="3:7">
      <c r="C225" s="785">
        <v>5</v>
      </c>
      <c r="D225" s="159" t="s">
        <v>2367</v>
      </c>
      <c r="E225" s="787">
        <f ca="1">OFFSET('Data Parser'!$AD$1,MATCH(D225,'Data Parser'!AF:AF,0)-1,0)</f>
        <v>1</v>
      </c>
      <c r="F225" s="794">
        <f ca="1">IF(OFFSET('Data Parser'!$AE$1,MATCH(D225,'Data Parser'!AF:AF,0)-1,0),0,C225)</f>
        <v>5</v>
      </c>
      <c r="G225" s="789">
        <f t="shared" ca="1" si="12"/>
        <v>1.7605633802816902E-2</v>
      </c>
    </row>
    <row r="226" spans="3:7">
      <c r="C226" s="785">
        <v>5</v>
      </c>
      <c r="D226" s="159" t="s">
        <v>2368</v>
      </c>
      <c r="E226" s="787">
        <f ca="1">OFFSET('Data Parser'!$AD$1,MATCH(D226,'Data Parser'!AF:AF,0)-1,0)</f>
        <v>0.5</v>
      </c>
      <c r="F226" s="794">
        <f ca="1">IF(OFFSET('Data Parser'!$AE$1,MATCH(D226,'Data Parser'!AF:AF,0)-1,0),0,C226)</f>
        <v>5</v>
      </c>
      <c r="G226" s="789">
        <f t="shared" ca="1" si="12"/>
        <v>1.7605633802816902E-2</v>
      </c>
    </row>
    <row r="227" spans="3:7">
      <c r="C227" s="785">
        <v>5</v>
      </c>
      <c r="D227" s="159" t="s">
        <v>2369</v>
      </c>
      <c r="E227" s="787">
        <f ca="1">OFFSET('Data Parser'!$AD$1,MATCH(D227,'Data Parser'!AF:AF,0)-1,0)</f>
        <v>0.75</v>
      </c>
      <c r="F227" s="794">
        <f ca="1">IF(OFFSET('Data Parser'!$AE$1,MATCH(D227,'Data Parser'!AF:AF,0)-1,0),0,C227)</f>
        <v>5</v>
      </c>
      <c r="G227" s="789">
        <f t="shared" ca="1" si="12"/>
        <v>1.7605633802816902E-2</v>
      </c>
    </row>
    <row r="228" spans="3:7">
      <c r="C228" s="785">
        <v>5</v>
      </c>
      <c r="D228" s="159" t="s">
        <v>2370</v>
      </c>
      <c r="E228" s="787">
        <f ca="1">OFFSET('Data Parser'!$AD$1,MATCH(D228,'Data Parser'!AF:AF,0)-1,0)</f>
        <v>0.5</v>
      </c>
      <c r="F228" s="794">
        <f ca="1">IF(OFFSET('Data Parser'!$AE$1,MATCH(D228,'Data Parser'!AF:AF,0)-1,0),0,C228)</f>
        <v>5</v>
      </c>
      <c r="G228" s="789">
        <f t="shared" ca="1" si="12"/>
        <v>1.7605633802816902E-2</v>
      </c>
    </row>
    <row r="229" spans="3:7">
      <c r="C229" s="785">
        <v>5</v>
      </c>
      <c r="D229" s="159" t="s">
        <v>2371</v>
      </c>
      <c r="E229" s="787">
        <f ca="1">OFFSET('Data Parser'!$AD$1,MATCH(D229,'Data Parser'!AF:AF,0)-1,0)</f>
        <v>0</v>
      </c>
      <c r="F229" s="794">
        <f ca="1">IF(OFFSET('Data Parser'!$AE$1,MATCH(D229,'Data Parser'!AF:AF,0)-1,0),0,C229)</f>
        <v>5</v>
      </c>
      <c r="G229" s="789">
        <f t="shared" ca="1" si="12"/>
        <v>1.7605633802816902E-2</v>
      </c>
    </row>
    <row r="230" spans="3:7">
      <c r="C230" s="785">
        <v>5</v>
      </c>
      <c r="D230" s="159" t="s">
        <v>2372</v>
      </c>
      <c r="E230" s="787">
        <f ca="1">OFFSET('Data Parser'!$AD$1,MATCH(D230,'Data Parser'!AF:AF,0)-1,0)</f>
        <v>0</v>
      </c>
      <c r="F230" s="794">
        <f ca="1">IF(OFFSET('Data Parser'!$AE$1,MATCH(D230,'Data Parser'!AF:AF,0)-1,0),0,C230)</f>
        <v>5</v>
      </c>
      <c r="G230" s="789">
        <f t="shared" ca="1" si="12"/>
        <v>1.7605633802816902E-2</v>
      </c>
    </row>
    <row r="231" spans="3:7">
      <c r="C231" s="785">
        <v>5</v>
      </c>
      <c r="D231" s="159" t="s">
        <v>2373</v>
      </c>
      <c r="E231" s="787">
        <f ca="1">OFFSET('Data Parser'!$AD$1,MATCH(D231,'Data Parser'!AF:AF,0)-1,0)</f>
        <v>0</v>
      </c>
      <c r="F231" s="794">
        <f ca="1">IF(OFFSET('Data Parser'!$AE$1,MATCH(D231,'Data Parser'!AF:AF,0)-1,0),0,C231)</f>
        <v>5</v>
      </c>
      <c r="G231" s="789">
        <f t="shared" ca="1" si="12"/>
        <v>1.7605633802816902E-2</v>
      </c>
    </row>
    <row r="232" spans="3:7">
      <c r="C232" s="785">
        <v>5</v>
      </c>
      <c r="D232" s="159" t="s">
        <v>2374</v>
      </c>
      <c r="E232" s="787">
        <f ca="1">OFFSET('Data Parser'!$AD$1,MATCH(D232,'Data Parser'!AF:AF,0)-1,0)</f>
        <v>0</v>
      </c>
      <c r="F232" s="794">
        <f ca="1">IF(OFFSET('Data Parser'!$AE$1,MATCH(D232,'Data Parser'!AF:AF,0)-1,0),0,C232)</f>
        <v>5</v>
      </c>
      <c r="G232" s="789">
        <f t="shared" ca="1" si="12"/>
        <v>1.7605633802816902E-2</v>
      </c>
    </row>
    <row r="233" spans="3:7">
      <c r="C233" s="785">
        <v>5</v>
      </c>
      <c r="D233" s="159" t="s">
        <v>2375</v>
      </c>
      <c r="E233" s="787">
        <f ca="1">OFFSET('Data Parser'!$AD$1,MATCH(D233,'Data Parser'!AF:AF,0)-1,0)</f>
        <v>0</v>
      </c>
      <c r="F233" s="794">
        <f ca="1">IF(OFFSET('Data Parser'!$AE$1,MATCH(D233,'Data Parser'!AF:AF,0)-1,0),0,C233)</f>
        <v>5</v>
      </c>
      <c r="G233" s="789">
        <f t="shared" ca="1" si="12"/>
        <v>1.7605633802816902E-2</v>
      </c>
    </row>
    <row r="234" spans="3:7">
      <c r="C234" s="785">
        <v>10</v>
      </c>
      <c r="D234" s="159" t="s">
        <v>2376</v>
      </c>
      <c r="E234" s="787">
        <f ca="1">OFFSET('Data Parser'!$AD$1,MATCH(D234,'Data Parser'!AF:AF,0)-1,0)</f>
        <v>1</v>
      </c>
      <c r="F234" s="794">
        <f ca="1">IF(OFFSET('Data Parser'!$AE$1,MATCH(D234,'Data Parser'!AF:AF,0)-1,0),0,C234)</f>
        <v>10</v>
      </c>
      <c r="G234" s="789">
        <f t="shared" ca="1" si="12"/>
        <v>3.5211267605633804E-2</v>
      </c>
    </row>
    <row r="235" spans="3:7">
      <c r="C235" s="785">
        <v>10</v>
      </c>
      <c r="D235" s="159" t="s">
        <v>2377</v>
      </c>
      <c r="E235" s="787">
        <f ca="1">OFFSET('Data Parser'!$AD$1,MATCH(D235,'Data Parser'!AF:AF,0)-1,0)</f>
        <v>1</v>
      </c>
      <c r="F235" s="794">
        <f ca="1">IF(OFFSET('Data Parser'!$AE$1,MATCH(D235,'Data Parser'!AF:AF,0)-1,0),0,C235)</f>
        <v>10</v>
      </c>
      <c r="G235" s="789">
        <f t="shared" ca="1" si="12"/>
        <v>3.5211267605633804E-2</v>
      </c>
    </row>
    <row r="236" spans="3:7">
      <c r="C236" s="785">
        <v>10</v>
      </c>
      <c r="D236" s="159" t="s">
        <v>2378</v>
      </c>
      <c r="E236" s="787">
        <f ca="1">OFFSET('Data Parser'!$AD$1,MATCH(D236,'Data Parser'!AF:AF,0)-1,0)</f>
        <v>0</v>
      </c>
      <c r="F236" s="794">
        <f ca="1">IF(OFFSET('Data Parser'!$AE$1,MATCH(D236,'Data Parser'!AF:AF,0)-1,0),0,C236)</f>
        <v>10</v>
      </c>
      <c r="G236" s="789">
        <f t="shared" ca="1" si="12"/>
        <v>3.5211267605633804E-2</v>
      </c>
    </row>
    <row r="237" spans="3:7">
      <c r="C237" s="785">
        <v>3</v>
      </c>
      <c r="D237" s="159" t="s">
        <v>2379</v>
      </c>
      <c r="E237" s="787">
        <f ca="1">OFFSET('Data Parser'!$AD$1,MATCH(D237,'Data Parser'!AF:AF,0)-1,0)</f>
        <v>1</v>
      </c>
      <c r="F237" s="794">
        <f ca="1">IF(OFFSET('Data Parser'!$AE$1,MATCH(D237,'Data Parser'!AF:AF,0)-1,0),0,C237)</f>
        <v>3</v>
      </c>
      <c r="G237" s="789">
        <f t="shared" ca="1" si="12"/>
        <v>1.0563380281690141E-2</v>
      </c>
    </row>
    <row r="238" spans="3:7">
      <c r="C238" s="785">
        <v>5</v>
      </c>
      <c r="D238" s="159" t="s">
        <v>2384</v>
      </c>
      <c r="E238" s="787">
        <f ca="1">OFFSET('Data Parser'!$AD$1,MATCH(D238,'Data Parser'!AF:AF,0)-1,0)</f>
        <v>1</v>
      </c>
      <c r="F238" s="794">
        <f ca="1">IF(OFFSET('Data Parser'!$AE$1,MATCH(D238,'Data Parser'!AF:AF,0)-1,0),0,C238)</f>
        <v>5</v>
      </c>
      <c r="G238" s="789">
        <f t="shared" ca="1" si="12"/>
        <v>1.7605633802816902E-2</v>
      </c>
    </row>
    <row r="239" spans="3:7">
      <c r="C239" s="785">
        <v>5</v>
      </c>
      <c r="D239" s="159" t="s">
        <v>2385</v>
      </c>
      <c r="E239" s="787">
        <f ca="1">OFFSET('Data Parser'!$AD$1,MATCH(D239,'Data Parser'!AF:AF,0)-1,0)</f>
        <v>1</v>
      </c>
      <c r="F239" s="794">
        <f ca="1">IF(OFFSET('Data Parser'!$AE$1,MATCH(D239,'Data Parser'!AF:AF,0)-1,0),0,C239)</f>
        <v>5</v>
      </c>
      <c r="G239" s="789">
        <f t="shared" ca="1" si="12"/>
        <v>1.7605633802816902E-2</v>
      </c>
    </row>
    <row r="240" spans="3:7">
      <c r="C240" s="785">
        <v>10</v>
      </c>
      <c r="D240" s="159" t="s">
        <v>2403</v>
      </c>
      <c r="E240" s="787">
        <f ca="1">OFFSET('Data Parser'!$AD$1,MATCH(D240,'Data Parser'!AF:AF,0)-1,0)</f>
        <v>0.875</v>
      </c>
      <c r="F240" s="794">
        <f ca="1">IF(OFFSET('Data Parser'!$AE$1,MATCH(D240,'Data Parser'!AF:AF,0)-1,0),0,C240)</f>
        <v>10</v>
      </c>
      <c r="G240" s="789">
        <f t="shared" ca="1" si="12"/>
        <v>3.5211267605633804E-2</v>
      </c>
    </row>
    <row r="241" spans="2:7">
      <c r="C241" s="785">
        <v>10</v>
      </c>
      <c r="D241" s="159" t="s">
        <v>2404</v>
      </c>
      <c r="E241" s="787">
        <f ca="1">OFFSET('Data Parser'!$AD$1,MATCH(D241,'Data Parser'!AF:AF,0)-1,0)</f>
        <v>0.625</v>
      </c>
      <c r="F241" s="794">
        <f ca="1">IF(OFFSET('Data Parser'!$AE$1,MATCH(D241,'Data Parser'!AF:AF,0)-1,0),0,C241)</f>
        <v>10</v>
      </c>
      <c r="G241" s="789">
        <f t="shared" ca="1" si="12"/>
        <v>3.5211267605633804E-2</v>
      </c>
    </row>
    <row r="242" spans="2:7">
      <c r="C242" s="785">
        <v>10</v>
      </c>
      <c r="D242" s="159" t="s">
        <v>2405</v>
      </c>
      <c r="E242" s="787">
        <f ca="1">OFFSET('Data Parser'!$AD$1,MATCH(D242,'Data Parser'!AF:AF,0)-1,0)</f>
        <v>0.625</v>
      </c>
      <c r="F242" s="794">
        <f ca="1">IF(OFFSET('Data Parser'!$AE$1,MATCH(D242,'Data Parser'!AF:AF,0)-1,0),0,C242)</f>
        <v>10</v>
      </c>
      <c r="G242" s="789">
        <f t="shared" ca="1" si="12"/>
        <v>3.5211267605633804E-2</v>
      </c>
    </row>
    <row r="243" spans="2:7">
      <c r="C243" s="785">
        <v>10</v>
      </c>
      <c r="D243" s="159" t="s">
        <v>2413</v>
      </c>
      <c r="E243" s="787">
        <f ca="1">OFFSET('Data Parser'!$AD$1,MATCH(D243,'Data Parser'!AF:AF,0)-1,0)</f>
        <v>0.5</v>
      </c>
      <c r="F243" s="794">
        <f ca="1">IF(OFFSET('Data Parser'!$AE$1,MATCH(D243,'Data Parser'!AF:AF,0)-1,0),0,C243)</f>
        <v>10</v>
      </c>
      <c r="G243" s="789">
        <f t="shared" ca="1" si="12"/>
        <v>3.5211267605633804E-2</v>
      </c>
    </row>
    <row r="244" spans="2:7">
      <c r="C244" s="785">
        <v>10</v>
      </c>
      <c r="D244" s="159" t="s">
        <v>2424</v>
      </c>
      <c r="E244" s="787">
        <f ca="1">OFFSET('Data Parser'!$AD$1,MATCH(D244,'Data Parser'!AF:AF,0)-1,0)</f>
        <v>0.5</v>
      </c>
      <c r="F244" s="794">
        <f ca="1">IF(OFFSET('Data Parser'!$AE$1,MATCH(D244,'Data Parser'!AF:AF,0)-1,0),0,C244)</f>
        <v>10</v>
      </c>
      <c r="G244" s="789">
        <f t="shared" ca="1" si="12"/>
        <v>3.5211267605633804E-2</v>
      </c>
    </row>
    <row r="245" spans="2:7">
      <c r="C245" s="785">
        <v>6</v>
      </c>
      <c r="D245" s="159" t="s">
        <v>2462</v>
      </c>
      <c r="E245" s="787">
        <f ca="1">OFFSET('Data Parser'!$AD$1,MATCH(D245,'Data Parser'!AF:AF,0)-1,0)</f>
        <v>0.22767024869695299</v>
      </c>
      <c r="F245" s="794">
        <f ca="1">IF(OFFSET('Data Parser'!$AE$1,MATCH(D245,'Data Parser'!AF:AF,0)-1,0),0,C245)</f>
        <v>6</v>
      </c>
      <c r="G245" s="789">
        <f t="shared" ca="1" si="12"/>
        <v>2.1126760563380281E-2</v>
      </c>
    </row>
    <row r="246" spans="2:7">
      <c r="C246" s="785">
        <v>6</v>
      </c>
      <c r="D246" s="159" t="s">
        <v>2463</v>
      </c>
      <c r="E246" s="787">
        <f ca="1">OFFSET('Data Parser'!$AD$1,MATCH(D246,'Data Parser'!AF:AF,0)-1,0)</f>
        <v>0</v>
      </c>
      <c r="F246" s="794">
        <f ca="1">IF(OFFSET('Data Parser'!$AE$1,MATCH(D246,'Data Parser'!AF:AF,0)-1,0),0,C246)</f>
        <v>6</v>
      </c>
      <c r="G246" s="789">
        <f t="shared" ca="1" si="12"/>
        <v>2.1126760563380281E-2</v>
      </c>
    </row>
    <row r="247" spans="2:7">
      <c r="C247" s="785">
        <v>2</v>
      </c>
      <c r="D247" s="159" t="s">
        <v>2464</v>
      </c>
      <c r="E247" s="787">
        <f ca="1">OFFSET('Data Parser'!$AD$1,MATCH(D247,'Data Parser'!AF:AF,0)-1,0)</f>
        <v>0</v>
      </c>
      <c r="F247" s="794">
        <f ca="1">IF(OFFSET('Data Parser'!$AE$1,MATCH(D247,'Data Parser'!AF:AF,0)-1,0),0,C247)</f>
        <v>2</v>
      </c>
      <c r="G247" s="789">
        <f t="shared" ca="1" si="12"/>
        <v>7.0422535211267607E-3</v>
      </c>
    </row>
    <row r="248" spans="2:7">
      <c r="C248" s="785">
        <v>2</v>
      </c>
      <c r="D248" s="159" t="s">
        <v>2465</v>
      </c>
      <c r="E248" s="787">
        <f ca="1">OFFSET('Data Parser'!$AD$1,MATCH(D248,'Data Parser'!AF:AF,0)-1,0)</f>
        <v>0.33333333333333331</v>
      </c>
      <c r="F248" s="794">
        <f ca="1">IF(OFFSET('Data Parser'!$AE$1,MATCH(D248,'Data Parser'!AF:AF,0)-1,0),0,C248)</f>
        <v>0</v>
      </c>
      <c r="G248" s="789">
        <f t="shared" ca="1" si="12"/>
        <v>0</v>
      </c>
    </row>
    <row r="249" spans="2:7">
      <c r="C249" s="785">
        <v>10</v>
      </c>
      <c r="D249" s="159" t="s">
        <v>2490</v>
      </c>
      <c r="E249" s="787">
        <f ca="1">OFFSET('Data Parser'!$AD$1,MATCH(D249,'Data Parser'!AF:AF,0)-1,0)</f>
        <v>0.75</v>
      </c>
      <c r="F249" s="794">
        <f ca="1">IF(OFFSET('Data Parser'!$AE$1,MATCH(D249,'Data Parser'!AF:AF,0)-1,0),0,C249)</f>
        <v>10</v>
      </c>
      <c r="G249" s="789">
        <f t="shared" ca="1" si="12"/>
        <v>3.5211267605633804E-2</v>
      </c>
    </row>
    <row r="250" spans="2:7">
      <c r="C250" s="785">
        <v>10</v>
      </c>
      <c r="D250" s="159" t="s">
        <v>2491</v>
      </c>
      <c r="E250" s="787">
        <f ca="1">OFFSET('Data Parser'!$AD$1,MATCH(D250,'Data Parser'!AF:AF,0)-1,0)</f>
        <v>0</v>
      </c>
      <c r="F250" s="794">
        <f ca="1">IF(OFFSET('Data Parser'!$AE$1,MATCH(D250,'Data Parser'!AF:AF,0)-1,0),0,C250)</f>
        <v>10</v>
      </c>
      <c r="G250" s="789">
        <f t="shared" ca="1" si="12"/>
        <v>3.5211267605633804E-2</v>
      </c>
    </row>
    <row r="251" spans="2:7">
      <c r="C251" s="785">
        <v>10</v>
      </c>
      <c r="D251" s="159" t="s">
        <v>2492</v>
      </c>
      <c r="E251" s="787">
        <f ca="1">OFFSET('Data Parser'!$AD$1,MATCH(D251,'Data Parser'!AF:AF,0)-1,0)</f>
        <v>0.75</v>
      </c>
      <c r="F251" s="794">
        <f ca="1">IF(OFFSET('Data Parser'!$AE$1,MATCH(D251,'Data Parser'!AF:AF,0)-1,0),0,C251)</f>
        <v>10</v>
      </c>
      <c r="G251" s="789">
        <f t="shared" ca="1" si="12"/>
        <v>3.5211267605633804E-2</v>
      </c>
    </row>
    <row r="252" spans="2:7">
      <c r="C252" s="785">
        <v>10</v>
      </c>
      <c r="D252" s="159" t="s">
        <v>2493</v>
      </c>
      <c r="E252" s="787">
        <f ca="1">OFFSET('Data Parser'!$AD$1,MATCH(D252,'Data Parser'!AF:AF,0)-1,0)</f>
        <v>1</v>
      </c>
      <c r="F252" s="794">
        <f ca="1">IF(OFFSET('Data Parser'!$AE$1,MATCH(D252,'Data Parser'!AF:AF,0)-1,0),0,C252)</f>
        <v>10</v>
      </c>
      <c r="G252" s="789">
        <f t="shared" ca="1" si="12"/>
        <v>3.5211267605633804E-2</v>
      </c>
    </row>
    <row r="253" spans="2:7">
      <c r="C253" s="785">
        <v>10</v>
      </c>
      <c r="D253" s="159" t="s">
        <v>2505</v>
      </c>
      <c r="E253" s="787">
        <f ca="1">OFFSET('Data Parser'!$AD$1,MATCH(D253,'Data Parser'!AF:AF,0)-1,0)</f>
        <v>0.5</v>
      </c>
      <c r="F253" s="794">
        <f ca="1">IF(OFFSET('Data Parser'!$AE$1,MATCH(D253,'Data Parser'!AF:AF,0)-1,0),0,C253)</f>
        <v>10</v>
      </c>
      <c r="G253" s="789">
        <f t="shared" ca="1" si="12"/>
        <v>3.5211267605633804E-2</v>
      </c>
    </row>
    <row r="254" spans="2:7">
      <c r="C254" s="137"/>
    </row>
    <row r="255" spans="2:7" ht="20.25">
      <c r="B255" s="795">
        <f ca="1">OFFSET('VA Front Page'!$F$11,MATCH(C255,'VA Front Page'!$C$12:$C$34,0),0)</f>
        <v>2</v>
      </c>
      <c r="C255" s="790" t="s">
        <v>160</v>
      </c>
      <c r="D255" s="790"/>
      <c r="E255" s="791">
        <f ca="1">SUMPRODUCT(E256:E270,G256:G270)</f>
        <v>0.57264448827641024</v>
      </c>
      <c r="G255" s="792">
        <f ca="1">SUM(G256:G270)</f>
        <v>0.99999999999999967</v>
      </c>
    </row>
    <row r="256" spans="2:7">
      <c r="C256" s="785">
        <v>4</v>
      </c>
      <c r="D256" s="159" t="s">
        <v>2325</v>
      </c>
      <c r="E256" s="787">
        <f ca="1">OFFSET('Data Parser'!$AD$1,MATCH(D256,'Data Parser'!AF:AF,0)-1,0)</f>
        <v>1</v>
      </c>
      <c r="F256" s="794">
        <f ca="1">IF(OFFSET('Data Parser'!$AE$1,MATCH(D256,'Data Parser'!AF:AF,0)-1,0),0,C256)</f>
        <v>4</v>
      </c>
      <c r="G256" s="789">
        <f ca="1">F256/SUM($F$256:$F$270)</f>
        <v>3.8834951456310676E-2</v>
      </c>
    </row>
    <row r="257" spans="2:7">
      <c r="C257" s="785">
        <v>5</v>
      </c>
      <c r="D257" s="159" t="s">
        <v>2326</v>
      </c>
      <c r="E257" s="787">
        <f ca="1">OFFSET('Data Parser'!$AD$1,MATCH(D257,'Data Parser'!AF:AF,0)-1,0)</f>
        <v>0.86719447895366342</v>
      </c>
      <c r="F257" s="794">
        <f ca="1">IF(OFFSET('Data Parser'!$AE$1,MATCH(D257,'Data Parser'!AF:AF,0)-1,0),0,C257)</f>
        <v>5</v>
      </c>
      <c r="G257" s="789">
        <f t="shared" ref="G257:G270" ca="1" si="13">F257/SUM($F$256:$F$270)</f>
        <v>4.8543689320388349E-2</v>
      </c>
    </row>
    <row r="258" spans="2:7">
      <c r="C258" s="785">
        <v>2</v>
      </c>
      <c r="D258" s="159" t="s">
        <v>2327</v>
      </c>
      <c r="E258" s="787">
        <f ca="1">OFFSET('Data Parser'!$AD$1,MATCH(D258,'Data Parser'!AF:AF,0)-1,0)</f>
        <v>1</v>
      </c>
      <c r="F258" s="794">
        <f ca="1">IF(OFFSET('Data Parser'!$AE$1,MATCH(D258,'Data Parser'!AF:AF,0)-1,0),0,C258)</f>
        <v>2</v>
      </c>
      <c r="G258" s="789">
        <f t="shared" ca="1" si="13"/>
        <v>1.9417475728155338E-2</v>
      </c>
    </row>
    <row r="259" spans="2:7">
      <c r="C259" s="785">
        <v>3</v>
      </c>
      <c r="D259" s="159" t="s">
        <v>2328</v>
      </c>
      <c r="E259" s="787">
        <f ca="1">OFFSET('Data Parser'!$AD$1,MATCH(D259,'Data Parser'!AF:AF,0)-1,0)</f>
        <v>0.5</v>
      </c>
      <c r="F259" s="794">
        <f ca="1">IF(OFFSET('Data Parser'!$AE$1,MATCH(D259,'Data Parser'!AF:AF,0)-1,0),0,C259)</f>
        <v>3</v>
      </c>
      <c r="G259" s="789">
        <f t="shared" ca="1" si="13"/>
        <v>2.9126213592233011E-2</v>
      </c>
    </row>
    <row r="260" spans="2:7">
      <c r="C260" s="785">
        <v>8</v>
      </c>
      <c r="D260" s="159" t="s">
        <v>2331</v>
      </c>
      <c r="E260" s="787">
        <f ca="1">OFFSET('Data Parser'!$AD$1,MATCH(D260,'Data Parser'!AF:AF,0)-1,0)</f>
        <v>0</v>
      </c>
      <c r="F260" s="794">
        <f ca="1">IF(OFFSET('Data Parser'!$AE$1,MATCH(D260,'Data Parser'!AF:AF,0)-1,0),0,C260)</f>
        <v>8</v>
      </c>
      <c r="G260" s="789">
        <f t="shared" ca="1" si="13"/>
        <v>7.7669902912621352E-2</v>
      </c>
    </row>
    <row r="261" spans="2:7">
      <c r="C261" s="785">
        <v>8</v>
      </c>
      <c r="D261" s="159" t="s">
        <v>2333</v>
      </c>
      <c r="E261" s="787">
        <f ca="1">OFFSET('Data Parser'!$AD$1,MATCH(D261,'Data Parser'!AF:AF,0)-1,0)</f>
        <v>0</v>
      </c>
      <c r="F261" s="794">
        <f ca="1">IF(OFFSET('Data Parser'!$AE$1,MATCH(D261,'Data Parser'!AF:AF,0)-1,0),0,C261)</f>
        <v>8</v>
      </c>
      <c r="G261" s="789">
        <f t="shared" ca="1" si="13"/>
        <v>7.7669902912621352E-2</v>
      </c>
    </row>
    <row r="262" spans="2:7">
      <c r="C262" s="785">
        <v>8</v>
      </c>
      <c r="D262" s="159" t="s">
        <v>2334</v>
      </c>
      <c r="E262" s="787">
        <f ca="1">OFFSET('Data Parser'!$AD$1,MATCH(D262,'Data Parser'!AF:AF,0)-1,0)</f>
        <v>0</v>
      </c>
      <c r="F262" s="794">
        <f ca="1">IF(OFFSET('Data Parser'!$AE$1,MATCH(D262,'Data Parser'!AF:AF,0)-1,0),0,C262)</f>
        <v>8</v>
      </c>
      <c r="G262" s="789">
        <f t="shared" ca="1" si="13"/>
        <v>7.7669902912621352E-2</v>
      </c>
    </row>
    <row r="263" spans="2:7">
      <c r="C263" s="785">
        <v>8</v>
      </c>
      <c r="D263" s="159" t="s">
        <v>2335</v>
      </c>
      <c r="E263" s="787">
        <f ca="1">OFFSET('Data Parser'!$AD$1,MATCH(D263,'Data Parser'!AF:AF,0)-1,0)</f>
        <v>0.45534049739390597</v>
      </c>
      <c r="F263" s="794">
        <f ca="1">IF(OFFSET('Data Parser'!$AE$1,MATCH(D263,'Data Parser'!AF:AF,0)-1,0),0,C263)</f>
        <v>8</v>
      </c>
      <c r="G263" s="789">
        <f t="shared" ca="1" si="13"/>
        <v>7.7669902912621352E-2</v>
      </c>
    </row>
    <row r="264" spans="2:7">
      <c r="C264" s="785">
        <v>2</v>
      </c>
      <c r="D264" s="159" t="s">
        <v>2349</v>
      </c>
      <c r="E264" s="787">
        <f ca="1">OFFSET('Data Parser'!$AD$1,MATCH(D264,'Data Parser'!AF:AF,0)-1,0)</f>
        <v>1</v>
      </c>
      <c r="F264" s="794">
        <f ca="1">IF(OFFSET('Data Parser'!$AE$1,MATCH(D264,'Data Parser'!AF:AF,0)-1,0),0,C264)</f>
        <v>2</v>
      </c>
      <c r="G264" s="789">
        <f t="shared" ca="1" si="13"/>
        <v>1.9417475728155338E-2</v>
      </c>
    </row>
    <row r="265" spans="2:7">
      <c r="C265" s="785">
        <v>5</v>
      </c>
      <c r="D265" s="159" t="s">
        <v>2390</v>
      </c>
      <c r="E265" s="787">
        <f ca="1">OFFSET('Data Parser'!$AD$1,MATCH(D265,'Data Parser'!AF:AF,0)-1,0)</f>
        <v>0.55073718371013825</v>
      </c>
      <c r="F265" s="794">
        <f ca="1">IF(OFFSET('Data Parser'!$AE$1,MATCH(D265,'Data Parser'!AF:AF,0)-1,0),0,C265)</f>
        <v>5</v>
      </c>
      <c r="G265" s="789">
        <f t="shared" ca="1" si="13"/>
        <v>4.8543689320388349E-2</v>
      </c>
    </row>
    <row r="266" spans="2:7">
      <c r="C266" s="785">
        <v>10</v>
      </c>
      <c r="D266" s="159" t="s">
        <v>2414</v>
      </c>
      <c r="E266" s="787">
        <f ca="1">OFFSET('Data Parser'!$AD$1,MATCH(D266,'Data Parser'!AF:AF,0)-1,0)</f>
        <v>1</v>
      </c>
      <c r="F266" s="794">
        <f ca="1">IF(OFFSET('Data Parser'!$AE$1,MATCH(D266,'Data Parser'!AF:AF,0)-1,0),0,C266)</f>
        <v>10</v>
      </c>
      <c r="G266" s="789">
        <f t="shared" ca="1" si="13"/>
        <v>9.7087378640776698E-2</v>
      </c>
    </row>
    <row r="267" spans="2:7">
      <c r="C267" s="785">
        <v>10</v>
      </c>
      <c r="D267" s="159" t="s">
        <v>2415</v>
      </c>
      <c r="E267" s="787">
        <f ca="1">OFFSET('Data Parser'!$AD$1,MATCH(D267,'Data Parser'!AF:AF,0)-1,0)</f>
        <v>1</v>
      </c>
      <c r="F267" s="794">
        <f ca="1">IF(OFFSET('Data Parser'!$AE$1,MATCH(D267,'Data Parser'!AF:AF,0)-1,0),0,C267)</f>
        <v>10</v>
      </c>
      <c r="G267" s="789">
        <f t="shared" ca="1" si="13"/>
        <v>9.7087378640776698E-2</v>
      </c>
    </row>
    <row r="268" spans="2:7">
      <c r="C268" s="785">
        <v>10</v>
      </c>
      <c r="D268" s="159" t="s">
        <v>2416</v>
      </c>
      <c r="E268" s="787">
        <f ca="1">OFFSET('Data Parser'!$AD$1,MATCH(D268,'Data Parser'!AF:AF,0)-1,0)</f>
        <v>0.875</v>
      </c>
      <c r="F268" s="794">
        <f ca="1">IF(OFFSET('Data Parser'!$AE$1,MATCH(D268,'Data Parser'!AF:AF,0)-1,0),0,C268)</f>
        <v>10</v>
      </c>
      <c r="G268" s="789">
        <f t="shared" ca="1" si="13"/>
        <v>9.7087378640776698E-2</v>
      </c>
    </row>
    <row r="269" spans="2:7">
      <c r="C269" s="785">
        <v>10</v>
      </c>
      <c r="D269" s="159" t="s">
        <v>2417</v>
      </c>
      <c r="E269" s="787">
        <f ca="1">OFFSET('Data Parser'!$AD$1,MATCH(D269,'Data Parser'!AF:AF,0)-1,0)</f>
        <v>0.875</v>
      </c>
      <c r="F269" s="794">
        <f ca="1">IF(OFFSET('Data Parser'!$AE$1,MATCH(D269,'Data Parser'!AF:AF,0)-1,0),0,C269)</f>
        <v>10</v>
      </c>
      <c r="G269" s="789">
        <f t="shared" ca="1" si="13"/>
        <v>9.7087378640776698E-2</v>
      </c>
    </row>
    <row r="270" spans="2:7">
      <c r="C270" s="785">
        <v>10</v>
      </c>
      <c r="D270" s="159" t="s">
        <v>2418</v>
      </c>
      <c r="E270" s="787">
        <f ca="1">OFFSET('Data Parser'!$AD$1,MATCH(D270,'Data Parser'!AF:AF,0)-1,0)</f>
        <v>0.125</v>
      </c>
      <c r="F270" s="794">
        <f ca="1">IF(OFFSET('Data Parser'!$AE$1,MATCH(D270,'Data Parser'!AF:AF,0)-1,0),0,C270)</f>
        <v>10</v>
      </c>
      <c r="G270" s="789">
        <f t="shared" ca="1" si="13"/>
        <v>9.7087378640776698E-2</v>
      </c>
    </row>
    <row r="271" spans="2:7">
      <c r="C271" s="137"/>
      <c r="D271" s="772"/>
    </row>
    <row r="272" spans="2:7" ht="23.25">
      <c r="B272" s="793" t="s">
        <v>2525</v>
      </c>
      <c r="C272" s="793"/>
      <c r="D272" s="793"/>
      <c r="E272" s="793"/>
      <c r="F272" s="793"/>
      <c r="G272" s="793"/>
    </row>
    <row r="273" spans="2:7" ht="20.25">
      <c r="B273" s="795">
        <f ca="1">OFFSET('VA Front Page'!$F$11,MATCH(C273,'VA Front Page'!$C$12:$C$34,0),0)</f>
        <v>7</v>
      </c>
      <c r="C273" s="790" t="s">
        <v>248</v>
      </c>
      <c r="D273" s="790"/>
      <c r="E273" s="791">
        <f ca="1">SUMPRODUCT(E274:E282,G274:G282)</f>
        <v>0.76221605258210479</v>
      </c>
      <c r="G273" s="792">
        <f ca="1">SUM(G274:G282)</f>
        <v>1</v>
      </c>
    </row>
    <row r="274" spans="2:7">
      <c r="C274" s="785">
        <v>3</v>
      </c>
      <c r="D274" s="159" t="s">
        <v>2342</v>
      </c>
      <c r="E274" s="787">
        <f ca="1">OFFSET('Data Parser'!$AD$1,MATCH(D274,'Data Parser'!AF:AF,0)-1,0)</f>
        <v>0.77370561446908315</v>
      </c>
      <c r="F274" s="794">
        <f ca="1">IF(OFFSET('Data Parser'!$AE$1,MATCH(D274,'Data Parser'!AF:AF,0)-1,0),0,C274)</f>
        <v>3</v>
      </c>
      <c r="G274" s="789">
        <f ca="1">F274/SUM($F$274:$F$282)</f>
        <v>5.3571428571428568E-2</v>
      </c>
    </row>
    <row r="275" spans="2:7">
      <c r="C275" s="785">
        <v>3</v>
      </c>
      <c r="D275" s="159" t="s">
        <v>2343</v>
      </c>
      <c r="E275" s="787">
        <f ca="1">OFFSET('Data Parser'!$AD$1,MATCH(D275,'Data Parser'!AF:AF,0)-1,0)</f>
        <v>1</v>
      </c>
      <c r="F275" s="794">
        <f ca="1">IF(OFFSET('Data Parser'!$AE$1,MATCH(D275,'Data Parser'!AF:AF,0)-1,0),0,C275)</f>
        <v>3</v>
      </c>
      <c r="G275" s="789">
        <f t="shared" ref="G275:G282" ca="1" si="14">F275/SUM($F$274:$F$282)</f>
        <v>5.3571428571428568E-2</v>
      </c>
    </row>
    <row r="276" spans="2:7">
      <c r="C276" s="785">
        <v>10</v>
      </c>
      <c r="D276" s="159" t="s">
        <v>2421</v>
      </c>
      <c r="E276" s="787">
        <f ca="1">OFFSET('Data Parser'!$AD$1,MATCH(D276,'Data Parser'!AF:AF,0)-1,0)</f>
        <v>1</v>
      </c>
      <c r="F276" s="794">
        <f ca="1">IF(OFFSET('Data Parser'!$AE$1,MATCH(D276,'Data Parser'!AF:AF,0)-1,0),0,C276)</f>
        <v>10</v>
      </c>
      <c r="G276" s="789">
        <f t="shared" ca="1" si="14"/>
        <v>0.17857142857142858</v>
      </c>
    </row>
    <row r="277" spans="2:7">
      <c r="C277" s="785">
        <v>7</v>
      </c>
      <c r="D277" s="159" t="s">
        <v>2422</v>
      </c>
      <c r="E277" s="787">
        <f ca="1">OFFSET('Data Parser'!$AD$1,MATCH(D277,'Data Parser'!AF:AF,0)-1,0)</f>
        <v>0.125</v>
      </c>
      <c r="F277" s="794">
        <f ca="1">IF(OFFSET('Data Parser'!$AE$1,MATCH(D277,'Data Parser'!AF:AF,0)-1,0),0,C277)</f>
        <v>7</v>
      </c>
      <c r="G277" s="789">
        <f t="shared" ca="1" si="14"/>
        <v>0.125</v>
      </c>
    </row>
    <row r="278" spans="2:7">
      <c r="C278" s="785">
        <v>5</v>
      </c>
      <c r="D278" s="159" t="s">
        <v>2305</v>
      </c>
      <c r="E278" s="787">
        <f ca="1">OFFSET('Data Parser'!$AD$1,MATCH(D278,'Data Parser'!AF:AF,0)-1,0)</f>
        <v>0.63092975357145742</v>
      </c>
      <c r="F278" s="794">
        <f ca="1">IF(OFFSET('Data Parser'!$AE$1,MATCH(D278,'Data Parser'!AF:AF,0)-1,0),0,C278)</f>
        <v>5</v>
      </c>
      <c r="G278" s="789">
        <f t="shared" ca="1" si="14"/>
        <v>8.9285714285714288E-2</v>
      </c>
    </row>
    <row r="279" spans="2:7">
      <c r="C279" s="785">
        <v>7</v>
      </c>
      <c r="D279" s="159" t="s">
        <v>2304</v>
      </c>
      <c r="E279" s="787">
        <f ca="1">OFFSET('Data Parser'!$AD$1,MATCH(D279,'Data Parser'!AF:AF,0)-1,0)</f>
        <v>0.83333333333333326</v>
      </c>
      <c r="F279" s="794">
        <f ca="1">IF(OFFSET('Data Parser'!$AE$1,MATCH(D279,'Data Parser'!AF:AF,0)-1,0),0,C279)</f>
        <v>7</v>
      </c>
      <c r="G279" s="789">
        <f t="shared" ca="1" si="14"/>
        <v>0.125</v>
      </c>
    </row>
    <row r="280" spans="2:7">
      <c r="C280" s="785">
        <v>7</v>
      </c>
      <c r="D280" s="159" t="s">
        <v>2426</v>
      </c>
      <c r="E280" s="787">
        <f ca="1">OFFSET('Data Parser'!$AD$1,MATCH(D280,'Data Parser'!AF:AF,0)-1,0)</f>
        <v>1</v>
      </c>
      <c r="F280" s="794">
        <f ca="1">IF(OFFSET('Data Parser'!$AE$1,MATCH(D280,'Data Parser'!AF:AF,0)-1,0),0,C280)</f>
        <v>7</v>
      </c>
      <c r="G280" s="789">
        <f t="shared" ca="1" si="14"/>
        <v>0.125</v>
      </c>
    </row>
    <row r="281" spans="2:7">
      <c r="C281" s="785">
        <v>7</v>
      </c>
      <c r="D281" s="159" t="s">
        <v>2520</v>
      </c>
      <c r="E281" s="787">
        <f ca="1">OFFSET('Data Parser'!$AD$1,MATCH(D281,'Data Parser'!AF:AF,0)-1,0)</f>
        <v>0.66666666666666663</v>
      </c>
      <c r="F281" s="794">
        <f ca="1">IF(OFFSET('Data Parser'!$AE$1,MATCH(D281,'Data Parser'!AF:AF,0)-1,0),0,C281)</f>
        <v>7</v>
      </c>
      <c r="G281" s="789">
        <f t="shared" ca="1" si="14"/>
        <v>0.125</v>
      </c>
    </row>
    <row r="282" spans="2:7">
      <c r="C282" s="785">
        <v>7</v>
      </c>
      <c r="D282" s="159" t="s">
        <v>2508</v>
      </c>
      <c r="E282" s="787">
        <f ca="1">OFFSET('Data Parser'!$AD$1,MATCH(D282,'Data Parser'!AF:AF,0)-1,0)</f>
        <v>0.83333333333333326</v>
      </c>
      <c r="F282" s="794">
        <f ca="1">IF(OFFSET('Data Parser'!$AE$1,MATCH(D282,'Data Parser'!AF:AF,0)-1,0),0,C282)</f>
        <v>7</v>
      </c>
      <c r="G282" s="789">
        <f t="shared" ca="1" si="14"/>
        <v>0.125</v>
      </c>
    </row>
    <row r="283" spans="2:7">
      <c r="C283" s="137"/>
    </row>
    <row r="284" spans="2:7" ht="20.25">
      <c r="B284" s="795">
        <f ca="1">OFFSET('VA Front Page'!$F$11,MATCH(C284,'VA Front Page'!$C$12:$C$34,0),0)</f>
        <v>1</v>
      </c>
      <c r="C284" s="790" t="s">
        <v>245</v>
      </c>
      <c r="D284" s="790"/>
      <c r="E284" s="791">
        <f ca="1">SUMPRODUCT(E285:E287,G285:G287)</f>
        <v>0</v>
      </c>
      <c r="G284" s="792">
        <f ca="1">SUM(G285:G287)</f>
        <v>1</v>
      </c>
    </row>
    <row r="285" spans="2:7">
      <c r="C285" s="785">
        <v>5</v>
      </c>
      <c r="D285" s="159" t="s">
        <v>2347</v>
      </c>
      <c r="E285" s="787">
        <f ca="1">OFFSET('Data Parser'!$AD$1,MATCH(D285,'Data Parser'!AF:AF,0)-1,0)</f>
        <v>0</v>
      </c>
      <c r="F285" s="794">
        <f ca="1">IF(OFFSET('Data Parser'!$AE$1,MATCH(D285,'Data Parser'!AF:AF,0)-1,0),0,C285)</f>
        <v>5</v>
      </c>
      <c r="G285" s="789">
        <f ca="1">F285/SUM($F$285:$F$287)</f>
        <v>0.25</v>
      </c>
    </row>
    <row r="286" spans="2:7">
      <c r="C286" s="785">
        <v>5</v>
      </c>
      <c r="D286" s="159" t="s">
        <v>2348</v>
      </c>
      <c r="E286" s="787">
        <f ca="1">OFFSET('Data Parser'!$AD$1,MATCH(D286,'Data Parser'!AF:AF,0)-1,0)</f>
        <v>0</v>
      </c>
      <c r="F286" s="794">
        <f ca="1">IF(OFFSET('Data Parser'!$AE$1,MATCH(D286,'Data Parser'!AF:AF,0)-1,0),0,C286)</f>
        <v>5</v>
      </c>
      <c r="G286" s="789">
        <f t="shared" ref="G286:G287" ca="1" si="15">F286/SUM($F$285:$F$287)</f>
        <v>0.25</v>
      </c>
    </row>
    <row r="287" spans="2:7">
      <c r="C287" s="785">
        <v>10</v>
      </c>
      <c r="D287" s="159" t="s">
        <v>2420</v>
      </c>
      <c r="E287" s="787">
        <f ca="1">OFFSET('Data Parser'!$AD$1,MATCH(D287,'Data Parser'!AF:AF,0)-1,0)</f>
        <v>0</v>
      </c>
      <c r="F287" s="794">
        <f ca="1">IF(OFFSET('Data Parser'!$AE$1,MATCH(D287,'Data Parser'!AF:AF,0)-1,0),0,C287)</f>
        <v>10</v>
      </c>
      <c r="G287" s="789">
        <f t="shared" ca="1" si="15"/>
        <v>0.5</v>
      </c>
    </row>
    <row r="288" spans="2:7">
      <c r="C288" s="137"/>
    </row>
    <row r="289" spans="2:7" ht="20.25">
      <c r="B289" s="795">
        <f ca="1">OFFSET('VA Front Page'!$F$11,MATCH(C289,'VA Front Page'!$C$12:$C$34,0),0)</f>
        <v>8</v>
      </c>
      <c r="C289" s="790" t="s">
        <v>242</v>
      </c>
      <c r="D289" s="790"/>
      <c r="E289" s="791">
        <f ca="1">SUMPRODUCT(E290:E292,G290:G292)</f>
        <v>0.875</v>
      </c>
      <c r="G289" s="792">
        <f ca="1">SUM(G290:G292)</f>
        <v>1</v>
      </c>
    </row>
    <row r="290" spans="2:7">
      <c r="C290" s="785">
        <v>5</v>
      </c>
      <c r="D290" s="159" t="s">
        <v>2344</v>
      </c>
      <c r="E290" s="787">
        <f ca="1">OFFSET('Data Parser'!$AD$1,MATCH(D290,'Data Parser'!AF:AF,0)-1,0)</f>
        <v>1</v>
      </c>
      <c r="F290" s="794">
        <f ca="1">IF(OFFSET('Data Parser'!$AE$1,MATCH(D290,'Data Parser'!AF:AF,0)-1,0),0,C290)</f>
        <v>5</v>
      </c>
      <c r="G290" s="789">
        <f ca="1">F290/SUM($F$290:$F$292)</f>
        <v>0.25</v>
      </c>
    </row>
    <row r="291" spans="2:7">
      <c r="C291" s="785">
        <v>5</v>
      </c>
      <c r="D291" s="159" t="s">
        <v>2345</v>
      </c>
      <c r="E291" s="787">
        <f ca="1">OFFSET('Data Parser'!$AD$1,MATCH(D291,'Data Parser'!AF:AF,0)-1,0)</f>
        <v>1</v>
      </c>
      <c r="F291" s="794">
        <f ca="1">IF(OFFSET('Data Parser'!$AE$1,MATCH(D291,'Data Parser'!AF:AF,0)-1,0),0,C291)</f>
        <v>5</v>
      </c>
      <c r="G291" s="789">
        <f t="shared" ref="G291:G292" ca="1" si="16">F291/SUM($F$290:$F$292)</f>
        <v>0.25</v>
      </c>
    </row>
    <row r="292" spans="2:7">
      <c r="C292" s="785">
        <v>10</v>
      </c>
      <c r="D292" s="159" t="s">
        <v>2419</v>
      </c>
      <c r="E292" s="787">
        <f ca="1">OFFSET('Data Parser'!$AD$1,MATCH(D292,'Data Parser'!AF:AF,0)-1,0)</f>
        <v>0.75</v>
      </c>
      <c r="F292" s="794">
        <f ca="1">IF(OFFSET('Data Parser'!$AE$1,MATCH(D292,'Data Parser'!AF:AF,0)-1,0),0,C292)</f>
        <v>10</v>
      </c>
      <c r="G292" s="789">
        <f t="shared" ca="1" si="16"/>
        <v>0.5</v>
      </c>
    </row>
    <row r="293" spans="2:7">
      <c r="C293" s="137"/>
    </row>
    <row r="294" spans="2:7" ht="20.25">
      <c r="B294" s="795">
        <f ca="1">OFFSET('VA Front Page'!$F$11,MATCH(C294,'VA Front Page'!$C$12:$C$34,0),0)</f>
        <v>1</v>
      </c>
      <c r="C294" s="790" t="s">
        <v>240</v>
      </c>
      <c r="D294" s="790"/>
      <c r="E294" s="791">
        <f ca="1">SUMPRODUCT(E295:E297,G295:G297)</f>
        <v>0</v>
      </c>
      <c r="G294" s="792">
        <f ca="1">SUM(G295:G297)</f>
        <v>1</v>
      </c>
    </row>
    <row r="295" spans="2:7">
      <c r="C295" s="785">
        <v>10</v>
      </c>
      <c r="D295" s="159" t="s">
        <v>2423</v>
      </c>
      <c r="E295" s="787">
        <f ca="1">OFFSET('Data Parser'!$AD$1,MATCH(D295,'Data Parser'!AF:AF,0)-1,0)</f>
        <v>0</v>
      </c>
      <c r="F295" s="794">
        <f ca="1">IF(OFFSET('Data Parser'!$AE$1,MATCH(D295,'Data Parser'!AF:AF,0)-1,0),0,C295)</f>
        <v>10</v>
      </c>
      <c r="G295" s="789">
        <f ca="1">F295/SUM($F$295:$F$297)</f>
        <v>0.5</v>
      </c>
    </row>
    <row r="296" spans="2:7">
      <c r="C296" s="785">
        <v>5</v>
      </c>
      <c r="D296" s="788" t="s">
        <v>2529</v>
      </c>
      <c r="E296" s="787">
        <f ca="1">OFFSET('Data Parser'!$AD$1,MATCH(D296,'Data Parser'!AF:AF,0)-1,0)</f>
        <v>0</v>
      </c>
      <c r="F296" s="794">
        <f ca="1">IF(OFFSET('Data Parser'!$AE$1,MATCH(D296,'Data Parser'!AF:AF,0)-1,0),0,C296)</f>
        <v>5</v>
      </c>
      <c r="G296" s="789">
        <f t="shared" ref="G296:G297" ca="1" si="17">F296/SUM($F$295:$F$297)</f>
        <v>0.25</v>
      </c>
    </row>
    <row r="297" spans="2:7">
      <c r="C297" s="785">
        <v>5</v>
      </c>
      <c r="D297" s="788" t="s">
        <v>2530</v>
      </c>
      <c r="E297" s="787">
        <f ca="1">OFFSET('Data Parser'!$AD$1,MATCH(D297,'Data Parser'!AF:AF,0)-1,0)</f>
        <v>0</v>
      </c>
      <c r="F297" s="794">
        <f ca="1">IF(OFFSET('Data Parser'!$AE$1,MATCH(D297,'Data Parser'!AF:AF,0)-1,0),0,C297)</f>
        <v>5</v>
      </c>
      <c r="G297" s="789">
        <f t="shared" ca="1" si="17"/>
        <v>0.25</v>
      </c>
    </row>
    <row r="298" spans="2:7">
      <c r="C298" s="137"/>
    </row>
    <row r="299" spans="2:7" ht="23.25">
      <c r="B299" s="793" t="s">
        <v>781</v>
      </c>
      <c r="C299" s="793"/>
      <c r="D299" s="793"/>
      <c r="E299" s="793"/>
      <c r="F299" s="793"/>
      <c r="G299" s="793"/>
    </row>
    <row r="300" spans="2:7" ht="20.25">
      <c r="B300" s="795">
        <f>'VA Front Page'!F31</f>
        <v>5</v>
      </c>
      <c r="C300" s="790" t="s">
        <v>180</v>
      </c>
      <c r="D300" s="790"/>
      <c r="E300" s="791">
        <f ca="1">SUMPRODUCT(E301:E309,G301:G309)</f>
        <v>0.39920634920634923</v>
      </c>
      <c r="G300" s="792">
        <f ca="1">SUM(G301:G309)</f>
        <v>1</v>
      </c>
    </row>
    <row r="301" spans="2:7">
      <c r="C301" s="785">
        <v>7</v>
      </c>
      <c r="D301" s="159" t="s">
        <v>2353</v>
      </c>
      <c r="E301" s="787">
        <f ca="1">OFFSET('Data Parser'!$AD$1,MATCH(D301,'Data Parser'!AF:AF,0)-1,0)</f>
        <v>0.1</v>
      </c>
      <c r="F301" s="794">
        <f ca="1">IF(OFFSET('Data Parser'!$AE$1,MATCH(D301,'Data Parser'!AF:AF,0)-1,0),0,C301)</f>
        <v>7</v>
      </c>
      <c r="G301" s="789">
        <f ca="1">F301/SUM($F$301:$F$309)</f>
        <v>0.1111111111111111</v>
      </c>
    </row>
    <row r="302" spans="2:7">
      <c r="C302" s="785">
        <v>5</v>
      </c>
      <c r="D302" s="159" t="s">
        <v>2354</v>
      </c>
      <c r="E302" s="787">
        <f ca="1">OFFSET('Data Parser'!$AD$1,MATCH(D302,'Data Parser'!AF:AF,0)-1,0)</f>
        <v>0.5</v>
      </c>
      <c r="F302" s="794">
        <f ca="1">IF(OFFSET('Data Parser'!$AE$1,MATCH(D302,'Data Parser'!AF:AF,0)-1,0),0,C302)</f>
        <v>5</v>
      </c>
      <c r="G302" s="789">
        <f t="shared" ref="G302:G309" ca="1" si="18">F302/SUM($F$301:$F$309)</f>
        <v>7.9365079365079361E-2</v>
      </c>
    </row>
    <row r="303" spans="2:7">
      <c r="C303" s="785">
        <v>7</v>
      </c>
      <c r="D303" s="159" t="s">
        <v>2355</v>
      </c>
      <c r="E303" s="787">
        <f ca="1">OFFSET('Data Parser'!$AD$1,MATCH(D303,'Data Parser'!AF:AF,0)-1,0)</f>
        <v>0.25</v>
      </c>
      <c r="F303" s="794">
        <f ca="1">IF(OFFSET('Data Parser'!$AE$1,MATCH(D303,'Data Parser'!AF:AF,0)-1,0),0,C303)</f>
        <v>7</v>
      </c>
      <c r="G303" s="789">
        <f t="shared" ca="1" si="18"/>
        <v>0.1111111111111111</v>
      </c>
    </row>
    <row r="304" spans="2:7">
      <c r="C304" s="785">
        <v>7</v>
      </c>
      <c r="D304" s="159" t="s">
        <v>2356</v>
      </c>
      <c r="E304" s="787">
        <f ca="1">OFFSET('Data Parser'!$AD$1,MATCH(D304,'Data Parser'!AF:AF,0)-1,0)</f>
        <v>0.1</v>
      </c>
      <c r="F304" s="794">
        <f ca="1">IF(OFFSET('Data Parser'!$AE$1,MATCH(D304,'Data Parser'!AF:AF,0)-1,0),0,C304)</f>
        <v>7</v>
      </c>
      <c r="G304" s="789">
        <f t="shared" ca="1" si="18"/>
        <v>0.1111111111111111</v>
      </c>
    </row>
    <row r="305" spans="2:7">
      <c r="C305" s="785">
        <v>5</v>
      </c>
      <c r="D305" s="159" t="s">
        <v>2357</v>
      </c>
      <c r="E305" s="787">
        <f ca="1">OFFSET('Data Parser'!$AD$1,MATCH(D305,'Data Parser'!AF:AF,0)-1,0)</f>
        <v>0.75</v>
      </c>
      <c r="F305" s="794">
        <f ca="1">IF(OFFSET('Data Parser'!$AE$1,MATCH(D305,'Data Parser'!AF:AF,0)-1,0),0,C305)</f>
        <v>5</v>
      </c>
      <c r="G305" s="789">
        <f t="shared" ca="1" si="18"/>
        <v>7.9365079365079361E-2</v>
      </c>
    </row>
    <row r="306" spans="2:7">
      <c r="C306" s="785">
        <v>7</v>
      </c>
      <c r="D306" s="159" t="s">
        <v>2358</v>
      </c>
      <c r="E306" s="787">
        <f ca="1">OFFSET('Data Parser'!$AD$1,MATCH(D306,'Data Parser'!AF:AF,0)-1,0)</f>
        <v>0</v>
      </c>
      <c r="F306" s="794">
        <f ca="1">IF(OFFSET('Data Parser'!$AE$1,MATCH(D306,'Data Parser'!AF:AF,0)-1,0),0,C306)</f>
        <v>7</v>
      </c>
      <c r="G306" s="789">
        <f t="shared" ca="1" si="18"/>
        <v>0.1111111111111111</v>
      </c>
    </row>
    <row r="307" spans="2:7">
      <c r="C307" s="785">
        <v>5</v>
      </c>
      <c r="D307" s="159" t="s">
        <v>2359</v>
      </c>
      <c r="E307" s="787">
        <f ca="1">OFFSET('Data Parser'!$AD$1,MATCH(D307,'Data Parser'!AF:AF,0)-1,0)</f>
        <v>0.9</v>
      </c>
      <c r="F307" s="794">
        <f ca="1">IF(OFFSET('Data Parser'!$AE$1,MATCH(D307,'Data Parser'!AF:AF,0)-1,0),0,C307)</f>
        <v>5</v>
      </c>
      <c r="G307" s="789">
        <f t="shared" ca="1" si="18"/>
        <v>7.9365079365079361E-2</v>
      </c>
    </row>
    <row r="308" spans="2:7">
      <c r="C308" s="785">
        <v>10</v>
      </c>
      <c r="D308" s="159" t="s">
        <v>2531</v>
      </c>
      <c r="E308" s="787">
        <f ca="1">OFFSET('Data Parser'!$AD$1,MATCH(D308,'Data Parser'!AF:AF,0)-1,0)</f>
        <v>0.75</v>
      </c>
      <c r="F308" s="794">
        <f ca="1">IF(OFFSET('Data Parser'!$AE$1,MATCH(D308,'Data Parser'!AF:AF,0)-1,0),0,C308)</f>
        <v>10</v>
      </c>
      <c r="G308" s="789">
        <f t="shared" ca="1" si="18"/>
        <v>0.15873015873015872</v>
      </c>
    </row>
    <row r="309" spans="2:7">
      <c r="C309" s="785">
        <v>10</v>
      </c>
      <c r="D309" s="159" t="s">
        <v>2533</v>
      </c>
      <c r="E309" s="787">
        <f ca="1">OFFSET('Data Parser'!$AD$1,MATCH(D309,'Data Parser'!AF:AF,0)-1,0)</f>
        <v>0.375</v>
      </c>
      <c r="F309" s="794">
        <f ca="1">IF(OFFSET('Data Parser'!$AE$1,MATCH(D309,'Data Parser'!AF:AF,0)-1,0),0,C309)</f>
        <v>10</v>
      </c>
      <c r="G309" s="789">
        <f t="shared" ca="1" si="18"/>
        <v>0.15873015873015872</v>
      </c>
    </row>
    <row r="310" spans="2:7">
      <c r="C310" s="137"/>
      <c r="D310" s="772"/>
    </row>
    <row r="311" spans="2:7" ht="20.25">
      <c r="B311" s="795">
        <f ca="1">OFFSET('VA Front Page'!$F$11,MATCH(C311,'VA Front Page'!$C$12:$C$34,0),0)</f>
        <v>3</v>
      </c>
      <c r="C311" s="790" t="s">
        <v>190</v>
      </c>
      <c r="D311" s="790"/>
      <c r="E311" s="791">
        <f ca="1">SUMPRODUCT(E312:E320,G312:G320)</f>
        <v>0.63650793650793647</v>
      </c>
      <c r="G311" s="792">
        <f ca="1">SUM(G312:G320)</f>
        <v>1</v>
      </c>
    </row>
    <row r="312" spans="2:7">
      <c r="C312" s="785">
        <v>5</v>
      </c>
      <c r="D312" s="159" t="s">
        <v>2360</v>
      </c>
      <c r="E312" s="787">
        <f ca="1">OFFSET('Data Parser'!$AD$1,MATCH(D312,'Data Parser'!AF:AF,0)-1,0)</f>
        <v>1</v>
      </c>
      <c r="F312" s="794">
        <f ca="1">IF(OFFSET('Data Parser'!$AE$1,MATCH(D312,'Data Parser'!AF:AF,0)-1,0),0,C312)</f>
        <v>5</v>
      </c>
      <c r="G312" s="789">
        <f ca="1">F312/SUM($F$312:$F$320)</f>
        <v>7.9365079365079361E-2</v>
      </c>
    </row>
    <row r="313" spans="2:7">
      <c r="C313" s="785">
        <v>8</v>
      </c>
      <c r="D313" s="159" t="s">
        <v>2361</v>
      </c>
      <c r="E313" s="787">
        <f ca="1">OFFSET('Data Parser'!$AD$1,MATCH(D313,'Data Parser'!AF:AF,0)-1,0)</f>
        <v>1</v>
      </c>
      <c r="F313" s="794">
        <f ca="1">IF(OFFSET('Data Parser'!$AE$1,MATCH(D313,'Data Parser'!AF:AF,0)-1,0),0,C313)</f>
        <v>8</v>
      </c>
      <c r="G313" s="789">
        <f t="shared" ref="G313:G320" ca="1" si="19">F313/SUM($F$312:$F$320)</f>
        <v>0.12698412698412698</v>
      </c>
    </row>
    <row r="314" spans="2:7">
      <c r="C314" s="785">
        <v>8</v>
      </c>
      <c r="D314" s="159" t="s">
        <v>2362</v>
      </c>
      <c r="E314" s="787">
        <f ca="1">OFFSET('Data Parser'!$AD$1,MATCH(D314,'Data Parser'!AF:AF,0)-1,0)</f>
        <v>0</v>
      </c>
      <c r="F314" s="794">
        <f ca="1">IF(OFFSET('Data Parser'!$AE$1,MATCH(D314,'Data Parser'!AF:AF,0)-1,0),0,C314)</f>
        <v>8</v>
      </c>
      <c r="G314" s="789">
        <f t="shared" ca="1" si="19"/>
        <v>0.12698412698412698</v>
      </c>
    </row>
    <row r="315" spans="2:7">
      <c r="C315" s="785">
        <v>8</v>
      </c>
      <c r="D315" s="159" t="s">
        <v>2363</v>
      </c>
      <c r="E315" s="787">
        <f ca="1">OFFSET('Data Parser'!$AD$1,MATCH(D315,'Data Parser'!AF:AF,0)-1,0)</f>
        <v>1</v>
      </c>
      <c r="F315" s="794">
        <f ca="1">IF(OFFSET('Data Parser'!$AE$1,MATCH(D315,'Data Parser'!AF:AF,0)-1,0),0,C315)</f>
        <v>8</v>
      </c>
      <c r="G315" s="789">
        <f t="shared" ca="1" si="19"/>
        <v>0.12698412698412698</v>
      </c>
    </row>
    <row r="316" spans="2:7">
      <c r="C316" s="785">
        <v>6</v>
      </c>
      <c r="D316" s="159" t="s">
        <v>2364</v>
      </c>
      <c r="E316" s="787">
        <f ca="1">OFFSET('Data Parser'!$AD$1,MATCH(D316,'Data Parser'!AF:AF,0)-1,0)</f>
        <v>0.6</v>
      </c>
      <c r="F316" s="794">
        <f ca="1">IF(OFFSET('Data Parser'!$AE$1,MATCH(D316,'Data Parser'!AF:AF,0)-1,0),0,C316)</f>
        <v>6</v>
      </c>
      <c r="G316" s="789">
        <f t="shared" ca="1" si="19"/>
        <v>9.5238095238095233E-2</v>
      </c>
    </row>
    <row r="317" spans="2:7">
      <c r="C317" s="785">
        <v>6</v>
      </c>
      <c r="D317" s="159" t="s">
        <v>2365</v>
      </c>
      <c r="E317" s="787">
        <f ca="1">OFFSET('Data Parser'!$AD$1,MATCH(D317,'Data Parser'!AF:AF,0)-1,0)</f>
        <v>0.5</v>
      </c>
      <c r="F317" s="794">
        <f ca="1">IF(OFFSET('Data Parser'!$AE$1,MATCH(D317,'Data Parser'!AF:AF,0)-1,0),0,C317)</f>
        <v>6</v>
      </c>
      <c r="G317" s="789">
        <f t="shared" ca="1" si="19"/>
        <v>9.5238095238095233E-2</v>
      </c>
    </row>
    <row r="318" spans="2:7">
      <c r="C318" s="785">
        <v>6</v>
      </c>
      <c r="D318" s="159" t="s">
        <v>2366</v>
      </c>
      <c r="E318" s="787">
        <f ca="1">OFFSET('Data Parser'!$AD$1,MATCH(D318,'Data Parser'!AF:AF,0)-1,0)</f>
        <v>0.25</v>
      </c>
      <c r="F318" s="794">
        <f ca="1">IF(OFFSET('Data Parser'!$AE$1,MATCH(D318,'Data Parser'!AF:AF,0)-1,0),0,C318)</f>
        <v>6</v>
      </c>
      <c r="G318" s="789">
        <f t="shared" ca="1" si="19"/>
        <v>9.5238095238095233E-2</v>
      </c>
    </row>
    <row r="319" spans="2:7">
      <c r="C319" s="785">
        <v>6</v>
      </c>
      <c r="D319" s="159" t="s">
        <v>2367</v>
      </c>
      <c r="E319" s="787">
        <f ca="1">OFFSET('Data Parser'!$AD$1,MATCH(D319,'Data Parser'!AF:AF,0)-1,0)</f>
        <v>1</v>
      </c>
      <c r="F319" s="794">
        <f ca="1">IF(OFFSET('Data Parser'!$AE$1,MATCH(D319,'Data Parser'!AF:AF,0)-1,0),0,C319)</f>
        <v>6</v>
      </c>
      <c r="G319" s="789">
        <f t="shared" ca="1" si="19"/>
        <v>9.5238095238095233E-2</v>
      </c>
    </row>
    <row r="320" spans="2:7">
      <c r="C320" s="785">
        <v>10</v>
      </c>
      <c r="D320" s="159" t="s">
        <v>2424</v>
      </c>
      <c r="E320" s="787">
        <f ca="1">OFFSET('Data Parser'!$AD$1,MATCH(D320,'Data Parser'!AF:AF,0)-1,0)</f>
        <v>0.5</v>
      </c>
      <c r="F320" s="794">
        <f ca="1">IF(OFFSET('Data Parser'!$AE$1,MATCH(D320,'Data Parser'!AF:AF,0)-1,0),0,C320)</f>
        <v>10</v>
      </c>
      <c r="G320" s="789">
        <f t="shared" ca="1" si="19"/>
        <v>0.15873015873015872</v>
      </c>
    </row>
    <row r="321" spans="2:7">
      <c r="C321" s="137"/>
    </row>
    <row r="322" spans="2:7" ht="20.25">
      <c r="B322" s="795">
        <f ca="1">OFFSET('VA Front Page'!$F$11,MATCH(C322,'VA Front Page'!$C$12:$C$34,0),0)</f>
        <v>7</v>
      </c>
      <c r="C322" s="790" t="s">
        <v>199</v>
      </c>
      <c r="D322" s="790"/>
      <c r="E322" s="791">
        <f ca="1">SUMPRODUCT(E323:E331,G323:G331)</f>
        <v>0.30821917808219179</v>
      </c>
      <c r="G322" s="792">
        <f ca="1">SUM(G323:G331)</f>
        <v>1</v>
      </c>
    </row>
    <row r="323" spans="2:7">
      <c r="C323" s="785">
        <v>10</v>
      </c>
      <c r="D323" s="159" t="s">
        <v>2368</v>
      </c>
      <c r="E323" s="787">
        <f ca="1">OFFSET('Data Parser'!$AD$1,MATCH(D323,'Data Parser'!AF:AF,0)-1,0)</f>
        <v>0.5</v>
      </c>
      <c r="F323" s="794">
        <f ca="1">IF(OFFSET('Data Parser'!$AE$1,MATCH(D323,'Data Parser'!AF:AF,0)-1,0),0,C323)</f>
        <v>10</v>
      </c>
      <c r="G323" s="789">
        <f ca="1">F323/SUM($F$323:$F$331)</f>
        <v>0.13698630136986301</v>
      </c>
    </row>
    <row r="324" spans="2:7">
      <c r="C324" s="785">
        <v>10</v>
      </c>
      <c r="D324" s="159" t="s">
        <v>2369</v>
      </c>
      <c r="E324" s="787">
        <f ca="1">OFFSET('Data Parser'!$AD$1,MATCH(D324,'Data Parser'!AF:AF,0)-1,0)</f>
        <v>0.75</v>
      </c>
      <c r="F324" s="794">
        <f ca="1">IF(OFFSET('Data Parser'!$AE$1,MATCH(D324,'Data Parser'!AF:AF,0)-1,0),0,C324)</f>
        <v>10</v>
      </c>
      <c r="G324" s="789">
        <f t="shared" ref="G324:G331" ca="1" si="20">F324/SUM($F$323:$F$331)</f>
        <v>0.13698630136986301</v>
      </c>
    </row>
    <row r="325" spans="2:7">
      <c r="C325" s="785">
        <v>10</v>
      </c>
      <c r="D325" s="159" t="s">
        <v>2370</v>
      </c>
      <c r="E325" s="787">
        <f ca="1">OFFSET('Data Parser'!$AD$1,MATCH(D325,'Data Parser'!AF:AF,0)-1,0)</f>
        <v>0.5</v>
      </c>
      <c r="F325" s="794">
        <f ca="1">IF(OFFSET('Data Parser'!$AE$1,MATCH(D325,'Data Parser'!AF:AF,0)-1,0),0,C325)</f>
        <v>10</v>
      </c>
      <c r="G325" s="789">
        <f t="shared" ca="1" si="20"/>
        <v>0.13698630136986301</v>
      </c>
    </row>
    <row r="326" spans="2:7">
      <c r="C326" s="785">
        <v>10</v>
      </c>
      <c r="D326" s="159" t="s">
        <v>2371</v>
      </c>
      <c r="E326" s="787">
        <f ca="1">OFFSET('Data Parser'!$AD$1,MATCH(D326,'Data Parser'!AF:AF,0)-1,0)</f>
        <v>0</v>
      </c>
      <c r="F326" s="794">
        <f ca="1">IF(OFFSET('Data Parser'!$AE$1,MATCH(D326,'Data Parser'!AF:AF,0)-1,0),0,C326)</f>
        <v>10</v>
      </c>
      <c r="G326" s="789">
        <f t="shared" ca="1" si="20"/>
        <v>0.13698630136986301</v>
      </c>
    </row>
    <row r="327" spans="2:7">
      <c r="C327" s="785">
        <v>5</v>
      </c>
      <c r="D327" s="159" t="s">
        <v>2372</v>
      </c>
      <c r="E327" s="787">
        <f ca="1">OFFSET('Data Parser'!$AD$1,MATCH(D327,'Data Parser'!AF:AF,0)-1,0)</f>
        <v>0</v>
      </c>
      <c r="F327" s="794">
        <f ca="1">IF(OFFSET('Data Parser'!$AE$1,MATCH(D327,'Data Parser'!AF:AF,0)-1,0),0,C327)</f>
        <v>5</v>
      </c>
      <c r="G327" s="789">
        <f t="shared" ca="1" si="20"/>
        <v>6.8493150684931503E-2</v>
      </c>
    </row>
    <row r="328" spans="2:7">
      <c r="C328" s="785">
        <v>5</v>
      </c>
      <c r="D328" s="159" t="s">
        <v>2373</v>
      </c>
      <c r="E328" s="787">
        <f ca="1">OFFSET('Data Parser'!$AD$1,MATCH(D328,'Data Parser'!AF:AF,0)-1,0)</f>
        <v>0</v>
      </c>
      <c r="F328" s="794">
        <f ca="1">IF(OFFSET('Data Parser'!$AE$1,MATCH(D328,'Data Parser'!AF:AF,0)-1,0),0,C328)</f>
        <v>5</v>
      </c>
      <c r="G328" s="789">
        <f t="shared" ca="1" si="20"/>
        <v>6.8493150684931503E-2</v>
      </c>
    </row>
    <row r="329" spans="2:7">
      <c r="C329" s="785">
        <v>5</v>
      </c>
      <c r="D329" s="159" t="s">
        <v>2374</v>
      </c>
      <c r="E329" s="787">
        <f ca="1">OFFSET('Data Parser'!$AD$1,MATCH(D329,'Data Parser'!AF:AF,0)-1,0)</f>
        <v>0</v>
      </c>
      <c r="F329" s="794">
        <f ca="1">IF(OFFSET('Data Parser'!$AE$1,MATCH(D329,'Data Parser'!AF:AF,0)-1,0),0,C329)</f>
        <v>5</v>
      </c>
      <c r="G329" s="789">
        <f t="shared" ca="1" si="20"/>
        <v>6.8493150684931503E-2</v>
      </c>
    </row>
    <row r="330" spans="2:7">
      <c r="C330" s="785">
        <v>8</v>
      </c>
      <c r="D330" s="159" t="s">
        <v>2375</v>
      </c>
      <c r="E330" s="787">
        <f ca="1">OFFSET('Data Parser'!$AD$1,MATCH(D330,'Data Parser'!AF:AF,0)-1,0)</f>
        <v>0</v>
      </c>
      <c r="F330" s="794">
        <f ca="1">IF(OFFSET('Data Parser'!$AE$1,MATCH(D330,'Data Parser'!AF:AF,0)-1,0),0,C330)</f>
        <v>8</v>
      </c>
      <c r="G330" s="789">
        <f t="shared" ca="1" si="20"/>
        <v>0.1095890410958904</v>
      </c>
    </row>
    <row r="331" spans="2:7">
      <c r="C331" s="785">
        <v>10</v>
      </c>
      <c r="D331" s="159" t="s">
        <v>2532</v>
      </c>
      <c r="E331" s="787">
        <f ca="1">OFFSET('Data Parser'!$AD$1,MATCH(D331,'Data Parser'!AF:AF,0)-1,0)</f>
        <v>0.5</v>
      </c>
      <c r="F331" s="794">
        <f ca="1">IF(OFFSET('Data Parser'!$AE$1,MATCH(D331,'Data Parser'!AF:AF,0)-1,0),0,C331)</f>
        <v>10</v>
      </c>
      <c r="G331" s="789">
        <f t="shared" ca="1" si="20"/>
        <v>0.13698630136986301</v>
      </c>
    </row>
    <row r="332" spans="2:7">
      <c r="C332" s="137"/>
    </row>
    <row r="333" spans="2:7" ht="20.25">
      <c r="B333" s="795">
        <f ca="1">OFFSET('VA Front Page'!$F$11,MATCH(C333,'VA Front Page'!$C$12:$C$34,0),0)</f>
        <v>7</v>
      </c>
      <c r="C333" s="790" t="s">
        <v>204</v>
      </c>
      <c r="D333" s="790"/>
      <c r="E333" s="791">
        <f ca="1">SUMPRODUCT(E334:E345,G334:G345)</f>
        <v>0.59756097560975607</v>
      </c>
      <c r="G333" s="792">
        <f ca="1">SUM(G334:G345)</f>
        <v>1</v>
      </c>
    </row>
    <row r="334" spans="2:7">
      <c r="C334" s="785">
        <v>8</v>
      </c>
      <c r="D334" s="159" t="s">
        <v>2376</v>
      </c>
      <c r="E334" s="787">
        <f ca="1">OFFSET('Data Parser'!$AD$1,MATCH(D334,'Data Parser'!AF:AF,0)-1,0)</f>
        <v>1</v>
      </c>
      <c r="F334" s="794">
        <f ca="1">IF(OFFSET('Data Parser'!$AE$1,MATCH(D334,'Data Parser'!AF:AF,0)-1,0),0,C334)</f>
        <v>8</v>
      </c>
      <c r="G334" s="789">
        <f ca="1">F334/SUM($F$334:$F$345)</f>
        <v>9.7560975609756101E-2</v>
      </c>
    </row>
    <row r="335" spans="2:7">
      <c r="C335" s="785">
        <v>8</v>
      </c>
      <c r="D335" s="159" t="s">
        <v>2377</v>
      </c>
      <c r="E335" s="787">
        <f ca="1">OFFSET('Data Parser'!$AD$1,MATCH(D335,'Data Parser'!AF:AF,0)-1,0)</f>
        <v>1</v>
      </c>
      <c r="F335" s="794">
        <f ca="1">IF(OFFSET('Data Parser'!$AE$1,MATCH(D335,'Data Parser'!AF:AF,0)-1,0),0,C335)</f>
        <v>8</v>
      </c>
      <c r="G335" s="789">
        <f t="shared" ref="G335:G345" ca="1" si="21">F335/SUM($F$334:$F$345)</f>
        <v>9.7560975609756101E-2</v>
      </c>
    </row>
    <row r="336" spans="2:7">
      <c r="C336" s="785">
        <v>10</v>
      </c>
      <c r="D336" s="159" t="s">
        <v>2378</v>
      </c>
      <c r="E336" s="787">
        <f ca="1">OFFSET('Data Parser'!$AD$1,MATCH(D336,'Data Parser'!AF:AF,0)-1,0)</f>
        <v>0</v>
      </c>
      <c r="F336" s="794">
        <f ca="1">IF(OFFSET('Data Parser'!$AE$1,MATCH(D336,'Data Parser'!AF:AF,0)-1,0),0,C336)</f>
        <v>10</v>
      </c>
      <c r="G336" s="789">
        <f t="shared" ca="1" si="21"/>
        <v>0.12195121951219512</v>
      </c>
    </row>
    <row r="337" spans="3:7">
      <c r="C337" s="785">
        <v>5</v>
      </c>
      <c r="D337" s="159" t="s">
        <v>2379</v>
      </c>
      <c r="E337" s="787">
        <f ca="1">OFFSET('Data Parser'!$AD$1,MATCH(D337,'Data Parser'!AF:AF,0)-1,0)</f>
        <v>1</v>
      </c>
      <c r="F337" s="794">
        <f ca="1">IF(OFFSET('Data Parser'!$AE$1,MATCH(D337,'Data Parser'!AF:AF,0)-1,0),0,C337)</f>
        <v>5</v>
      </c>
      <c r="G337" s="789">
        <f t="shared" ca="1" si="21"/>
        <v>6.097560975609756E-2</v>
      </c>
    </row>
    <row r="338" spans="3:7">
      <c r="C338" s="785">
        <v>5</v>
      </c>
      <c r="D338" s="159" t="s">
        <v>2355</v>
      </c>
      <c r="E338" s="787">
        <f ca="1">OFFSET('Data Parser'!$AD$1,MATCH(D338,'Data Parser'!AF:AF,0)-1,0)</f>
        <v>0.25</v>
      </c>
      <c r="F338" s="794">
        <f ca="1">IF(OFFSET('Data Parser'!$AE$1,MATCH(D338,'Data Parser'!AF:AF,0)-1,0),0,C338)</f>
        <v>5</v>
      </c>
      <c r="G338" s="789">
        <f t="shared" ca="1" si="21"/>
        <v>6.097560975609756E-2</v>
      </c>
    </row>
    <row r="339" spans="3:7">
      <c r="C339" s="785">
        <v>5</v>
      </c>
      <c r="D339" s="159" t="s">
        <v>2356</v>
      </c>
      <c r="E339" s="787">
        <f ca="1">OFFSET('Data Parser'!$AD$1,MATCH(D339,'Data Parser'!AF:AF,0)-1,0)</f>
        <v>0.1</v>
      </c>
      <c r="F339" s="794">
        <f ca="1">IF(OFFSET('Data Parser'!$AE$1,MATCH(D339,'Data Parser'!AF:AF,0)-1,0),0,C339)</f>
        <v>5</v>
      </c>
      <c r="G339" s="789">
        <f t="shared" ca="1" si="21"/>
        <v>6.097560975609756E-2</v>
      </c>
    </row>
    <row r="340" spans="3:7">
      <c r="C340" s="785">
        <v>5</v>
      </c>
      <c r="D340" s="159" t="s">
        <v>2357</v>
      </c>
      <c r="E340" s="787">
        <f ca="1">OFFSET('Data Parser'!$AD$1,MATCH(D340,'Data Parser'!AF:AF,0)-1,0)</f>
        <v>0.75</v>
      </c>
      <c r="F340" s="794">
        <f ca="1">IF(OFFSET('Data Parser'!$AE$1,MATCH(D340,'Data Parser'!AF:AF,0)-1,0),0,C340)</f>
        <v>5</v>
      </c>
      <c r="G340" s="789">
        <f t="shared" ca="1" si="21"/>
        <v>6.097560975609756E-2</v>
      </c>
    </row>
    <row r="341" spans="3:7">
      <c r="C341" s="785">
        <v>5</v>
      </c>
      <c r="D341" s="159" t="s">
        <v>2358</v>
      </c>
      <c r="E341" s="787">
        <f ca="1">OFFSET('Data Parser'!$AD$1,MATCH(D341,'Data Parser'!AF:AF,0)-1,0)</f>
        <v>0</v>
      </c>
      <c r="F341" s="794">
        <f ca="1">IF(OFFSET('Data Parser'!$AE$1,MATCH(D341,'Data Parser'!AF:AF,0)-1,0),0,C341)</f>
        <v>5</v>
      </c>
      <c r="G341" s="789">
        <f t="shared" ca="1" si="21"/>
        <v>6.097560975609756E-2</v>
      </c>
    </row>
    <row r="342" spans="3:7">
      <c r="C342" s="785">
        <v>5</v>
      </c>
      <c r="D342" s="159" t="s">
        <v>2359</v>
      </c>
      <c r="E342" s="787">
        <f ca="1">OFFSET('Data Parser'!$AD$1,MATCH(D342,'Data Parser'!AF:AF,0)-1,0)</f>
        <v>0.9</v>
      </c>
      <c r="F342" s="794">
        <f ca="1">IF(OFFSET('Data Parser'!$AE$1,MATCH(D342,'Data Parser'!AF:AF,0)-1,0),0,C342)</f>
        <v>5</v>
      </c>
      <c r="G342" s="789">
        <f t="shared" ca="1" si="21"/>
        <v>6.097560975609756E-2</v>
      </c>
    </row>
    <row r="343" spans="3:7">
      <c r="C343" s="785">
        <v>8</v>
      </c>
      <c r="D343" s="159" t="s">
        <v>2360</v>
      </c>
      <c r="E343" s="787">
        <f ca="1">OFFSET('Data Parser'!$AD$1,MATCH(D343,'Data Parser'!AF:AF,0)-1,0)</f>
        <v>1</v>
      </c>
      <c r="F343" s="794">
        <f ca="1">IF(OFFSET('Data Parser'!$AE$1,MATCH(D343,'Data Parser'!AF:AF,0)-1,0),0,C343)</f>
        <v>8</v>
      </c>
      <c r="G343" s="789">
        <f t="shared" ca="1" si="21"/>
        <v>9.7560975609756101E-2</v>
      </c>
    </row>
    <row r="344" spans="3:7">
      <c r="C344" s="785">
        <v>8</v>
      </c>
      <c r="D344" s="159" t="s">
        <v>2362</v>
      </c>
      <c r="E344" s="787">
        <f ca="1">OFFSET('Data Parser'!$AD$1,MATCH(D344,'Data Parser'!AF:AF,0)-1,0)</f>
        <v>0</v>
      </c>
      <c r="F344" s="794">
        <f ca="1">IF(OFFSET('Data Parser'!$AE$1,MATCH(D344,'Data Parser'!AF:AF,0)-1,0),0,C344)</f>
        <v>8</v>
      </c>
      <c r="G344" s="789">
        <f t="shared" ca="1" si="21"/>
        <v>9.7560975609756101E-2</v>
      </c>
    </row>
    <row r="345" spans="3:7">
      <c r="C345" s="785">
        <v>10</v>
      </c>
      <c r="D345" s="159" t="s">
        <v>2534</v>
      </c>
      <c r="E345" s="787">
        <f ca="1">OFFSET('Data Parser'!$AD$1,MATCH(D345,'Data Parser'!AF:AF,0)-1,0)</f>
        <v>1</v>
      </c>
      <c r="F345" s="794">
        <f ca="1">IF(OFFSET('Data Parser'!$AE$1,MATCH(D345,'Data Parser'!AF:AF,0)-1,0),0,C345)</f>
        <v>10</v>
      </c>
      <c r="G345" s="789">
        <f t="shared" ca="1" si="21"/>
        <v>0.12195121951219512</v>
      </c>
    </row>
  </sheetData>
  <mergeCells count="22">
    <mergeCell ref="C300:D300"/>
    <mergeCell ref="C311:D311"/>
    <mergeCell ref="C322:D322"/>
    <mergeCell ref="C333:D333"/>
    <mergeCell ref="C211:D211"/>
    <mergeCell ref="C255:D255"/>
    <mergeCell ref="C273:D273"/>
    <mergeCell ref="C284:D284"/>
    <mergeCell ref="C289:D289"/>
    <mergeCell ref="C294:D294"/>
    <mergeCell ref="C155:D155"/>
    <mergeCell ref="C167:D167"/>
    <mergeCell ref="C176:D176"/>
    <mergeCell ref="C182:D182"/>
    <mergeCell ref="C188:D188"/>
    <mergeCell ref="C204:D204"/>
    <mergeCell ref="C4:D4"/>
    <mergeCell ref="C65:D65"/>
    <mergeCell ref="C88:D88"/>
    <mergeCell ref="C102:D102"/>
    <mergeCell ref="C117:D117"/>
    <mergeCell ref="C136:D136"/>
  </mergeCells>
  <conditionalFormatting sqref="D278">
    <cfRule type="expression" dxfId="170" priority="7">
      <formula>AND($AG278&lt;&gt;"",$AH278=0)</formula>
    </cfRule>
  </conditionalFormatting>
  <conditionalFormatting sqref="D279">
    <cfRule type="expression" dxfId="169" priority="6">
      <formula>AND($AG279&lt;&gt;"",$AH279=0)</formula>
    </cfRule>
  </conditionalFormatting>
  <conditionalFormatting sqref="D280">
    <cfRule type="expression" dxfId="168" priority="5">
      <formula>AND($AG280&lt;&gt;"",$AH280=0)</formula>
    </cfRule>
  </conditionalFormatting>
  <conditionalFormatting sqref="D281">
    <cfRule type="expression" dxfId="167" priority="4">
      <formula>AND($AG281&lt;&gt;"",$AH281=0)</formula>
    </cfRule>
  </conditionalFormatting>
  <conditionalFormatting sqref="D282">
    <cfRule type="expression" dxfId="166" priority="3">
      <formula>AND($AG282&lt;&gt;"",$AH282=0)</formula>
    </cfRule>
  </conditionalFormatting>
  <conditionalFormatting sqref="B176 B182 B204 B188 B211 B255 B273 B284 B289 B294 B300 B311 B322 B333 B167 B155 B136 B117 B102 B88 B65 B4">
    <cfRule type="colorScale" priority="2">
      <colorScale>
        <cfvo type="min"/>
        <cfvo type="percentile" val="50"/>
        <cfvo type="max"/>
        <color rgb="FFF8696B"/>
        <color rgb="FFFFEB84"/>
        <color rgb="FF63BE7B"/>
      </colorScale>
    </cfRule>
  </conditionalFormatting>
  <conditionalFormatting sqref="D137:D138">
    <cfRule type="expression" dxfId="165" priority="1">
      <formula>AND($AF137&lt;&gt;"",$AG137=0)</formula>
    </cfRule>
  </conditionalFormatting>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CECEC-5E8C-4DDD-897B-2EAFC9145A09}">
  <sheetPr>
    <tabColor theme="6" tint="0.79998168889431442"/>
  </sheetPr>
  <dimension ref="A1:F49"/>
  <sheetViews>
    <sheetView workbookViewId="0">
      <selection activeCell="C43" sqref="C43"/>
    </sheetView>
  </sheetViews>
  <sheetFormatPr defaultRowHeight="12.75"/>
  <cols>
    <col min="1" max="1" width="20" style="37" customWidth="1"/>
    <col min="2" max="2" width="86.5703125" style="37" customWidth="1"/>
    <col min="3" max="3" width="33.28515625" style="37" customWidth="1"/>
    <col min="4" max="4" width="16.85546875" style="37" customWidth="1"/>
    <col min="5" max="5" width="59.7109375" style="37" customWidth="1"/>
    <col min="6" max="6" width="27.28515625" style="37" customWidth="1"/>
    <col min="7" max="7" width="29.7109375" style="37" customWidth="1"/>
    <col min="8" max="16384" width="9.140625" style="37"/>
  </cols>
  <sheetData>
    <row r="1" spans="1:6" ht="20.25">
      <c r="A1" s="545" t="s">
        <v>1902</v>
      </c>
      <c r="B1" s="546"/>
      <c r="C1" s="546"/>
      <c r="D1" s="547"/>
      <c r="E1" s="527" t="s">
        <v>1907</v>
      </c>
      <c r="F1" s="517" t="s">
        <v>1953</v>
      </c>
    </row>
    <row r="2" spans="1:6" ht="13.5" thickBot="1">
      <c r="A2" s="548" t="s">
        <v>1434</v>
      </c>
      <c r="B2" s="549"/>
      <c r="C2" s="549"/>
      <c r="D2" s="550"/>
      <c r="E2" s="528"/>
      <c r="F2" s="517"/>
    </row>
    <row r="3" spans="1:6" ht="13.5" thickBot="1">
      <c r="A3" s="345" t="s">
        <v>1329</v>
      </c>
      <c r="B3" s="346" t="s">
        <v>4</v>
      </c>
      <c r="C3" s="347" t="s">
        <v>1343</v>
      </c>
      <c r="D3" s="348" t="s">
        <v>1308</v>
      </c>
      <c r="E3" s="528"/>
      <c r="F3" s="517"/>
    </row>
    <row r="4" spans="1:6">
      <c r="A4" s="541" t="s">
        <v>1540</v>
      </c>
      <c r="B4" s="165" t="s">
        <v>1439</v>
      </c>
      <c r="C4" s="165" t="s">
        <v>2104</v>
      </c>
      <c r="D4" s="166"/>
      <c r="E4" s="385" t="s">
        <v>1546</v>
      </c>
      <c r="F4" s="383" t="b">
        <v>1</v>
      </c>
    </row>
    <row r="5" spans="1:6" ht="25.5">
      <c r="A5" s="521"/>
      <c r="B5" s="240" t="s">
        <v>1912</v>
      </c>
      <c r="C5" s="316" t="s">
        <v>784</v>
      </c>
      <c r="D5" s="155"/>
      <c r="E5" s="384" t="s">
        <v>1338</v>
      </c>
      <c r="F5" s="383" t="b">
        <v>1</v>
      </c>
    </row>
    <row r="6" spans="1:6" ht="13.5" thickBot="1">
      <c r="A6" s="523"/>
      <c r="B6" s="172" t="s">
        <v>1539</v>
      </c>
      <c r="C6" s="170"/>
      <c r="D6" s="171"/>
      <c r="E6" s="385" t="s">
        <v>1393</v>
      </c>
      <c r="F6" s="383" t="b">
        <f>C5&lt;&gt;"Yes"</f>
        <v>0</v>
      </c>
    </row>
    <row r="7" spans="1:6" ht="12.75" customHeight="1">
      <c r="A7" s="563" t="s">
        <v>1938</v>
      </c>
      <c r="B7" s="165" t="s">
        <v>735</v>
      </c>
      <c r="C7" s="319">
        <v>4</v>
      </c>
      <c r="D7" s="166"/>
      <c r="E7" s="384" t="s">
        <v>1903</v>
      </c>
      <c r="F7" s="383" t="b">
        <v>1</v>
      </c>
    </row>
    <row r="8" spans="1:6">
      <c r="A8" s="564"/>
      <c r="B8" s="159" t="s">
        <v>736</v>
      </c>
      <c r="C8" s="316">
        <v>3</v>
      </c>
      <c r="D8" s="155"/>
      <c r="E8" s="384" t="s">
        <v>1903</v>
      </c>
      <c r="F8" s="383" t="b">
        <v>1</v>
      </c>
    </row>
    <row r="9" spans="1:6">
      <c r="A9" s="564"/>
      <c r="B9" s="99" t="s">
        <v>753</v>
      </c>
      <c r="C9" s="316" t="s">
        <v>1905</v>
      </c>
      <c r="D9" s="155"/>
      <c r="E9" s="384" t="s">
        <v>1903</v>
      </c>
      <c r="F9" s="383" t="b">
        <v>1</v>
      </c>
    </row>
    <row r="10" spans="1:6" ht="13.5" thickBot="1">
      <c r="A10" s="565"/>
      <c r="B10" s="172" t="s">
        <v>1919</v>
      </c>
      <c r="C10" s="317">
        <v>2</v>
      </c>
      <c r="D10" s="171"/>
      <c r="E10" s="384" t="s">
        <v>1903</v>
      </c>
      <c r="F10" s="383" t="b">
        <v>1</v>
      </c>
    </row>
    <row r="11" spans="1:6">
      <c r="A11" s="563" t="s">
        <v>89</v>
      </c>
      <c r="B11" s="165" t="s">
        <v>737</v>
      </c>
      <c r="C11" s="319">
        <v>2</v>
      </c>
      <c r="D11" s="166"/>
      <c r="E11" s="384" t="s">
        <v>1903</v>
      </c>
      <c r="F11" s="383" t="b">
        <v>1</v>
      </c>
    </row>
    <row r="12" spans="1:6">
      <c r="A12" s="564"/>
      <c r="B12" s="159" t="s">
        <v>738</v>
      </c>
      <c r="C12" s="316">
        <v>2</v>
      </c>
      <c r="D12" s="155"/>
      <c r="E12" s="384" t="s">
        <v>1903</v>
      </c>
      <c r="F12" s="383" t="b">
        <v>1</v>
      </c>
    </row>
    <row r="13" spans="1:6">
      <c r="A13" s="564"/>
      <c r="B13" s="159" t="s">
        <v>739</v>
      </c>
      <c r="C13" s="316">
        <v>4</v>
      </c>
      <c r="D13" s="155"/>
      <c r="E13" s="384" t="s">
        <v>1903</v>
      </c>
      <c r="F13" s="383" t="b">
        <v>1</v>
      </c>
    </row>
    <row r="14" spans="1:6">
      <c r="A14" s="564"/>
      <c r="B14" s="159" t="s">
        <v>741</v>
      </c>
      <c r="C14" s="316">
        <v>4</v>
      </c>
      <c r="D14" s="155"/>
      <c r="E14" s="384" t="s">
        <v>1903</v>
      </c>
      <c r="F14" s="383" t="b">
        <v>1</v>
      </c>
    </row>
    <row r="15" spans="1:6">
      <c r="A15" s="564"/>
      <c r="B15" s="159" t="s">
        <v>742</v>
      </c>
      <c r="C15" s="316" t="s">
        <v>1905</v>
      </c>
      <c r="D15" s="155"/>
      <c r="E15" s="384" t="s">
        <v>1903</v>
      </c>
      <c r="F15" s="383" t="b">
        <v>1</v>
      </c>
    </row>
    <row r="16" spans="1:6" ht="26.25" thickBot="1">
      <c r="A16" s="565"/>
      <c r="B16" s="245" t="s">
        <v>1917</v>
      </c>
      <c r="C16" s="317" t="s">
        <v>2105</v>
      </c>
      <c r="D16" s="171"/>
      <c r="E16" s="384" t="s">
        <v>1903</v>
      </c>
      <c r="F16" s="383" t="b">
        <v>1</v>
      </c>
    </row>
    <row r="17" spans="1:6">
      <c r="A17" s="563" t="s">
        <v>278</v>
      </c>
      <c r="B17" s="164" t="s">
        <v>748</v>
      </c>
      <c r="C17" s="319">
        <v>4</v>
      </c>
      <c r="D17" s="166"/>
      <c r="E17" s="384" t="s">
        <v>1903</v>
      </c>
      <c r="F17" s="383" t="b">
        <v>1</v>
      </c>
    </row>
    <row r="18" spans="1:6">
      <c r="A18" s="564"/>
      <c r="B18" s="99" t="s">
        <v>749</v>
      </c>
      <c r="C18" s="316">
        <v>3</v>
      </c>
      <c r="D18" s="155"/>
      <c r="E18" s="384" t="s">
        <v>1903</v>
      </c>
      <c r="F18" s="383" t="b">
        <v>1</v>
      </c>
    </row>
    <row r="19" spans="1:6">
      <c r="A19" s="564"/>
      <c r="B19" s="99" t="s">
        <v>750</v>
      </c>
      <c r="C19" s="316">
        <v>2</v>
      </c>
      <c r="D19" s="155"/>
      <c r="E19" s="384" t="s">
        <v>1903</v>
      </c>
      <c r="F19" s="383" t="b">
        <v>1</v>
      </c>
    </row>
    <row r="20" spans="1:6">
      <c r="A20" s="564"/>
      <c r="B20" s="99" t="s">
        <v>751</v>
      </c>
      <c r="C20" s="316" t="s">
        <v>1905</v>
      </c>
      <c r="D20" s="155"/>
      <c r="E20" s="384" t="s">
        <v>1903</v>
      </c>
      <c r="F20" s="383" t="b">
        <v>1</v>
      </c>
    </row>
    <row r="21" spans="1:6">
      <c r="A21" s="564"/>
      <c r="B21" s="159" t="s">
        <v>1918</v>
      </c>
      <c r="C21" s="316">
        <v>4</v>
      </c>
      <c r="D21" s="155"/>
      <c r="E21" s="384" t="s">
        <v>1903</v>
      </c>
      <c r="F21" s="383" t="b">
        <v>1</v>
      </c>
    </row>
    <row r="22" spans="1:6">
      <c r="A22" s="564"/>
      <c r="B22" s="99" t="s">
        <v>754</v>
      </c>
      <c r="C22" s="316">
        <v>2</v>
      </c>
      <c r="D22" s="155"/>
      <c r="E22" s="384" t="s">
        <v>1903</v>
      </c>
      <c r="F22" s="383" t="b">
        <v>1</v>
      </c>
    </row>
    <row r="23" spans="1:6">
      <c r="A23" s="564"/>
      <c r="B23" s="159" t="s">
        <v>1935</v>
      </c>
      <c r="C23" s="316">
        <v>3</v>
      </c>
      <c r="D23" s="155"/>
      <c r="E23" s="384" t="s">
        <v>1903</v>
      </c>
      <c r="F23" s="383" t="b">
        <v>1</v>
      </c>
    </row>
    <row r="24" spans="1:6">
      <c r="A24" s="564"/>
      <c r="B24" s="99" t="s">
        <v>764</v>
      </c>
      <c r="C24" s="316">
        <v>4</v>
      </c>
      <c r="D24" s="155"/>
      <c r="E24" s="384" t="s">
        <v>1903</v>
      </c>
      <c r="F24" s="383" t="b">
        <v>1</v>
      </c>
    </row>
    <row r="25" spans="1:6">
      <c r="A25" s="564"/>
      <c r="B25" s="159" t="s">
        <v>1936</v>
      </c>
      <c r="C25" s="316">
        <v>3</v>
      </c>
      <c r="D25" s="155"/>
      <c r="E25" s="384" t="s">
        <v>1903</v>
      </c>
      <c r="F25" s="383" t="b">
        <v>1</v>
      </c>
    </row>
    <row r="26" spans="1:6">
      <c r="A26" s="564"/>
      <c r="B26" s="159" t="s">
        <v>1937</v>
      </c>
      <c r="C26" s="316">
        <v>3</v>
      </c>
      <c r="D26" s="155"/>
      <c r="E26" s="384" t="s">
        <v>1903</v>
      </c>
      <c r="F26" s="383" t="b">
        <v>1</v>
      </c>
    </row>
    <row r="27" spans="1:6">
      <c r="A27" s="564"/>
      <c r="B27" s="99" t="s">
        <v>767</v>
      </c>
      <c r="C27" s="316">
        <v>3</v>
      </c>
      <c r="D27" s="155"/>
      <c r="E27" s="384" t="s">
        <v>1903</v>
      </c>
      <c r="F27" s="383" t="b">
        <v>1</v>
      </c>
    </row>
    <row r="28" spans="1:6">
      <c r="A28" s="564"/>
      <c r="B28" s="99" t="s">
        <v>768</v>
      </c>
      <c r="C28" s="316" t="s">
        <v>1905</v>
      </c>
      <c r="D28" s="155"/>
      <c r="E28" s="384" t="s">
        <v>1903</v>
      </c>
      <c r="F28" s="383" t="b">
        <v>1</v>
      </c>
    </row>
    <row r="29" spans="1:6">
      <c r="A29" s="564"/>
      <c r="B29" s="99" t="s">
        <v>769</v>
      </c>
      <c r="C29" s="316" t="s">
        <v>1905</v>
      </c>
      <c r="D29" s="155"/>
      <c r="E29" s="384" t="s">
        <v>1903</v>
      </c>
      <c r="F29" s="383" t="b">
        <v>1</v>
      </c>
    </row>
    <row r="30" spans="1:6">
      <c r="A30" s="564"/>
      <c r="B30" s="99" t="s">
        <v>770</v>
      </c>
      <c r="C30" s="316" t="s">
        <v>1905</v>
      </c>
      <c r="D30" s="155"/>
      <c r="E30" s="384" t="s">
        <v>1903</v>
      </c>
      <c r="F30" s="383" t="b">
        <v>1</v>
      </c>
    </row>
    <row r="31" spans="1:6">
      <c r="A31" s="564"/>
      <c r="B31" s="99" t="s">
        <v>771</v>
      </c>
      <c r="C31" s="316" t="s">
        <v>1905</v>
      </c>
      <c r="D31" s="155"/>
      <c r="E31" s="384" t="s">
        <v>1903</v>
      </c>
      <c r="F31" s="383" t="b">
        <v>1</v>
      </c>
    </row>
    <row r="32" spans="1:6" ht="13.5" thickBot="1">
      <c r="A32" s="565"/>
      <c r="B32" s="172" t="s">
        <v>1948</v>
      </c>
      <c r="C32" s="317" t="s">
        <v>1904</v>
      </c>
      <c r="D32" s="171"/>
      <c r="E32" s="384" t="s">
        <v>1903</v>
      </c>
      <c r="F32" s="383" t="b">
        <v>1</v>
      </c>
    </row>
    <row r="33" spans="1:6">
      <c r="A33" s="563" t="s">
        <v>169</v>
      </c>
      <c r="B33" s="165" t="s">
        <v>1939</v>
      </c>
      <c r="C33" s="319" t="s">
        <v>1905</v>
      </c>
      <c r="D33" s="166"/>
      <c r="E33" s="456" t="s">
        <v>1903</v>
      </c>
      <c r="F33" s="383" t="b">
        <v>1</v>
      </c>
    </row>
    <row r="34" spans="1:6">
      <c r="A34" s="564"/>
      <c r="B34" s="159" t="s">
        <v>1940</v>
      </c>
      <c r="C34" s="316">
        <v>2</v>
      </c>
      <c r="D34" s="155"/>
      <c r="E34" s="457" t="s">
        <v>1903</v>
      </c>
      <c r="F34" s="383" t="b">
        <v>1</v>
      </c>
    </row>
    <row r="35" spans="1:6">
      <c r="A35" s="564"/>
      <c r="B35" s="159" t="s">
        <v>1941</v>
      </c>
      <c r="C35" s="316">
        <v>4</v>
      </c>
      <c r="D35" s="155"/>
      <c r="E35" s="457" t="s">
        <v>1903</v>
      </c>
      <c r="F35" s="383" t="b">
        <v>1</v>
      </c>
    </row>
    <row r="36" spans="1:6">
      <c r="A36" s="564"/>
      <c r="B36" s="159" t="s">
        <v>1949</v>
      </c>
      <c r="C36" s="316" t="s">
        <v>2105</v>
      </c>
      <c r="D36" s="155"/>
      <c r="E36" s="457" t="s">
        <v>1903</v>
      </c>
      <c r="F36" s="383" t="b">
        <v>1</v>
      </c>
    </row>
    <row r="37" spans="1:6" ht="13.5" thickBot="1">
      <c r="A37" s="565"/>
      <c r="B37" s="172" t="s">
        <v>1942</v>
      </c>
      <c r="C37" s="411" t="s">
        <v>783</v>
      </c>
      <c r="D37" s="171"/>
      <c r="E37" s="458" t="s">
        <v>1338</v>
      </c>
      <c r="F37" s="383" t="b">
        <v>1</v>
      </c>
    </row>
    <row r="38" spans="1:6">
      <c r="A38" s="566" t="s">
        <v>1943</v>
      </c>
      <c r="B38" s="239" t="s">
        <v>1944</v>
      </c>
      <c r="C38" s="331">
        <v>2</v>
      </c>
      <c r="D38" s="300"/>
      <c r="E38" s="384" t="s">
        <v>1903</v>
      </c>
      <c r="F38" s="383" t="b">
        <v>1</v>
      </c>
    </row>
    <row r="39" spans="1:6">
      <c r="A39" s="564"/>
      <c r="B39" s="159" t="s">
        <v>1945</v>
      </c>
      <c r="C39" s="316">
        <v>4</v>
      </c>
      <c r="D39" s="155"/>
      <c r="E39" s="384" t="s">
        <v>1903</v>
      </c>
      <c r="F39" s="383" t="b">
        <v>1</v>
      </c>
    </row>
    <row r="40" spans="1:6">
      <c r="A40" s="564"/>
      <c r="B40" s="159" t="s">
        <v>1946</v>
      </c>
      <c r="C40" s="316">
        <v>4</v>
      </c>
      <c r="D40" s="155"/>
      <c r="E40" s="384" t="s">
        <v>1903</v>
      </c>
      <c r="F40" s="383" t="b">
        <v>1</v>
      </c>
    </row>
    <row r="41" spans="1:6">
      <c r="A41" s="564"/>
      <c r="B41" s="159" t="s">
        <v>1947</v>
      </c>
      <c r="C41" s="316" t="s">
        <v>1905</v>
      </c>
      <c r="D41" s="155"/>
      <c r="E41" s="384" t="s">
        <v>1903</v>
      </c>
      <c r="F41" s="383" t="b">
        <v>1</v>
      </c>
    </row>
    <row r="42" spans="1:6" ht="13.5" thickBot="1">
      <c r="A42" s="565"/>
      <c r="B42" s="172" t="s">
        <v>1951</v>
      </c>
      <c r="C42" s="317">
        <v>3</v>
      </c>
      <c r="D42" s="171"/>
      <c r="E42" s="384" t="s">
        <v>1903</v>
      </c>
      <c r="F42" s="383" t="b">
        <v>1</v>
      </c>
    </row>
    <row r="43" spans="1:6" ht="13.5" thickBot="1">
      <c r="A43" s="321" t="s">
        <v>1900</v>
      </c>
      <c r="B43" s="356" t="s">
        <v>1901</v>
      </c>
      <c r="C43" s="373" t="s">
        <v>784</v>
      </c>
      <c r="D43" s="353"/>
      <c r="E43" s="384" t="s">
        <v>1338</v>
      </c>
      <c r="F43" s="383" t="b">
        <v>1</v>
      </c>
    </row>
    <row r="44" spans="1:6" ht="13.5" thickBot="1"/>
    <row r="45" spans="1:6" ht="21" thickBot="1">
      <c r="A45" s="524" t="s">
        <v>2003</v>
      </c>
      <c r="B45" s="525"/>
      <c r="C45" s="525"/>
      <c r="D45" s="526"/>
    </row>
    <row r="46" spans="1:6">
      <c r="A46" s="518" t="s">
        <v>1684</v>
      </c>
      <c r="B46" s="519"/>
      <c r="C46" s="519"/>
      <c r="D46" s="520"/>
    </row>
    <row r="47" spans="1:6">
      <c r="A47" s="243" t="s">
        <v>1329</v>
      </c>
      <c r="B47" s="243" t="s">
        <v>4</v>
      </c>
      <c r="C47" s="315" t="s">
        <v>1343</v>
      </c>
      <c r="D47" s="243" t="s">
        <v>1308</v>
      </c>
    </row>
    <row r="48" spans="1:6">
      <c r="A48" s="543" t="s">
        <v>1983</v>
      </c>
      <c r="B48" s="159" t="s">
        <v>1985</v>
      </c>
      <c r="C48" s="316" t="s">
        <v>784</v>
      </c>
      <c r="D48" s="159"/>
      <c r="E48" s="349" t="s">
        <v>1338</v>
      </c>
      <c r="F48" s="383" t="b">
        <v>1</v>
      </c>
    </row>
    <row r="49" spans="1:6">
      <c r="A49" s="544"/>
      <c r="B49" s="159" t="s">
        <v>1984</v>
      </c>
      <c r="C49" s="350">
        <v>1000</v>
      </c>
      <c r="D49" s="99"/>
      <c r="E49" s="382" t="s">
        <v>1619</v>
      </c>
      <c r="F49" s="383" t="b">
        <v>1</v>
      </c>
    </row>
  </sheetData>
  <mergeCells count="13">
    <mergeCell ref="A7:A10"/>
    <mergeCell ref="A1:D1"/>
    <mergeCell ref="E1:E3"/>
    <mergeCell ref="F1:F3"/>
    <mergeCell ref="A2:D2"/>
    <mergeCell ref="A4:A6"/>
    <mergeCell ref="A48:A49"/>
    <mergeCell ref="A11:A16"/>
    <mergeCell ref="A17:A32"/>
    <mergeCell ref="A33:A37"/>
    <mergeCell ref="A38:A42"/>
    <mergeCell ref="A45:D45"/>
    <mergeCell ref="A46:D46"/>
  </mergeCells>
  <conditionalFormatting sqref="F4:F5 F7:F43">
    <cfRule type="cellIs" dxfId="74" priority="5" operator="equal">
      <formula>TRUE</formula>
    </cfRule>
  </conditionalFormatting>
  <conditionalFormatting sqref="F48:F49">
    <cfRule type="cellIs" dxfId="73" priority="4" operator="equal">
      <formula>TRUE</formula>
    </cfRule>
  </conditionalFormatting>
  <conditionalFormatting sqref="F6">
    <cfRule type="cellIs" dxfId="72" priority="2" operator="equal">
      <formula>TRUE</formula>
    </cfRule>
  </conditionalFormatting>
  <conditionalFormatting sqref="A4:D43">
    <cfRule type="expression" dxfId="71" priority="1">
      <formula>$F4=FALSE</formula>
    </cfRule>
  </conditionalFormatting>
  <dataValidations count="2">
    <dataValidation type="list" allowBlank="1" showInputMessage="1" showErrorMessage="1" sqref="C5 C48 C7:C43" xr:uid="{FCD874C8-EE6A-498B-976D-2E54800C37B7}">
      <formula1>INDIRECT($E5)</formula1>
    </dataValidation>
    <dataValidation type="whole" operator="greaterThanOrEqual" allowBlank="1" showInputMessage="1" showErrorMessage="1" sqref="C49" xr:uid="{0BE90882-47CC-4309-9271-4A8A1B787D8D}">
      <formula1>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C9EE-92EE-49FC-8A7C-63E1E7F3D9A4}">
  <sheetPr>
    <tabColor theme="4" tint="0.79998168889431442"/>
  </sheetPr>
  <dimension ref="A1:G53"/>
  <sheetViews>
    <sheetView workbookViewId="0">
      <selection activeCell="C41" sqref="C41"/>
    </sheetView>
  </sheetViews>
  <sheetFormatPr defaultRowHeight="12.75"/>
  <cols>
    <col min="1" max="1" width="20" style="37" customWidth="1"/>
    <col min="2" max="2" width="86.5703125" style="37" customWidth="1"/>
    <col min="3" max="3" width="33.28515625" style="314" customWidth="1"/>
    <col min="4" max="4" width="16.85546875" style="37" customWidth="1"/>
    <col min="5" max="5" width="32" style="37" customWidth="1"/>
    <col min="6" max="6" width="17.42578125" style="37" customWidth="1"/>
    <col min="7" max="16384" width="9.140625" style="37"/>
  </cols>
  <sheetData>
    <row r="1" spans="1:7" ht="20.25" customHeight="1">
      <c r="A1" s="555" t="s">
        <v>1446</v>
      </c>
      <c r="B1" s="556"/>
      <c r="C1" s="556"/>
      <c r="D1" s="557"/>
      <c r="E1" s="552" t="s">
        <v>1907</v>
      </c>
      <c r="F1" s="517" t="s">
        <v>1953</v>
      </c>
    </row>
    <row r="2" spans="1:7" ht="40.5" customHeight="1" thickBot="1">
      <c r="A2" s="558" t="s">
        <v>1469</v>
      </c>
      <c r="B2" s="559"/>
      <c r="C2" s="559"/>
      <c r="D2" s="560"/>
      <c r="E2" s="553"/>
      <c r="F2" s="517"/>
    </row>
    <row r="3" spans="1:7">
      <c r="A3" s="336" t="s">
        <v>1329</v>
      </c>
      <c r="B3" s="337" t="s">
        <v>4</v>
      </c>
      <c r="C3" s="337" t="s">
        <v>1343</v>
      </c>
      <c r="D3" s="338" t="s">
        <v>1308</v>
      </c>
      <c r="E3" s="553"/>
      <c r="F3" s="517"/>
    </row>
    <row r="4" spans="1:7">
      <c r="A4" s="341" t="s">
        <v>1407</v>
      </c>
      <c r="B4" s="159" t="s">
        <v>1428</v>
      </c>
      <c r="C4" s="308" t="s">
        <v>2106</v>
      </c>
      <c r="D4" s="155"/>
      <c r="E4" s="385" t="s">
        <v>1546</v>
      </c>
      <c r="F4" s="383" t="b">
        <v>1</v>
      </c>
      <c r="G4" s="102"/>
    </row>
    <row r="5" spans="1:7">
      <c r="A5" s="322"/>
      <c r="B5" s="159" t="s">
        <v>1411</v>
      </c>
      <c r="C5" s="303" t="s">
        <v>2211</v>
      </c>
      <c r="D5" s="155"/>
      <c r="E5" s="385" t="s">
        <v>1546</v>
      </c>
      <c r="F5" s="383" t="b">
        <v>1</v>
      </c>
      <c r="G5" s="102"/>
    </row>
    <row r="6" spans="1:7">
      <c r="A6" s="322"/>
      <c r="B6" s="339" t="s">
        <v>1452</v>
      </c>
      <c r="C6" s="303" t="s">
        <v>2212</v>
      </c>
      <c r="D6" s="293"/>
      <c r="E6" s="385" t="s">
        <v>1393</v>
      </c>
      <c r="F6" s="383" t="b">
        <v>1</v>
      </c>
    </row>
    <row r="7" spans="1:7">
      <c r="A7" s="322"/>
      <c r="B7" s="339" t="s">
        <v>1670</v>
      </c>
      <c r="C7" s="308"/>
      <c r="D7" s="293"/>
      <c r="E7" s="385" t="s">
        <v>1393</v>
      </c>
      <c r="F7" s="383" t="b">
        <v>1</v>
      </c>
    </row>
    <row r="8" spans="1:7">
      <c r="A8" s="322"/>
      <c r="B8" s="339" t="s">
        <v>1669</v>
      </c>
      <c r="C8" s="308"/>
      <c r="D8" s="293"/>
      <c r="E8" s="385" t="s">
        <v>1393</v>
      </c>
      <c r="F8" s="383" t="b">
        <v>1</v>
      </c>
    </row>
    <row r="9" spans="1:7">
      <c r="A9" s="322"/>
      <c r="B9" s="339" t="s">
        <v>1454</v>
      </c>
      <c r="C9" s="311" t="s">
        <v>1456</v>
      </c>
      <c r="D9" s="293"/>
      <c r="E9" s="386" t="s">
        <v>1460</v>
      </c>
      <c r="F9" s="383" t="b">
        <v>1</v>
      </c>
    </row>
    <row r="10" spans="1:7" ht="26.25" customHeight="1" thickBot="1">
      <c r="A10" s="323"/>
      <c r="B10" s="245" t="s">
        <v>1408</v>
      </c>
      <c r="C10" s="307" t="s">
        <v>1299</v>
      </c>
      <c r="D10" s="171"/>
      <c r="E10" s="384" t="s">
        <v>1316</v>
      </c>
      <c r="F10" s="383" t="b">
        <v>1</v>
      </c>
      <c r="G10" s="102"/>
    </row>
    <row r="11" spans="1:7">
      <c r="A11" s="531" t="s">
        <v>1453</v>
      </c>
      <c r="B11" s="159" t="s">
        <v>1412</v>
      </c>
      <c r="C11" s="303" t="s">
        <v>2213</v>
      </c>
      <c r="D11" s="155"/>
      <c r="E11" s="385" t="s">
        <v>1546</v>
      </c>
      <c r="F11" s="383" t="b">
        <v>1</v>
      </c>
    </row>
    <row r="12" spans="1:7">
      <c r="A12" s="532"/>
      <c r="B12" s="159" t="s">
        <v>1413</v>
      </c>
      <c r="C12" s="308" t="s">
        <v>2051</v>
      </c>
      <c r="D12" s="155"/>
      <c r="E12" s="385" t="s">
        <v>1546</v>
      </c>
      <c r="F12" s="383" t="b">
        <v>1</v>
      </c>
    </row>
    <row r="13" spans="1:7">
      <c r="A13" s="532"/>
      <c r="B13" s="159" t="s">
        <v>1414</v>
      </c>
      <c r="C13" s="303" t="s">
        <v>2214</v>
      </c>
      <c r="D13" s="155"/>
      <c r="E13" s="385" t="s">
        <v>1393</v>
      </c>
      <c r="F13" s="383" t="b">
        <v>1</v>
      </c>
    </row>
    <row r="14" spans="1:7" ht="13.5" thickBot="1">
      <c r="A14" s="533"/>
      <c r="B14" s="339" t="s">
        <v>1416</v>
      </c>
      <c r="C14" s="306" t="s">
        <v>2108</v>
      </c>
      <c r="D14" s="293"/>
      <c r="E14" s="386" t="s">
        <v>1417</v>
      </c>
      <c r="F14" s="383" t="b">
        <v>1</v>
      </c>
    </row>
    <row r="15" spans="1:7">
      <c r="A15" s="531" t="s">
        <v>1415</v>
      </c>
      <c r="B15" s="165" t="s">
        <v>1419</v>
      </c>
      <c r="C15" s="305" t="s">
        <v>2109</v>
      </c>
      <c r="D15" s="166"/>
      <c r="E15" s="385" t="s">
        <v>1393</v>
      </c>
      <c r="F15" s="383" t="b">
        <v>1</v>
      </c>
    </row>
    <row r="16" spans="1:7">
      <c r="A16" s="532"/>
      <c r="B16" s="239" t="s">
        <v>1461</v>
      </c>
      <c r="C16" s="313" t="s">
        <v>2110</v>
      </c>
      <c r="D16" s="300"/>
      <c r="E16" s="385" t="s">
        <v>1393</v>
      </c>
      <c r="F16" s="383" t="b">
        <v>1</v>
      </c>
    </row>
    <row r="17" spans="1:7">
      <c r="A17" s="532"/>
      <c r="B17" s="159" t="s">
        <v>1462</v>
      </c>
      <c r="C17" s="308" t="s">
        <v>2111</v>
      </c>
      <c r="D17" s="155"/>
      <c r="E17" s="385" t="s">
        <v>1393</v>
      </c>
      <c r="F17" s="383" t="b">
        <v>1</v>
      </c>
      <c r="G17" s="102"/>
    </row>
    <row r="18" spans="1:7" ht="25.5">
      <c r="A18" s="532"/>
      <c r="B18" s="416" t="s">
        <v>2034</v>
      </c>
      <c r="C18" s="311" t="s">
        <v>1421</v>
      </c>
      <c r="D18" s="293"/>
      <c r="E18" s="386" t="s">
        <v>1420</v>
      </c>
      <c r="F18" s="383" t="b">
        <v>1</v>
      </c>
    </row>
    <row r="19" spans="1:7">
      <c r="A19" s="532"/>
      <c r="B19" s="415" t="s">
        <v>2035</v>
      </c>
      <c r="C19" s="311" t="s">
        <v>1423</v>
      </c>
      <c r="D19" s="293"/>
      <c r="E19" s="386" t="s">
        <v>1420</v>
      </c>
      <c r="F19" s="383" t="b">
        <v>1</v>
      </c>
    </row>
    <row r="20" spans="1:7" ht="13.5" thickBot="1">
      <c r="A20" s="533"/>
      <c r="B20" s="424" t="s">
        <v>2036</v>
      </c>
      <c r="C20" s="307" t="s">
        <v>1424</v>
      </c>
      <c r="D20" s="171"/>
      <c r="E20" s="386" t="s">
        <v>1420</v>
      </c>
      <c r="F20" s="383" t="b">
        <v>1</v>
      </c>
    </row>
    <row r="21" spans="1:7">
      <c r="A21" s="538" t="s">
        <v>1466</v>
      </c>
      <c r="B21" s="165" t="s">
        <v>1467</v>
      </c>
      <c r="C21" s="311" t="s">
        <v>1483</v>
      </c>
      <c r="D21" s="293"/>
      <c r="E21" s="386" t="s">
        <v>1482</v>
      </c>
      <c r="F21" s="383" t="b">
        <v>1</v>
      </c>
    </row>
    <row r="22" spans="1:7" ht="25.5">
      <c r="A22" s="561"/>
      <c r="B22" s="240" t="s">
        <v>1474</v>
      </c>
      <c r="C22" s="311" t="s">
        <v>784</v>
      </c>
      <c r="D22" s="293"/>
      <c r="E22" s="386" t="s">
        <v>1479</v>
      </c>
      <c r="F22" s="383" t="b">
        <v>1</v>
      </c>
    </row>
    <row r="23" spans="1:7">
      <c r="A23" s="561"/>
      <c r="B23" s="159" t="s">
        <v>1473</v>
      </c>
      <c r="C23" s="311" t="s">
        <v>783</v>
      </c>
      <c r="D23" s="293"/>
      <c r="E23" s="386" t="s">
        <v>1479</v>
      </c>
      <c r="F23" s="383" t="b">
        <v>1</v>
      </c>
    </row>
    <row r="24" spans="1:7">
      <c r="A24" s="561"/>
      <c r="B24" s="159" t="s">
        <v>1470</v>
      </c>
      <c r="C24" s="311" t="s">
        <v>783</v>
      </c>
      <c r="D24" s="293"/>
      <c r="E24" s="386" t="s">
        <v>1479</v>
      </c>
      <c r="F24" s="383" t="b">
        <v>1</v>
      </c>
    </row>
    <row r="25" spans="1:7">
      <c r="A25" s="561"/>
      <c r="B25" s="159" t="s">
        <v>1471</v>
      </c>
      <c r="C25" s="311" t="s">
        <v>783</v>
      </c>
      <c r="D25" s="293"/>
      <c r="E25" s="386" t="s">
        <v>1479</v>
      </c>
      <c r="F25" s="383" t="b">
        <v>1</v>
      </c>
    </row>
    <row r="26" spans="1:7">
      <c r="A26" s="561"/>
      <c r="B26" s="159" t="s">
        <v>1472</v>
      </c>
      <c r="C26" s="311" t="s">
        <v>783</v>
      </c>
      <c r="D26" s="293"/>
      <c r="E26" s="386" t="s">
        <v>1479</v>
      </c>
      <c r="F26" s="383" t="b">
        <v>1</v>
      </c>
    </row>
    <row r="27" spans="1:7">
      <c r="A27" s="561"/>
      <c r="B27" s="159" t="s">
        <v>1475</v>
      </c>
      <c r="C27" s="311" t="s">
        <v>783</v>
      </c>
      <c r="D27" s="293"/>
      <c r="E27" s="386" t="s">
        <v>1479</v>
      </c>
      <c r="F27" s="383" t="b">
        <v>1</v>
      </c>
    </row>
    <row r="28" spans="1:7">
      <c r="A28" s="561"/>
      <c r="B28" s="159" t="s">
        <v>1476</v>
      </c>
      <c r="C28" s="311" t="s">
        <v>783</v>
      </c>
      <c r="D28" s="293"/>
      <c r="E28" s="386" t="s">
        <v>1479</v>
      </c>
      <c r="F28" s="383" t="b">
        <v>1</v>
      </c>
    </row>
    <row r="29" spans="1:7">
      <c r="A29" s="561"/>
      <c r="B29" s="159" t="s">
        <v>1477</v>
      </c>
      <c r="C29" s="311" t="s">
        <v>783</v>
      </c>
      <c r="D29" s="293"/>
      <c r="E29" s="386" t="s">
        <v>1479</v>
      </c>
      <c r="F29" s="383" t="b">
        <v>1</v>
      </c>
    </row>
    <row r="30" spans="1:7">
      <c r="A30" s="561"/>
      <c r="B30" s="159" t="s">
        <v>1478</v>
      </c>
      <c r="C30" s="311" t="s">
        <v>783</v>
      </c>
      <c r="D30" s="293"/>
      <c r="E30" s="386" t="s">
        <v>1479</v>
      </c>
      <c r="F30" s="383" t="b">
        <v>1</v>
      </c>
    </row>
    <row r="31" spans="1:7" ht="13.5" thickBot="1">
      <c r="A31" s="567"/>
      <c r="B31" s="172" t="s">
        <v>1468</v>
      </c>
      <c r="C31" s="309">
        <v>1978</v>
      </c>
      <c r="D31" s="171"/>
      <c r="E31" s="385" t="s">
        <v>1481</v>
      </c>
      <c r="F31" s="383" t="b">
        <v>1</v>
      </c>
      <c r="G31" s="102"/>
    </row>
    <row r="32" spans="1:7">
      <c r="A32" s="561" t="s">
        <v>1449</v>
      </c>
      <c r="B32" s="239" t="s">
        <v>1395</v>
      </c>
      <c r="C32" s="313"/>
      <c r="D32" s="300"/>
      <c r="E32" s="385" t="s">
        <v>1393</v>
      </c>
      <c r="F32" s="383" t="b">
        <f>OR($C$18="Coding",$C$19="Coding",$C$20="Coding")</f>
        <v>0</v>
      </c>
    </row>
    <row r="33" spans="1:6">
      <c r="A33" s="561"/>
      <c r="B33" s="159" t="s">
        <v>1447</v>
      </c>
      <c r="C33" s="308"/>
      <c r="D33" s="155"/>
      <c r="E33" s="385" t="s">
        <v>1393</v>
      </c>
      <c r="F33" s="383" t="b">
        <f t="shared" ref="F33:F39" si="0">OR($C$18="Coding",$C$19="Coding",$C$20="Coding")</f>
        <v>0</v>
      </c>
    </row>
    <row r="34" spans="1:6">
      <c r="A34" s="561"/>
      <c r="B34" s="326" t="s">
        <v>1448</v>
      </c>
      <c r="C34" s="308"/>
      <c r="D34" s="155"/>
      <c r="E34" s="385" t="s">
        <v>1393</v>
      </c>
      <c r="F34" s="383" t="b">
        <f t="shared" si="0"/>
        <v>0</v>
      </c>
    </row>
    <row r="35" spans="1:6">
      <c r="A35" s="561"/>
      <c r="B35" s="326" t="s">
        <v>1451</v>
      </c>
      <c r="C35" s="308"/>
      <c r="D35" s="155"/>
      <c r="E35" s="385" t="s">
        <v>1393</v>
      </c>
      <c r="F35" s="383" t="b">
        <f t="shared" si="0"/>
        <v>0</v>
      </c>
    </row>
    <row r="36" spans="1:6">
      <c r="A36" s="561"/>
      <c r="B36" s="159" t="s">
        <v>1450</v>
      </c>
      <c r="C36" s="312"/>
      <c r="D36" s="155"/>
      <c r="E36" s="386" t="s">
        <v>1490</v>
      </c>
      <c r="F36" s="383" t="b">
        <f t="shared" si="0"/>
        <v>0</v>
      </c>
    </row>
    <row r="37" spans="1:6">
      <c r="A37" s="561"/>
      <c r="B37" s="159" t="s">
        <v>1492</v>
      </c>
      <c r="C37" s="312"/>
      <c r="D37" s="155"/>
      <c r="E37" s="386" t="s">
        <v>1490</v>
      </c>
      <c r="F37" s="383" t="b">
        <f t="shared" si="0"/>
        <v>0</v>
      </c>
    </row>
    <row r="38" spans="1:6" ht="13.5" thickBot="1">
      <c r="A38" s="567"/>
      <c r="B38" s="172" t="s">
        <v>1503</v>
      </c>
      <c r="C38" s="433"/>
      <c r="D38" s="171"/>
      <c r="E38" s="386" t="s">
        <v>1501</v>
      </c>
      <c r="F38" s="383" t="b">
        <f t="shared" si="0"/>
        <v>0</v>
      </c>
    </row>
    <row r="39" spans="1:6">
      <c r="A39" s="561" t="s">
        <v>1923</v>
      </c>
      <c r="B39" s="159" t="s">
        <v>1931</v>
      </c>
      <c r="C39" s="312" t="s">
        <v>819</v>
      </c>
      <c r="D39" s="155"/>
      <c r="E39" s="386" t="s">
        <v>1490</v>
      </c>
      <c r="F39" s="383" t="b">
        <v>1</v>
      </c>
    </row>
    <row r="40" spans="1:6" ht="13.5" thickBot="1">
      <c r="A40" s="567"/>
      <c r="B40" s="172" t="s">
        <v>1930</v>
      </c>
      <c r="C40" s="433" t="s">
        <v>1927</v>
      </c>
      <c r="D40" s="171"/>
      <c r="E40" s="386" t="s">
        <v>1493</v>
      </c>
      <c r="F40" s="383" t="b">
        <v>1</v>
      </c>
    </row>
    <row r="41" spans="1:6" ht="13.5" thickBot="1">
      <c r="A41" s="375" t="s">
        <v>1900</v>
      </c>
      <c r="B41" s="354" t="s">
        <v>1933</v>
      </c>
      <c r="C41" s="307" t="s">
        <v>784</v>
      </c>
      <c r="D41" s="171"/>
      <c r="E41" s="384" t="s">
        <v>1338</v>
      </c>
      <c r="F41" s="383" t="b">
        <v>1</v>
      </c>
    </row>
    <row r="42" spans="1:6" ht="13.5" thickBot="1"/>
    <row r="43" spans="1:6" ht="21" thickBot="1">
      <c r="A43" s="524" t="s">
        <v>1695</v>
      </c>
      <c r="B43" s="525"/>
      <c r="C43" s="525"/>
      <c r="D43" s="526"/>
      <c r="E43" s="137"/>
    </row>
    <row r="44" spans="1:6" ht="13.5" thickBot="1">
      <c r="A44" s="518" t="s">
        <v>1684</v>
      </c>
      <c r="B44" s="519"/>
      <c r="C44" s="519"/>
      <c r="D44" s="520"/>
      <c r="E44" s="137"/>
    </row>
    <row r="45" spans="1:6">
      <c r="A45" s="336" t="s">
        <v>1329</v>
      </c>
      <c r="B45" s="337" t="s">
        <v>4</v>
      </c>
      <c r="C45" s="337" t="s">
        <v>1343</v>
      </c>
      <c r="D45" s="338" t="s">
        <v>1308</v>
      </c>
      <c r="E45" s="137"/>
    </row>
    <row r="46" spans="1:6">
      <c r="A46" s="521" t="s">
        <v>1685</v>
      </c>
      <c r="B46" s="159" t="s">
        <v>1686</v>
      </c>
      <c r="C46" s="306" t="s">
        <v>784</v>
      </c>
      <c r="D46" s="155"/>
      <c r="E46" s="384" t="s">
        <v>1338</v>
      </c>
      <c r="F46" s="383" t="b">
        <v>1</v>
      </c>
    </row>
    <row r="47" spans="1:6">
      <c r="A47" s="521"/>
      <c r="B47" s="159" t="s">
        <v>1687</v>
      </c>
      <c r="C47" s="431">
        <v>500</v>
      </c>
      <c r="D47" s="155"/>
      <c r="E47" s="387" t="s">
        <v>1391</v>
      </c>
      <c r="F47" s="383" t="b">
        <f>C$46="Yes"</f>
        <v>1</v>
      </c>
    </row>
    <row r="48" spans="1:6">
      <c r="A48" s="521"/>
      <c r="B48" s="159" t="s">
        <v>1688</v>
      </c>
      <c r="C48" s="434">
        <v>0.52</v>
      </c>
      <c r="D48" s="155"/>
      <c r="E48" s="387" t="s">
        <v>1693</v>
      </c>
      <c r="F48" s="383" t="b">
        <f t="shared" ref="F48:F53" si="1">C$46="Yes"</f>
        <v>1</v>
      </c>
    </row>
    <row r="49" spans="1:6">
      <c r="A49" s="521"/>
      <c r="B49" s="159" t="s">
        <v>1689</v>
      </c>
      <c r="C49" s="434">
        <v>0.57999999999999996</v>
      </c>
      <c r="D49" s="155"/>
      <c r="E49" s="387" t="s">
        <v>1693</v>
      </c>
      <c r="F49" s="383" t="b">
        <f t="shared" si="1"/>
        <v>1</v>
      </c>
    </row>
    <row r="50" spans="1:6">
      <c r="A50" s="521"/>
      <c r="B50" s="159" t="s">
        <v>1690</v>
      </c>
      <c r="C50" s="431">
        <v>2</v>
      </c>
      <c r="D50" s="155"/>
      <c r="E50" s="387" t="s">
        <v>1391</v>
      </c>
      <c r="F50" s="383" t="b">
        <f t="shared" si="1"/>
        <v>1</v>
      </c>
    </row>
    <row r="51" spans="1:6">
      <c r="A51" s="521"/>
      <c r="B51" s="159" t="s">
        <v>1691</v>
      </c>
      <c r="C51" s="434">
        <v>0.5</v>
      </c>
      <c r="D51" s="155"/>
      <c r="E51" s="387" t="s">
        <v>1693</v>
      </c>
      <c r="F51" s="383" t="b">
        <f t="shared" si="1"/>
        <v>1</v>
      </c>
    </row>
    <row r="52" spans="1:6">
      <c r="A52" s="522"/>
      <c r="B52" s="339" t="s">
        <v>1692</v>
      </c>
      <c r="C52" s="435">
        <v>0.5</v>
      </c>
      <c r="D52" s="293"/>
      <c r="E52" s="387" t="s">
        <v>1694</v>
      </c>
      <c r="F52" s="383" t="b">
        <f t="shared" si="1"/>
        <v>1</v>
      </c>
    </row>
    <row r="53" spans="1:6" ht="26.25" thickBot="1">
      <c r="A53" s="523"/>
      <c r="B53" s="245" t="s">
        <v>1696</v>
      </c>
      <c r="C53" s="436">
        <v>0</v>
      </c>
      <c r="D53" s="171"/>
      <c r="E53" s="387" t="s">
        <v>1694</v>
      </c>
      <c r="F53" s="383" t="b">
        <f t="shared" si="1"/>
        <v>1</v>
      </c>
    </row>
  </sheetData>
  <mergeCells count="12">
    <mergeCell ref="A46:A53"/>
    <mergeCell ref="A1:D1"/>
    <mergeCell ref="E1:E3"/>
    <mergeCell ref="F1:F3"/>
    <mergeCell ref="A2:D2"/>
    <mergeCell ref="A11:A14"/>
    <mergeCell ref="A15:A20"/>
    <mergeCell ref="A21:A31"/>
    <mergeCell ref="A32:A38"/>
    <mergeCell ref="A39:A40"/>
    <mergeCell ref="A43:D43"/>
    <mergeCell ref="A44:D44"/>
  </mergeCells>
  <conditionalFormatting sqref="F4:F41">
    <cfRule type="cellIs" dxfId="70" priority="4" operator="equal">
      <formula>TRUE</formula>
    </cfRule>
  </conditionalFormatting>
  <conditionalFormatting sqref="F46">
    <cfRule type="cellIs" dxfId="69" priority="3" operator="equal">
      <formula>TRUE</formula>
    </cfRule>
  </conditionalFormatting>
  <conditionalFormatting sqref="A4:D40 A46:D53">
    <cfRule type="expression" dxfId="68" priority="2">
      <formula>$F4=FALSE</formula>
    </cfRule>
  </conditionalFormatting>
  <conditionalFormatting sqref="F47:F53">
    <cfRule type="cellIs" dxfId="67" priority="1" operator="equal">
      <formula>TRUE</formula>
    </cfRule>
  </conditionalFormatting>
  <dataValidations count="3">
    <dataValidation type="decimal" operator="greaterThanOrEqual" allowBlank="1" showInputMessage="1" showErrorMessage="1" sqref="C51:C53 C48:C49" xr:uid="{79A82820-3797-4C46-9880-B6143DEAFD67}">
      <formula1>0</formula1>
    </dataValidation>
    <dataValidation type="whole" operator="greaterThanOrEqual" allowBlank="1" showInputMessage="1" showErrorMessage="1" sqref="C47 C50" xr:uid="{C51AE91D-7EBB-4695-B343-B3335C215634}">
      <formula1>0</formula1>
    </dataValidation>
    <dataValidation type="list" allowBlank="1" showInputMessage="1" showErrorMessage="1" sqref="C14 C36:C41 C9:C10 C46 C18:C30" xr:uid="{94A8A2D0-A38C-4D65-B987-06BBD7AA1D35}">
      <formula1>INDIRECT($E9)</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DD1D1-15DE-4E6B-9010-89D8C83B03D5}">
  <sheetPr>
    <tabColor theme="4" tint="0.79998168889431442"/>
  </sheetPr>
  <dimension ref="A1:G53"/>
  <sheetViews>
    <sheetView workbookViewId="0">
      <selection activeCell="C41" sqref="C41"/>
    </sheetView>
  </sheetViews>
  <sheetFormatPr defaultRowHeight="12.75"/>
  <cols>
    <col min="1" max="1" width="20" style="37" customWidth="1"/>
    <col min="2" max="2" width="86.5703125" style="37" customWidth="1"/>
    <col min="3" max="3" width="33.28515625" style="314" customWidth="1"/>
    <col min="4" max="4" width="16.85546875" style="37" customWidth="1"/>
    <col min="5" max="5" width="32" style="37" customWidth="1"/>
    <col min="6" max="6" width="17.42578125" style="37" customWidth="1"/>
    <col min="7" max="16384" width="9.140625" style="37"/>
  </cols>
  <sheetData>
    <row r="1" spans="1:7" ht="20.25" customHeight="1">
      <c r="A1" s="555" t="s">
        <v>1446</v>
      </c>
      <c r="B1" s="556"/>
      <c r="C1" s="556"/>
      <c r="D1" s="557"/>
      <c r="E1" s="552" t="s">
        <v>1907</v>
      </c>
      <c r="F1" s="517" t="s">
        <v>1953</v>
      </c>
    </row>
    <row r="2" spans="1:7" ht="40.5" customHeight="1" thickBot="1">
      <c r="A2" s="558" t="s">
        <v>1469</v>
      </c>
      <c r="B2" s="559"/>
      <c r="C2" s="559"/>
      <c r="D2" s="560"/>
      <c r="E2" s="553"/>
      <c r="F2" s="517"/>
    </row>
    <row r="3" spans="1:7">
      <c r="A3" s="336" t="s">
        <v>1329</v>
      </c>
      <c r="B3" s="337" t="s">
        <v>4</v>
      </c>
      <c r="C3" s="337" t="s">
        <v>1343</v>
      </c>
      <c r="D3" s="338" t="s">
        <v>1308</v>
      </c>
      <c r="E3" s="553"/>
      <c r="F3" s="517"/>
    </row>
    <row r="4" spans="1:7">
      <c r="A4" s="341" t="s">
        <v>1407</v>
      </c>
      <c r="B4" s="159" t="s">
        <v>1428</v>
      </c>
      <c r="C4" s="308" t="s">
        <v>2106</v>
      </c>
      <c r="D4" s="155"/>
      <c r="E4" s="385" t="s">
        <v>1546</v>
      </c>
      <c r="F4" s="383" t="b">
        <v>1</v>
      </c>
      <c r="G4" s="102"/>
    </row>
    <row r="5" spans="1:7">
      <c r="A5" s="322"/>
      <c r="B5" s="159" t="s">
        <v>1411</v>
      </c>
      <c r="C5" s="308" t="s">
        <v>2112</v>
      </c>
      <c r="D5" s="155"/>
      <c r="E5" s="385" t="s">
        <v>1546</v>
      </c>
      <c r="F5" s="383" t="b">
        <v>1</v>
      </c>
      <c r="G5" s="102"/>
    </row>
    <row r="6" spans="1:7">
      <c r="A6" s="322"/>
      <c r="B6" s="339" t="s">
        <v>1452</v>
      </c>
      <c r="C6" s="308" t="s">
        <v>2113</v>
      </c>
      <c r="D6" s="293"/>
      <c r="E6" s="385" t="s">
        <v>1393</v>
      </c>
      <c r="F6" s="383" t="b">
        <v>1</v>
      </c>
    </row>
    <row r="7" spans="1:7">
      <c r="A7" s="322"/>
      <c r="B7" s="339" t="s">
        <v>1670</v>
      </c>
      <c r="C7" s="308"/>
      <c r="D7" s="293"/>
      <c r="E7" s="385" t="s">
        <v>1393</v>
      </c>
      <c r="F7" s="383" t="b">
        <v>1</v>
      </c>
    </row>
    <row r="8" spans="1:7">
      <c r="A8" s="322"/>
      <c r="B8" s="339" t="s">
        <v>1669</v>
      </c>
      <c r="C8" s="308"/>
      <c r="D8" s="293"/>
      <c r="E8" s="385" t="s">
        <v>1393</v>
      </c>
      <c r="F8" s="383" t="b">
        <v>1</v>
      </c>
    </row>
    <row r="9" spans="1:7">
      <c r="A9" s="322"/>
      <c r="B9" s="339" t="s">
        <v>1454</v>
      </c>
      <c r="C9" s="311" t="s">
        <v>1455</v>
      </c>
      <c r="D9" s="293"/>
      <c r="E9" s="386" t="s">
        <v>1460</v>
      </c>
      <c r="F9" s="383" t="b">
        <v>1</v>
      </c>
    </row>
    <row r="10" spans="1:7" ht="26.25" customHeight="1" thickBot="1">
      <c r="A10" s="323"/>
      <c r="B10" s="245" t="s">
        <v>1408</v>
      </c>
      <c r="C10" s="307" t="s">
        <v>1128</v>
      </c>
      <c r="D10" s="171"/>
      <c r="E10" s="384" t="s">
        <v>1316</v>
      </c>
      <c r="F10" s="383" t="b">
        <v>1</v>
      </c>
      <c r="G10" s="102"/>
    </row>
    <row r="11" spans="1:7">
      <c r="A11" s="531" t="s">
        <v>1453</v>
      </c>
      <c r="B11" s="159" t="s">
        <v>1412</v>
      </c>
      <c r="C11" s="308" t="s">
        <v>2114</v>
      </c>
      <c r="D11" s="155"/>
      <c r="E11" s="385" t="s">
        <v>1546</v>
      </c>
      <c r="F11" s="383" t="b">
        <v>1</v>
      </c>
    </row>
    <row r="12" spans="1:7">
      <c r="A12" s="532"/>
      <c r="B12" s="159" t="s">
        <v>1413</v>
      </c>
      <c r="C12" s="308" t="s">
        <v>2115</v>
      </c>
      <c r="D12" s="155"/>
      <c r="E12" s="385" t="s">
        <v>1546</v>
      </c>
      <c r="F12" s="383" t="b">
        <v>1</v>
      </c>
    </row>
    <row r="13" spans="1:7">
      <c r="A13" s="532"/>
      <c r="B13" s="159" t="s">
        <v>1414</v>
      </c>
      <c r="C13" s="308" t="s">
        <v>2116</v>
      </c>
      <c r="D13" s="155"/>
      <c r="E13" s="385" t="s">
        <v>1393</v>
      </c>
      <c r="F13" s="383" t="b">
        <v>1</v>
      </c>
    </row>
    <row r="14" spans="1:7" ht="13.5" thickBot="1">
      <c r="A14" s="533"/>
      <c r="B14" s="339" t="s">
        <v>1416</v>
      </c>
      <c r="C14" s="306" t="s">
        <v>957</v>
      </c>
      <c r="D14" s="293"/>
      <c r="E14" s="386" t="s">
        <v>1417</v>
      </c>
      <c r="F14" s="383" t="b">
        <v>1</v>
      </c>
    </row>
    <row r="15" spans="1:7">
      <c r="A15" s="531" t="s">
        <v>1415</v>
      </c>
      <c r="B15" s="165" t="s">
        <v>1419</v>
      </c>
      <c r="C15" s="305" t="s">
        <v>2117</v>
      </c>
      <c r="D15" s="166"/>
      <c r="E15" s="385" t="s">
        <v>1393</v>
      </c>
      <c r="F15" s="383" t="b">
        <v>1</v>
      </c>
    </row>
    <row r="16" spans="1:7">
      <c r="A16" s="532"/>
      <c r="B16" s="239" t="s">
        <v>1461</v>
      </c>
      <c r="C16" s="313" t="s">
        <v>2118</v>
      </c>
      <c r="D16" s="300"/>
      <c r="E16" s="385" t="s">
        <v>1393</v>
      </c>
      <c r="F16" s="383" t="b">
        <v>1</v>
      </c>
    </row>
    <row r="17" spans="1:7">
      <c r="A17" s="532"/>
      <c r="B17" s="159" t="s">
        <v>1462</v>
      </c>
      <c r="C17" s="308" t="s">
        <v>2119</v>
      </c>
      <c r="D17" s="155"/>
      <c r="E17" s="385" t="s">
        <v>1393</v>
      </c>
      <c r="F17" s="383" t="b">
        <v>1</v>
      </c>
      <c r="G17" s="102"/>
    </row>
    <row r="18" spans="1:7" ht="25.5">
      <c r="A18" s="532"/>
      <c r="B18" s="416" t="s">
        <v>2034</v>
      </c>
      <c r="C18" s="311" t="s">
        <v>1422</v>
      </c>
      <c r="D18" s="293"/>
      <c r="E18" s="386" t="s">
        <v>1420</v>
      </c>
      <c r="F18" s="383" t="b">
        <v>1</v>
      </c>
    </row>
    <row r="19" spans="1:7">
      <c r="A19" s="532"/>
      <c r="B19" s="415" t="s">
        <v>2035</v>
      </c>
      <c r="C19" s="311"/>
      <c r="D19" s="293"/>
      <c r="E19" s="386" t="s">
        <v>1420</v>
      </c>
      <c r="F19" s="383" t="b">
        <v>1</v>
      </c>
    </row>
    <row r="20" spans="1:7" ht="13.5" thickBot="1">
      <c r="A20" s="533"/>
      <c r="B20" s="424" t="s">
        <v>2036</v>
      </c>
      <c r="C20" s="307"/>
      <c r="D20" s="171"/>
      <c r="E20" s="386" t="s">
        <v>1420</v>
      </c>
      <c r="F20" s="383" t="b">
        <v>1</v>
      </c>
    </row>
    <row r="21" spans="1:7">
      <c r="A21" s="538" t="s">
        <v>1466</v>
      </c>
      <c r="B21" s="165" t="s">
        <v>1467</v>
      </c>
      <c r="C21" s="311" t="s">
        <v>1483</v>
      </c>
      <c r="D21" s="293"/>
      <c r="E21" s="386" t="s">
        <v>1482</v>
      </c>
      <c r="F21" s="383" t="b">
        <v>1</v>
      </c>
    </row>
    <row r="22" spans="1:7" ht="25.5">
      <c r="A22" s="561"/>
      <c r="B22" s="240" t="s">
        <v>1474</v>
      </c>
      <c r="C22" s="311" t="s">
        <v>783</v>
      </c>
      <c r="D22" s="293"/>
      <c r="E22" s="386" t="s">
        <v>1479</v>
      </c>
      <c r="F22" s="383" t="b">
        <v>1</v>
      </c>
    </row>
    <row r="23" spans="1:7">
      <c r="A23" s="561"/>
      <c r="B23" s="159" t="s">
        <v>1473</v>
      </c>
      <c r="C23" s="311" t="s">
        <v>783</v>
      </c>
      <c r="D23" s="293"/>
      <c r="E23" s="386" t="s">
        <v>1479</v>
      </c>
      <c r="F23" s="383" t="b">
        <v>1</v>
      </c>
    </row>
    <row r="24" spans="1:7">
      <c r="A24" s="561"/>
      <c r="B24" s="159" t="s">
        <v>1470</v>
      </c>
      <c r="C24" s="311" t="s">
        <v>784</v>
      </c>
      <c r="D24" s="293"/>
      <c r="E24" s="386" t="s">
        <v>1479</v>
      </c>
      <c r="F24" s="383" t="b">
        <v>1</v>
      </c>
    </row>
    <row r="25" spans="1:7">
      <c r="A25" s="561"/>
      <c r="B25" s="159" t="s">
        <v>1471</v>
      </c>
      <c r="C25" s="311" t="s">
        <v>783</v>
      </c>
      <c r="D25" s="293"/>
      <c r="E25" s="386" t="s">
        <v>1479</v>
      </c>
      <c r="F25" s="383" t="b">
        <v>1</v>
      </c>
    </row>
    <row r="26" spans="1:7">
      <c r="A26" s="561"/>
      <c r="B26" s="159" t="s">
        <v>1472</v>
      </c>
      <c r="C26" s="311" t="s">
        <v>783</v>
      </c>
      <c r="D26" s="293"/>
      <c r="E26" s="386" t="s">
        <v>1479</v>
      </c>
      <c r="F26" s="383" t="b">
        <v>1</v>
      </c>
    </row>
    <row r="27" spans="1:7">
      <c r="A27" s="561"/>
      <c r="B27" s="159" t="s">
        <v>1475</v>
      </c>
      <c r="C27" s="311" t="s">
        <v>783</v>
      </c>
      <c r="D27" s="293"/>
      <c r="E27" s="386" t="s">
        <v>1479</v>
      </c>
      <c r="F27" s="383" t="b">
        <v>1</v>
      </c>
    </row>
    <row r="28" spans="1:7">
      <c r="A28" s="561"/>
      <c r="B28" s="159" t="s">
        <v>1476</v>
      </c>
      <c r="C28" s="311" t="s">
        <v>783</v>
      </c>
      <c r="D28" s="293"/>
      <c r="E28" s="386" t="s">
        <v>1479</v>
      </c>
      <c r="F28" s="383" t="b">
        <v>1</v>
      </c>
    </row>
    <row r="29" spans="1:7">
      <c r="A29" s="561"/>
      <c r="B29" s="159" t="s">
        <v>1477</v>
      </c>
      <c r="C29" s="311" t="s">
        <v>783</v>
      </c>
      <c r="D29" s="293"/>
      <c r="E29" s="386" t="s">
        <v>1479</v>
      </c>
      <c r="F29" s="383" t="b">
        <v>1</v>
      </c>
    </row>
    <row r="30" spans="1:7">
      <c r="A30" s="561"/>
      <c r="B30" s="159" t="s">
        <v>1478</v>
      </c>
      <c r="C30" s="311" t="s">
        <v>783</v>
      </c>
      <c r="D30" s="293"/>
      <c r="E30" s="386" t="s">
        <v>1479</v>
      </c>
      <c r="F30" s="383" t="b">
        <v>1</v>
      </c>
    </row>
    <row r="31" spans="1:7" ht="13.5" thickBot="1">
      <c r="A31" s="567"/>
      <c r="B31" s="172" t="s">
        <v>1468</v>
      </c>
      <c r="C31" s="309">
        <v>1923</v>
      </c>
      <c r="D31" s="171"/>
      <c r="E31" s="385" t="s">
        <v>1481</v>
      </c>
      <c r="F31" s="383" t="b">
        <v>1</v>
      </c>
      <c r="G31" s="102"/>
    </row>
    <row r="32" spans="1:7">
      <c r="A32" s="561" t="s">
        <v>1449</v>
      </c>
      <c r="B32" s="239" t="s">
        <v>1395</v>
      </c>
      <c r="C32" s="313" t="s">
        <v>2120</v>
      </c>
      <c r="D32" s="300"/>
      <c r="E32" s="385" t="s">
        <v>1393</v>
      </c>
      <c r="F32" s="383" t="b">
        <f>OR($C$18="Coding",$C$19="Coding",$C$20="Coding")</f>
        <v>1</v>
      </c>
    </row>
    <row r="33" spans="1:6">
      <c r="A33" s="561"/>
      <c r="B33" s="159" t="s">
        <v>1447</v>
      </c>
      <c r="C33" s="308" t="s">
        <v>2121</v>
      </c>
      <c r="D33" s="155"/>
      <c r="E33" s="385" t="s">
        <v>1393</v>
      </c>
      <c r="F33" s="383" t="b">
        <f t="shared" ref="F33:F39" si="0">OR($C$18="Coding",$C$19="Coding",$C$20="Coding")</f>
        <v>1</v>
      </c>
    </row>
    <row r="34" spans="1:6">
      <c r="A34" s="561"/>
      <c r="B34" s="326" t="s">
        <v>1448</v>
      </c>
      <c r="C34" s="308" t="s">
        <v>2122</v>
      </c>
      <c r="D34" s="155"/>
      <c r="E34" s="385" t="s">
        <v>1393</v>
      </c>
      <c r="F34" s="383" t="b">
        <f t="shared" si="0"/>
        <v>1</v>
      </c>
    </row>
    <row r="35" spans="1:6">
      <c r="A35" s="561"/>
      <c r="B35" s="326" t="s">
        <v>1451</v>
      </c>
      <c r="C35" s="308" t="s">
        <v>2123</v>
      </c>
      <c r="D35" s="155"/>
      <c r="E35" s="385" t="s">
        <v>1393</v>
      </c>
      <c r="F35" s="383" t="b">
        <f t="shared" si="0"/>
        <v>1</v>
      </c>
    </row>
    <row r="36" spans="1:6">
      <c r="A36" s="561"/>
      <c r="B36" s="159" t="s">
        <v>1450</v>
      </c>
      <c r="C36" s="312" t="s">
        <v>1102</v>
      </c>
      <c r="D36" s="155"/>
      <c r="E36" s="386" t="s">
        <v>1490</v>
      </c>
      <c r="F36" s="383" t="b">
        <f t="shared" si="0"/>
        <v>1</v>
      </c>
    </row>
    <row r="37" spans="1:6">
      <c r="A37" s="561"/>
      <c r="B37" s="159" t="s">
        <v>1492</v>
      </c>
      <c r="C37" s="312" t="s">
        <v>1100</v>
      </c>
      <c r="D37" s="155"/>
      <c r="E37" s="386" t="s">
        <v>1490</v>
      </c>
      <c r="F37" s="383" t="b">
        <f t="shared" si="0"/>
        <v>1</v>
      </c>
    </row>
    <row r="38" spans="1:6" ht="13.5" thickBot="1">
      <c r="A38" s="567"/>
      <c r="B38" s="172" t="s">
        <v>1503</v>
      </c>
      <c r="C38" s="433" t="s">
        <v>1496</v>
      </c>
      <c r="D38" s="171"/>
      <c r="E38" s="386" t="s">
        <v>1501</v>
      </c>
      <c r="F38" s="383" t="b">
        <f t="shared" si="0"/>
        <v>1</v>
      </c>
    </row>
    <row r="39" spans="1:6">
      <c r="A39" s="561" t="s">
        <v>1923</v>
      </c>
      <c r="B39" s="159" t="s">
        <v>1931</v>
      </c>
      <c r="C39" s="312" t="s">
        <v>819</v>
      </c>
      <c r="D39" s="155"/>
      <c r="E39" s="386" t="s">
        <v>1490</v>
      </c>
      <c r="F39" s="383" t="b">
        <v>1</v>
      </c>
    </row>
    <row r="40" spans="1:6" ht="13.5" thickBot="1">
      <c r="A40" s="567"/>
      <c r="B40" s="172" t="s">
        <v>1930</v>
      </c>
      <c r="C40" s="433" t="s">
        <v>1928</v>
      </c>
      <c r="D40" s="171"/>
      <c r="E40" s="386" t="s">
        <v>1493</v>
      </c>
      <c r="F40" s="383" t="b">
        <v>1</v>
      </c>
    </row>
    <row r="41" spans="1:6" ht="13.5" thickBot="1">
      <c r="A41" s="375" t="s">
        <v>1900</v>
      </c>
      <c r="B41" s="354" t="s">
        <v>1933</v>
      </c>
      <c r="C41" s="307" t="s">
        <v>784</v>
      </c>
      <c r="D41" s="171"/>
      <c r="E41" s="384" t="s">
        <v>1338</v>
      </c>
      <c r="F41" s="383" t="b">
        <v>1</v>
      </c>
    </row>
    <row r="42" spans="1:6" ht="13.5" thickBot="1"/>
    <row r="43" spans="1:6" ht="21" thickBot="1">
      <c r="A43" s="524" t="s">
        <v>1695</v>
      </c>
      <c r="B43" s="525"/>
      <c r="C43" s="525"/>
      <c r="D43" s="526"/>
      <c r="E43" s="137"/>
    </row>
    <row r="44" spans="1:6" ht="13.5" thickBot="1">
      <c r="A44" s="518" t="s">
        <v>1684</v>
      </c>
      <c r="B44" s="519"/>
      <c r="C44" s="519"/>
      <c r="D44" s="520"/>
      <c r="E44" s="137"/>
    </row>
    <row r="45" spans="1:6">
      <c r="A45" s="336" t="s">
        <v>1329</v>
      </c>
      <c r="B45" s="337" t="s">
        <v>4</v>
      </c>
      <c r="C45" s="337" t="s">
        <v>1343</v>
      </c>
      <c r="D45" s="338" t="s">
        <v>1308</v>
      </c>
      <c r="E45" s="137"/>
    </row>
    <row r="46" spans="1:6">
      <c r="A46" s="521" t="s">
        <v>1685</v>
      </c>
      <c r="B46" s="159" t="s">
        <v>1686</v>
      </c>
      <c r="C46" s="306" t="s">
        <v>783</v>
      </c>
      <c r="D46" s="155"/>
      <c r="E46" s="384" t="s">
        <v>1338</v>
      </c>
      <c r="F46" s="383" t="b">
        <v>1</v>
      </c>
    </row>
    <row r="47" spans="1:6">
      <c r="A47" s="521"/>
      <c r="B47" s="159" t="s">
        <v>1687</v>
      </c>
      <c r="C47" s="431"/>
      <c r="D47" s="155"/>
      <c r="E47" s="387" t="s">
        <v>1391</v>
      </c>
      <c r="F47" s="383" t="b">
        <f>C$46="Yes"</f>
        <v>0</v>
      </c>
    </row>
    <row r="48" spans="1:6">
      <c r="A48" s="521"/>
      <c r="B48" s="159" t="s">
        <v>1688</v>
      </c>
      <c r="C48" s="434"/>
      <c r="D48" s="155"/>
      <c r="E48" s="387" t="s">
        <v>1693</v>
      </c>
      <c r="F48" s="383" t="b">
        <f t="shared" ref="F48:F53" si="1">C$46="Yes"</f>
        <v>0</v>
      </c>
    </row>
    <row r="49" spans="1:6">
      <c r="A49" s="521"/>
      <c r="B49" s="159" t="s">
        <v>1689</v>
      </c>
      <c r="C49" s="434"/>
      <c r="D49" s="155"/>
      <c r="E49" s="387" t="s">
        <v>1693</v>
      </c>
      <c r="F49" s="383" t="b">
        <f t="shared" si="1"/>
        <v>0</v>
      </c>
    </row>
    <row r="50" spans="1:6">
      <c r="A50" s="521"/>
      <c r="B50" s="159" t="s">
        <v>1690</v>
      </c>
      <c r="C50" s="431"/>
      <c r="D50" s="155"/>
      <c r="E50" s="387" t="s">
        <v>1391</v>
      </c>
      <c r="F50" s="383" t="b">
        <f t="shared" si="1"/>
        <v>0</v>
      </c>
    </row>
    <row r="51" spans="1:6">
      <c r="A51" s="521"/>
      <c r="B51" s="159" t="s">
        <v>1691</v>
      </c>
      <c r="C51" s="434"/>
      <c r="D51" s="155"/>
      <c r="E51" s="387" t="s">
        <v>1693</v>
      </c>
      <c r="F51" s="383" t="b">
        <f t="shared" si="1"/>
        <v>0</v>
      </c>
    </row>
    <row r="52" spans="1:6">
      <c r="A52" s="522"/>
      <c r="B52" s="339" t="s">
        <v>1692</v>
      </c>
      <c r="C52" s="435"/>
      <c r="D52" s="293"/>
      <c r="E52" s="387" t="s">
        <v>1694</v>
      </c>
      <c r="F52" s="383" t="b">
        <f t="shared" si="1"/>
        <v>0</v>
      </c>
    </row>
    <row r="53" spans="1:6" ht="26.25" thickBot="1">
      <c r="A53" s="523"/>
      <c r="B53" s="245" t="s">
        <v>1696</v>
      </c>
      <c r="C53" s="436"/>
      <c r="D53" s="171"/>
      <c r="E53" s="387" t="s">
        <v>1694</v>
      </c>
      <c r="F53" s="383" t="b">
        <f t="shared" si="1"/>
        <v>0</v>
      </c>
    </row>
  </sheetData>
  <mergeCells count="12">
    <mergeCell ref="A46:A53"/>
    <mergeCell ref="A1:D1"/>
    <mergeCell ref="E1:E3"/>
    <mergeCell ref="F1:F3"/>
    <mergeCell ref="A2:D2"/>
    <mergeCell ref="A11:A14"/>
    <mergeCell ref="A15:A20"/>
    <mergeCell ref="A21:A31"/>
    <mergeCell ref="A32:A38"/>
    <mergeCell ref="A39:A40"/>
    <mergeCell ref="A43:D43"/>
    <mergeCell ref="A44:D44"/>
  </mergeCells>
  <conditionalFormatting sqref="F4:F41">
    <cfRule type="cellIs" dxfId="66" priority="4" operator="equal">
      <formula>TRUE</formula>
    </cfRule>
  </conditionalFormatting>
  <conditionalFormatting sqref="F46">
    <cfRule type="cellIs" dxfId="65" priority="3" operator="equal">
      <formula>TRUE</formula>
    </cfRule>
  </conditionalFormatting>
  <conditionalFormatting sqref="A4:D40 A46:D53">
    <cfRule type="expression" dxfId="64" priority="2">
      <formula>$F4=FALSE</formula>
    </cfRule>
  </conditionalFormatting>
  <conditionalFormatting sqref="F47:F53">
    <cfRule type="cellIs" dxfId="63" priority="1" operator="equal">
      <formula>TRUE</formula>
    </cfRule>
  </conditionalFormatting>
  <dataValidations count="3">
    <dataValidation type="list" allowBlank="1" showInputMessage="1" showErrorMessage="1" sqref="C14 C46 C9:C10 C36:C41 C18:C30" xr:uid="{BB320F59-5484-4420-A283-4BB9F86A2856}">
      <formula1>INDIRECT($E9)</formula1>
    </dataValidation>
    <dataValidation type="whole" operator="greaterThanOrEqual" allowBlank="1" showInputMessage="1" showErrorMessage="1" sqref="C47 C50" xr:uid="{16A33D61-4A6A-4B62-9695-92AE4FB74964}">
      <formula1>0</formula1>
    </dataValidation>
    <dataValidation type="decimal" operator="greaterThanOrEqual" allowBlank="1" showInputMessage="1" showErrorMessage="1" sqref="C51:C53 C48:C49" xr:uid="{C367463E-8A63-436A-AEFF-5ACB7DD0F40D}">
      <formula1>0</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6AA25-BC4C-4E02-87FE-8C5DB4298EB6}">
  <sheetPr>
    <tabColor theme="4" tint="0.79998168889431442"/>
  </sheetPr>
  <dimension ref="A1:G53"/>
  <sheetViews>
    <sheetView workbookViewId="0">
      <selection activeCell="C41" sqref="C41"/>
    </sheetView>
  </sheetViews>
  <sheetFormatPr defaultRowHeight="12.75"/>
  <cols>
    <col min="1" max="1" width="20" style="37" customWidth="1"/>
    <col min="2" max="2" width="86.5703125" style="37" customWidth="1"/>
    <col min="3" max="3" width="33.28515625" style="314" customWidth="1"/>
    <col min="4" max="4" width="16.85546875" style="37" customWidth="1"/>
    <col min="5" max="5" width="32" style="37" customWidth="1"/>
    <col min="6" max="6" width="17.42578125" style="37" customWidth="1"/>
    <col min="7" max="16384" width="9.140625" style="37"/>
  </cols>
  <sheetData>
    <row r="1" spans="1:7" ht="20.25" customHeight="1">
      <c r="A1" s="555" t="s">
        <v>1446</v>
      </c>
      <c r="B1" s="556"/>
      <c r="C1" s="556"/>
      <c r="D1" s="557"/>
      <c r="E1" s="552" t="s">
        <v>1907</v>
      </c>
      <c r="F1" s="517" t="s">
        <v>1953</v>
      </c>
    </row>
    <row r="2" spans="1:7" ht="40.5" customHeight="1" thickBot="1">
      <c r="A2" s="558" t="s">
        <v>1469</v>
      </c>
      <c r="B2" s="559"/>
      <c r="C2" s="559"/>
      <c r="D2" s="560"/>
      <c r="E2" s="553"/>
      <c r="F2" s="517"/>
    </row>
    <row r="3" spans="1:7">
      <c r="A3" s="336" t="s">
        <v>1329</v>
      </c>
      <c r="B3" s="337" t="s">
        <v>4</v>
      </c>
      <c r="C3" s="337" t="s">
        <v>1343</v>
      </c>
      <c r="D3" s="338" t="s">
        <v>1308</v>
      </c>
      <c r="E3" s="553"/>
      <c r="F3" s="517"/>
    </row>
    <row r="4" spans="1:7">
      <c r="A4" s="341" t="s">
        <v>1407</v>
      </c>
      <c r="B4" s="159" t="s">
        <v>1428</v>
      </c>
      <c r="C4" s="308" t="s">
        <v>2106</v>
      </c>
      <c r="D4" s="155"/>
      <c r="E4" s="385" t="s">
        <v>1546</v>
      </c>
      <c r="F4" s="383" t="b">
        <v>1</v>
      </c>
      <c r="G4" s="102"/>
    </row>
    <row r="5" spans="1:7">
      <c r="A5" s="322"/>
      <c r="B5" s="159" t="s">
        <v>1411</v>
      </c>
      <c r="C5" s="308" t="s">
        <v>2124</v>
      </c>
      <c r="D5" s="155"/>
      <c r="E5" s="385" t="s">
        <v>1546</v>
      </c>
      <c r="F5" s="383" t="b">
        <v>1</v>
      </c>
      <c r="G5" s="102"/>
    </row>
    <row r="6" spans="1:7">
      <c r="A6" s="322"/>
      <c r="B6" s="339" t="s">
        <v>1452</v>
      </c>
      <c r="C6" s="308" t="s">
        <v>2125</v>
      </c>
      <c r="D6" s="293"/>
      <c r="E6" s="385" t="s">
        <v>1393</v>
      </c>
      <c r="F6" s="383" t="b">
        <v>1</v>
      </c>
    </row>
    <row r="7" spans="1:7">
      <c r="A7" s="322"/>
      <c r="B7" s="339" t="s">
        <v>1670</v>
      </c>
      <c r="C7" s="308"/>
      <c r="D7" s="293"/>
      <c r="E7" s="385" t="s">
        <v>1393</v>
      </c>
      <c r="F7" s="383" t="b">
        <v>1</v>
      </c>
    </row>
    <row r="8" spans="1:7">
      <c r="A8" s="322"/>
      <c r="B8" s="339" t="s">
        <v>1669</v>
      </c>
      <c r="C8" s="308"/>
      <c r="D8" s="293"/>
      <c r="E8" s="385" t="s">
        <v>1393</v>
      </c>
      <c r="F8" s="383" t="b">
        <v>1</v>
      </c>
    </row>
    <row r="9" spans="1:7">
      <c r="A9" s="322"/>
      <c r="B9" s="339" t="s">
        <v>1454</v>
      </c>
      <c r="C9" s="311" t="s">
        <v>1457</v>
      </c>
      <c r="D9" s="293"/>
      <c r="E9" s="386" t="s">
        <v>1460</v>
      </c>
      <c r="F9" s="383" t="b">
        <v>1</v>
      </c>
    </row>
    <row r="10" spans="1:7" ht="26.25" customHeight="1" thickBot="1">
      <c r="A10" s="323"/>
      <c r="B10" s="245" t="s">
        <v>1408</v>
      </c>
      <c r="C10" s="307" t="s">
        <v>1242</v>
      </c>
      <c r="D10" s="171"/>
      <c r="E10" s="384" t="s">
        <v>1316</v>
      </c>
      <c r="F10" s="383" t="b">
        <v>1</v>
      </c>
      <c r="G10" s="102"/>
    </row>
    <row r="11" spans="1:7">
      <c r="A11" s="531" t="s">
        <v>1453</v>
      </c>
      <c r="B11" s="159" t="s">
        <v>1412</v>
      </c>
      <c r="C11" s="308" t="s">
        <v>2126</v>
      </c>
      <c r="D11" s="155"/>
      <c r="E11" s="385" t="s">
        <v>1546</v>
      </c>
      <c r="F11" s="383" t="b">
        <v>1</v>
      </c>
    </row>
    <row r="12" spans="1:7">
      <c r="A12" s="532"/>
      <c r="B12" s="159" t="s">
        <v>1413</v>
      </c>
      <c r="C12" s="308" t="s">
        <v>2127</v>
      </c>
      <c r="D12" s="155"/>
      <c r="E12" s="385" t="s">
        <v>1546</v>
      </c>
      <c r="F12" s="383" t="b">
        <v>1</v>
      </c>
    </row>
    <row r="13" spans="1:7">
      <c r="A13" s="532"/>
      <c r="B13" s="159" t="s">
        <v>1414</v>
      </c>
      <c r="C13" s="308" t="s">
        <v>2128</v>
      </c>
      <c r="D13" s="155"/>
      <c r="E13" s="385" t="s">
        <v>1393</v>
      </c>
      <c r="F13" s="383" t="b">
        <v>1</v>
      </c>
    </row>
    <row r="14" spans="1:7" ht="13.5" thickBot="1">
      <c r="A14" s="533"/>
      <c r="B14" s="339" t="s">
        <v>1416</v>
      </c>
      <c r="C14" s="306" t="s">
        <v>957</v>
      </c>
      <c r="D14" s="293"/>
      <c r="E14" s="386" t="s">
        <v>1417</v>
      </c>
      <c r="F14" s="383" t="b">
        <v>1</v>
      </c>
    </row>
    <row r="15" spans="1:7">
      <c r="A15" s="531" t="s">
        <v>1415</v>
      </c>
      <c r="B15" s="165" t="s">
        <v>1419</v>
      </c>
      <c r="C15" s="305" t="s">
        <v>2129</v>
      </c>
      <c r="D15" s="166"/>
      <c r="E15" s="385" t="s">
        <v>1393</v>
      </c>
      <c r="F15" s="383" t="b">
        <v>1</v>
      </c>
    </row>
    <row r="16" spans="1:7">
      <c r="A16" s="532"/>
      <c r="B16" s="239" t="s">
        <v>1461</v>
      </c>
      <c r="C16" s="313" t="s">
        <v>2130</v>
      </c>
      <c r="D16" s="300"/>
      <c r="E16" s="385" t="s">
        <v>1393</v>
      </c>
      <c r="F16" s="383" t="b">
        <v>1</v>
      </c>
    </row>
    <row r="17" spans="1:7">
      <c r="A17" s="532"/>
      <c r="B17" s="159" t="s">
        <v>1462</v>
      </c>
      <c r="C17" s="308" t="s">
        <v>2131</v>
      </c>
      <c r="D17" s="155"/>
      <c r="E17" s="385" t="s">
        <v>1393</v>
      </c>
      <c r="F17" s="383" t="b">
        <v>1</v>
      </c>
      <c r="G17" s="102"/>
    </row>
    <row r="18" spans="1:7" ht="25.5">
      <c r="A18" s="532"/>
      <c r="B18" s="416" t="s">
        <v>2034</v>
      </c>
      <c r="C18" s="311" t="s">
        <v>1426</v>
      </c>
      <c r="D18" s="293"/>
      <c r="E18" s="386" t="s">
        <v>1420</v>
      </c>
      <c r="F18" s="383" t="b">
        <v>1</v>
      </c>
    </row>
    <row r="19" spans="1:7">
      <c r="A19" s="532"/>
      <c r="B19" s="415" t="s">
        <v>2035</v>
      </c>
      <c r="C19" s="311" t="s">
        <v>1425</v>
      </c>
      <c r="D19" s="293"/>
      <c r="E19" s="386" t="s">
        <v>1420</v>
      </c>
      <c r="F19" s="383" t="b">
        <v>1</v>
      </c>
    </row>
    <row r="20" spans="1:7" ht="13.5" thickBot="1">
      <c r="A20" s="533"/>
      <c r="B20" s="424" t="s">
        <v>2036</v>
      </c>
      <c r="C20" s="307" t="s">
        <v>982</v>
      </c>
      <c r="D20" s="171" t="s">
        <v>2132</v>
      </c>
      <c r="E20" s="386" t="s">
        <v>1420</v>
      </c>
      <c r="F20" s="383" t="b">
        <v>1</v>
      </c>
    </row>
    <row r="21" spans="1:7">
      <c r="A21" s="538" t="s">
        <v>1466</v>
      </c>
      <c r="B21" s="165" t="s">
        <v>1467</v>
      </c>
      <c r="C21" s="311" t="s">
        <v>1484</v>
      </c>
      <c r="D21" s="293"/>
      <c r="E21" s="386" t="s">
        <v>1482</v>
      </c>
      <c r="F21" s="383" t="b">
        <v>1</v>
      </c>
    </row>
    <row r="22" spans="1:7" ht="25.5">
      <c r="A22" s="561"/>
      <c r="B22" s="240" t="s">
        <v>1474</v>
      </c>
      <c r="C22" s="311" t="s">
        <v>1410</v>
      </c>
      <c r="D22" s="293"/>
      <c r="E22" s="386" t="s">
        <v>1479</v>
      </c>
      <c r="F22" s="383" t="b">
        <v>1</v>
      </c>
    </row>
    <row r="23" spans="1:7">
      <c r="A23" s="561"/>
      <c r="B23" s="159" t="s">
        <v>1473</v>
      </c>
      <c r="C23" s="311" t="s">
        <v>1410</v>
      </c>
      <c r="D23" s="293"/>
      <c r="E23" s="386" t="s">
        <v>1479</v>
      </c>
      <c r="F23" s="383" t="b">
        <v>1</v>
      </c>
    </row>
    <row r="24" spans="1:7">
      <c r="A24" s="561"/>
      <c r="B24" s="159" t="s">
        <v>1470</v>
      </c>
      <c r="C24" s="311" t="s">
        <v>1410</v>
      </c>
      <c r="D24" s="293"/>
      <c r="E24" s="386" t="s">
        <v>1479</v>
      </c>
      <c r="F24" s="383" t="b">
        <v>1</v>
      </c>
    </row>
    <row r="25" spans="1:7">
      <c r="A25" s="561"/>
      <c r="B25" s="159" t="s">
        <v>1471</v>
      </c>
      <c r="C25" s="311" t="s">
        <v>1410</v>
      </c>
      <c r="D25" s="293"/>
      <c r="E25" s="386" t="s">
        <v>1479</v>
      </c>
      <c r="F25" s="383" t="b">
        <v>1</v>
      </c>
    </row>
    <row r="26" spans="1:7">
      <c r="A26" s="561"/>
      <c r="B26" s="159" t="s">
        <v>1472</v>
      </c>
      <c r="C26" s="311" t="s">
        <v>1410</v>
      </c>
      <c r="D26" s="293"/>
      <c r="E26" s="386" t="s">
        <v>1479</v>
      </c>
      <c r="F26" s="383" t="b">
        <v>1</v>
      </c>
    </row>
    <row r="27" spans="1:7">
      <c r="A27" s="561"/>
      <c r="B27" s="159" t="s">
        <v>1475</v>
      </c>
      <c r="C27" s="311" t="s">
        <v>1410</v>
      </c>
      <c r="D27" s="293"/>
      <c r="E27" s="386" t="s">
        <v>1479</v>
      </c>
      <c r="F27" s="383" t="b">
        <v>1</v>
      </c>
    </row>
    <row r="28" spans="1:7">
      <c r="A28" s="561"/>
      <c r="B28" s="159" t="s">
        <v>1476</v>
      </c>
      <c r="C28" s="311" t="s">
        <v>1410</v>
      </c>
      <c r="D28" s="293"/>
      <c r="E28" s="386" t="s">
        <v>1479</v>
      </c>
      <c r="F28" s="383" t="b">
        <v>1</v>
      </c>
    </row>
    <row r="29" spans="1:7">
      <c r="A29" s="561"/>
      <c r="B29" s="159" t="s">
        <v>1477</v>
      </c>
      <c r="C29" s="311" t="s">
        <v>1410</v>
      </c>
      <c r="D29" s="293"/>
      <c r="E29" s="386" t="s">
        <v>1479</v>
      </c>
      <c r="F29" s="383" t="b">
        <v>1</v>
      </c>
    </row>
    <row r="30" spans="1:7">
      <c r="A30" s="561"/>
      <c r="B30" s="159" t="s">
        <v>1478</v>
      </c>
      <c r="C30" s="311" t="s">
        <v>1410</v>
      </c>
      <c r="D30" s="293"/>
      <c r="E30" s="386" t="s">
        <v>1479</v>
      </c>
      <c r="F30" s="383" t="b">
        <v>1</v>
      </c>
    </row>
    <row r="31" spans="1:7" ht="13.5" thickBot="1">
      <c r="A31" s="567"/>
      <c r="B31" s="172" t="s">
        <v>1468</v>
      </c>
      <c r="C31" s="309">
        <v>1925</v>
      </c>
      <c r="D31" s="171"/>
      <c r="E31" s="385" t="s">
        <v>1481</v>
      </c>
      <c r="F31" s="383" t="b">
        <v>1</v>
      </c>
      <c r="G31" s="102"/>
    </row>
    <row r="32" spans="1:7">
      <c r="A32" s="561" t="s">
        <v>1449</v>
      </c>
      <c r="B32" s="239" t="s">
        <v>1395</v>
      </c>
      <c r="C32" s="313"/>
      <c r="D32" s="300"/>
      <c r="E32" s="385" t="s">
        <v>1393</v>
      </c>
      <c r="F32" s="383" t="b">
        <f>OR($C$18="Coding",$C$19="Coding",$C$20="Coding")</f>
        <v>0</v>
      </c>
    </row>
    <row r="33" spans="1:6">
      <c r="A33" s="561"/>
      <c r="B33" s="159" t="s">
        <v>1447</v>
      </c>
      <c r="C33" s="308"/>
      <c r="D33" s="155"/>
      <c r="E33" s="385" t="s">
        <v>1393</v>
      </c>
      <c r="F33" s="383" t="b">
        <f t="shared" ref="F33:F39" si="0">OR($C$18="Coding",$C$19="Coding",$C$20="Coding")</f>
        <v>0</v>
      </c>
    </row>
    <row r="34" spans="1:6">
      <c r="A34" s="561"/>
      <c r="B34" s="326" t="s">
        <v>1448</v>
      </c>
      <c r="C34" s="308"/>
      <c r="D34" s="155"/>
      <c r="E34" s="385" t="s">
        <v>1393</v>
      </c>
      <c r="F34" s="383" t="b">
        <f t="shared" si="0"/>
        <v>0</v>
      </c>
    </row>
    <row r="35" spans="1:6">
      <c r="A35" s="561"/>
      <c r="B35" s="326" t="s">
        <v>1451</v>
      </c>
      <c r="C35" s="308"/>
      <c r="D35" s="155"/>
      <c r="E35" s="385" t="s">
        <v>1393</v>
      </c>
      <c r="F35" s="383" t="b">
        <f t="shared" si="0"/>
        <v>0</v>
      </c>
    </row>
    <row r="36" spans="1:6">
      <c r="A36" s="561"/>
      <c r="B36" s="159" t="s">
        <v>1450</v>
      </c>
      <c r="C36" s="312"/>
      <c r="D36" s="155"/>
      <c r="E36" s="386" t="s">
        <v>1490</v>
      </c>
      <c r="F36" s="383" t="b">
        <f t="shared" si="0"/>
        <v>0</v>
      </c>
    </row>
    <row r="37" spans="1:6">
      <c r="A37" s="561"/>
      <c r="B37" s="159" t="s">
        <v>1492</v>
      </c>
      <c r="C37" s="312"/>
      <c r="D37" s="155"/>
      <c r="E37" s="386" t="s">
        <v>1490</v>
      </c>
      <c r="F37" s="383" t="b">
        <f t="shared" si="0"/>
        <v>0</v>
      </c>
    </row>
    <row r="38" spans="1:6" ht="13.5" thickBot="1">
      <c r="A38" s="567"/>
      <c r="B38" s="172" t="s">
        <v>1503</v>
      </c>
      <c r="C38" s="433"/>
      <c r="D38" s="171"/>
      <c r="E38" s="386" t="s">
        <v>1501</v>
      </c>
      <c r="F38" s="383" t="b">
        <f t="shared" si="0"/>
        <v>0</v>
      </c>
    </row>
    <row r="39" spans="1:6">
      <c r="A39" s="561" t="s">
        <v>1923</v>
      </c>
      <c r="B39" s="159" t="s">
        <v>1931</v>
      </c>
      <c r="C39" s="312" t="s">
        <v>1102</v>
      </c>
      <c r="D39" s="155"/>
      <c r="E39" s="386" t="s">
        <v>1490</v>
      </c>
      <c r="F39" s="383" t="b">
        <v>1</v>
      </c>
    </row>
    <row r="40" spans="1:6" ht="13.5" thickBot="1">
      <c r="A40" s="567"/>
      <c r="B40" s="172" t="s">
        <v>1930</v>
      </c>
      <c r="C40" s="433" t="s">
        <v>1924</v>
      </c>
      <c r="D40" s="171"/>
      <c r="E40" s="386" t="s">
        <v>1493</v>
      </c>
      <c r="F40" s="383" t="b">
        <v>1</v>
      </c>
    </row>
    <row r="41" spans="1:6" ht="13.5" thickBot="1">
      <c r="A41" s="375" t="s">
        <v>1900</v>
      </c>
      <c r="B41" s="354" t="s">
        <v>1933</v>
      </c>
      <c r="C41" s="307" t="s">
        <v>784</v>
      </c>
      <c r="D41" s="171"/>
      <c r="E41" s="384" t="s">
        <v>1338</v>
      </c>
      <c r="F41" s="383" t="b">
        <v>1</v>
      </c>
    </row>
    <row r="42" spans="1:6" ht="13.5" thickBot="1"/>
    <row r="43" spans="1:6" ht="21" thickBot="1">
      <c r="A43" s="524" t="s">
        <v>1695</v>
      </c>
      <c r="B43" s="525"/>
      <c r="C43" s="525"/>
      <c r="D43" s="526"/>
      <c r="E43" s="137"/>
    </row>
    <row r="44" spans="1:6" ht="13.5" thickBot="1">
      <c r="A44" s="518" t="s">
        <v>1684</v>
      </c>
      <c r="B44" s="519"/>
      <c r="C44" s="519"/>
      <c r="D44" s="520"/>
      <c r="E44" s="137"/>
    </row>
    <row r="45" spans="1:6">
      <c r="A45" s="336" t="s">
        <v>1329</v>
      </c>
      <c r="B45" s="337" t="s">
        <v>4</v>
      </c>
      <c r="C45" s="337" t="s">
        <v>1343</v>
      </c>
      <c r="D45" s="338" t="s">
        <v>1308</v>
      </c>
      <c r="E45" s="137"/>
    </row>
    <row r="46" spans="1:6">
      <c r="A46" s="521" t="s">
        <v>1685</v>
      </c>
      <c r="B46" s="159" t="s">
        <v>1686</v>
      </c>
      <c r="C46" s="306" t="s">
        <v>783</v>
      </c>
      <c r="D46" s="155"/>
      <c r="E46" s="384" t="s">
        <v>1338</v>
      </c>
      <c r="F46" s="383" t="b">
        <v>1</v>
      </c>
    </row>
    <row r="47" spans="1:6">
      <c r="A47" s="521"/>
      <c r="B47" s="159" t="s">
        <v>1687</v>
      </c>
      <c r="C47" s="431"/>
      <c r="D47" s="155"/>
      <c r="E47" s="387" t="s">
        <v>1391</v>
      </c>
      <c r="F47" s="383" t="b">
        <f>C$46="Yes"</f>
        <v>0</v>
      </c>
    </row>
    <row r="48" spans="1:6">
      <c r="A48" s="521"/>
      <c r="B48" s="159" t="s">
        <v>1688</v>
      </c>
      <c r="C48" s="434"/>
      <c r="D48" s="155"/>
      <c r="E48" s="387" t="s">
        <v>1693</v>
      </c>
      <c r="F48" s="383" t="b">
        <f t="shared" ref="F48:F53" si="1">C$46="Yes"</f>
        <v>0</v>
      </c>
    </row>
    <row r="49" spans="1:6">
      <c r="A49" s="521"/>
      <c r="B49" s="159" t="s">
        <v>1689</v>
      </c>
      <c r="C49" s="434"/>
      <c r="D49" s="155"/>
      <c r="E49" s="387" t="s">
        <v>1693</v>
      </c>
      <c r="F49" s="383" t="b">
        <f t="shared" si="1"/>
        <v>0</v>
      </c>
    </row>
    <row r="50" spans="1:6">
      <c r="A50" s="521"/>
      <c r="B50" s="159" t="s">
        <v>1690</v>
      </c>
      <c r="C50" s="431"/>
      <c r="D50" s="155"/>
      <c r="E50" s="387" t="s">
        <v>1391</v>
      </c>
      <c r="F50" s="383" t="b">
        <f t="shared" si="1"/>
        <v>0</v>
      </c>
    </row>
    <row r="51" spans="1:6">
      <c r="A51" s="521"/>
      <c r="B51" s="159" t="s">
        <v>1691</v>
      </c>
      <c r="C51" s="434"/>
      <c r="D51" s="155"/>
      <c r="E51" s="387" t="s">
        <v>1693</v>
      </c>
      <c r="F51" s="383" t="b">
        <f t="shared" si="1"/>
        <v>0</v>
      </c>
    </row>
    <row r="52" spans="1:6">
      <c r="A52" s="522"/>
      <c r="B52" s="339" t="s">
        <v>1692</v>
      </c>
      <c r="C52" s="435"/>
      <c r="D52" s="293"/>
      <c r="E52" s="387" t="s">
        <v>1694</v>
      </c>
      <c r="F52" s="383" t="b">
        <f t="shared" si="1"/>
        <v>0</v>
      </c>
    </row>
    <row r="53" spans="1:6" ht="26.25" thickBot="1">
      <c r="A53" s="523"/>
      <c r="B53" s="245" t="s">
        <v>1696</v>
      </c>
      <c r="C53" s="436"/>
      <c r="D53" s="171"/>
      <c r="E53" s="387" t="s">
        <v>1694</v>
      </c>
      <c r="F53" s="383" t="b">
        <f t="shared" si="1"/>
        <v>0</v>
      </c>
    </row>
  </sheetData>
  <mergeCells count="12">
    <mergeCell ref="A46:A53"/>
    <mergeCell ref="A1:D1"/>
    <mergeCell ref="E1:E3"/>
    <mergeCell ref="F1:F3"/>
    <mergeCell ref="A2:D2"/>
    <mergeCell ref="A11:A14"/>
    <mergeCell ref="A15:A20"/>
    <mergeCell ref="A21:A31"/>
    <mergeCell ref="A32:A38"/>
    <mergeCell ref="A39:A40"/>
    <mergeCell ref="A43:D43"/>
    <mergeCell ref="A44:D44"/>
  </mergeCells>
  <conditionalFormatting sqref="F4:F41">
    <cfRule type="cellIs" dxfId="62" priority="4" operator="equal">
      <formula>TRUE</formula>
    </cfRule>
  </conditionalFormatting>
  <conditionalFormatting sqref="F46">
    <cfRule type="cellIs" dxfId="61" priority="3" operator="equal">
      <formula>TRUE</formula>
    </cfRule>
  </conditionalFormatting>
  <conditionalFormatting sqref="A4:D40 A46:D53">
    <cfRule type="expression" dxfId="60" priority="2">
      <formula>$F4=FALSE</formula>
    </cfRule>
  </conditionalFormatting>
  <conditionalFormatting sqref="F47:F53">
    <cfRule type="cellIs" dxfId="59" priority="1" operator="equal">
      <formula>TRUE</formula>
    </cfRule>
  </conditionalFormatting>
  <dataValidations count="3">
    <dataValidation type="list" allowBlank="1" showInputMessage="1" showErrorMessage="1" sqref="C14 C46 C9:C10 C36:C41 C18:C30" xr:uid="{33D254AD-B831-4FA1-B7BD-43566DDA10F4}">
      <formula1>INDIRECT($E9)</formula1>
    </dataValidation>
    <dataValidation type="decimal" operator="greaterThanOrEqual" allowBlank="1" showInputMessage="1" showErrorMessage="1" sqref="C51:C53 C48:C49" xr:uid="{61381E1A-B9A3-4E0A-BE75-F015FB619041}">
      <formula1>0</formula1>
    </dataValidation>
    <dataValidation type="whole" operator="greaterThanOrEqual" allowBlank="1" showInputMessage="1" showErrorMessage="1" sqref="C47 C50" xr:uid="{E57F5B38-F50C-4ED8-BEA8-D41F589709FB}">
      <formula1>0</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19D6F-DAFD-4394-AD86-A78AACF8C936}">
  <sheetPr>
    <tabColor theme="6" tint="0.79998168889431442"/>
  </sheetPr>
  <dimension ref="A1:G30"/>
  <sheetViews>
    <sheetView workbookViewId="0">
      <selection activeCell="F13" sqref="F13:F20"/>
    </sheetView>
  </sheetViews>
  <sheetFormatPr defaultRowHeight="12.75"/>
  <cols>
    <col min="1" max="1" width="20" style="37" customWidth="1"/>
    <col min="2" max="2" width="86.5703125" style="37" customWidth="1"/>
    <col min="3" max="3" width="33.28515625" style="314" customWidth="1"/>
    <col min="4" max="4" width="16.85546875" style="37" customWidth="1"/>
    <col min="5" max="5" width="32" style="37" customWidth="1"/>
    <col min="6" max="6" width="17.42578125" style="37" customWidth="1"/>
    <col min="7" max="16384" width="9.140625" style="37"/>
  </cols>
  <sheetData>
    <row r="1" spans="1:7" ht="20.25">
      <c r="A1" s="545" t="s">
        <v>1908</v>
      </c>
      <c r="B1" s="546"/>
      <c r="C1" s="546"/>
      <c r="D1" s="547"/>
      <c r="E1" s="552" t="s">
        <v>1907</v>
      </c>
      <c r="F1" s="517" t="s">
        <v>1953</v>
      </c>
    </row>
    <row r="2" spans="1:7" ht="13.5" thickBot="1">
      <c r="A2" s="568" t="s">
        <v>1434</v>
      </c>
      <c r="B2" s="569"/>
      <c r="C2" s="569"/>
      <c r="D2" s="570"/>
      <c r="E2" s="553"/>
      <c r="F2" s="517"/>
    </row>
    <row r="3" spans="1:7" ht="13.5" thickBot="1">
      <c r="A3" s="336" t="s">
        <v>1329</v>
      </c>
      <c r="B3" s="337" t="s">
        <v>4</v>
      </c>
      <c r="C3" s="337" t="s">
        <v>1343</v>
      </c>
      <c r="D3" s="338" t="s">
        <v>1308</v>
      </c>
      <c r="E3" s="553"/>
      <c r="F3" s="517"/>
    </row>
    <row r="4" spans="1:7">
      <c r="A4" s="521" t="s">
        <v>1435</v>
      </c>
      <c r="B4" s="159" t="s">
        <v>2218</v>
      </c>
      <c r="C4" s="165" t="s">
        <v>2211</v>
      </c>
      <c r="D4" s="166"/>
      <c r="E4" s="385" t="s">
        <v>1546</v>
      </c>
      <c r="F4" s="383" t="b">
        <v>1</v>
      </c>
    </row>
    <row r="5" spans="1:7">
      <c r="A5" s="521"/>
      <c r="B5" s="159" t="s">
        <v>1441</v>
      </c>
      <c r="C5" s="316" t="s">
        <v>784</v>
      </c>
      <c r="D5" s="155"/>
      <c r="E5" s="384" t="s">
        <v>1338</v>
      </c>
      <c r="F5" s="383" t="b">
        <v>1</v>
      </c>
    </row>
    <row r="6" spans="1:7">
      <c r="A6" s="521"/>
      <c r="B6" s="159" t="s">
        <v>1442</v>
      </c>
      <c r="C6" s="306" t="s">
        <v>784</v>
      </c>
      <c r="D6" s="155"/>
      <c r="E6" s="384" t="s">
        <v>1338</v>
      </c>
      <c r="F6" s="383" t="b">
        <v>1</v>
      </c>
    </row>
    <row r="7" spans="1:7">
      <c r="A7" s="521"/>
      <c r="B7" s="159" t="s">
        <v>1443</v>
      </c>
      <c r="C7" s="306" t="s">
        <v>783</v>
      </c>
      <c r="D7" s="155"/>
      <c r="E7" s="384" t="s">
        <v>1338</v>
      </c>
      <c r="F7" s="383" t="b">
        <v>1</v>
      </c>
    </row>
    <row r="8" spans="1:7">
      <c r="A8" s="521"/>
      <c r="B8" s="159" t="s">
        <v>1444</v>
      </c>
      <c r="C8" s="306" t="s">
        <v>784</v>
      </c>
      <c r="D8" s="155"/>
      <c r="E8" s="384" t="s">
        <v>1338</v>
      </c>
      <c r="F8" s="383" t="b">
        <v>1</v>
      </c>
    </row>
    <row r="9" spans="1:7" ht="13.5" thickBot="1">
      <c r="A9" s="522"/>
      <c r="B9" s="339" t="s">
        <v>1504</v>
      </c>
      <c r="C9" s="311" t="s">
        <v>784</v>
      </c>
      <c r="D9" s="293"/>
      <c r="E9" s="384" t="s">
        <v>1338</v>
      </c>
      <c r="F9" s="383" t="b">
        <v>1</v>
      </c>
    </row>
    <row r="10" spans="1:7">
      <c r="A10" s="692" t="s">
        <v>1540</v>
      </c>
      <c r="B10" s="165" t="s">
        <v>1439</v>
      </c>
      <c r="C10" s="305" t="s">
        <v>2103</v>
      </c>
      <c r="D10" s="166"/>
      <c r="E10" s="385" t="s">
        <v>1546</v>
      </c>
      <c r="F10" s="383" t="b">
        <v>1</v>
      </c>
    </row>
    <row r="11" spans="1:7" ht="25.5">
      <c r="A11" s="696"/>
      <c r="B11" s="240" t="s">
        <v>1538</v>
      </c>
      <c r="C11" s="306" t="s">
        <v>784</v>
      </c>
      <c r="D11" s="155"/>
      <c r="E11" s="384" t="s">
        <v>1338</v>
      </c>
      <c r="F11" s="383" t="b">
        <v>1</v>
      </c>
    </row>
    <row r="12" spans="1:7" ht="13.5" customHeight="1" thickBot="1">
      <c r="A12" s="697"/>
      <c r="B12" s="245" t="s">
        <v>1539</v>
      </c>
      <c r="C12" s="309"/>
      <c r="D12" s="171"/>
      <c r="E12" s="389" t="s">
        <v>1393</v>
      </c>
      <c r="F12" s="383" t="b">
        <f>C11&lt;&gt;"Yes"</f>
        <v>0</v>
      </c>
    </row>
    <row r="13" spans="1:7" ht="13.5" thickBot="1">
      <c r="A13" s="244" t="s">
        <v>2233</v>
      </c>
      <c r="B13" s="724" t="s">
        <v>2234</v>
      </c>
      <c r="C13" s="320" t="s">
        <v>783</v>
      </c>
      <c r="D13" s="293"/>
      <c r="E13" s="384" t="s">
        <v>1338</v>
      </c>
      <c r="F13" s="383" t="b">
        <v>1</v>
      </c>
      <c r="G13" s="102" t="s">
        <v>2235</v>
      </c>
    </row>
    <row r="14" spans="1:7">
      <c r="A14" s="541" t="s">
        <v>1463</v>
      </c>
      <c r="B14" s="165" t="s">
        <v>1706</v>
      </c>
      <c r="C14" s="725"/>
      <c r="D14" s="166"/>
      <c r="E14" s="382" t="s">
        <v>2133</v>
      </c>
      <c r="F14" s="383" t="b">
        <f>$C$13&lt;&gt;"No"</f>
        <v>0</v>
      </c>
      <c r="G14" s="102"/>
    </row>
    <row r="15" spans="1:7">
      <c r="A15" s="542"/>
      <c r="B15" s="239" t="s">
        <v>1485</v>
      </c>
      <c r="C15" s="331"/>
      <c r="D15" s="300"/>
      <c r="E15" s="386" t="s">
        <v>1464</v>
      </c>
      <c r="F15" s="383" t="b">
        <f t="shared" ref="F15:F20" si="0">$C$13&lt;&gt;"No"</f>
        <v>0</v>
      </c>
      <c r="G15" s="102"/>
    </row>
    <row r="16" spans="1:7">
      <c r="A16" s="521"/>
      <c r="B16" s="159" t="s">
        <v>1486</v>
      </c>
      <c r="C16" s="316"/>
      <c r="D16" s="155"/>
      <c r="E16" s="386" t="s">
        <v>1464</v>
      </c>
      <c r="F16" s="383" t="b">
        <f t="shared" si="0"/>
        <v>0</v>
      </c>
      <c r="G16" s="102"/>
    </row>
    <row r="17" spans="1:7">
      <c r="A17" s="521"/>
      <c r="B17" s="159" t="s">
        <v>1487</v>
      </c>
      <c r="C17" s="316"/>
      <c r="D17" s="155"/>
      <c r="E17" s="386" t="s">
        <v>1512</v>
      </c>
      <c r="F17" s="383" t="b">
        <f t="shared" si="0"/>
        <v>0</v>
      </c>
      <c r="G17" s="102"/>
    </row>
    <row r="18" spans="1:7">
      <c r="A18" s="521"/>
      <c r="B18" s="159" t="s">
        <v>1488</v>
      </c>
      <c r="C18" s="316"/>
      <c r="D18" s="155"/>
      <c r="E18" s="386" t="s">
        <v>1514</v>
      </c>
      <c r="F18" s="383" t="b">
        <f t="shared" si="0"/>
        <v>0</v>
      </c>
      <c r="G18" s="102"/>
    </row>
    <row r="19" spans="1:7">
      <c r="A19" s="521"/>
      <c r="B19" s="159" t="s">
        <v>1489</v>
      </c>
      <c r="C19" s="316"/>
      <c r="D19" s="155"/>
      <c r="E19" s="384" t="s">
        <v>1338</v>
      </c>
      <c r="F19" s="383" t="b">
        <f t="shared" si="0"/>
        <v>0</v>
      </c>
      <c r="G19" s="102"/>
    </row>
    <row r="20" spans="1:7" ht="13.5" thickBot="1">
      <c r="A20" s="523"/>
      <c r="B20" s="172" t="s">
        <v>1541</v>
      </c>
      <c r="C20" s="170"/>
      <c r="D20" s="171"/>
      <c r="E20" s="385" t="s">
        <v>1546</v>
      </c>
      <c r="F20" s="383" t="b">
        <f t="shared" si="0"/>
        <v>0</v>
      </c>
      <c r="G20" s="102"/>
    </row>
    <row r="21" spans="1:7">
      <c r="A21" s="541" t="s">
        <v>1920</v>
      </c>
      <c r="B21" s="165" t="s">
        <v>1921</v>
      </c>
      <c r="C21" s="310">
        <v>4</v>
      </c>
      <c r="D21" s="166"/>
      <c r="E21" s="386" t="s">
        <v>1903</v>
      </c>
      <c r="F21" s="383" t="b">
        <v>1</v>
      </c>
    </row>
    <row r="22" spans="1:7">
      <c r="A22" s="521"/>
      <c r="B22" s="159" t="s">
        <v>1922</v>
      </c>
      <c r="C22" s="306" t="s">
        <v>1905</v>
      </c>
      <c r="D22" s="155"/>
      <c r="E22" s="386" t="s">
        <v>1903</v>
      </c>
      <c r="F22" s="383" t="b">
        <v>1</v>
      </c>
    </row>
    <row r="23" spans="1:7" ht="13.5" thickBot="1">
      <c r="A23" s="523"/>
      <c r="B23" s="172" t="s">
        <v>1932</v>
      </c>
      <c r="C23" s="307" t="s">
        <v>1905</v>
      </c>
      <c r="D23" s="171"/>
      <c r="E23" s="386" t="s">
        <v>1903</v>
      </c>
      <c r="F23" s="383" t="b">
        <v>1</v>
      </c>
    </row>
    <row r="24" spans="1:7" ht="13.5" thickBot="1">
      <c r="A24" s="321" t="s">
        <v>1900</v>
      </c>
      <c r="B24" s="356" t="s">
        <v>1901</v>
      </c>
      <c r="C24" s="441" t="s">
        <v>784</v>
      </c>
      <c r="D24" s="353"/>
      <c r="E24" s="384" t="s">
        <v>1338</v>
      </c>
      <c r="F24" s="383" t="b">
        <v>1</v>
      </c>
    </row>
    <row r="25" spans="1:7" ht="13.5" thickBot="1"/>
    <row r="26" spans="1:7" ht="21" thickBot="1">
      <c r="A26" s="524" t="s">
        <v>2005</v>
      </c>
      <c r="B26" s="525"/>
      <c r="C26" s="525"/>
      <c r="D26" s="526"/>
    </row>
    <row r="27" spans="1:7">
      <c r="A27" s="518" t="s">
        <v>1684</v>
      </c>
      <c r="B27" s="519"/>
      <c r="C27" s="519"/>
      <c r="D27" s="520"/>
    </row>
    <row r="28" spans="1:7">
      <c r="A28" s="243" t="s">
        <v>1329</v>
      </c>
      <c r="B28" s="243" t="s">
        <v>4</v>
      </c>
      <c r="C28" s="243" t="s">
        <v>1343</v>
      </c>
      <c r="D28" s="243" t="s">
        <v>1308</v>
      </c>
    </row>
    <row r="29" spans="1:7">
      <c r="A29" s="543" t="s">
        <v>1983</v>
      </c>
      <c r="B29" s="159" t="s">
        <v>1985</v>
      </c>
      <c r="C29" s="306" t="s">
        <v>784</v>
      </c>
      <c r="D29" s="99"/>
      <c r="E29" s="349" t="s">
        <v>1338</v>
      </c>
      <c r="F29" s="383" t="b">
        <v>1</v>
      </c>
    </row>
    <row r="30" spans="1:7">
      <c r="A30" s="544"/>
      <c r="B30" s="159" t="s">
        <v>1984</v>
      </c>
      <c r="C30" s="431">
        <v>1000</v>
      </c>
      <c r="D30" s="99"/>
      <c r="E30" s="382" t="s">
        <v>1619</v>
      </c>
      <c r="F30" s="383" t="b">
        <v>1</v>
      </c>
    </row>
  </sheetData>
  <mergeCells count="11">
    <mergeCell ref="E1:E3"/>
    <mergeCell ref="F1:F3"/>
    <mergeCell ref="A26:D26"/>
    <mergeCell ref="A27:D27"/>
    <mergeCell ref="A29:A30"/>
    <mergeCell ref="A1:D1"/>
    <mergeCell ref="A2:D2"/>
    <mergeCell ref="A4:A9"/>
    <mergeCell ref="A10:A12"/>
    <mergeCell ref="A14:A20"/>
    <mergeCell ref="A21:A23"/>
  </mergeCells>
  <conditionalFormatting sqref="F6:F9 F21:F24">
    <cfRule type="cellIs" dxfId="58" priority="8" operator="equal">
      <formula>TRUE</formula>
    </cfRule>
  </conditionalFormatting>
  <conditionalFormatting sqref="F29:F30">
    <cfRule type="cellIs" dxfId="57" priority="7" operator="equal">
      <formula>TRUE</formula>
    </cfRule>
  </conditionalFormatting>
  <conditionalFormatting sqref="F10:F11">
    <cfRule type="cellIs" dxfId="56" priority="6" operator="equal">
      <formula>TRUE</formula>
    </cfRule>
  </conditionalFormatting>
  <conditionalFormatting sqref="F12">
    <cfRule type="cellIs" dxfId="55" priority="5" operator="equal">
      <formula>TRUE</formula>
    </cfRule>
  </conditionalFormatting>
  <conditionalFormatting sqref="B12:D12">
    <cfRule type="expression" dxfId="54" priority="4">
      <formula>$F12=FALSE</formula>
    </cfRule>
  </conditionalFormatting>
  <conditionalFormatting sqref="F4:F5">
    <cfRule type="cellIs" dxfId="53" priority="3" operator="equal">
      <formula>TRUE</formula>
    </cfRule>
  </conditionalFormatting>
  <conditionalFormatting sqref="F13:F20">
    <cfRule type="cellIs" dxfId="52" priority="2" operator="equal">
      <formula>TRUE</formula>
    </cfRule>
  </conditionalFormatting>
  <conditionalFormatting sqref="A4:D24">
    <cfRule type="expression" dxfId="51" priority="1">
      <formula>$F4=FALSE</formula>
    </cfRule>
  </conditionalFormatting>
  <dataValidations count="3">
    <dataValidation type="whole" operator="greaterThanOrEqual" allowBlank="1" showInputMessage="1" showErrorMessage="1" sqref="C30" xr:uid="{5E382C07-BDD0-4EF4-855F-CE84616C4394}">
      <formula1>0</formula1>
    </dataValidation>
    <dataValidation type="list" allowBlank="1" showInputMessage="1" showErrorMessage="1" sqref="C21:C24 C29 C11 C15:C19 C5:C9 C13" xr:uid="{4D84D68E-34CE-4B92-BC0E-552342008FC2}">
      <formula1>INDIRECT($E5)</formula1>
    </dataValidation>
    <dataValidation type="date" operator="greaterThan" allowBlank="1" showInputMessage="1" showErrorMessage="1" sqref="C14" xr:uid="{BCC7914D-5DB6-41FE-A73D-12F856761D92}">
      <formula1>43466</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C6704-8CBA-415E-AC28-9A96F7D263CE}">
  <sheetPr>
    <tabColor theme="6" tint="0.79998168889431442"/>
  </sheetPr>
  <dimension ref="A1:G30"/>
  <sheetViews>
    <sheetView workbookViewId="0">
      <selection activeCell="A13" sqref="A13:XFD13"/>
    </sheetView>
  </sheetViews>
  <sheetFormatPr defaultRowHeight="12.75"/>
  <cols>
    <col min="1" max="1" width="20" style="37" customWidth="1"/>
    <col min="2" max="2" width="86.5703125" style="37" customWidth="1"/>
    <col min="3" max="3" width="33.28515625" style="314" customWidth="1"/>
    <col min="4" max="4" width="16.85546875" style="37" customWidth="1"/>
    <col min="5" max="5" width="32" style="37" customWidth="1"/>
    <col min="6" max="6" width="17.42578125" style="37" customWidth="1"/>
    <col min="7" max="16384" width="9.140625" style="37"/>
  </cols>
  <sheetData>
    <row r="1" spans="1:7" ht="20.25">
      <c r="A1" s="545" t="s">
        <v>1908</v>
      </c>
      <c r="B1" s="546"/>
      <c r="C1" s="546"/>
      <c r="D1" s="547"/>
      <c r="E1" s="552" t="s">
        <v>1907</v>
      </c>
      <c r="F1" s="517" t="s">
        <v>1953</v>
      </c>
    </row>
    <row r="2" spans="1:7" ht="13.5" thickBot="1">
      <c r="A2" s="568" t="s">
        <v>1434</v>
      </c>
      <c r="B2" s="569"/>
      <c r="C2" s="569"/>
      <c r="D2" s="570"/>
      <c r="E2" s="553"/>
      <c r="F2" s="517"/>
    </row>
    <row r="3" spans="1:7" ht="13.5" thickBot="1">
      <c r="A3" s="336" t="s">
        <v>1329</v>
      </c>
      <c r="B3" s="337" t="s">
        <v>4</v>
      </c>
      <c r="C3" s="337" t="s">
        <v>1343</v>
      </c>
      <c r="D3" s="338" t="s">
        <v>1308</v>
      </c>
      <c r="E3" s="553"/>
      <c r="F3" s="517"/>
    </row>
    <row r="4" spans="1:7">
      <c r="A4" s="521" t="s">
        <v>1435</v>
      </c>
      <c r="B4" s="159" t="s">
        <v>2218</v>
      </c>
      <c r="C4" s="165" t="s">
        <v>2112</v>
      </c>
      <c r="D4" s="166"/>
      <c r="E4" s="385" t="s">
        <v>1546</v>
      </c>
      <c r="F4" s="383" t="b">
        <v>1</v>
      </c>
    </row>
    <row r="5" spans="1:7">
      <c r="A5" s="521"/>
      <c r="B5" s="159" t="s">
        <v>1441</v>
      </c>
      <c r="C5" s="316" t="s">
        <v>784</v>
      </c>
      <c r="D5" s="155"/>
      <c r="E5" s="384" t="s">
        <v>1338</v>
      </c>
      <c r="F5" s="383" t="b">
        <v>1</v>
      </c>
    </row>
    <row r="6" spans="1:7">
      <c r="A6" s="521"/>
      <c r="B6" s="159" t="s">
        <v>1442</v>
      </c>
      <c r="C6" s="306" t="s">
        <v>784</v>
      </c>
      <c r="D6" s="155"/>
      <c r="E6" s="384" t="s">
        <v>1338</v>
      </c>
      <c r="F6" s="383" t="b">
        <v>1</v>
      </c>
    </row>
    <row r="7" spans="1:7">
      <c r="A7" s="521"/>
      <c r="B7" s="159" t="s">
        <v>1443</v>
      </c>
      <c r="C7" s="306" t="s">
        <v>784</v>
      </c>
      <c r="D7" s="155"/>
      <c r="E7" s="384" t="s">
        <v>1338</v>
      </c>
      <c r="F7" s="383" t="b">
        <v>1</v>
      </c>
    </row>
    <row r="8" spans="1:7">
      <c r="A8" s="521"/>
      <c r="B8" s="159" t="s">
        <v>1444</v>
      </c>
      <c r="C8" s="306" t="s">
        <v>784</v>
      </c>
      <c r="D8" s="155"/>
      <c r="E8" s="384" t="s">
        <v>1338</v>
      </c>
      <c r="F8" s="383" t="b">
        <v>1</v>
      </c>
    </row>
    <row r="9" spans="1:7" ht="13.5" thickBot="1">
      <c r="A9" s="522"/>
      <c r="B9" s="339" t="s">
        <v>1504</v>
      </c>
      <c r="C9" s="311" t="s">
        <v>784</v>
      </c>
      <c r="D9" s="293"/>
      <c r="E9" s="384" t="s">
        <v>1338</v>
      </c>
      <c r="F9" s="383" t="b">
        <v>1</v>
      </c>
    </row>
    <row r="10" spans="1:7">
      <c r="A10" s="692" t="s">
        <v>1540</v>
      </c>
      <c r="B10" s="165" t="s">
        <v>1439</v>
      </c>
      <c r="C10" s="305" t="s">
        <v>2164</v>
      </c>
      <c r="D10" s="166"/>
      <c r="E10" s="385" t="s">
        <v>1546</v>
      </c>
      <c r="F10" s="383" t="b">
        <v>1</v>
      </c>
    </row>
    <row r="11" spans="1:7" ht="25.5">
      <c r="A11" s="696"/>
      <c r="B11" s="240" t="s">
        <v>1538</v>
      </c>
      <c r="C11" s="306" t="s">
        <v>784</v>
      </c>
      <c r="D11" s="155"/>
      <c r="E11" s="384" t="s">
        <v>1338</v>
      </c>
      <c r="F11" s="383" t="b">
        <v>1</v>
      </c>
    </row>
    <row r="12" spans="1:7" ht="13.5" customHeight="1" thickBot="1">
      <c r="A12" s="697"/>
      <c r="B12" s="245" t="s">
        <v>1539</v>
      </c>
      <c r="C12" s="309"/>
      <c r="D12" s="171"/>
      <c r="E12" s="389" t="s">
        <v>1393</v>
      </c>
      <c r="F12" s="383" t="b">
        <f>C11&lt;&gt;"Yes"</f>
        <v>0</v>
      </c>
    </row>
    <row r="13" spans="1:7" ht="13.5" thickBot="1">
      <c r="A13" s="244" t="s">
        <v>2233</v>
      </c>
      <c r="B13" s="724" t="s">
        <v>2234</v>
      </c>
      <c r="C13" s="320" t="s">
        <v>784</v>
      </c>
      <c r="D13" s="293"/>
      <c r="E13" s="384" t="s">
        <v>1338</v>
      </c>
      <c r="F13" s="383" t="b">
        <v>1</v>
      </c>
      <c r="G13" s="102" t="s">
        <v>2235</v>
      </c>
    </row>
    <row r="14" spans="1:7">
      <c r="A14" s="541" t="s">
        <v>1463</v>
      </c>
      <c r="B14" s="165" t="s">
        <v>1706</v>
      </c>
      <c r="C14" s="725">
        <f ca="1">TODAY()</f>
        <v>44957</v>
      </c>
      <c r="D14" s="166"/>
      <c r="E14" s="382" t="s">
        <v>2133</v>
      </c>
      <c r="F14" s="383" t="b">
        <f>$C$13&lt;&gt;"No"</f>
        <v>1</v>
      </c>
      <c r="G14" s="102"/>
    </row>
    <row r="15" spans="1:7">
      <c r="A15" s="542"/>
      <c r="B15" s="239" t="s">
        <v>1485</v>
      </c>
      <c r="C15" s="331" t="s">
        <v>784</v>
      </c>
      <c r="D15" s="300"/>
      <c r="E15" s="386" t="s">
        <v>1464</v>
      </c>
      <c r="F15" s="383" t="b">
        <f t="shared" ref="F15:F20" si="0">$C$13&lt;&gt;"No"</f>
        <v>1</v>
      </c>
      <c r="G15" s="102"/>
    </row>
    <row r="16" spans="1:7">
      <c r="A16" s="521"/>
      <c r="B16" s="159" t="s">
        <v>1486</v>
      </c>
      <c r="C16" s="316" t="s">
        <v>784</v>
      </c>
      <c r="D16" s="155"/>
      <c r="E16" s="386" t="s">
        <v>1464</v>
      </c>
      <c r="F16" s="383" t="b">
        <f t="shared" si="0"/>
        <v>1</v>
      </c>
      <c r="G16" s="102"/>
    </row>
    <row r="17" spans="1:7">
      <c r="A17" s="521"/>
      <c r="B17" s="159" t="s">
        <v>1487</v>
      </c>
      <c r="C17" s="316" t="s">
        <v>1510</v>
      </c>
      <c r="D17" s="155"/>
      <c r="E17" s="386" t="s">
        <v>1512</v>
      </c>
      <c r="F17" s="383" t="b">
        <f t="shared" si="0"/>
        <v>1</v>
      </c>
      <c r="G17" s="102"/>
    </row>
    <row r="18" spans="1:7">
      <c r="A18" s="521"/>
      <c r="B18" s="159" t="s">
        <v>1488</v>
      </c>
      <c r="C18" s="316">
        <v>4</v>
      </c>
      <c r="D18" s="155"/>
      <c r="E18" s="386" t="s">
        <v>1514</v>
      </c>
      <c r="F18" s="383" t="b">
        <f t="shared" si="0"/>
        <v>1</v>
      </c>
      <c r="G18" s="102"/>
    </row>
    <row r="19" spans="1:7">
      <c r="A19" s="521"/>
      <c r="B19" s="159" t="s">
        <v>1489</v>
      </c>
      <c r="C19" s="316" t="s">
        <v>784</v>
      </c>
      <c r="D19" s="155"/>
      <c r="E19" s="384" t="s">
        <v>1338</v>
      </c>
      <c r="F19" s="383" t="b">
        <f t="shared" si="0"/>
        <v>1</v>
      </c>
      <c r="G19" s="102"/>
    </row>
    <row r="20" spans="1:7" ht="13.5" thickBot="1">
      <c r="A20" s="523"/>
      <c r="B20" s="172" t="s">
        <v>1541</v>
      </c>
      <c r="C20" s="170"/>
      <c r="D20" s="171"/>
      <c r="E20" s="385" t="s">
        <v>1546</v>
      </c>
      <c r="F20" s="383" t="b">
        <f t="shared" si="0"/>
        <v>1</v>
      </c>
      <c r="G20" s="102"/>
    </row>
    <row r="21" spans="1:7">
      <c r="A21" s="541" t="s">
        <v>1920</v>
      </c>
      <c r="B21" s="165" t="s">
        <v>1921</v>
      </c>
      <c r="C21" s="310"/>
      <c r="D21" s="166"/>
      <c r="E21" s="386" t="s">
        <v>1903</v>
      </c>
      <c r="F21" s="383" t="b">
        <v>1</v>
      </c>
    </row>
    <row r="22" spans="1:7">
      <c r="A22" s="521"/>
      <c r="B22" s="159" t="s">
        <v>1922</v>
      </c>
      <c r="C22" s="306"/>
      <c r="D22" s="155"/>
      <c r="E22" s="386" t="s">
        <v>1903</v>
      </c>
      <c r="F22" s="383" t="b">
        <v>1</v>
      </c>
    </row>
    <row r="23" spans="1:7" ht="13.5" thickBot="1">
      <c r="A23" s="523"/>
      <c r="B23" s="172" t="s">
        <v>1932</v>
      </c>
      <c r="C23" s="307"/>
      <c r="D23" s="171"/>
      <c r="E23" s="386" t="s">
        <v>1903</v>
      </c>
      <c r="F23" s="383" t="b">
        <v>1</v>
      </c>
    </row>
    <row r="24" spans="1:7" ht="13.5" thickBot="1">
      <c r="A24" s="321" t="s">
        <v>1900</v>
      </c>
      <c r="B24" s="356" t="s">
        <v>1901</v>
      </c>
      <c r="C24" s="441" t="s">
        <v>784</v>
      </c>
      <c r="D24" s="353"/>
      <c r="E24" s="384" t="s">
        <v>1338</v>
      </c>
      <c r="F24" s="383" t="b">
        <v>1</v>
      </c>
    </row>
    <row r="25" spans="1:7" ht="13.5" thickBot="1"/>
    <row r="26" spans="1:7" ht="21" thickBot="1">
      <c r="A26" s="524" t="s">
        <v>2005</v>
      </c>
      <c r="B26" s="525"/>
      <c r="C26" s="525"/>
      <c r="D26" s="526"/>
    </row>
    <row r="27" spans="1:7">
      <c r="A27" s="518" t="s">
        <v>1684</v>
      </c>
      <c r="B27" s="519"/>
      <c r="C27" s="519"/>
      <c r="D27" s="520"/>
    </row>
    <row r="28" spans="1:7">
      <c r="A28" s="243" t="s">
        <v>1329</v>
      </c>
      <c r="B28" s="243" t="s">
        <v>4</v>
      </c>
      <c r="C28" s="243" t="s">
        <v>1343</v>
      </c>
      <c r="D28" s="243" t="s">
        <v>1308</v>
      </c>
    </row>
    <row r="29" spans="1:7">
      <c r="A29" s="543" t="s">
        <v>1983</v>
      </c>
      <c r="B29" s="159" t="s">
        <v>1985</v>
      </c>
      <c r="C29" s="306" t="s">
        <v>784</v>
      </c>
      <c r="D29" s="99"/>
      <c r="E29" s="349" t="s">
        <v>1338</v>
      </c>
      <c r="F29" s="383" t="b">
        <v>1</v>
      </c>
    </row>
    <row r="30" spans="1:7">
      <c r="A30" s="544"/>
      <c r="B30" s="159" t="s">
        <v>1984</v>
      </c>
      <c r="C30" s="431">
        <v>700</v>
      </c>
      <c r="D30" s="99"/>
      <c r="E30" s="382" t="s">
        <v>1619</v>
      </c>
      <c r="F30" s="383" t="b">
        <v>1</v>
      </c>
    </row>
  </sheetData>
  <mergeCells count="11">
    <mergeCell ref="E1:E3"/>
    <mergeCell ref="F1:F3"/>
    <mergeCell ref="A26:D26"/>
    <mergeCell ref="A27:D27"/>
    <mergeCell ref="A29:A30"/>
    <mergeCell ref="A1:D1"/>
    <mergeCell ref="A2:D2"/>
    <mergeCell ref="A4:A9"/>
    <mergeCell ref="A10:A12"/>
    <mergeCell ref="A14:A20"/>
    <mergeCell ref="A21:A23"/>
  </mergeCells>
  <conditionalFormatting sqref="F6:F9 F21:F24">
    <cfRule type="cellIs" dxfId="50" priority="8" operator="equal">
      <formula>TRUE</formula>
    </cfRule>
  </conditionalFormatting>
  <conditionalFormatting sqref="F29:F30">
    <cfRule type="cellIs" dxfId="49" priority="7" operator="equal">
      <formula>TRUE</formula>
    </cfRule>
  </conditionalFormatting>
  <conditionalFormatting sqref="F10:F11">
    <cfRule type="cellIs" dxfId="48" priority="6" operator="equal">
      <formula>TRUE</formula>
    </cfRule>
  </conditionalFormatting>
  <conditionalFormatting sqref="F12">
    <cfRule type="cellIs" dxfId="47" priority="5" operator="equal">
      <formula>TRUE</formula>
    </cfRule>
  </conditionalFormatting>
  <conditionalFormatting sqref="B12:D12">
    <cfRule type="expression" dxfId="46" priority="4">
      <formula>$F12=FALSE</formula>
    </cfRule>
  </conditionalFormatting>
  <conditionalFormatting sqref="F4:F5">
    <cfRule type="cellIs" dxfId="45" priority="3" operator="equal">
      <formula>TRUE</formula>
    </cfRule>
  </conditionalFormatting>
  <conditionalFormatting sqref="F13:F20">
    <cfRule type="cellIs" dxfId="44" priority="2" operator="equal">
      <formula>TRUE</formula>
    </cfRule>
  </conditionalFormatting>
  <conditionalFormatting sqref="A4:D24">
    <cfRule type="expression" dxfId="43" priority="1">
      <formula>$F4=FALSE</formula>
    </cfRule>
  </conditionalFormatting>
  <dataValidations count="3">
    <dataValidation type="date" operator="greaterThan" allowBlank="1" showInputMessage="1" showErrorMessage="1" sqref="C14" xr:uid="{D6FF0423-096B-481F-AB74-807DFF678D18}">
      <formula1>43466</formula1>
    </dataValidation>
    <dataValidation type="list" allowBlank="1" showInputMessage="1" showErrorMessage="1" sqref="C21:C24 C15:C19 C11 C29 C5:C9 C13" xr:uid="{2401A25F-DB10-4C39-901F-26B74E9F1995}">
      <formula1>INDIRECT($E5)</formula1>
    </dataValidation>
    <dataValidation type="whole" operator="greaterThanOrEqual" allowBlank="1" showInputMessage="1" showErrorMessage="1" sqref="C30" xr:uid="{4A57AA02-CE5D-4CA6-A5D0-93A5441D719C}">
      <formula1>0</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71E8-0169-4E2F-AF15-71575969035C}">
  <sheetPr>
    <tabColor theme="6" tint="0.79998168889431442"/>
  </sheetPr>
  <dimension ref="A1:G30"/>
  <sheetViews>
    <sheetView workbookViewId="0">
      <selection activeCell="F14" sqref="F14"/>
    </sheetView>
  </sheetViews>
  <sheetFormatPr defaultRowHeight="12.75"/>
  <cols>
    <col min="1" max="1" width="20" style="37" customWidth="1"/>
    <col min="2" max="2" width="86.5703125" style="37" customWidth="1"/>
    <col min="3" max="3" width="33.28515625" style="314" customWidth="1"/>
    <col min="4" max="4" width="16.85546875" style="37" customWidth="1"/>
    <col min="5" max="5" width="32" style="37" customWidth="1"/>
    <col min="6" max="6" width="17.42578125" style="37" customWidth="1"/>
    <col min="7" max="16384" width="9.140625" style="37"/>
  </cols>
  <sheetData>
    <row r="1" spans="1:7" ht="20.25">
      <c r="A1" s="545" t="s">
        <v>1908</v>
      </c>
      <c r="B1" s="546"/>
      <c r="C1" s="546"/>
      <c r="D1" s="547"/>
      <c r="E1" s="552" t="s">
        <v>1907</v>
      </c>
      <c r="F1" s="517" t="s">
        <v>1953</v>
      </c>
    </row>
    <row r="2" spans="1:7" ht="13.5" thickBot="1">
      <c r="A2" s="568" t="s">
        <v>1434</v>
      </c>
      <c r="B2" s="569"/>
      <c r="C2" s="569"/>
      <c r="D2" s="570"/>
      <c r="E2" s="553"/>
      <c r="F2" s="517"/>
    </row>
    <row r="3" spans="1:7" ht="13.5" thickBot="1">
      <c r="A3" s="336" t="s">
        <v>1329</v>
      </c>
      <c r="B3" s="337" t="s">
        <v>4</v>
      </c>
      <c r="C3" s="337" t="s">
        <v>1343</v>
      </c>
      <c r="D3" s="338" t="s">
        <v>1308</v>
      </c>
      <c r="E3" s="553"/>
      <c r="F3" s="517"/>
    </row>
    <row r="4" spans="1:7">
      <c r="A4" s="521" t="s">
        <v>1435</v>
      </c>
      <c r="B4" s="159" t="s">
        <v>2218</v>
      </c>
      <c r="C4" s="165" t="s">
        <v>2124</v>
      </c>
      <c r="D4" s="166"/>
      <c r="E4" s="385" t="s">
        <v>1546</v>
      </c>
      <c r="F4" s="383" t="b">
        <v>1</v>
      </c>
    </row>
    <row r="5" spans="1:7">
      <c r="A5" s="521"/>
      <c r="B5" s="159" t="s">
        <v>1441</v>
      </c>
      <c r="C5" s="316" t="s">
        <v>784</v>
      </c>
      <c r="D5" s="155"/>
      <c r="E5" s="384" t="s">
        <v>1338</v>
      </c>
      <c r="F5" s="383" t="b">
        <v>1</v>
      </c>
    </row>
    <row r="6" spans="1:7">
      <c r="A6" s="521"/>
      <c r="B6" s="159" t="s">
        <v>1442</v>
      </c>
      <c r="C6" s="306" t="s">
        <v>784</v>
      </c>
      <c r="D6" s="155"/>
      <c r="E6" s="384" t="s">
        <v>1338</v>
      </c>
      <c r="F6" s="383" t="b">
        <v>1</v>
      </c>
    </row>
    <row r="7" spans="1:7">
      <c r="A7" s="521"/>
      <c r="B7" s="159" t="s">
        <v>1443</v>
      </c>
      <c r="C7" s="306" t="s">
        <v>783</v>
      </c>
      <c r="D7" s="155"/>
      <c r="E7" s="384" t="s">
        <v>1338</v>
      </c>
      <c r="F7" s="383" t="b">
        <v>1</v>
      </c>
    </row>
    <row r="8" spans="1:7">
      <c r="A8" s="521"/>
      <c r="B8" s="159" t="s">
        <v>1444</v>
      </c>
      <c r="C8" s="306" t="s">
        <v>784</v>
      </c>
      <c r="D8" s="155"/>
      <c r="E8" s="384" t="s">
        <v>1338</v>
      </c>
      <c r="F8" s="383" t="b">
        <v>1</v>
      </c>
    </row>
    <row r="9" spans="1:7" ht="13.5" thickBot="1">
      <c r="A9" s="522"/>
      <c r="B9" s="339" t="s">
        <v>1504</v>
      </c>
      <c r="C9" s="311" t="s">
        <v>784</v>
      </c>
      <c r="D9" s="293"/>
      <c r="E9" s="384" t="s">
        <v>1338</v>
      </c>
      <c r="F9" s="383" t="b">
        <v>1</v>
      </c>
    </row>
    <row r="10" spans="1:7">
      <c r="A10" s="692" t="s">
        <v>1540</v>
      </c>
      <c r="B10" s="165" t="s">
        <v>1439</v>
      </c>
      <c r="C10" s="305" t="s">
        <v>2104</v>
      </c>
      <c r="D10" s="166"/>
      <c r="E10" s="385" t="s">
        <v>1546</v>
      </c>
      <c r="F10" s="383" t="b">
        <v>1</v>
      </c>
    </row>
    <row r="11" spans="1:7" ht="25.5">
      <c r="A11" s="696"/>
      <c r="B11" s="240" t="s">
        <v>1538</v>
      </c>
      <c r="C11" s="306" t="s">
        <v>784</v>
      </c>
      <c r="D11" s="155"/>
      <c r="E11" s="384" t="s">
        <v>1338</v>
      </c>
      <c r="F11" s="383" t="b">
        <v>1</v>
      </c>
    </row>
    <row r="12" spans="1:7" ht="13.5" customHeight="1" thickBot="1">
      <c r="A12" s="697"/>
      <c r="B12" s="245" t="s">
        <v>1539</v>
      </c>
      <c r="C12" s="309"/>
      <c r="D12" s="171"/>
      <c r="E12" s="389" t="s">
        <v>1393</v>
      </c>
      <c r="F12" s="383" t="b">
        <f>C11&lt;&gt;"Yes"</f>
        <v>0</v>
      </c>
    </row>
    <row r="13" spans="1:7" ht="13.5" thickBot="1">
      <c r="A13" s="244" t="s">
        <v>2233</v>
      </c>
      <c r="B13" s="724" t="s">
        <v>2234</v>
      </c>
      <c r="C13" s="320" t="s">
        <v>784</v>
      </c>
      <c r="D13" s="293"/>
      <c r="E13" s="384" t="s">
        <v>1338</v>
      </c>
      <c r="F13" s="383" t="b">
        <v>1</v>
      </c>
      <c r="G13" s="102" t="s">
        <v>2235</v>
      </c>
    </row>
    <row r="14" spans="1:7">
      <c r="A14" s="541" t="s">
        <v>1463</v>
      </c>
      <c r="B14" s="165" t="s">
        <v>1706</v>
      </c>
      <c r="C14" s="725">
        <f ca="1">TODAY()</f>
        <v>44957</v>
      </c>
      <c r="D14" s="166"/>
      <c r="E14" s="382" t="s">
        <v>2133</v>
      </c>
      <c r="F14" s="383" t="b">
        <f>$C$13&lt;&gt;"No"</f>
        <v>1</v>
      </c>
      <c r="G14" s="102"/>
    </row>
    <row r="15" spans="1:7">
      <c r="A15" s="542"/>
      <c r="B15" s="239" t="s">
        <v>1485</v>
      </c>
      <c r="C15" s="331" t="s">
        <v>867</v>
      </c>
      <c r="D15" s="300"/>
      <c r="E15" s="386" t="s">
        <v>1464</v>
      </c>
      <c r="F15" s="383" t="b">
        <f t="shared" ref="F15:F20" si="0">$C$13&lt;&gt;"No"</f>
        <v>1</v>
      </c>
      <c r="G15" s="102"/>
    </row>
    <row r="16" spans="1:7">
      <c r="A16" s="521"/>
      <c r="B16" s="159" t="s">
        <v>1486</v>
      </c>
      <c r="C16" s="316" t="s">
        <v>867</v>
      </c>
      <c r="D16" s="155"/>
      <c r="E16" s="386" t="s">
        <v>1464</v>
      </c>
      <c r="F16" s="383" t="b">
        <f t="shared" si="0"/>
        <v>1</v>
      </c>
      <c r="G16" s="102"/>
    </row>
    <row r="17" spans="1:7">
      <c r="A17" s="521"/>
      <c r="B17" s="159" t="s">
        <v>1487</v>
      </c>
      <c r="C17" s="316" t="s">
        <v>2105</v>
      </c>
      <c r="D17" s="155"/>
      <c r="E17" s="386" t="s">
        <v>1512</v>
      </c>
      <c r="F17" s="383" t="b">
        <f t="shared" si="0"/>
        <v>1</v>
      </c>
      <c r="G17" s="102"/>
    </row>
    <row r="18" spans="1:7">
      <c r="A18" s="521"/>
      <c r="B18" s="159" t="s">
        <v>1488</v>
      </c>
      <c r="C18" s="316" t="s">
        <v>2105</v>
      </c>
      <c r="D18" s="155"/>
      <c r="E18" s="386" t="s">
        <v>1514</v>
      </c>
      <c r="F18" s="383" t="b">
        <f t="shared" si="0"/>
        <v>1</v>
      </c>
      <c r="G18" s="102"/>
    </row>
    <row r="19" spans="1:7">
      <c r="A19" s="521"/>
      <c r="B19" s="159" t="s">
        <v>1489</v>
      </c>
      <c r="C19" s="316" t="s">
        <v>784</v>
      </c>
      <c r="D19" s="155"/>
      <c r="E19" s="384" t="s">
        <v>1338</v>
      </c>
      <c r="F19" s="383" t="b">
        <f t="shared" si="0"/>
        <v>1</v>
      </c>
      <c r="G19" s="102"/>
    </row>
    <row r="20" spans="1:7" ht="13.5" thickBot="1">
      <c r="A20" s="523"/>
      <c r="B20" s="172" t="s">
        <v>1541</v>
      </c>
      <c r="C20" s="170"/>
      <c r="D20" s="171"/>
      <c r="E20" s="385" t="s">
        <v>1546</v>
      </c>
      <c r="F20" s="383" t="b">
        <f t="shared" si="0"/>
        <v>1</v>
      </c>
      <c r="G20" s="102"/>
    </row>
    <row r="21" spans="1:7">
      <c r="A21" s="541" t="s">
        <v>1920</v>
      </c>
      <c r="B21" s="165" t="s">
        <v>1921</v>
      </c>
      <c r="C21" s="310">
        <v>3</v>
      </c>
      <c r="D21" s="166"/>
      <c r="E21" s="386" t="s">
        <v>1903</v>
      </c>
      <c r="F21" s="383" t="b">
        <v>1</v>
      </c>
    </row>
    <row r="22" spans="1:7">
      <c r="A22" s="521"/>
      <c r="B22" s="159" t="s">
        <v>1922</v>
      </c>
      <c r="C22" s="306">
        <v>4</v>
      </c>
      <c r="D22" s="155"/>
      <c r="E22" s="386" t="s">
        <v>1903</v>
      </c>
      <c r="F22" s="383" t="b">
        <v>1</v>
      </c>
    </row>
    <row r="23" spans="1:7" ht="13.5" thickBot="1">
      <c r="A23" s="523"/>
      <c r="B23" s="172" t="s">
        <v>1932</v>
      </c>
      <c r="C23" s="307" t="s">
        <v>1905</v>
      </c>
      <c r="D23" s="171"/>
      <c r="E23" s="386" t="s">
        <v>1903</v>
      </c>
      <c r="F23" s="383" t="b">
        <v>1</v>
      </c>
    </row>
    <row r="24" spans="1:7" ht="13.5" thickBot="1">
      <c r="A24" s="321" t="s">
        <v>1900</v>
      </c>
      <c r="B24" s="356" t="s">
        <v>1901</v>
      </c>
      <c r="C24" s="441" t="s">
        <v>784</v>
      </c>
      <c r="D24" s="353"/>
      <c r="E24" s="384" t="s">
        <v>1338</v>
      </c>
      <c r="F24" s="383" t="b">
        <v>1</v>
      </c>
    </row>
    <row r="25" spans="1:7" ht="13.5" thickBot="1"/>
    <row r="26" spans="1:7" ht="21" thickBot="1">
      <c r="A26" s="524" t="s">
        <v>2005</v>
      </c>
      <c r="B26" s="525"/>
      <c r="C26" s="525"/>
      <c r="D26" s="526"/>
    </row>
    <row r="27" spans="1:7">
      <c r="A27" s="518" t="s">
        <v>1684</v>
      </c>
      <c r="B27" s="519"/>
      <c r="C27" s="519"/>
      <c r="D27" s="520"/>
    </row>
    <row r="28" spans="1:7">
      <c r="A28" s="243" t="s">
        <v>1329</v>
      </c>
      <c r="B28" s="243" t="s">
        <v>4</v>
      </c>
      <c r="C28" s="243" t="s">
        <v>1343</v>
      </c>
      <c r="D28" s="243" t="s">
        <v>1308</v>
      </c>
    </row>
    <row r="29" spans="1:7">
      <c r="A29" s="543" t="s">
        <v>1983</v>
      </c>
      <c r="B29" s="159" t="s">
        <v>1985</v>
      </c>
      <c r="C29" s="306" t="s">
        <v>784</v>
      </c>
      <c r="D29" s="99"/>
      <c r="E29" s="349" t="s">
        <v>1338</v>
      </c>
      <c r="F29" s="383" t="b">
        <v>1</v>
      </c>
    </row>
    <row r="30" spans="1:7">
      <c r="A30" s="544"/>
      <c r="B30" s="159" t="s">
        <v>1984</v>
      </c>
      <c r="C30" s="431">
        <v>1500</v>
      </c>
      <c r="D30" s="99"/>
      <c r="E30" s="382" t="s">
        <v>1619</v>
      </c>
      <c r="F30" s="383" t="b">
        <v>1</v>
      </c>
    </row>
  </sheetData>
  <mergeCells count="11">
    <mergeCell ref="E1:E3"/>
    <mergeCell ref="F1:F3"/>
    <mergeCell ref="A26:D26"/>
    <mergeCell ref="A27:D27"/>
    <mergeCell ref="A29:A30"/>
    <mergeCell ref="A1:D1"/>
    <mergeCell ref="A2:D2"/>
    <mergeCell ref="A4:A9"/>
    <mergeCell ref="A10:A12"/>
    <mergeCell ref="A14:A20"/>
    <mergeCell ref="A21:A23"/>
  </mergeCells>
  <conditionalFormatting sqref="F6:F9 F21:F24">
    <cfRule type="cellIs" dxfId="42" priority="8" operator="equal">
      <formula>TRUE</formula>
    </cfRule>
  </conditionalFormatting>
  <conditionalFormatting sqref="F29:F30">
    <cfRule type="cellIs" dxfId="41" priority="7" operator="equal">
      <formula>TRUE</formula>
    </cfRule>
  </conditionalFormatting>
  <conditionalFormatting sqref="F10:F11">
    <cfRule type="cellIs" dxfId="40" priority="6" operator="equal">
      <formula>TRUE</formula>
    </cfRule>
  </conditionalFormatting>
  <conditionalFormatting sqref="F12">
    <cfRule type="cellIs" dxfId="39" priority="5" operator="equal">
      <formula>TRUE</formula>
    </cfRule>
  </conditionalFormatting>
  <conditionalFormatting sqref="B12:D12">
    <cfRule type="expression" dxfId="38" priority="4">
      <formula>$F12=FALSE</formula>
    </cfRule>
  </conditionalFormatting>
  <conditionalFormatting sqref="F4:F5">
    <cfRule type="cellIs" dxfId="37" priority="3" operator="equal">
      <formula>TRUE</formula>
    </cfRule>
  </conditionalFormatting>
  <conditionalFormatting sqref="F13:F20">
    <cfRule type="cellIs" dxfId="36" priority="2" operator="equal">
      <formula>TRUE</formula>
    </cfRule>
  </conditionalFormatting>
  <conditionalFormatting sqref="A4:D24">
    <cfRule type="expression" dxfId="35" priority="1">
      <formula>$F4=FALSE</formula>
    </cfRule>
  </conditionalFormatting>
  <dataValidations count="3">
    <dataValidation type="list" allowBlank="1" showInputMessage="1" showErrorMessage="1" sqref="C21:C24 C15:C19 C11 C29 C5:C9 C13" xr:uid="{1D9FE3B0-CB9E-436B-88FD-9A2A25C08421}">
      <formula1>INDIRECT($E5)</formula1>
    </dataValidation>
    <dataValidation type="date" operator="greaterThan" allowBlank="1" showInputMessage="1" showErrorMessage="1" sqref="C14" xr:uid="{AA31BD73-6887-4B85-892B-0C05752CEEB9}">
      <formula1>43466</formula1>
    </dataValidation>
    <dataValidation type="whole" operator="greaterThanOrEqual" allowBlank="1" showInputMessage="1" showErrorMessage="1" sqref="C30" xr:uid="{4466115A-BF13-41E8-A651-B58CE1A3FB76}">
      <formula1>0</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B77C2-2E81-4165-BB9A-849D0F95083E}">
  <sheetPr>
    <tabColor theme="4" tint="0.79998168889431442"/>
  </sheetPr>
  <dimension ref="A1:G30"/>
  <sheetViews>
    <sheetView workbookViewId="0">
      <selection activeCell="B4" sqref="B4:B29"/>
    </sheetView>
  </sheetViews>
  <sheetFormatPr defaultRowHeight="12.75"/>
  <cols>
    <col min="1" max="1" width="20" style="37" customWidth="1"/>
    <col min="2" max="2" width="86.5703125" style="37" customWidth="1"/>
    <col min="3" max="3" width="33.28515625" style="314" customWidth="1"/>
    <col min="4" max="4" width="16.85546875" style="37" customWidth="1"/>
    <col min="5" max="5" width="40.140625" style="37" customWidth="1"/>
    <col min="6" max="6" width="20.28515625" style="37" customWidth="1"/>
    <col min="7" max="16384" width="9.140625" style="37"/>
  </cols>
  <sheetData>
    <row r="1" spans="1:7" ht="20.25" customHeight="1">
      <c r="A1" s="571" t="s">
        <v>1542</v>
      </c>
      <c r="B1" s="572"/>
      <c r="C1" s="572"/>
      <c r="D1" s="573"/>
      <c r="E1" s="527" t="s">
        <v>1907</v>
      </c>
      <c r="F1" s="517" t="s">
        <v>1953</v>
      </c>
    </row>
    <row r="2" spans="1:7" ht="13.5" thickBot="1">
      <c r="A2" s="574" t="s">
        <v>1430</v>
      </c>
      <c r="B2" s="575"/>
      <c r="C2" s="575"/>
      <c r="D2" s="576"/>
      <c r="E2" s="528"/>
      <c r="F2" s="517"/>
    </row>
    <row r="3" spans="1:7" ht="13.5" thickBot="1">
      <c r="A3" s="345" t="s">
        <v>1329</v>
      </c>
      <c r="B3" s="346" t="s">
        <v>4</v>
      </c>
      <c r="C3" s="346" t="s">
        <v>1343</v>
      </c>
      <c r="D3" s="388" t="s">
        <v>1308</v>
      </c>
      <c r="E3" s="528"/>
      <c r="F3" s="517"/>
    </row>
    <row r="4" spans="1:7">
      <c r="A4" s="538" t="s">
        <v>1429</v>
      </c>
      <c r="B4" s="165" t="s">
        <v>1432</v>
      </c>
      <c r="C4" s="305" t="s">
        <v>2106</v>
      </c>
      <c r="D4" s="166"/>
      <c r="E4" s="389" t="s">
        <v>1517</v>
      </c>
      <c r="F4" s="383" t="b">
        <v>1</v>
      </c>
    </row>
    <row r="5" spans="1:7">
      <c r="A5" s="561"/>
      <c r="B5" s="159" t="s">
        <v>1518</v>
      </c>
      <c r="C5" s="308" t="s">
        <v>2134</v>
      </c>
      <c r="D5" s="155"/>
      <c r="E5" s="389" t="s">
        <v>1519</v>
      </c>
      <c r="F5" s="383" t="b">
        <v>1</v>
      </c>
    </row>
    <row r="6" spans="1:7">
      <c r="A6" s="561"/>
      <c r="B6" s="159" t="s">
        <v>1405</v>
      </c>
      <c r="C6" s="308" t="s">
        <v>2135</v>
      </c>
      <c r="D6" s="155"/>
      <c r="E6" s="385" t="s">
        <v>1546</v>
      </c>
      <c r="F6" s="383" t="b">
        <v>1</v>
      </c>
    </row>
    <row r="7" spans="1:7">
      <c r="A7" s="561"/>
      <c r="B7" s="159" t="s">
        <v>1431</v>
      </c>
      <c r="C7" s="308" t="s">
        <v>2136</v>
      </c>
      <c r="D7" s="155"/>
      <c r="E7" s="385" t="s">
        <v>1393</v>
      </c>
      <c r="F7" s="383" t="b">
        <v>1</v>
      </c>
    </row>
    <row r="8" spans="1:7">
      <c r="A8" s="561"/>
      <c r="B8" s="339" t="s">
        <v>1566</v>
      </c>
      <c r="C8" s="311" t="s">
        <v>1423</v>
      </c>
      <c r="D8" s="293"/>
      <c r="E8" s="386" t="s">
        <v>1568</v>
      </c>
      <c r="F8" s="383" t="b">
        <v>1</v>
      </c>
      <c r="G8" s="102"/>
    </row>
    <row r="9" spans="1:7" ht="13.5" thickBot="1">
      <c r="A9" s="329"/>
      <c r="B9" s="172" t="s">
        <v>2238</v>
      </c>
      <c r="C9" s="307" t="s">
        <v>784</v>
      </c>
      <c r="D9" s="171"/>
      <c r="E9" s="386" t="s">
        <v>1338</v>
      </c>
      <c r="F9" s="383" t="b">
        <v>1</v>
      </c>
      <c r="G9" s="102"/>
    </row>
    <row r="10" spans="1:7" ht="12.75" customHeight="1">
      <c r="A10" s="538" t="s">
        <v>1889</v>
      </c>
      <c r="B10" s="165" t="s">
        <v>1516</v>
      </c>
      <c r="C10" s="310"/>
      <c r="D10" s="166"/>
      <c r="E10" s="386" t="s">
        <v>1608</v>
      </c>
      <c r="F10" s="383" t="b">
        <f>NOT(ISERROR(FIND("code",$C$8)))</f>
        <v>0</v>
      </c>
    </row>
    <row r="11" spans="1:7">
      <c r="A11" s="561"/>
      <c r="B11" s="159" t="s">
        <v>1589</v>
      </c>
      <c r="C11" s="306"/>
      <c r="D11" s="155"/>
      <c r="E11" s="386" t="s">
        <v>1584</v>
      </c>
      <c r="F11" s="383" t="b">
        <f t="shared" ref="F11:F19" si="0">NOT(ISERROR(FIND("code",$C$8)))</f>
        <v>0</v>
      </c>
    </row>
    <row r="12" spans="1:7">
      <c r="A12" s="561"/>
      <c r="B12" s="159" t="s">
        <v>1520</v>
      </c>
      <c r="C12" s="308"/>
      <c r="D12" s="155"/>
      <c r="E12" s="385" t="s">
        <v>1393</v>
      </c>
      <c r="F12" s="383" t="b">
        <f t="shared" si="0"/>
        <v>0</v>
      </c>
    </row>
    <row r="13" spans="1:7">
      <c r="A13" s="561"/>
      <c r="B13" s="159" t="s">
        <v>1604</v>
      </c>
      <c r="C13" s="308"/>
      <c r="D13" s="155"/>
      <c r="E13" s="385" t="s">
        <v>1393</v>
      </c>
      <c r="F13" s="383" t="b">
        <f t="shared" si="0"/>
        <v>0</v>
      </c>
    </row>
    <row r="14" spans="1:7">
      <c r="A14" s="561"/>
      <c r="B14" s="159" t="s">
        <v>1605</v>
      </c>
      <c r="C14" s="308"/>
      <c r="D14" s="155"/>
      <c r="E14" s="385" t="s">
        <v>1393</v>
      </c>
      <c r="F14" s="383" t="b">
        <f t="shared" si="0"/>
        <v>0</v>
      </c>
    </row>
    <row r="15" spans="1:7" ht="13.5" thickBot="1">
      <c r="A15" s="561"/>
      <c r="B15" s="339" t="s">
        <v>1536</v>
      </c>
      <c r="C15" s="444"/>
      <c r="D15" s="293"/>
      <c r="E15" s="385" t="s">
        <v>1546</v>
      </c>
      <c r="F15" s="383" t="b">
        <f t="shared" si="0"/>
        <v>0</v>
      </c>
    </row>
    <row r="16" spans="1:7">
      <c r="A16" s="538" t="s">
        <v>1890</v>
      </c>
      <c r="B16" s="165" t="s">
        <v>1600</v>
      </c>
      <c r="C16" s="429"/>
      <c r="D16" s="166"/>
      <c r="E16" s="387" t="s">
        <v>1391</v>
      </c>
      <c r="F16" s="383" t="b">
        <f t="shared" si="0"/>
        <v>0</v>
      </c>
    </row>
    <row r="17" spans="1:6">
      <c r="A17" s="561"/>
      <c r="B17" s="339" t="s">
        <v>1606</v>
      </c>
      <c r="C17" s="306"/>
      <c r="D17" s="155"/>
      <c r="E17" s="386" t="s">
        <v>1338</v>
      </c>
      <c r="F17" s="383" t="b">
        <f t="shared" si="0"/>
        <v>0</v>
      </c>
    </row>
    <row r="18" spans="1:6">
      <c r="A18" s="561"/>
      <c r="B18" s="339" t="s">
        <v>1607</v>
      </c>
      <c r="C18" s="311"/>
      <c r="D18" s="293"/>
      <c r="E18" s="386" t="s">
        <v>1612</v>
      </c>
      <c r="F18" s="383" t="b">
        <f t="shared" si="0"/>
        <v>0</v>
      </c>
    </row>
    <row r="19" spans="1:6" ht="13.5" thickBot="1">
      <c r="A19" s="567"/>
      <c r="B19" s="172" t="s">
        <v>2160</v>
      </c>
      <c r="C19" s="317"/>
      <c r="D19" s="171"/>
      <c r="E19" s="386" t="s">
        <v>1464</v>
      </c>
      <c r="F19" s="383" t="b">
        <f t="shared" si="0"/>
        <v>0</v>
      </c>
    </row>
    <row r="20" spans="1:6" ht="13.5" thickBot="1">
      <c r="A20" s="330" t="s">
        <v>1571</v>
      </c>
      <c r="B20" s="356" t="s">
        <v>2466</v>
      </c>
      <c r="C20" s="449"/>
      <c r="D20" s="353"/>
      <c r="E20" s="385" t="s">
        <v>1393</v>
      </c>
      <c r="F20" s="383" t="b">
        <v>1</v>
      </c>
    </row>
    <row r="21" spans="1:6">
      <c r="A21" s="566" t="s">
        <v>1521</v>
      </c>
      <c r="B21" s="239" t="s">
        <v>1522</v>
      </c>
      <c r="C21" s="313" t="s">
        <v>2137</v>
      </c>
      <c r="D21" s="300"/>
      <c r="E21" s="385" t="s">
        <v>1393</v>
      </c>
      <c r="F21" s="383" t="b">
        <f>$C$9&lt;&gt;"No"</f>
        <v>1</v>
      </c>
    </row>
    <row r="22" spans="1:6">
      <c r="A22" s="564"/>
      <c r="B22" s="159" t="s">
        <v>1523</v>
      </c>
      <c r="C22" s="308" t="s">
        <v>2138</v>
      </c>
      <c r="D22" s="155"/>
      <c r="E22" s="385" t="s">
        <v>1393</v>
      </c>
      <c r="F22" s="383" t="b">
        <f t="shared" ref="F22:F29" si="1">$C$9&lt;&gt;"No"</f>
        <v>1</v>
      </c>
    </row>
    <row r="23" spans="1:6">
      <c r="A23" s="564"/>
      <c r="B23" s="159" t="s">
        <v>1529</v>
      </c>
      <c r="C23" s="306" t="s">
        <v>1581</v>
      </c>
      <c r="D23" s="155"/>
      <c r="E23" s="386" t="s">
        <v>1576</v>
      </c>
      <c r="F23" s="383" t="b">
        <f t="shared" si="1"/>
        <v>1</v>
      </c>
    </row>
    <row r="24" spans="1:6">
      <c r="A24" s="564"/>
      <c r="B24" s="159" t="s">
        <v>1524</v>
      </c>
      <c r="C24" s="308" t="s">
        <v>2139</v>
      </c>
      <c r="D24" s="155"/>
      <c r="E24" s="385" t="s">
        <v>1393</v>
      </c>
      <c r="F24" s="383" t="b">
        <f t="shared" si="1"/>
        <v>1</v>
      </c>
    </row>
    <row r="25" spans="1:6">
      <c r="A25" s="564"/>
      <c r="B25" s="159" t="s">
        <v>1525</v>
      </c>
      <c r="C25" s="308" t="s">
        <v>2140</v>
      </c>
      <c r="D25" s="155"/>
      <c r="E25" s="385" t="s">
        <v>1393</v>
      </c>
      <c r="F25" s="383" t="b">
        <f t="shared" si="1"/>
        <v>1</v>
      </c>
    </row>
    <row r="26" spans="1:6">
      <c r="A26" s="564"/>
      <c r="B26" s="159" t="s">
        <v>1526</v>
      </c>
      <c r="C26" s="308" t="s">
        <v>2141</v>
      </c>
      <c r="D26" s="155"/>
      <c r="E26" s="385" t="s">
        <v>1393</v>
      </c>
      <c r="F26" s="383" t="b">
        <f t="shared" si="1"/>
        <v>1</v>
      </c>
    </row>
    <row r="27" spans="1:6">
      <c r="A27" s="564"/>
      <c r="B27" s="159" t="s">
        <v>1527</v>
      </c>
      <c r="C27" s="308" t="s">
        <v>2142</v>
      </c>
      <c r="D27" s="155"/>
      <c r="E27" s="385" t="s">
        <v>1546</v>
      </c>
      <c r="F27" s="383" t="b">
        <f t="shared" si="1"/>
        <v>1</v>
      </c>
    </row>
    <row r="28" spans="1:6">
      <c r="A28" s="564"/>
      <c r="B28" s="159" t="s">
        <v>1537</v>
      </c>
      <c r="C28" s="308" t="s">
        <v>2143</v>
      </c>
      <c r="D28" s="155"/>
      <c r="E28" s="385" t="s">
        <v>1546</v>
      </c>
      <c r="F28" s="383" t="b">
        <f t="shared" si="1"/>
        <v>1</v>
      </c>
    </row>
    <row r="29" spans="1:6" ht="13.5" thickBot="1">
      <c r="A29" s="565"/>
      <c r="B29" s="172" t="s">
        <v>1528</v>
      </c>
      <c r="C29" s="309" t="s">
        <v>2144</v>
      </c>
      <c r="D29" s="171"/>
      <c r="E29" s="385" t="s">
        <v>1393</v>
      </c>
      <c r="F29" s="383" t="b">
        <f t="shared" si="1"/>
        <v>1</v>
      </c>
    </row>
    <row r="30" spans="1:6" ht="13.5" thickBot="1">
      <c r="A30" s="375" t="s">
        <v>1900</v>
      </c>
      <c r="B30" s="354" t="s">
        <v>1933</v>
      </c>
      <c r="C30" s="307" t="s">
        <v>784</v>
      </c>
      <c r="D30" s="171"/>
      <c r="E30" s="384" t="s">
        <v>1338</v>
      </c>
      <c r="F30" s="383" t="b">
        <v>1</v>
      </c>
    </row>
  </sheetData>
  <mergeCells count="8">
    <mergeCell ref="A16:A19"/>
    <mergeCell ref="A21:A29"/>
    <mergeCell ref="A1:D1"/>
    <mergeCell ref="E1:E3"/>
    <mergeCell ref="F1:F3"/>
    <mergeCell ref="A2:D2"/>
    <mergeCell ref="A4:A8"/>
    <mergeCell ref="A10:A15"/>
  </mergeCells>
  <conditionalFormatting sqref="A10:D30">
    <cfRule type="expression" dxfId="34" priority="9">
      <formula>$F10=FALSE</formula>
    </cfRule>
  </conditionalFormatting>
  <conditionalFormatting sqref="B9:D9">
    <cfRule type="expression" dxfId="33" priority="6">
      <formula>$F9=FALSE</formula>
    </cfRule>
  </conditionalFormatting>
  <conditionalFormatting sqref="F4:F8 F20 F30">
    <cfRule type="cellIs" dxfId="32" priority="4" operator="equal">
      <formula>TRUE</formula>
    </cfRule>
  </conditionalFormatting>
  <conditionalFormatting sqref="F10:F19">
    <cfRule type="cellIs" dxfId="31" priority="3" operator="equal">
      <formula>TRUE</formula>
    </cfRule>
  </conditionalFormatting>
  <conditionalFormatting sqref="F21:F29">
    <cfRule type="cellIs" dxfId="30" priority="2" operator="equal">
      <formula>TRUE</formula>
    </cfRule>
  </conditionalFormatting>
  <conditionalFormatting sqref="F9">
    <cfRule type="cellIs" dxfId="29" priority="1" operator="equal">
      <formula>TRUE</formula>
    </cfRule>
  </conditionalFormatting>
  <dataValidations count="2">
    <dataValidation type="whole" operator="greaterThan" allowBlank="1" showInputMessage="1" showErrorMessage="1" sqref="C16" xr:uid="{457B3FBE-B3CA-4F35-BF76-379038197C74}">
      <formula1>0</formula1>
    </dataValidation>
    <dataValidation type="list" allowBlank="1" showInputMessage="1" showErrorMessage="1" sqref="C23 C17:C19 C30 C8:C11" xr:uid="{5B732FD9-3192-4715-8DA8-EFB1273FC83D}">
      <formula1>INDIRECT($E8)</formula1>
    </dataValidation>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C5E62-3D8E-41C4-8092-8AB03F296059}">
  <sheetPr>
    <tabColor theme="4" tint="0.79998168889431442"/>
  </sheetPr>
  <dimension ref="A1:G30"/>
  <sheetViews>
    <sheetView workbookViewId="0">
      <selection activeCell="F21" sqref="F21:F29"/>
    </sheetView>
  </sheetViews>
  <sheetFormatPr defaultRowHeight="12.75"/>
  <cols>
    <col min="1" max="1" width="20" style="37" customWidth="1"/>
    <col min="2" max="2" width="86.5703125" style="37" customWidth="1"/>
    <col min="3" max="3" width="33.28515625" style="314" customWidth="1"/>
    <col min="4" max="4" width="16.85546875" style="37" customWidth="1"/>
    <col min="5" max="5" width="40.140625" style="37" customWidth="1"/>
    <col min="6" max="6" width="20.28515625" style="37" customWidth="1"/>
    <col min="7" max="16384" width="9.140625" style="37"/>
  </cols>
  <sheetData>
    <row r="1" spans="1:7" ht="20.25" customHeight="1">
      <c r="A1" s="571" t="s">
        <v>1542</v>
      </c>
      <c r="B1" s="572"/>
      <c r="C1" s="572"/>
      <c r="D1" s="573"/>
      <c r="E1" s="527" t="s">
        <v>1907</v>
      </c>
      <c r="F1" s="517" t="s">
        <v>1953</v>
      </c>
    </row>
    <row r="2" spans="1:7" ht="13.5" thickBot="1">
      <c r="A2" s="574" t="s">
        <v>1430</v>
      </c>
      <c r="B2" s="575"/>
      <c r="C2" s="575"/>
      <c r="D2" s="576"/>
      <c r="E2" s="528"/>
      <c r="F2" s="517"/>
    </row>
    <row r="3" spans="1:7" ht="13.5" thickBot="1">
      <c r="A3" s="345" t="s">
        <v>1329</v>
      </c>
      <c r="B3" s="346" t="s">
        <v>4</v>
      </c>
      <c r="C3" s="346" t="s">
        <v>1343</v>
      </c>
      <c r="D3" s="388" t="s">
        <v>1308</v>
      </c>
      <c r="E3" s="528"/>
      <c r="F3" s="517"/>
    </row>
    <row r="4" spans="1:7">
      <c r="A4" s="538" t="s">
        <v>1429</v>
      </c>
      <c r="B4" s="165" t="s">
        <v>1432</v>
      </c>
      <c r="C4" s="305" t="s">
        <v>2106</v>
      </c>
      <c r="D4" s="166"/>
      <c r="E4" s="389" t="s">
        <v>1517</v>
      </c>
      <c r="F4" s="383" t="b">
        <v>1</v>
      </c>
    </row>
    <row r="5" spans="1:7">
      <c r="A5" s="561"/>
      <c r="B5" s="159" t="s">
        <v>1518</v>
      </c>
      <c r="C5" s="308" t="s">
        <v>2107</v>
      </c>
      <c r="D5" s="155"/>
      <c r="E5" s="389" t="s">
        <v>1519</v>
      </c>
      <c r="F5" s="383" t="b">
        <v>1</v>
      </c>
    </row>
    <row r="6" spans="1:7">
      <c r="A6" s="561"/>
      <c r="B6" s="159" t="s">
        <v>1405</v>
      </c>
      <c r="C6" s="308" t="s">
        <v>2145</v>
      </c>
      <c r="D6" s="155"/>
      <c r="E6" s="385" t="s">
        <v>1546</v>
      </c>
      <c r="F6" s="383" t="b">
        <v>1</v>
      </c>
    </row>
    <row r="7" spans="1:7">
      <c r="A7" s="561"/>
      <c r="B7" s="159" t="s">
        <v>1431</v>
      </c>
      <c r="C7" s="308" t="s">
        <v>2146</v>
      </c>
      <c r="D7" s="155"/>
      <c r="E7" s="385" t="s">
        <v>1393</v>
      </c>
      <c r="F7" s="383" t="b">
        <v>1</v>
      </c>
    </row>
    <row r="8" spans="1:7">
      <c r="A8" s="561"/>
      <c r="B8" s="339" t="s">
        <v>1566</v>
      </c>
      <c r="C8" s="311" t="s">
        <v>982</v>
      </c>
      <c r="D8" s="293" t="s">
        <v>2147</v>
      </c>
      <c r="E8" s="386" t="s">
        <v>1568</v>
      </c>
      <c r="F8" s="383" t="b">
        <v>1</v>
      </c>
      <c r="G8" s="102"/>
    </row>
    <row r="9" spans="1:7" ht="13.5" thickBot="1">
      <c r="A9" s="329"/>
      <c r="B9" s="172" t="s">
        <v>2238</v>
      </c>
      <c r="C9" s="307" t="s">
        <v>784</v>
      </c>
      <c r="D9" s="171"/>
      <c r="E9" s="386" t="s">
        <v>1338</v>
      </c>
      <c r="F9" s="383" t="b">
        <v>1</v>
      </c>
      <c r="G9" s="102"/>
    </row>
    <row r="10" spans="1:7" ht="12.75" customHeight="1">
      <c r="A10" s="538" t="s">
        <v>1889</v>
      </c>
      <c r="B10" s="165" t="s">
        <v>1516</v>
      </c>
      <c r="C10" s="310"/>
      <c r="D10" s="166"/>
      <c r="E10" s="386" t="s">
        <v>1608</v>
      </c>
      <c r="F10" s="383" t="b">
        <f>NOT(ISERROR(FIND("code",$C$8)))</f>
        <v>0</v>
      </c>
    </row>
    <row r="11" spans="1:7">
      <c r="A11" s="561"/>
      <c r="B11" s="159" t="s">
        <v>1589</v>
      </c>
      <c r="C11" s="306"/>
      <c r="D11" s="155"/>
      <c r="E11" s="386" t="s">
        <v>1584</v>
      </c>
      <c r="F11" s="383" t="b">
        <f t="shared" ref="F11:F19" si="0">NOT(ISERROR(FIND("code",$C$8)))</f>
        <v>0</v>
      </c>
    </row>
    <row r="12" spans="1:7">
      <c r="A12" s="561"/>
      <c r="B12" s="159" t="s">
        <v>1520</v>
      </c>
      <c r="C12" s="308"/>
      <c r="D12" s="155"/>
      <c r="E12" s="385" t="s">
        <v>1393</v>
      </c>
      <c r="F12" s="383" t="b">
        <f t="shared" si="0"/>
        <v>0</v>
      </c>
    </row>
    <row r="13" spans="1:7">
      <c r="A13" s="561"/>
      <c r="B13" s="159" t="s">
        <v>1604</v>
      </c>
      <c r="C13" s="308"/>
      <c r="D13" s="155"/>
      <c r="E13" s="385" t="s">
        <v>1393</v>
      </c>
      <c r="F13" s="383" t="b">
        <f t="shared" si="0"/>
        <v>0</v>
      </c>
    </row>
    <row r="14" spans="1:7">
      <c r="A14" s="561"/>
      <c r="B14" s="159" t="s">
        <v>1605</v>
      </c>
      <c r="C14" s="308"/>
      <c r="D14" s="155"/>
      <c r="E14" s="385" t="s">
        <v>1393</v>
      </c>
      <c r="F14" s="383" t="b">
        <f t="shared" si="0"/>
        <v>0</v>
      </c>
    </row>
    <row r="15" spans="1:7" ht="13.5" thickBot="1">
      <c r="A15" s="561"/>
      <c r="B15" s="339" t="s">
        <v>1536</v>
      </c>
      <c r="C15" s="444"/>
      <c r="D15" s="293"/>
      <c r="E15" s="385" t="s">
        <v>1546</v>
      </c>
      <c r="F15" s="383" t="b">
        <f t="shared" si="0"/>
        <v>0</v>
      </c>
    </row>
    <row r="16" spans="1:7">
      <c r="A16" s="538" t="s">
        <v>1890</v>
      </c>
      <c r="B16" s="165" t="s">
        <v>1600</v>
      </c>
      <c r="C16" s="429"/>
      <c r="D16" s="166"/>
      <c r="E16" s="387" t="s">
        <v>1391</v>
      </c>
      <c r="F16" s="383" t="b">
        <f t="shared" si="0"/>
        <v>0</v>
      </c>
    </row>
    <row r="17" spans="1:6">
      <c r="A17" s="561"/>
      <c r="B17" s="339" t="s">
        <v>1606</v>
      </c>
      <c r="C17" s="306"/>
      <c r="D17" s="155"/>
      <c r="E17" s="386" t="s">
        <v>1338</v>
      </c>
      <c r="F17" s="383" t="b">
        <f t="shared" si="0"/>
        <v>0</v>
      </c>
    </row>
    <row r="18" spans="1:6">
      <c r="A18" s="561"/>
      <c r="B18" s="339" t="s">
        <v>1607</v>
      </c>
      <c r="C18" s="311"/>
      <c r="D18" s="293"/>
      <c r="E18" s="386" t="s">
        <v>1612</v>
      </c>
      <c r="F18" s="383" t="b">
        <f t="shared" si="0"/>
        <v>0</v>
      </c>
    </row>
    <row r="19" spans="1:6" ht="13.5" thickBot="1">
      <c r="A19" s="567"/>
      <c r="B19" s="172" t="s">
        <v>2160</v>
      </c>
      <c r="C19" s="317"/>
      <c r="D19" s="171"/>
      <c r="E19" s="386" t="s">
        <v>1464</v>
      </c>
      <c r="F19" s="383" t="b">
        <f t="shared" si="0"/>
        <v>0</v>
      </c>
    </row>
    <row r="20" spans="1:6" ht="13.5" thickBot="1">
      <c r="A20" s="330" t="s">
        <v>1571</v>
      </c>
      <c r="B20" s="356" t="s">
        <v>2466</v>
      </c>
      <c r="C20" s="449"/>
      <c r="D20" s="353"/>
      <c r="E20" s="385" t="s">
        <v>1393</v>
      </c>
      <c r="F20" s="383" t="b">
        <v>1</v>
      </c>
    </row>
    <row r="21" spans="1:6">
      <c r="A21" s="566" t="s">
        <v>1521</v>
      </c>
      <c r="B21" s="239" t="s">
        <v>1522</v>
      </c>
      <c r="C21" s="313" t="s">
        <v>2148</v>
      </c>
      <c r="D21" s="300"/>
      <c r="E21" s="385" t="s">
        <v>1393</v>
      </c>
      <c r="F21" s="383" t="b">
        <f>$C$9&lt;&gt;"No"</f>
        <v>1</v>
      </c>
    </row>
    <row r="22" spans="1:6">
      <c r="A22" s="564"/>
      <c r="B22" s="159" t="s">
        <v>1523</v>
      </c>
      <c r="C22" s="308" t="s">
        <v>2149</v>
      </c>
      <c r="D22" s="155"/>
      <c r="E22" s="385" t="s">
        <v>1393</v>
      </c>
      <c r="F22" s="383" t="b">
        <f t="shared" ref="F22:F29" si="1">$C$9&lt;&gt;"No"</f>
        <v>1</v>
      </c>
    </row>
    <row r="23" spans="1:6">
      <c r="A23" s="564"/>
      <c r="B23" s="159" t="s">
        <v>1529</v>
      </c>
      <c r="C23" s="306" t="s">
        <v>1580</v>
      </c>
      <c r="D23" s="155"/>
      <c r="E23" s="386" t="s">
        <v>1576</v>
      </c>
      <c r="F23" s="383" t="b">
        <f t="shared" si="1"/>
        <v>1</v>
      </c>
    </row>
    <row r="24" spans="1:6">
      <c r="A24" s="564"/>
      <c r="B24" s="159" t="s">
        <v>1524</v>
      </c>
      <c r="C24" s="308" t="s">
        <v>2139</v>
      </c>
      <c r="D24" s="155"/>
      <c r="E24" s="385" t="s">
        <v>1393</v>
      </c>
      <c r="F24" s="383" t="b">
        <f t="shared" si="1"/>
        <v>1</v>
      </c>
    </row>
    <row r="25" spans="1:6">
      <c r="A25" s="564"/>
      <c r="B25" s="159" t="s">
        <v>1525</v>
      </c>
      <c r="C25" s="308" t="s">
        <v>2115</v>
      </c>
      <c r="D25" s="155"/>
      <c r="E25" s="385" t="s">
        <v>1393</v>
      </c>
      <c r="F25" s="383" t="b">
        <f t="shared" si="1"/>
        <v>1</v>
      </c>
    </row>
    <row r="26" spans="1:6">
      <c r="A26" s="564"/>
      <c r="B26" s="159" t="s">
        <v>1526</v>
      </c>
      <c r="C26" s="308" t="s">
        <v>2150</v>
      </c>
      <c r="D26" s="155"/>
      <c r="E26" s="385" t="s">
        <v>1393</v>
      </c>
      <c r="F26" s="383" t="b">
        <f t="shared" si="1"/>
        <v>1</v>
      </c>
    </row>
    <row r="27" spans="1:6">
      <c r="A27" s="564"/>
      <c r="B27" s="159" t="s">
        <v>1527</v>
      </c>
      <c r="C27" s="308" t="s">
        <v>2151</v>
      </c>
      <c r="D27" s="155"/>
      <c r="E27" s="385" t="s">
        <v>1546</v>
      </c>
      <c r="F27" s="383" t="b">
        <f t="shared" si="1"/>
        <v>1</v>
      </c>
    </row>
    <row r="28" spans="1:6">
      <c r="A28" s="564"/>
      <c r="B28" s="159" t="s">
        <v>1537</v>
      </c>
      <c r="C28" s="308" t="s">
        <v>2153</v>
      </c>
      <c r="D28" s="155"/>
      <c r="E28" s="385" t="s">
        <v>1546</v>
      </c>
      <c r="F28" s="383" t="b">
        <f t="shared" si="1"/>
        <v>1</v>
      </c>
    </row>
    <row r="29" spans="1:6" ht="13.5" thickBot="1">
      <c r="A29" s="565"/>
      <c r="B29" s="172" t="s">
        <v>1528</v>
      </c>
      <c r="C29" s="309" t="s">
        <v>2152</v>
      </c>
      <c r="D29" s="171"/>
      <c r="E29" s="385" t="s">
        <v>1393</v>
      </c>
      <c r="F29" s="383" t="b">
        <f t="shared" si="1"/>
        <v>1</v>
      </c>
    </row>
    <row r="30" spans="1:6" ht="13.5" thickBot="1">
      <c r="A30" s="375" t="s">
        <v>1900</v>
      </c>
      <c r="B30" s="354" t="s">
        <v>1933</v>
      </c>
      <c r="C30" s="307" t="s">
        <v>784</v>
      </c>
      <c r="D30" s="171"/>
      <c r="E30" s="384" t="s">
        <v>1338</v>
      </c>
      <c r="F30" s="383" t="b">
        <v>1</v>
      </c>
    </row>
  </sheetData>
  <mergeCells count="8">
    <mergeCell ref="A16:A19"/>
    <mergeCell ref="A21:A29"/>
    <mergeCell ref="A1:D1"/>
    <mergeCell ref="E1:E3"/>
    <mergeCell ref="F1:F3"/>
    <mergeCell ref="A2:D2"/>
    <mergeCell ref="A4:A8"/>
    <mergeCell ref="A10:A15"/>
  </mergeCells>
  <conditionalFormatting sqref="A10:D19 A21:D30 A20 C20:D20">
    <cfRule type="expression" dxfId="28" priority="11">
      <formula>$F10=FALSE</formula>
    </cfRule>
  </conditionalFormatting>
  <conditionalFormatting sqref="B9:D9">
    <cfRule type="expression" dxfId="27" priority="7">
      <formula>$F9=FALSE</formula>
    </cfRule>
  </conditionalFormatting>
  <conditionalFormatting sqref="F4:F8 F20 F30">
    <cfRule type="cellIs" dxfId="26" priority="5" operator="equal">
      <formula>TRUE</formula>
    </cfRule>
  </conditionalFormatting>
  <conditionalFormatting sqref="F10:F19">
    <cfRule type="cellIs" dxfId="25" priority="4" operator="equal">
      <formula>TRUE</formula>
    </cfRule>
  </conditionalFormatting>
  <conditionalFormatting sqref="F21:F29">
    <cfRule type="cellIs" dxfId="24" priority="3" operator="equal">
      <formula>TRUE</formula>
    </cfRule>
  </conditionalFormatting>
  <conditionalFormatting sqref="F9">
    <cfRule type="cellIs" dxfId="23" priority="2" operator="equal">
      <formula>TRUE</formula>
    </cfRule>
  </conditionalFormatting>
  <conditionalFormatting sqref="B20">
    <cfRule type="expression" dxfId="22" priority="1">
      <formula>$F20=FALSE</formula>
    </cfRule>
  </conditionalFormatting>
  <dataValidations count="2">
    <dataValidation type="list" allowBlank="1" showInputMessage="1" showErrorMessage="1" sqref="C23 C17:C19 C30 C8:C11" xr:uid="{1BFDFF71-E315-453D-A66F-26856D9ED464}">
      <formula1>INDIRECT($E8)</formula1>
    </dataValidation>
    <dataValidation type="whole" operator="greaterThan" allowBlank="1" showInputMessage="1" showErrorMessage="1" sqref="C16" xr:uid="{3FB4BD53-99DA-4E86-A982-501FE92B7FC2}">
      <formula1>0</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C56A1-A38B-4019-9713-E2A3D841583B}">
  <sheetPr>
    <tabColor theme="4" tint="0.79998168889431442"/>
  </sheetPr>
  <dimension ref="A1:G30"/>
  <sheetViews>
    <sheetView workbookViewId="0">
      <selection activeCell="F21" sqref="F21:F29"/>
    </sheetView>
  </sheetViews>
  <sheetFormatPr defaultRowHeight="12.75"/>
  <cols>
    <col min="1" max="1" width="20" style="37" customWidth="1"/>
    <col min="2" max="2" width="86.5703125" style="37" customWidth="1"/>
    <col min="3" max="3" width="33.28515625" style="314" customWidth="1"/>
    <col min="4" max="4" width="16.85546875" style="37" customWidth="1"/>
    <col min="5" max="5" width="40.140625" style="37" customWidth="1"/>
    <col min="6" max="6" width="20.28515625" style="37" customWidth="1"/>
    <col min="7" max="16384" width="9.140625" style="37"/>
  </cols>
  <sheetData>
    <row r="1" spans="1:7" ht="20.25">
      <c r="A1" s="571" t="s">
        <v>1542</v>
      </c>
      <c r="B1" s="572"/>
      <c r="C1" s="572"/>
      <c r="D1" s="573"/>
      <c r="E1" s="527" t="s">
        <v>1907</v>
      </c>
      <c r="F1" s="517" t="s">
        <v>1953</v>
      </c>
    </row>
    <row r="2" spans="1:7" ht="13.5" thickBot="1">
      <c r="A2" s="574" t="s">
        <v>1430</v>
      </c>
      <c r="B2" s="575"/>
      <c r="C2" s="575"/>
      <c r="D2" s="576"/>
      <c r="E2" s="528"/>
      <c r="F2" s="517"/>
    </row>
    <row r="3" spans="1:7" ht="13.5" thickBot="1">
      <c r="A3" s="345" t="s">
        <v>1329</v>
      </c>
      <c r="B3" s="346" t="s">
        <v>4</v>
      </c>
      <c r="C3" s="346" t="s">
        <v>1343</v>
      </c>
      <c r="D3" s="388" t="s">
        <v>1308</v>
      </c>
      <c r="E3" s="528"/>
      <c r="F3" s="517"/>
    </row>
    <row r="4" spans="1:7">
      <c r="A4" s="538" t="s">
        <v>1429</v>
      </c>
      <c r="B4" s="165" t="s">
        <v>1432</v>
      </c>
      <c r="C4" s="305" t="s">
        <v>2106</v>
      </c>
      <c r="D4" s="166"/>
      <c r="E4" s="389" t="s">
        <v>1517</v>
      </c>
      <c r="F4" s="383" t="b">
        <v>1</v>
      </c>
    </row>
    <row r="5" spans="1:7">
      <c r="A5" s="561"/>
      <c r="B5" s="159" t="s">
        <v>1518</v>
      </c>
      <c r="C5" s="308" t="s">
        <v>2107</v>
      </c>
      <c r="D5" s="155"/>
      <c r="E5" s="389" t="s">
        <v>1519</v>
      </c>
      <c r="F5" s="383" t="b">
        <v>1</v>
      </c>
    </row>
    <row r="6" spans="1:7">
      <c r="A6" s="561"/>
      <c r="B6" s="159" t="s">
        <v>1405</v>
      </c>
      <c r="C6" s="308" t="s">
        <v>2154</v>
      </c>
      <c r="D6" s="155"/>
      <c r="E6" s="385" t="s">
        <v>1546</v>
      </c>
      <c r="F6" s="383" t="b">
        <v>1</v>
      </c>
    </row>
    <row r="7" spans="1:7">
      <c r="A7" s="561"/>
      <c r="B7" s="159" t="s">
        <v>1431</v>
      </c>
      <c r="C7" s="308" t="s">
        <v>2155</v>
      </c>
      <c r="D7" s="155"/>
      <c r="E7" s="385" t="s">
        <v>1393</v>
      </c>
      <c r="F7" s="383" t="b">
        <v>1</v>
      </c>
    </row>
    <row r="8" spans="1:7">
      <c r="A8" s="561"/>
      <c r="B8" s="339" t="s">
        <v>1566</v>
      </c>
      <c r="C8" s="311" t="s">
        <v>1569</v>
      </c>
      <c r="D8" s="293"/>
      <c r="E8" s="386" t="s">
        <v>1568</v>
      </c>
      <c r="F8" s="383" t="b">
        <v>1</v>
      </c>
      <c r="G8" s="102"/>
    </row>
    <row r="9" spans="1:7" ht="13.5" thickBot="1">
      <c r="A9" s="329"/>
      <c r="B9" s="172" t="s">
        <v>2238</v>
      </c>
      <c r="C9" s="307" t="s">
        <v>783</v>
      </c>
      <c r="D9" s="171"/>
      <c r="E9" s="386" t="s">
        <v>1338</v>
      </c>
      <c r="F9" s="383" t="b">
        <v>1</v>
      </c>
      <c r="G9" s="102"/>
    </row>
    <row r="10" spans="1:7" ht="12.75" customHeight="1">
      <c r="A10" s="538" t="s">
        <v>1889</v>
      </c>
      <c r="B10" s="165" t="s">
        <v>1516</v>
      </c>
      <c r="C10" s="310" t="s">
        <v>1609</v>
      </c>
      <c r="D10" s="166"/>
      <c r="E10" s="386" t="s">
        <v>1608</v>
      </c>
      <c r="F10" s="383" t="b">
        <f>NOT(ISERROR(FIND("code",$C$8)))</f>
        <v>1</v>
      </c>
    </row>
    <row r="11" spans="1:7">
      <c r="A11" s="561"/>
      <c r="B11" s="159" t="s">
        <v>1589</v>
      </c>
      <c r="C11" s="306" t="s">
        <v>1588</v>
      </c>
      <c r="D11" s="155"/>
      <c r="E11" s="386" t="s">
        <v>1584</v>
      </c>
      <c r="F11" s="383" t="b">
        <f t="shared" ref="F11:F19" si="0">NOT(ISERROR(FIND("code",$C$8)))</f>
        <v>1</v>
      </c>
    </row>
    <row r="12" spans="1:7">
      <c r="A12" s="561"/>
      <c r="B12" s="159" t="s">
        <v>1520</v>
      </c>
      <c r="C12" s="308" t="s">
        <v>2156</v>
      </c>
      <c r="D12" s="155"/>
      <c r="E12" s="385" t="s">
        <v>1393</v>
      </c>
      <c r="F12" s="383" t="b">
        <f t="shared" si="0"/>
        <v>1</v>
      </c>
    </row>
    <row r="13" spans="1:7">
      <c r="A13" s="561"/>
      <c r="B13" s="159" t="s">
        <v>1604</v>
      </c>
      <c r="C13" s="308" t="s">
        <v>2052</v>
      </c>
      <c r="D13" s="155"/>
      <c r="E13" s="385" t="s">
        <v>1393</v>
      </c>
      <c r="F13" s="383" t="b">
        <f t="shared" si="0"/>
        <v>1</v>
      </c>
    </row>
    <row r="14" spans="1:7">
      <c r="A14" s="561"/>
      <c r="B14" s="159" t="s">
        <v>1605</v>
      </c>
      <c r="C14" s="308" t="s">
        <v>2157</v>
      </c>
      <c r="D14" s="155"/>
      <c r="E14" s="385" t="s">
        <v>1393</v>
      </c>
      <c r="F14" s="383" t="b">
        <f t="shared" si="0"/>
        <v>1</v>
      </c>
    </row>
    <row r="15" spans="1:7" ht="13.5" thickBot="1">
      <c r="A15" s="561"/>
      <c r="B15" s="339" t="s">
        <v>1536</v>
      </c>
      <c r="C15" s="444" t="s">
        <v>2158</v>
      </c>
      <c r="D15" s="293"/>
      <c r="E15" s="385" t="s">
        <v>1546</v>
      </c>
      <c r="F15" s="383" t="b">
        <f t="shared" si="0"/>
        <v>1</v>
      </c>
    </row>
    <row r="16" spans="1:7">
      <c r="A16" s="538" t="s">
        <v>1890</v>
      </c>
      <c r="B16" s="165" t="s">
        <v>1600</v>
      </c>
      <c r="C16" s="429">
        <v>1</v>
      </c>
      <c r="D16" s="166"/>
      <c r="E16" s="387" t="s">
        <v>1391</v>
      </c>
      <c r="F16" s="383" t="b">
        <f t="shared" si="0"/>
        <v>1</v>
      </c>
    </row>
    <row r="17" spans="1:6">
      <c r="A17" s="561"/>
      <c r="B17" s="339" t="s">
        <v>1606</v>
      </c>
      <c r="C17" s="306" t="s">
        <v>783</v>
      </c>
      <c r="D17" s="155"/>
      <c r="E17" s="386" t="s">
        <v>1338</v>
      </c>
      <c r="F17" s="383" t="b">
        <f t="shared" si="0"/>
        <v>1</v>
      </c>
    </row>
    <row r="18" spans="1:6">
      <c r="A18" s="561"/>
      <c r="B18" s="339" t="s">
        <v>1607</v>
      </c>
      <c r="C18" s="311" t="s">
        <v>2159</v>
      </c>
      <c r="D18" s="293"/>
      <c r="E18" s="386" t="s">
        <v>1612</v>
      </c>
      <c r="F18" s="383" t="b">
        <f t="shared" si="0"/>
        <v>1</v>
      </c>
    </row>
    <row r="19" spans="1:6" ht="13.5" thickBot="1">
      <c r="A19" s="567"/>
      <c r="B19" s="172" t="s">
        <v>2160</v>
      </c>
      <c r="C19" s="317" t="s">
        <v>867</v>
      </c>
      <c r="D19" s="171"/>
      <c r="E19" s="386" t="s">
        <v>1464</v>
      </c>
      <c r="F19" s="383" t="b">
        <f>OR(NOT(ISERROR(FIND("code",$C$8))),C19&lt;&gt;"N/A")</f>
        <v>1</v>
      </c>
    </row>
    <row r="20" spans="1:6" ht="13.5" thickBot="1">
      <c r="A20" s="330" t="s">
        <v>1571</v>
      </c>
      <c r="B20" s="356" t="s">
        <v>2466</v>
      </c>
      <c r="C20" s="449"/>
      <c r="D20" s="353"/>
      <c r="E20" s="385" t="s">
        <v>1393</v>
      </c>
      <c r="F20" s="383" t="b">
        <v>1</v>
      </c>
    </row>
    <row r="21" spans="1:6">
      <c r="A21" s="566" t="s">
        <v>1521</v>
      </c>
      <c r="B21" s="239" t="s">
        <v>1522</v>
      </c>
      <c r="C21" s="313"/>
      <c r="D21" s="300"/>
      <c r="E21" s="385" t="s">
        <v>1393</v>
      </c>
      <c r="F21" s="383" t="b">
        <f>$C$9&lt;&gt;"No"</f>
        <v>0</v>
      </c>
    </row>
    <row r="22" spans="1:6">
      <c r="A22" s="564"/>
      <c r="B22" s="159" t="s">
        <v>1523</v>
      </c>
      <c r="C22" s="308"/>
      <c r="D22" s="155"/>
      <c r="E22" s="385" t="s">
        <v>1393</v>
      </c>
      <c r="F22" s="383" t="b">
        <f t="shared" ref="F22:F29" si="1">$C$9&lt;&gt;"No"</f>
        <v>0</v>
      </c>
    </row>
    <row r="23" spans="1:6">
      <c r="A23" s="564"/>
      <c r="B23" s="159" t="s">
        <v>1529</v>
      </c>
      <c r="C23" s="306"/>
      <c r="D23" s="155" t="s">
        <v>2161</v>
      </c>
      <c r="E23" s="386" t="s">
        <v>1576</v>
      </c>
      <c r="F23" s="383" t="b">
        <f t="shared" si="1"/>
        <v>0</v>
      </c>
    </row>
    <row r="24" spans="1:6">
      <c r="A24" s="564"/>
      <c r="B24" s="159" t="s">
        <v>1524</v>
      </c>
      <c r="C24" s="308"/>
      <c r="D24" s="155"/>
      <c r="E24" s="385" t="s">
        <v>1393</v>
      </c>
      <c r="F24" s="383" t="b">
        <f t="shared" si="1"/>
        <v>0</v>
      </c>
    </row>
    <row r="25" spans="1:6">
      <c r="A25" s="564"/>
      <c r="B25" s="159" t="s">
        <v>1525</v>
      </c>
      <c r="C25" s="308"/>
      <c r="D25" s="155"/>
      <c r="E25" s="385" t="s">
        <v>1393</v>
      </c>
      <c r="F25" s="383" t="b">
        <f t="shared" si="1"/>
        <v>0</v>
      </c>
    </row>
    <row r="26" spans="1:6">
      <c r="A26" s="564"/>
      <c r="B26" s="159" t="s">
        <v>1526</v>
      </c>
      <c r="C26" s="308"/>
      <c r="D26" s="155"/>
      <c r="E26" s="385" t="s">
        <v>1393</v>
      </c>
      <c r="F26" s="383" t="b">
        <f t="shared" si="1"/>
        <v>0</v>
      </c>
    </row>
    <row r="27" spans="1:6">
      <c r="A27" s="564"/>
      <c r="B27" s="159" t="s">
        <v>1527</v>
      </c>
      <c r="C27" s="308"/>
      <c r="D27" s="155"/>
      <c r="E27" s="385" t="s">
        <v>1546</v>
      </c>
      <c r="F27" s="383" t="b">
        <f t="shared" si="1"/>
        <v>0</v>
      </c>
    </row>
    <row r="28" spans="1:6">
      <c r="A28" s="564"/>
      <c r="B28" s="159" t="s">
        <v>1537</v>
      </c>
      <c r="C28" s="308"/>
      <c r="D28" s="155"/>
      <c r="E28" s="385" t="s">
        <v>1546</v>
      </c>
      <c r="F28" s="383" t="b">
        <f t="shared" si="1"/>
        <v>0</v>
      </c>
    </row>
    <row r="29" spans="1:6" ht="13.5" thickBot="1">
      <c r="A29" s="565"/>
      <c r="B29" s="172" t="s">
        <v>1528</v>
      </c>
      <c r="C29" s="309"/>
      <c r="D29" s="171"/>
      <c r="E29" s="385" t="s">
        <v>1393</v>
      </c>
      <c r="F29" s="383" t="b">
        <f t="shared" si="1"/>
        <v>0</v>
      </c>
    </row>
    <row r="30" spans="1:6" ht="13.5" thickBot="1">
      <c r="A30" s="375" t="s">
        <v>1900</v>
      </c>
      <c r="B30" s="354" t="s">
        <v>1933</v>
      </c>
      <c r="C30" s="307" t="s">
        <v>784</v>
      </c>
      <c r="D30" s="171"/>
      <c r="E30" s="384" t="s">
        <v>1338</v>
      </c>
      <c r="F30" s="383" t="b">
        <v>1</v>
      </c>
    </row>
  </sheetData>
  <mergeCells count="8">
    <mergeCell ref="A16:A19"/>
    <mergeCell ref="A21:A29"/>
    <mergeCell ref="A1:D1"/>
    <mergeCell ref="E1:E3"/>
    <mergeCell ref="F1:F3"/>
    <mergeCell ref="A2:D2"/>
    <mergeCell ref="A4:A8"/>
    <mergeCell ref="A10:A15"/>
  </mergeCells>
  <conditionalFormatting sqref="F4:F8 F20 F30">
    <cfRule type="cellIs" dxfId="21" priority="8" operator="equal">
      <formula>TRUE</formula>
    </cfRule>
  </conditionalFormatting>
  <conditionalFormatting sqref="A10:D19 A21:D30 A20 C20:D20">
    <cfRule type="expression" dxfId="20" priority="7">
      <formula>$F10=FALSE</formula>
    </cfRule>
  </conditionalFormatting>
  <conditionalFormatting sqref="F10:F19">
    <cfRule type="cellIs" dxfId="19" priority="6" operator="equal">
      <formula>TRUE</formula>
    </cfRule>
  </conditionalFormatting>
  <conditionalFormatting sqref="F21:F29">
    <cfRule type="cellIs" dxfId="18" priority="5" operator="equal">
      <formula>TRUE</formula>
    </cfRule>
  </conditionalFormatting>
  <conditionalFormatting sqref="F9">
    <cfRule type="cellIs" dxfId="17" priority="4" operator="equal">
      <formula>TRUE</formula>
    </cfRule>
  </conditionalFormatting>
  <conditionalFormatting sqref="B9:D9">
    <cfRule type="expression" dxfId="16" priority="3">
      <formula>$F9=FALSE</formula>
    </cfRule>
  </conditionalFormatting>
  <conditionalFormatting sqref="B20">
    <cfRule type="expression" dxfId="15" priority="1">
      <formula>$F20=FALSE</formula>
    </cfRule>
  </conditionalFormatting>
  <dataValidations count="2">
    <dataValidation type="whole" operator="greaterThan" allowBlank="1" showInputMessage="1" showErrorMessage="1" sqref="C16" xr:uid="{AB0A622C-1E17-4373-B810-D0215C7C65E5}">
      <formula1>0</formula1>
    </dataValidation>
    <dataValidation type="list" allowBlank="1" showInputMessage="1" showErrorMessage="1" sqref="C23 C30 C17:C19 C8:C11" xr:uid="{F54F3EE6-D03B-48C6-859C-55EC53382196}">
      <formula1>INDIRECT($E8)</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6382-AF96-47C5-9C57-CFB0700B5936}">
  <sheetPr>
    <tabColor theme="7" tint="0.79998168889431442"/>
  </sheetPr>
  <dimension ref="B1:P270"/>
  <sheetViews>
    <sheetView workbookViewId="0">
      <selection activeCell="D9" sqref="D9"/>
    </sheetView>
  </sheetViews>
  <sheetFormatPr defaultRowHeight="12.75"/>
  <cols>
    <col min="1" max="1" width="3.42578125" style="749" customWidth="1"/>
    <col min="2" max="2" width="36.28515625" style="749" customWidth="1"/>
    <col min="3" max="3" width="17.42578125" style="749" customWidth="1"/>
    <col min="4" max="4" width="9.140625" style="749"/>
    <col min="5" max="5" width="16" style="749" customWidth="1"/>
    <col min="6" max="13" width="9.140625" style="749"/>
    <col min="14" max="14" width="59" style="749" customWidth="1"/>
    <col min="15" max="15" width="27" style="749" customWidth="1"/>
    <col min="16" max="16384" width="9.140625" style="749"/>
  </cols>
  <sheetData>
    <row r="1" spans="2:16" ht="50.25" customHeight="1"/>
    <row r="2" spans="2:16" ht="23.25">
      <c r="B2" s="814" t="s">
        <v>2541</v>
      </c>
      <c r="C2" s="815"/>
      <c r="D2" s="815"/>
      <c r="E2" s="815"/>
      <c r="F2" s="815"/>
      <c r="G2" s="816"/>
      <c r="O2" s="811" t="s">
        <v>2552</v>
      </c>
      <c r="P2" s="811" t="s">
        <v>2544</v>
      </c>
    </row>
    <row r="3" spans="2:16" ht="26.25" customHeight="1">
      <c r="B3" s="812" t="s">
        <v>2542</v>
      </c>
      <c r="C3" s="813"/>
      <c r="D3" s="813"/>
      <c r="E3" s="813"/>
      <c r="F3" s="813"/>
      <c r="G3" s="813"/>
      <c r="O3" s="750" t="s">
        <v>2545</v>
      </c>
      <c r="P3" s="749" t="s">
        <v>2385</v>
      </c>
    </row>
    <row r="4" spans="2:16">
      <c r="B4" s="190" t="s">
        <v>4</v>
      </c>
      <c r="C4" s="190" t="s">
        <v>2543</v>
      </c>
      <c r="D4" s="190" t="s">
        <v>2550</v>
      </c>
      <c r="E4" s="190" t="s">
        <v>801</v>
      </c>
      <c r="F4" s="190" t="s">
        <v>802</v>
      </c>
      <c r="G4" s="190" t="s">
        <v>2549</v>
      </c>
      <c r="O4" s="750" t="s">
        <v>2546</v>
      </c>
      <c r="P4" s="749" t="s">
        <v>2384</v>
      </c>
    </row>
    <row r="5" spans="2:16">
      <c r="B5" s="788" t="str">
        <f>P3</f>
        <v>All milestones have acceptance criteria</v>
      </c>
      <c r="C5" s="788" t="s">
        <v>2545</v>
      </c>
      <c r="D5" s="817">
        <v>0</v>
      </c>
      <c r="E5" s="788" t="str">
        <f ca="1">IFERROR(OFFSET('Data Parser'!$C$1,MATCH(B5,'Data Parser'!AF:AF,0)-1,0)&amp;"; "&amp;OFFSET('Data Parser'!$D$1,MATCH(B5,'Data Parser'!AF:AF,0)-1,0)&amp;"; "&amp;OFFSET('Data Parser'!$E$1,MATCH(B5,'Data Parser'!AF:AF,0)-1,0)&amp;"; "&amp;OFFSET('Data Parser'!$F$1,MATCH(B5,'Data Parser'!AF:AF,0)-1,0),"")</f>
        <v>Good looking UI; DAO approves the structure (or doesn't comment); DAO agrees this is a good model for programs; DAO agrees the model is usable</v>
      </c>
      <c r="F5" s="787">
        <f ca="1">IFERROR(OFFSET('Data Parser'!$AD$1,MATCH(B5,'Data Parser'!AF:AF,0)-1,0),"")</f>
        <v>1</v>
      </c>
      <c r="G5" s="820" t="b">
        <f ca="1">IF(C5=$O$3,D5=F5,IF(C5=$O$4,F5&lt;D5,IF($O$5=C5,E5=D5,IF($O$6=C5,E5&lt;&gt;D5,""))))</f>
        <v>0</v>
      </c>
      <c r="O5" s="750" t="s">
        <v>2547</v>
      </c>
      <c r="P5" s="749" t="s">
        <v>2383</v>
      </c>
    </row>
    <row r="6" spans="2:16">
      <c r="B6" s="818" t="s">
        <v>2282</v>
      </c>
      <c r="C6" s="788" t="s">
        <v>2546</v>
      </c>
      <c r="D6" s="817">
        <v>0.5</v>
      </c>
      <c r="E6" s="788" t="str">
        <f ca="1">IFERROR(OFFSET('Data Parser'!$C$1,MATCH(B6,'Data Parser'!AF:AF,0)-1,0)&amp;"; "&amp;OFFSET('Data Parser'!$D$1,MATCH(B6,'Data Parser'!AF:AF,0)-1,0)&amp;"; "&amp;OFFSET('Data Parser'!$E$1,MATCH(B6,'Data Parser'!AF:AF,0)-1,0)&amp;"; "&amp;OFFSET('Data Parser'!$F$1,MATCH(B6,'Data Parser'!AF:AF,0)-1,0),"")</f>
        <v xml:space="preserve">United States; ; ; </v>
      </c>
      <c r="F6" s="787">
        <f ca="1">IFERROR(OFFSET('Data Parser'!$AD$1,MATCH(B6,'Data Parser'!AF:AF,0)-1,0),"")</f>
        <v>1</v>
      </c>
      <c r="G6" s="820" t="b">
        <f ca="1">IF(C6=$O$3,D6=F6,IF(C6=$O$4,F6&lt;D6,IF($O$5=C6,E6=D6,IF($O$6=C6,E6&lt;&gt;D6,""))))</f>
        <v>0</v>
      </c>
      <c r="H6" s="750" t="s">
        <v>2551</v>
      </c>
      <c r="O6" s="750" t="s">
        <v>2548</v>
      </c>
      <c r="P6" s="749" t="s">
        <v>2442</v>
      </c>
    </row>
    <row r="7" spans="2:16">
      <c r="B7" s="788" t="s">
        <v>2288</v>
      </c>
      <c r="C7" s="788" t="s">
        <v>2546</v>
      </c>
      <c r="D7" s="819">
        <v>1</v>
      </c>
      <c r="E7" s="788" t="str">
        <f ca="1">IFERROR(OFFSET('Data Parser'!$C$1,MATCH(B7,'Data Parser'!AF:AF,0)-1,0)&amp;"; "&amp;OFFSET('Data Parser'!$D$1,MATCH(B7,'Data Parser'!AF:AF,0)-1,0)&amp;"; "&amp;OFFSET('Data Parser'!$E$1,MATCH(B7,'Data Parser'!AF:AF,0)-1,0)&amp;"; "&amp;OFFSET('Data Parser'!$F$1,MATCH(B7,'Data Parser'!AF:AF,0)-1,0),"")</f>
        <v xml:space="preserve">Yes; Yes; ; </v>
      </c>
      <c r="F7" s="787">
        <f ca="1">IFERROR(OFFSET('Data Parser'!$AD$1,MATCH(B7,'Data Parser'!AF:AF,0)-1,0),"")</f>
        <v>1</v>
      </c>
      <c r="G7" s="820" t="b">
        <f ca="1">IF(C7=$O$3,D7=F7,IF(C7=$O$4,F7&lt;D7,IF($O$5=C7,E7=D7,IF($O$6=C7,E7&lt;&gt;D7,""))))</f>
        <v>0</v>
      </c>
      <c r="P7" s="749" t="s">
        <v>2440</v>
      </c>
    </row>
    <row r="8" spans="2:16">
      <c r="B8" s="788" t="s">
        <v>2294</v>
      </c>
      <c r="C8" s="788" t="s">
        <v>2546</v>
      </c>
      <c r="D8" s="819">
        <v>1</v>
      </c>
      <c r="E8" s="788" t="str">
        <f ca="1">IFERROR(OFFSET('Data Parser'!$C$1,MATCH(B8,'Data Parser'!AF:AF,0)-1,0)&amp;"; "&amp;OFFSET('Data Parser'!$D$1,MATCH(B8,'Data Parser'!AF:AF,0)-1,0)&amp;"; "&amp;OFFSET('Data Parser'!$E$1,MATCH(B8,'Data Parser'!AF:AF,0)-1,0)&amp;"; "&amp;OFFSET('Data Parser'!$F$1,MATCH(B8,'Data Parser'!AF:AF,0)-1,0),"")</f>
        <v xml:space="preserve">No; No; ; </v>
      </c>
      <c r="F8" s="787">
        <f ca="1">IFERROR(OFFSET('Data Parser'!$AD$1,MATCH(B8,'Data Parser'!AF:AF,0)-1,0),"")</f>
        <v>1</v>
      </c>
      <c r="G8" s="820" t="b">
        <f t="shared" ref="G8:G9" ca="1" si="0">IF(C8=$O$3,D8=F8,IF(C8=$O$4,F8&lt;D8,IF($O$5=C8,E8=D8,IF($O$6=C8,E8&lt;&gt;D8,""))))</f>
        <v>0</v>
      </c>
      <c r="P8" s="749" t="s">
        <v>2437</v>
      </c>
    </row>
    <row r="9" spans="2:16">
      <c r="B9" s="788" t="s">
        <v>2295</v>
      </c>
      <c r="C9" s="788" t="s">
        <v>2546</v>
      </c>
      <c r="D9" s="819">
        <v>1</v>
      </c>
      <c r="E9" s="788" t="str">
        <f ca="1">IFERROR(OFFSET('Data Parser'!$C$1,MATCH(B9,'Data Parser'!AF:AF,0)-1,0)&amp;"; "&amp;OFFSET('Data Parser'!$D$1,MATCH(B9,'Data Parser'!AF:AF,0)-1,0)&amp;"; "&amp;OFFSET('Data Parser'!$E$1,MATCH(B9,'Data Parser'!AF:AF,0)-1,0)&amp;"; "&amp;OFFSET('Data Parser'!$F$1,MATCH(B9,'Data Parser'!AF:AF,0)-1,0),"")</f>
        <v xml:space="preserve">No; No; ; </v>
      </c>
      <c r="F9" s="787">
        <f ca="1">IFERROR(OFFSET('Data Parser'!$AD$1,MATCH(B9,'Data Parser'!AF:AF,0)-1,0),"")</f>
        <v>1</v>
      </c>
      <c r="G9" s="820" t="b">
        <f t="shared" ca="1" si="0"/>
        <v>0</v>
      </c>
      <c r="P9" s="749" t="s">
        <v>2439</v>
      </c>
    </row>
    <row r="10" spans="2:16">
      <c r="B10" s="788" t="s">
        <v>2276</v>
      </c>
      <c r="C10" s="788" t="s">
        <v>2546</v>
      </c>
      <c r="D10" s="819">
        <v>0.8</v>
      </c>
      <c r="E10" s="788" t="str">
        <f ca="1">IFERROR(OFFSET('Data Parser'!$C$1,MATCH(B10,'Data Parser'!AF:AF,0)-1,0)&amp;"; "&amp;OFFSET('Data Parser'!$D$1,MATCH(B10,'Data Parser'!AF:AF,0)-1,0)&amp;"; "&amp;OFFSET('Data Parser'!$E$1,MATCH(B10,'Data Parser'!AF:AF,0)-1,0)&amp;"; "&amp;OFFSET('Data Parser'!$F$1,MATCH(B10,'Data Parser'!AF:AF,0)-1,0),"")</f>
        <v xml:space="preserve">0.2; ; ; </v>
      </c>
      <c r="F10" s="787">
        <f ca="1">IFERROR(OFFSET('Data Parser'!$AD$1,MATCH(B10,'Data Parser'!AF:AF,0)-1,0),"")</f>
        <v>0.8</v>
      </c>
      <c r="G10" s="820" t="b">
        <f t="shared" ref="G10:G11" ca="1" si="1">IF(C10=$O$3,D10=F10,IF(C10=$O$4,F10&lt;D10,IF($O$5=C10,E10=D10,IF($O$6=C10,E10&lt;&gt;D10,""))))</f>
        <v>0</v>
      </c>
      <c r="P10" s="749" t="s">
        <v>2438</v>
      </c>
    </row>
    <row r="11" spans="2:16">
      <c r="B11" s="788" t="s">
        <v>2275</v>
      </c>
      <c r="C11" s="788" t="s">
        <v>2546</v>
      </c>
      <c r="D11" s="819">
        <v>1</v>
      </c>
      <c r="E11" s="788" t="str">
        <f ca="1">IFERROR(OFFSET('Data Parser'!$C$1,MATCH(B11,'Data Parser'!AF:AF,0)-1,0)&amp;"; "&amp;OFFSET('Data Parser'!$D$1,MATCH(B11,'Data Parser'!AF:AF,0)-1,0)&amp;"; "&amp;OFFSET('Data Parser'!$E$1,MATCH(B11,'Data Parser'!AF:AF,0)-1,0)&amp;"; "&amp;OFFSET('Data Parser'!$F$1,MATCH(B11,'Data Parser'!AF:AF,0)-1,0),"")</f>
        <v xml:space="preserve">0; ; ; </v>
      </c>
      <c r="F11" s="787">
        <f ca="1">IFERROR(OFFSET('Data Parser'!$AD$1,MATCH(B11,'Data Parser'!AF:AF,0)-1,0),"")</f>
        <v>1</v>
      </c>
      <c r="G11" s="820" t="b">
        <f t="shared" ca="1" si="1"/>
        <v>0</v>
      </c>
      <c r="P11" s="749" t="s">
        <v>2443</v>
      </c>
    </row>
    <row r="12" spans="2:16">
      <c r="B12" s="788"/>
      <c r="C12" s="788"/>
      <c r="D12" s="819"/>
      <c r="E12" s="788"/>
      <c r="F12" s="787"/>
      <c r="G12" s="820"/>
      <c r="P12" s="749" t="s">
        <v>2441</v>
      </c>
    </row>
    <row r="13" spans="2:16">
      <c r="B13" s="788"/>
      <c r="C13" s="788"/>
      <c r="D13" s="819"/>
      <c r="E13" s="788"/>
      <c r="F13" s="787"/>
      <c r="G13" s="820"/>
      <c r="P13" s="749" t="s">
        <v>2386</v>
      </c>
    </row>
    <row r="14" spans="2:16">
      <c r="B14" s="788"/>
      <c r="C14" s="788"/>
      <c r="D14" s="819"/>
      <c r="E14" s="788"/>
      <c r="F14" s="787"/>
      <c r="G14" s="820"/>
      <c r="P14" s="749" t="s">
        <v>2309</v>
      </c>
    </row>
    <row r="15" spans="2:16">
      <c r="P15" s="749" t="s">
        <v>2425</v>
      </c>
    </row>
    <row r="16" spans="2:16">
      <c r="P16" s="749" t="s">
        <v>2392</v>
      </c>
    </row>
    <row r="17" spans="16:16">
      <c r="P17" s="749" t="s">
        <v>2404</v>
      </c>
    </row>
    <row r="18" spans="16:16">
      <c r="P18" s="749" t="s">
        <v>2403</v>
      </c>
    </row>
    <row r="19" spans="16:16">
      <c r="P19" s="749" t="s">
        <v>2419</v>
      </c>
    </row>
    <row r="20" spans="16:16">
      <c r="P20" s="749" t="s">
        <v>2420</v>
      </c>
    </row>
    <row r="21" spans="16:16">
      <c r="P21" s="749" t="s">
        <v>2393</v>
      </c>
    </row>
    <row r="22" spans="16:16">
      <c r="P22" s="749" t="s">
        <v>2395</v>
      </c>
    </row>
    <row r="23" spans="16:16">
      <c r="P23" s="749" t="s">
        <v>2401</v>
      </c>
    </row>
    <row r="24" spans="16:16">
      <c r="P24" s="749" t="s">
        <v>2400</v>
      </c>
    </row>
    <row r="25" spans="16:16">
      <c r="P25" s="749" t="s">
        <v>2410</v>
      </c>
    </row>
    <row r="26" spans="16:16">
      <c r="P26" s="749" t="s">
        <v>2411</v>
      </c>
    </row>
    <row r="27" spans="16:16">
      <c r="P27" s="749" t="s">
        <v>2397</v>
      </c>
    </row>
    <row r="28" spans="16:16">
      <c r="P28" s="749" t="s">
        <v>2399</v>
      </c>
    </row>
    <row r="29" spans="16:16">
      <c r="P29" s="749" t="s">
        <v>2398</v>
      </c>
    </row>
    <row r="30" spans="16:16">
      <c r="P30" s="749" t="s">
        <v>2412</v>
      </c>
    </row>
    <row r="31" spans="16:16">
      <c r="P31" s="749" t="s">
        <v>2408</v>
      </c>
    </row>
    <row r="32" spans="16:16">
      <c r="P32" s="749" t="s">
        <v>2396</v>
      </c>
    </row>
    <row r="33" spans="16:16">
      <c r="P33" s="749" t="s">
        <v>2416</v>
      </c>
    </row>
    <row r="34" spans="16:16">
      <c r="P34" s="749" t="s">
        <v>2413</v>
      </c>
    </row>
    <row r="35" spans="16:16">
      <c r="P35" s="749" t="s">
        <v>2402</v>
      </c>
    </row>
    <row r="36" spans="16:16">
      <c r="P36" s="749" t="s">
        <v>2405</v>
      </c>
    </row>
    <row r="37" spans="16:16">
      <c r="P37" s="749" t="s">
        <v>2424</v>
      </c>
    </row>
    <row r="38" spans="16:16">
      <c r="P38" s="749" t="s">
        <v>2418</v>
      </c>
    </row>
    <row r="39" spans="16:16">
      <c r="P39" s="749" t="s">
        <v>2423</v>
      </c>
    </row>
    <row r="40" spans="16:16">
      <c r="P40" s="749" t="s">
        <v>2422</v>
      </c>
    </row>
    <row r="41" spans="16:16">
      <c r="P41" s="749" t="s">
        <v>2417</v>
      </c>
    </row>
    <row r="42" spans="16:16">
      <c r="P42" s="749" t="s">
        <v>2534</v>
      </c>
    </row>
    <row r="43" spans="16:16">
      <c r="P43" s="749" t="s">
        <v>2533</v>
      </c>
    </row>
    <row r="44" spans="16:16">
      <c r="P44" s="749" t="s">
        <v>2531</v>
      </c>
    </row>
    <row r="45" spans="16:16">
      <c r="P45" s="749" t="s">
        <v>2532</v>
      </c>
    </row>
    <row r="46" spans="16:16">
      <c r="P46" s="749" t="s">
        <v>2414</v>
      </c>
    </row>
    <row r="47" spans="16:16">
      <c r="P47" s="749" t="s">
        <v>2409</v>
      </c>
    </row>
    <row r="48" spans="16:16">
      <c r="P48" s="749" t="s">
        <v>2394</v>
      </c>
    </row>
    <row r="49" spans="16:16">
      <c r="P49" s="749" t="s">
        <v>2406</v>
      </c>
    </row>
    <row r="50" spans="16:16">
      <c r="P50" s="749" t="s">
        <v>2407</v>
      </c>
    </row>
    <row r="51" spans="16:16">
      <c r="P51" s="749" t="s">
        <v>2421</v>
      </c>
    </row>
    <row r="52" spans="16:16">
      <c r="P52" s="749" t="s">
        <v>2415</v>
      </c>
    </row>
    <row r="53" spans="16:16">
      <c r="P53" s="749" t="s">
        <v>2426</v>
      </c>
    </row>
    <row r="54" spans="16:16">
      <c r="P54" s="749" t="s">
        <v>2391</v>
      </c>
    </row>
    <row r="55" spans="16:16">
      <c r="P55" s="749" t="s">
        <v>2310</v>
      </c>
    </row>
    <row r="56" spans="16:16">
      <c r="P56" s="749" t="s">
        <v>2387</v>
      </c>
    </row>
    <row r="57" spans="16:16">
      <c r="P57" s="749" t="s">
        <v>2389</v>
      </c>
    </row>
    <row r="58" spans="16:16">
      <c r="P58" s="749" t="s">
        <v>2388</v>
      </c>
    </row>
    <row r="59" spans="16:16">
      <c r="P59" s="749" t="s">
        <v>2390</v>
      </c>
    </row>
    <row r="60" spans="16:16">
      <c r="P60" s="749" t="s">
        <v>2303</v>
      </c>
    </row>
    <row r="61" spans="16:16">
      <c r="P61" s="749" t="s">
        <v>2289</v>
      </c>
    </row>
    <row r="62" spans="16:16">
      <c r="P62" s="749" t="s">
        <v>2285</v>
      </c>
    </row>
    <row r="63" spans="16:16">
      <c r="P63" s="749" t="s">
        <v>2286</v>
      </c>
    </row>
    <row r="64" spans="16:16">
      <c r="P64" s="749" t="s">
        <v>2293</v>
      </c>
    </row>
    <row r="65" spans="16:16">
      <c r="P65" s="749" t="s">
        <v>2297</v>
      </c>
    </row>
    <row r="66" spans="16:16">
      <c r="P66" s="749" t="s">
        <v>2283</v>
      </c>
    </row>
    <row r="67" spans="16:16">
      <c r="P67" s="749" t="s">
        <v>2294</v>
      </c>
    </row>
    <row r="68" spans="16:16">
      <c r="P68" s="749" t="s">
        <v>2295</v>
      </c>
    </row>
    <row r="69" spans="16:16">
      <c r="P69" s="749" t="s">
        <v>2296</v>
      </c>
    </row>
    <row r="70" spans="16:16">
      <c r="P70" s="749" t="s">
        <v>2290</v>
      </c>
    </row>
    <row r="71" spans="16:16">
      <c r="P71" s="749" t="s">
        <v>2287</v>
      </c>
    </row>
    <row r="72" spans="16:16">
      <c r="P72" s="749" t="s">
        <v>2298</v>
      </c>
    </row>
    <row r="73" spans="16:16">
      <c r="P73" s="749" t="s">
        <v>2300</v>
      </c>
    </row>
    <row r="74" spans="16:16">
      <c r="P74" s="749" t="s">
        <v>2299</v>
      </c>
    </row>
    <row r="75" spans="16:16">
      <c r="P75" s="749" t="s">
        <v>2301</v>
      </c>
    </row>
    <row r="76" spans="16:16">
      <c r="P76" s="749" t="s">
        <v>2302</v>
      </c>
    </row>
    <row r="77" spans="16:16">
      <c r="P77" s="749" t="s">
        <v>2304</v>
      </c>
    </row>
    <row r="78" spans="16:16">
      <c r="P78" s="749" t="s">
        <v>2266</v>
      </c>
    </row>
    <row r="79" spans="16:16">
      <c r="P79" s="749" t="s">
        <v>2279</v>
      </c>
    </row>
    <row r="80" spans="16:16">
      <c r="P80" s="749" t="s">
        <v>2282</v>
      </c>
    </row>
    <row r="81" spans="16:16">
      <c r="P81" s="749" t="s">
        <v>2248</v>
      </c>
    </row>
    <row r="82" spans="16:16">
      <c r="P82" s="749" t="s">
        <v>2252</v>
      </c>
    </row>
    <row r="83" spans="16:16">
      <c r="P83" s="749" t="s">
        <v>2251</v>
      </c>
    </row>
    <row r="84" spans="16:16">
      <c r="P84" s="749" t="s">
        <v>2255</v>
      </c>
    </row>
    <row r="85" spans="16:16">
      <c r="P85" s="749" t="s">
        <v>2276</v>
      </c>
    </row>
    <row r="86" spans="16:16">
      <c r="P86" s="749" t="s">
        <v>2275</v>
      </c>
    </row>
    <row r="87" spans="16:16">
      <c r="P87" s="749" t="s">
        <v>2273</v>
      </c>
    </row>
    <row r="88" spans="16:16">
      <c r="P88" s="749" t="s">
        <v>2274</v>
      </c>
    </row>
    <row r="89" spans="16:16">
      <c r="P89" s="749" t="s">
        <v>2247</v>
      </c>
    </row>
    <row r="90" spans="16:16">
      <c r="P90" s="749" t="s">
        <v>2269</v>
      </c>
    </row>
    <row r="91" spans="16:16">
      <c r="P91" s="749" t="s">
        <v>2253</v>
      </c>
    </row>
    <row r="92" spans="16:16">
      <c r="P92" s="749" t="s">
        <v>2258</v>
      </c>
    </row>
    <row r="93" spans="16:16">
      <c r="P93" s="749" t="s">
        <v>2257</v>
      </c>
    </row>
    <row r="94" spans="16:16">
      <c r="P94" s="749" t="s">
        <v>2250</v>
      </c>
    </row>
    <row r="95" spans="16:16">
      <c r="P95" s="749" t="s">
        <v>2288</v>
      </c>
    </row>
    <row r="96" spans="16:16">
      <c r="P96" s="749" t="s">
        <v>2259</v>
      </c>
    </row>
    <row r="97" spans="16:16">
      <c r="P97" s="749" t="s">
        <v>2305</v>
      </c>
    </row>
    <row r="98" spans="16:16">
      <c r="P98" s="749" t="s">
        <v>2267</v>
      </c>
    </row>
    <row r="99" spans="16:16">
      <c r="P99" s="749" t="s">
        <v>2265</v>
      </c>
    </row>
    <row r="100" spans="16:16">
      <c r="P100" s="749" t="s">
        <v>2263</v>
      </c>
    </row>
    <row r="101" spans="16:16">
      <c r="P101" s="749" t="s">
        <v>2264</v>
      </c>
    </row>
    <row r="102" spans="16:16">
      <c r="P102" s="749" t="s">
        <v>2524</v>
      </c>
    </row>
    <row r="103" spans="16:16">
      <c r="P103" s="749" t="s">
        <v>2523</v>
      </c>
    </row>
    <row r="104" spans="16:16">
      <c r="P104" s="749" t="s">
        <v>2268</v>
      </c>
    </row>
    <row r="105" spans="16:16">
      <c r="P105" s="749" t="s">
        <v>2261</v>
      </c>
    </row>
    <row r="106" spans="16:16">
      <c r="P106" s="749" t="s">
        <v>2262</v>
      </c>
    </row>
    <row r="107" spans="16:16">
      <c r="P107" s="749" t="s">
        <v>2254</v>
      </c>
    </row>
    <row r="108" spans="16:16">
      <c r="P108" s="749" t="s">
        <v>2526</v>
      </c>
    </row>
    <row r="109" spans="16:16">
      <c r="P109" s="749" t="s">
        <v>2256</v>
      </c>
    </row>
    <row r="110" spans="16:16">
      <c r="P110" s="749" t="s">
        <v>2249</v>
      </c>
    </row>
    <row r="111" spans="16:16">
      <c r="P111" s="749" t="s">
        <v>2281</v>
      </c>
    </row>
    <row r="112" spans="16:16">
      <c r="P112" s="749" t="s">
        <v>2272</v>
      </c>
    </row>
    <row r="113" spans="16:16">
      <c r="P113" s="749" t="s">
        <v>2270</v>
      </c>
    </row>
    <row r="114" spans="16:16">
      <c r="P114" s="749" t="s">
        <v>2271</v>
      </c>
    </row>
    <row r="115" spans="16:16">
      <c r="P115" s="749" t="s">
        <v>2380</v>
      </c>
    </row>
    <row r="116" spans="16:16">
      <c r="P116" s="749" t="s">
        <v>2363</v>
      </c>
    </row>
    <row r="117" spans="16:16">
      <c r="P117" s="749" t="s">
        <v>2379</v>
      </c>
    </row>
    <row r="118" spans="16:16">
      <c r="P118" s="749" t="s">
        <v>2357</v>
      </c>
    </row>
    <row r="119" spans="16:16">
      <c r="P119" s="749" t="s">
        <v>2358</v>
      </c>
    </row>
    <row r="120" spans="16:16">
      <c r="P120" s="749" t="s">
        <v>2354</v>
      </c>
    </row>
    <row r="121" spans="16:16">
      <c r="P121" s="749" t="s">
        <v>2360</v>
      </c>
    </row>
    <row r="122" spans="16:16">
      <c r="P122" s="749" t="s">
        <v>2376</v>
      </c>
    </row>
    <row r="123" spans="16:16">
      <c r="P123" s="749" t="s">
        <v>2377</v>
      </c>
    </row>
    <row r="124" spans="16:16">
      <c r="P124" s="749" t="s">
        <v>2365</v>
      </c>
    </row>
    <row r="125" spans="16:16">
      <c r="P125" s="749" t="s">
        <v>2366</v>
      </c>
    </row>
    <row r="126" spans="16:16">
      <c r="P126" s="749" t="s">
        <v>2367</v>
      </c>
    </row>
    <row r="127" spans="16:16">
      <c r="P127" s="749" t="s">
        <v>2362</v>
      </c>
    </row>
    <row r="128" spans="16:16">
      <c r="P128" s="749" t="s">
        <v>2361</v>
      </c>
    </row>
    <row r="129" spans="16:16">
      <c r="P129" s="749" t="s">
        <v>2353</v>
      </c>
    </row>
    <row r="130" spans="16:16">
      <c r="P130" s="749" t="s">
        <v>2355</v>
      </c>
    </row>
    <row r="131" spans="16:16">
      <c r="P131" s="749" t="s">
        <v>2356</v>
      </c>
    </row>
    <row r="132" spans="16:16">
      <c r="P132" s="749" t="s">
        <v>2378</v>
      </c>
    </row>
    <row r="133" spans="16:16">
      <c r="P133" s="749" t="s">
        <v>2375</v>
      </c>
    </row>
    <row r="134" spans="16:16">
      <c r="P134" s="749" t="s">
        <v>2374</v>
      </c>
    </row>
    <row r="135" spans="16:16">
      <c r="P135" s="749" t="s">
        <v>2372</v>
      </c>
    </row>
    <row r="136" spans="16:16">
      <c r="P136" s="749" t="s">
        <v>2373</v>
      </c>
    </row>
    <row r="137" spans="16:16">
      <c r="P137" s="749" t="s">
        <v>2369</v>
      </c>
    </row>
    <row r="138" spans="16:16">
      <c r="P138" s="749" t="s">
        <v>2368</v>
      </c>
    </row>
    <row r="139" spans="16:16">
      <c r="P139" s="749" t="s">
        <v>2371</v>
      </c>
    </row>
    <row r="140" spans="16:16">
      <c r="P140" s="749" t="s">
        <v>2364</v>
      </c>
    </row>
    <row r="141" spans="16:16">
      <c r="P141" s="749" t="s">
        <v>2370</v>
      </c>
    </row>
    <row r="142" spans="16:16">
      <c r="P142" s="749" t="s">
        <v>2359</v>
      </c>
    </row>
    <row r="143" spans="16:16">
      <c r="P143" s="749" t="s">
        <v>2314</v>
      </c>
    </row>
    <row r="144" spans="16:16">
      <c r="P144" s="749" t="s">
        <v>2315</v>
      </c>
    </row>
    <row r="145" spans="16:16">
      <c r="P145" s="749" t="s">
        <v>2316</v>
      </c>
    </row>
    <row r="146" spans="16:16">
      <c r="P146" s="749" t="s">
        <v>2342</v>
      </c>
    </row>
    <row r="147" spans="16:16">
      <c r="P147" s="749" t="s">
        <v>2326</v>
      </c>
    </row>
    <row r="148" spans="16:16">
      <c r="P148" s="749" t="s">
        <v>2341</v>
      </c>
    </row>
    <row r="149" spans="16:16">
      <c r="P149" s="749" t="s">
        <v>2312</v>
      </c>
    </row>
    <row r="150" spans="16:16">
      <c r="P150" s="749" t="s">
        <v>2345</v>
      </c>
    </row>
    <row r="151" spans="16:16">
      <c r="P151" s="749" t="s">
        <v>2336</v>
      </c>
    </row>
    <row r="152" spans="16:16">
      <c r="P152" s="749" t="s">
        <v>2339</v>
      </c>
    </row>
    <row r="153" spans="16:16">
      <c r="P153" s="749" t="s">
        <v>2340</v>
      </c>
    </row>
    <row r="154" spans="16:16">
      <c r="P154" s="749" t="s">
        <v>2307</v>
      </c>
    </row>
    <row r="155" spans="16:16">
      <c r="P155" s="749" t="s">
        <v>2313</v>
      </c>
    </row>
    <row r="156" spans="16:16">
      <c r="P156" s="749" t="s">
        <v>2344</v>
      </c>
    </row>
    <row r="157" spans="16:16">
      <c r="P157" s="749" t="s">
        <v>2325</v>
      </c>
    </row>
    <row r="158" spans="16:16">
      <c r="P158" s="749" t="s">
        <v>2327</v>
      </c>
    </row>
    <row r="159" spans="16:16">
      <c r="P159" s="749" t="s">
        <v>2349</v>
      </c>
    </row>
    <row r="160" spans="16:16">
      <c r="P160" s="749" t="s">
        <v>2319</v>
      </c>
    </row>
    <row r="161" spans="16:16">
      <c r="P161" s="749" t="s">
        <v>2318</v>
      </c>
    </row>
    <row r="162" spans="16:16">
      <c r="P162" s="749" t="s">
        <v>2529</v>
      </c>
    </row>
    <row r="163" spans="16:16">
      <c r="P163" s="749" t="s">
        <v>2329</v>
      </c>
    </row>
    <row r="164" spans="16:16">
      <c r="P164" s="749" t="s">
        <v>2347</v>
      </c>
    </row>
    <row r="165" spans="16:16">
      <c r="P165" s="749" t="s">
        <v>2346</v>
      </c>
    </row>
    <row r="166" spans="16:16">
      <c r="P166" s="749" t="s">
        <v>2332</v>
      </c>
    </row>
    <row r="167" spans="16:16">
      <c r="P167" s="749" t="s">
        <v>2350</v>
      </c>
    </row>
    <row r="168" spans="16:16">
      <c r="P168" s="749" t="s">
        <v>2337</v>
      </c>
    </row>
    <row r="169" spans="16:16">
      <c r="P169" s="749" t="s">
        <v>2311</v>
      </c>
    </row>
    <row r="170" spans="16:16">
      <c r="P170" s="749" t="s">
        <v>2530</v>
      </c>
    </row>
    <row r="171" spans="16:16">
      <c r="P171" s="749" t="s">
        <v>2348</v>
      </c>
    </row>
    <row r="172" spans="16:16">
      <c r="P172" s="749" t="s">
        <v>2335</v>
      </c>
    </row>
    <row r="173" spans="16:16">
      <c r="P173" s="749" t="s">
        <v>2334</v>
      </c>
    </row>
    <row r="174" spans="16:16">
      <c r="P174" s="749" t="s">
        <v>2333</v>
      </c>
    </row>
    <row r="175" spans="16:16">
      <c r="P175" s="749" t="s">
        <v>2519</v>
      </c>
    </row>
    <row r="176" spans="16:16">
      <c r="P176" s="749" t="s">
        <v>2520</v>
      </c>
    </row>
    <row r="177" spans="16:16">
      <c r="P177" s="749" t="s">
        <v>2511</v>
      </c>
    </row>
    <row r="178" spans="16:16">
      <c r="P178" s="749" t="s">
        <v>2510</v>
      </c>
    </row>
    <row r="179" spans="16:16">
      <c r="P179" s="749" t="s">
        <v>2512</v>
      </c>
    </row>
    <row r="180" spans="16:16">
      <c r="P180" s="749" t="s">
        <v>2513</v>
      </c>
    </row>
    <row r="181" spans="16:16">
      <c r="P181" s="749" t="s">
        <v>2453</v>
      </c>
    </row>
    <row r="182" spans="16:16">
      <c r="P182" s="749" t="s">
        <v>2447</v>
      </c>
    </row>
    <row r="183" spans="16:16">
      <c r="P183" s="749" t="s">
        <v>2515</v>
      </c>
    </row>
    <row r="184" spans="16:16">
      <c r="P184" s="749" t="s">
        <v>2509</v>
      </c>
    </row>
    <row r="185" spans="16:16">
      <c r="P185" s="749" t="s">
        <v>2514</v>
      </c>
    </row>
    <row r="186" spans="16:16">
      <c r="P186" s="749" t="s">
        <v>2451</v>
      </c>
    </row>
    <row r="187" spans="16:16">
      <c r="P187" s="749" t="s">
        <v>2518</v>
      </c>
    </row>
    <row r="188" spans="16:16">
      <c r="P188" s="749" t="s">
        <v>2452</v>
      </c>
    </row>
    <row r="189" spans="16:16">
      <c r="P189" s="749" t="s">
        <v>2450</v>
      </c>
    </row>
    <row r="190" spans="16:16">
      <c r="P190" s="749" t="s">
        <v>2448</v>
      </c>
    </row>
    <row r="191" spans="16:16">
      <c r="P191" s="749" t="s">
        <v>2516</v>
      </c>
    </row>
    <row r="192" spans="16:16">
      <c r="P192" s="749" t="s">
        <v>2517</v>
      </c>
    </row>
    <row r="193" spans="16:16">
      <c r="P193" s="749" t="s">
        <v>2449</v>
      </c>
    </row>
    <row r="194" spans="16:16">
      <c r="P194" s="749" t="s">
        <v>2435</v>
      </c>
    </row>
    <row r="195" spans="16:16">
      <c r="P195" s="749" t="s">
        <v>2429</v>
      </c>
    </row>
    <row r="196" spans="16:16">
      <c r="P196" s="749" t="s">
        <v>2445</v>
      </c>
    </row>
    <row r="197" spans="16:16">
      <c r="P197" s="749" t="s">
        <v>2427</v>
      </c>
    </row>
    <row r="198" spans="16:16">
      <c r="P198" s="749" t="s">
        <v>2434</v>
      </c>
    </row>
    <row r="199" spans="16:16">
      <c r="P199" s="749" t="s">
        <v>2433</v>
      </c>
    </row>
    <row r="200" spans="16:16">
      <c r="P200" s="749" t="s">
        <v>2432</v>
      </c>
    </row>
    <row r="201" spans="16:16">
      <c r="P201" s="749" t="s">
        <v>2428</v>
      </c>
    </row>
    <row r="202" spans="16:16">
      <c r="P202" s="749" t="s">
        <v>2430</v>
      </c>
    </row>
    <row r="203" spans="16:16">
      <c r="P203" s="749" t="s">
        <v>2446</v>
      </c>
    </row>
    <row r="204" spans="16:16">
      <c r="P204" s="749" t="s">
        <v>2431</v>
      </c>
    </row>
    <row r="205" spans="16:16">
      <c r="P205" s="749" t="s">
        <v>2444</v>
      </c>
    </row>
    <row r="206" spans="16:16">
      <c r="P206" s="749" t="s">
        <v>2308</v>
      </c>
    </row>
    <row r="207" spans="16:16">
      <c r="P207" s="749" t="s">
        <v>2328</v>
      </c>
    </row>
    <row r="208" spans="16:16">
      <c r="P208" s="749" t="s">
        <v>2331</v>
      </c>
    </row>
    <row r="209" spans="16:16">
      <c r="P209" s="749" t="s">
        <v>2338</v>
      </c>
    </row>
    <row r="210" spans="16:16">
      <c r="P210" s="749" t="s">
        <v>2330</v>
      </c>
    </row>
    <row r="211" spans="16:16">
      <c r="P211" s="749" t="s">
        <v>2343</v>
      </c>
    </row>
    <row r="212" spans="16:16">
      <c r="P212" s="749" t="s">
        <v>2323</v>
      </c>
    </row>
    <row r="213" spans="16:16">
      <c r="P213" s="749" t="s">
        <v>2322</v>
      </c>
    </row>
    <row r="214" spans="16:16">
      <c r="P214" s="749" t="s">
        <v>2321</v>
      </c>
    </row>
    <row r="215" spans="16:16">
      <c r="P215" s="749" t="s">
        <v>2320</v>
      </c>
    </row>
    <row r="216" spans="16:16">
      <c r="P216" s="749" t="s">
        <v>2324</v>
      </c>
    </row>
    <row r="217" spans="16:16">
      <c r="P217" s="749" t="s">
        <v>2476</v>
      </c>
    </row>
    <row r="218" spans="16:16">
      <c r="P218" s="749" t="s">
        <v>2475</v>
      </c>
    </row>
    <row r="219" spans="16:16">
      <c r="P219" s="749" t="s">
        <v>2507</v>
      </c>
    </row>
    <row r="220" spans="16:16">
      <c r="P220" s="749" t="s">
        <v>2508</v>
      </c>
    </row>
    <row r="221" spans="16:16">
      <c r="P221" s="749" t="s">
        <v>2492</v>
      </c>
    </row>
    <row r="222" spans="16:16">
      <c r="P222" s="749" t="s">
        <v>2493</v>
      </c>
    </row>
    <row r="223" spans="16:16">
      <c r="P223" s="749" t="s">
        <v>2487</v>
      </c>
    </row>
    <row r="224" spans="16:16">
      <c r="P224" s="749" t="s">
        <v>2488</v>
      </c>
    </row>
    <row r="225" spans="16:16">
      <c r="P225" s="749" t="s">
        <v>2483</v>
      </c>
    </row>
    <row r="226" spans="16:16">
      <c r="P226" s="749" t="s">
        <v>2484</v>
      </c>
    </row>
    <row r="227" spans="16:16">
      <c r="P227" s="749" t="s">
        <v>2486</v>
      </c>
    </row>
    <row r="228" spans="16:16">
      <c r="P228" s="749" t="s">
        <v>2480</v>
      </c>
    </row>
    <row r="229" spans="16:16">
      <c r="P229" s="749" t="s">
        <v>2485</v>
      </c>
    </row>
    <row r="230" spans="16:16">
      <c r="P230" s="749" t="s">
        <v>2479</v>
      </c>
    </row>
    <row r="231" spans="16:16">
      <c r="P231" s="749" t="s">
        <v>2477</v>
      </c>
    </row>
    <row r="232" spans="16:16">
      <c r="P232" s="749" t="s">
        <v>2478</v>
      </c>
    </row>
    <row r="233" spans="16:16">
      <c r="P233" s="749" t="s">
        <v>2491</v>
      </c>
    </row>
    <row r="234" spans="16:16">
      <c r="P234" s="749" t="s">
        <v>2490</v>
      </c>
    </row>
    <row r="235" spans="16:16">
      <c r="P235" s="749" t="s">
        <v>2481</v>
      </c>
    </row>
    <row r="236" spans="16:16">
      <c r="P236" s="749" t="s">
        <v>2489</v>
      </c>
    </row>
    <row r="237" spans="16:16">
      <c r="P237" s="749" t="s">
        <v>2461</v>
      </c>
    </row>
    <row r="238" spans="16:16">
      <c r="P238" s="749" t="s">
        <v>2460</v>
      </c>
    </row>
    <row r="239" spans="16:16">
      <c r="P239" s="749" t="s">
        <v>2459</v>
      </c>
    </row>
    <row r="240" spans="16:16">
      <c r="P240" s="749" t="s">
        <v>2458</v>
      </c>
    </row>
    <row r="241" spans="16:16">
      <c r="P241" s="749" t="s">
        <v>2463</v>
      </c>
    </row>
    <row r="242" spans="16:16">
      <c r="P242" s="749" t="s">
        <v>2465</v>
      </c>
    </row>
    <row r="243" spans="16:16">
      <c r="P243" s="749" t="s">
        <v>2462</v>
      </c>
    </row>
    <row r="244" spans="16:16">
      <c r="P244" s="749" t="s">
        <v>2457</v>
      </c>
    </row>
    <row r="245" spans="16:16">
      <c r="P245" s="749" t="s">
        <v>2464</v>
      </c>
    </row>
    <row r="246" spans="16:16">
      <c r="P246" s="749" t="s">
        <v>2504</v>
      </c>
    </row>
    <row r="247" spans="16:16">
      <c r="P247" s="749" t="s">
        <v>2472</v>
      </c>
    </row>
    <row r="248" spans="16:16">
      <c r="P248" s="749" t="s">
        <v>2506</v>
      </c>
    </row>
    <row r="249" spans="16:16">
      <c r="P249" s="749" t="s">
        <v>2470</v>
      </c>
    </row>
    <row r="250" spans="16:16">
      <c r="P250" s="749" t="s">
        <v>2501</v>
      </c>
    </row>
    <row r="251" spans="16:16">
      <c r="P251" s="749" t="s">
        <v>2471</v>
      </c>
    </row>
    <row r="252" spans="16:16">
      <c r="P252" s="749" t="s">
        <v>2467</v>
      </c>
    </row>
    <row r="253" spans="16:16">
      <c r="P253" s="749" t="s">
        <v>2502</v>
      </c>
    </row>
    <row r="254" spans="16:16">
      <c r="P254" s="749" t="s">
        <v>2500</v>
      </c>
    </row>
    <row r="255" spans="16:16">
      <c r="P255" s="749" t="s">
        <v>2505</v>
      </c>
    </row>
    <row r="256" spans="16:16">
      <c r="P256" s="749" t="s">
        <v>2469</v>
      </c>
    </row>
    <row r="257" spans="16:16">
      <c r="P257" s="749" t="s">
        <v>2503</v>
      </c>
    </row>
    <row r="258" spans="16:16">
      <c r="P258" s="749" t="s">
        <v>2468</v>
      </c>
    </row>
    <row r="259" spans="16:16">
      <c r="P259" s="749" t="s">
        <v>2497</v>
      </c>
    </row>
    <row r="260" spans="16:16">
      <c r="P260" s="749" t="s">
        <v>2498</v>
      </c>
    </row>
    <row r="261" spans="16:16">
      <c r="P261" s="749" t="s">
        <v>2499</v>
      </c>
    </row>
    <row r="262" spans="16:16">
      <c r="P262" s="749" t="s">
        <v>2454</v>
      </c>
    </row>
    <row r="263" spans="16:16">
      <c r="P263" s="749" t="s">
        <v>2456</v>
      </c>
    </row>
    <row r="264" spans="16:16">
      <c r="P264" s="749" t="s">
        <v>2496</v>
      </c>
    </row>
    <row r="265" spans="16:16">
      <c r="P265" s="749" t="s">
        <v>2473</v>
      </c>
    </row>
    <row r="266" spans="16:16">
      <c r="P266" s="749" t="s">
        <v>2474</v>
      </c>
    </row>
    <row r="267" spans="16:16">
      <c r="P267" s="749" t="s">
        <v>2455</v>
      </c>
    </row>
    <row r="268" spans="16:16">
      <c r="P268" s="749" t="s">
        <v>2495</v>
      </c>
    </row>
    <row r="269" spans="16:16">
      <c r="P269" s="749" t="s">
        <v>2494</v>
      </c>
    </row>
    <row r="270" spans="16:16">
      <c r="P270" s="749" t="s">
        <v>2535</v>
      </c>
    </row>
  </sheetData>
  <sortState xmlns:xlrd2="http://schemas.microsoft.com/office/spreadsheetml/2017/richdata2" ref="P3:P371">
    <sortCondition ref="P3:P371"/>
  </sortState>
  <mergeCells count="2">
    <mergeCell ref="B3:G3"/>
    <mergeCell ref="B2:G2"/>
  </mergeCells>
  <conditionalFormatting sqref="G5:G14">
    <cfRule type="cellIs" dxfId="164" priority="1" operator="equal">
      <formula>TRUE</formula>
    </cfRule>
  </conditionalFormatting>
  <dataValidations count="2">
    <dataValidation type="list" allowBlank="1" showInputMessage="1" showErrorMessage="1" sqref="C5:C14" xr:uid="{12B9BF8F-F467-40E6-9665-08D60E8BB563}">
      <formula1>Expressions</formula1>
    </dataValidation>
    <dataValidation type="list" allowBlank="1" showInputMessage="1" showErrorMessage="1" sqref="B5:B14" xr:uid="{09C9C42A-6210-4392-88AD-9CF37C0C791D}">
      <formula1>AllQuestions</formula1>
    </dataValidation>
  </dataValidation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5B0FC-EC87-4562-B8CD-800128874FF6}">
  <sheetPr>
    <tabColor theme="6" tint="0.79998168889431442"/>
  </sheetPr>
  <dimension ref="A1:G46"/>
  <sheetViews>
    <sheetView workbookViewId="0">
      <selection activeCell="A8" sqref="A8:XFD8"/>
    </sheetView>
  </sheetViews>
  <sheetFormatPr defaultRowHeight="12.75"/>
  <cols>
    <col min="1" max="1" width="20" style="37" customWidth="1"/>
    <col min="2" max="2" width="86.5703125" style="37" customWidth="1"/>
    <col min="3" max="3" width="33.28515625" style="314" customWidth="1"/>
    <col min="4" max="4" width="16.85546875" style="37" customWidth="1"/>
    <col min="5" max="5" width="40.140625" style="37" customWidth="1"/>
    <col min="6" max="6" width="20.28515625" style="37" customWidth="1"/>
    <col min="7" max="16384" width="9.140625" style="37"/>
  </cols>
  <sheetData>
    <row r="1" spans="1:7" ht="20.25">
      <c r="A1" s="545" t="s">
        <v>1899</v>
      </c>
      <c r="B1" s="546"/>
      <c r="C1" s="546"/>
      <c r="D1" s="547"/>
    </row>
    <row r="2" spans="1:7" ht="13.5" thickBot="1">
      <c r="A2" s="568" t="s">
        <v>1434</v>
      </c>
      <c r="B2" s="569"/>
      <c r="C2" s="569"/>
      <c r="D2" s="570"/>
    </row>
    <row r="3" spans="1:7" ht="13.5" thickBot="1">
      <c r="A3" s="345" t="s">
        <v>1329</v>
      </c>
      <c r="B3" s="346" t="s">
        <v>4</v>
      </c>
      <c r="C3" s="346" t="s">
        <v>1343</v>
      </c>
      <c r="D3" s="348" t="s">
        <v>1308</v>
      </c>
      <c r="E3" s="137"/>
    </row>
    <row r="4" spans="1:7" ht="13.5" thickBot="1">
      <c r="A4" s="375" t="s">
        <v>2008</v>
      </c>
      <c r="B4" s="354" t="s">
        <v>2038</v>
      </c>
      <c r="C4" s="443" t="s">
        <v>1964</v>
      </c>
      <c r="D4" s="355"/>
      <c r="E4" s="389" t="s">
        <v>2046</v>
      </c>
      <c r="F4" s="383" t="b">
        <v>1</v>
      </c>
    </row>
    <row r="5" spans="1:7">
      <c r="A5" s="692" t="s">
        <v>1540</v>
      </c>
      <c r="B5" s="165" t="s">
        <v>1439</v>
      </c>
      <c r="C5" s="305" t="s">
        <v>2103</v>
      </c>
      <c r="D5" s="166"/>
      <c r="E5" s="385" t="s">
        <v>1590</v>
      </c>
      <c r="F5" s="383" t="b">
        <v>1</v>
      </c>
    </row>
    <row r="6" spans="1:7">
      <c r="A6" s="696"/>
      <c r="B6" s="159" t="s">
        <v>1438</v>
      </c>
      <c r="C6" s="306" t="s">
        <v>784</v>
      </c>
      <c r="D6" s="155"/>
      <c r="E6" s="384" t="s">
        <v>1338</v>
      </c>
      <c r="F6" s="383" t="b">
        <v>1</v>
      </c>
    </row>
    <row r="7" spans="1:7" ht="13.5" customHeight="1" thickBot="1">
      <c r="A7" s="729"/>
      <c r="B7" s="377" t="s">
        <v>1539</v>
      </c>
      <c r="C7" s="444"/>
      <c r="D7" s="293"/>
      <c r="E7" s="385" t="s">
        <v>1393</v>
      </c>
      <c r="F7" s="383" t="b">
        <f>C6&lt;&gt;"Yes"</f>
        <v>0</v>
      </c>
    </row>
    <row r="8" spans="1:7">
      <c r="A8" s="541" t="s">
        <v>2241</v>
      </c>
      <c r="B8" s="165" t="s">
        <v>2239</v>
      </c>
      <c r="C8" s="319" t="s">
        <v>783</v>
      </c>
      <c r="D8" s="166"/>
      <c r="E8" s="386" t="s">
        <v>1338</v>
      </c>
      <c r="F8" s="383" t="b">
        <v>1</v>
      </c>
      <c r="G8" s="102" t="s">
        <v>2240</v>
      </c>
    </row>
    <row r="9" spans="1:7" ht="13.5" thickBot="1">
      <c r="A9" s="523"/>
      <c r="B9" s="172" t="s">
        <v>2242</v>
      </c>
      <c r="C9" s="317"/>
      <c r="D9" s="171"/>
      <c r="E9" s="386" t="s">
        <v>1338</v>
      </c>
      <c r="F9" s="383" t="b">
        <v>1</v>
      </c>
      <c r="G9" s="102"/>
    </row>
    <row r="10" spans="1:7" ht="12.75" customHeight="1">
      <c r="A10" s="561" t="s">
        <v>1896</v>
      </c>
      <c r="B10" s="239" t="s">
        <v>1530</v>
      </c>
      <c r="C10" s="432"/>
      <c r="D10" s="300"/>
      <c r="E10" s="386" t="s">
        <v>1464</v>
      </c>
      <c r="F10" s="383" t="b">
        <f>$C$8&lt;&gt;"No"</f>
        <v>0</v>
      </c>
      <c r="G10" s="102"/>
    </row>
    <row r="11" spans="1:7">
      <c r="A11" s="561"/>
      <c r="B11" s="159" t="s">
        <v>1603</v>
      </c>
      <c r="C11" s="306"/>
      <c r="D11" s="155"/>
      <c r="E11" s="386" t="s">
        <v>1512</v>
      </c>
      <c r="F11" s="383" t="b">
        <f t="shared" ref="F11:F28" si="0">$C$8&lt;&gt;"No"</f>
        <v>0</v>
      </c>
      <c r="G11" s="102"/>
    </row>
    <row r="12" spans="1:7">
      <c r="A12" s="561"/>
      <c r="B12" s="159" t="s">
        <v>1531</v>
      </c>
      <c r="C12" s="431"/>
      <c r="D12" s="155"/>
      <c r="E12" s="387" t="s">
        <v>1391</v>
      </c>
      <c r="F12" s="383" t="b">
        <f t="shared" si="0"/>
        <v>0</v>
      </c>
      <c r="G12" s="102"/>
    </row>
    <row r="13" spans="1:7">
      <c r="A13" s="561"/>
      <c r="B13" s="159" t="s">
        <v>1595</v>
      </c>
      <c r="C13" s="730"/>
      <c r="D13" s="155"/>
      <c r="E13" s="387" t="s">
        <v>1597</v>
      </c>
      <c r="F13" s="383" t="b">
        <f t="shared" si="0"/>
        <v>0</v>
      </c>
      <c r="G13" s="102"/>
    </row>
    <row r="14" spans="1:7">
      <c r="A14" s="561"/>
      <c r="B14" s="159" t="s">
        <v>1596</v>
      </c>
      <c r="C14" s="431"/>
      <c r="D14" s="155"/>
      <c r="E14" s="387" t="s">
        <v>1598</v>
      </c>
      <c r="F14" s="383" t="b">
        <f t="shared" si="0"/>
        <v>0</v>
      </c>
      <c r="G14" s="102"/>
    </row>
    <row r="15" spans="1:7">
      <c r="A15" s="561"/>
      <c r="B15" s="159" t="s">
        <v>1599</v>
      </c>
      <c r="C15" s="431"/>
      <c r="D15" s="155"/>
      <c r="E15" s="387" t="s">
        <v>1391</v>
      </c>
      <c r="F15" s="383" t="b">
        <f t="shared" si="0"/>
        <v>0</v>
      </c>
      <c r="G15" s="102"/>
    </row>
    <row r="16" spans="1:7">
      <c r="A16" s="561"/>
      <c r="B16" s="159" t="s">
        <v>1602</v>
      </c>
      <c r="C16" s="431"/>
      <c r="D16" s="155"/>
      <c r="E16" s="387" t="s">
        <v>1391</v>
      </c>
      <c r="F16" s="383" t="b">
        <f t="shared" si="0"/>
        <v>0</v>
      </c>
      <c r="G16" s="102"/>
    </row>
    <row r="17" spans="1:7" ht="13.5" thickBot="1">
      <c r="A17" s="567"/>
      <c r="B17" s="172" t="s">
        <v>1601</v>
      </c>
      <c r="C17" s="446"/>
      <c r="D17" s="171"/>
      <c r="E17" s="387" t="s">
        <v>1391</v>
      </c>
      <c r="F17" s="383" t="b">
        <f t="shared" si="0"/>
        <v>0</v>
      </c>
      <c r="G17" s="102"/>
    </row>
    <row r="18" spans="1:7">
      <c r="A18" s="538" t="s">
        <v>1891</v>
      </c>
      <c r="B18" s="165" t="s">
        <v>1897</v>
      </c>
      <c r="C18" s="310"/>
      <c r="D18" s="166"/>
      <c r="E18" s="386" t="s">
        <v>1514</v>
      </c>
      <c r="F18" s="383" t="b">
        <f t="shared" si="0"/>
        <v>0</v>
      </c>
      <c r="G18" s="102"/>
    </row>
    <row r="19" spans="1:7">
      <c r="A19" s="561"/>
      <c r="B19" s="159" t="s">
        <v>1898</v>
      </c>
      <c r="C19" s="306"/>
      <c r="D19" s="155"/>
      <c r="E19" s="386" t="s">
        <v>1514</v>
      </c>
      <c r="F19" s="383" t="b">
        <f t="shared" si="0"/>
        <v>0</v>
      </c>
      <c r="G19" s="102"/>
    </row>
    <row r="20" spans="1:7">
      <c r="A20" s="561"/>
      <c r="B20" s="159" t="s">
        <v>2039</v>
      </c>
      <c r="C20" s="306"/>
      <c r="D20" s="155"/>
      <c r="E20" s="386" t="s">
        <v>1903</v>
      </c>
      <c r="F20" s="383" t="b">
        <f t="shared" si="0"/>
        <v>0</v>
      </c>
      <c r="G20" s="102"/>
    </row>
    <row r="21" spans="1:7">
      <c r="A21" s="561"/>
      <c r="B21" s="159" t="s">
        <v>2040</v>
      </c>
      <c r="C21" s="306"/>
      <c r="D21" s="155"/>
      <c r="E21" s="386" t="s">
        <v>1903</v>
      </c>
      <c r="F21" s="383" t="b">
        <f t="shared" si="0"/>
        <v>0</v>
      </c>
      <c r="G21" s="102"/>
    </row>
    <row r="22" spans="1:7">
      <c r="A22" s="561"/>
      <c r="B22" s="159" t="s">
        <v>2041</v>
      </c>
      <c r="C22" s="306"/>
      <c r="D22" s="155"/>
      <c r="E22" s="386" t="s">
        <v>1903</v>
      </c>
      <c r="F22" s="383" t="b">
        <f t="shared" si="0"/>
        <v>0</v>
      </c>
      <c r="G22" s="102"/>
    </row>
    <row r="23" spans="1:7">
      <c r="A23" s="561"/>
      <c r="B23" s="159" t="s">
        <v>2042</v>
      </c>
      <c r="C23" s="306"/>
      <c r="D23" s="155"/>
      <c r="E23" s="386" t="s">
        <v>1903</v>
      </c>
      <c r="F23" s="383" t="b">
        <f t="shared" si="0"/>
        <v>0</v>
      </c>
      <c r="G23" s="102"/>
    </row>
    <row r="24" spans="1:7">
      <c r="A24" s="561"/>
      <c r="B24" s="159" t="s">
        <v>2043</v>
      </c>
      <c r="C24" s="306"/>
      <c r="D24" s="155"/>
      <c r="E24" s="386" t="s">
        <v>1903</v>
      </c>
      <c r="F24" s="383" t="b">
        <f t="shared" si="0"/>
        <v>0</v>
      </c>
      <c r="G24" s="102"/>
    </row>
    <row r="25" spans="1:7">
      <c r="A25" s="561"/>
      <c r="B25" s="159" t="s">
        <v>2044</v>
      </c>
      <c r="C25" s="306"/>
      <c r="D25" s="155"/>
      <c r="E25" s="386" t="s">
        <v>1903</v>
      </c>
      <c r="F25" s="383" t="b">
        <f t="shared" si="0"/>
        <v>0</v>
      </c>
      <c r="G25" s="102"/>
    </row>
    <row r="26" spans="1:7">
      <c r="A26" s="561"/>
      <c r="B26" s="159" t="s">
        <v>1535</v>
      </c>
      <c r="C26" s="306"/>
      <c r="D26" s="155"/>
      <c r="E26" s="386" t="s">
        <v>1338</v>
      </c>
      <c r="F26" s="383" t="b">
        <f t="shared" si="0"/>
        <v>0</v>
      </c>
      <c r="G26" s="102"/>
    </row>
    <row r="27" spans="1:7">
      <c r="A27" s="561"/>
      <c r="B27" s="159" t="s">
        <v>1534</v>
      </c>
      <c r="C27" s="306"/>
      <c r="D27" s="155"/>
      <c r="E27" s="386" t="s">
        <v>1514</v>
      </c>
      <c r="F27" s="383" t="b">
        <f t="shared" si="0"/>
        <v>0</v>
      </c>
      <c r="G27" s="102"/>
    </row>
    <row r="28" spans="1:7" ht="13.5" thickBot="1">
      <c r="A28" s="561"/>
      <c r="B28" s="339" t="s">
        <v>1543</v>
      </c>
      <c r="C28" s="444"/>
      <c r="D28" s="293"/>
      <c r="E28" s="385" t="s">
        <v>1546</v>
      </c>
      <c r="F28" s="383" t="b">
        <f t="shared" si="0"/>
        <v>0</v>
      </c>
      <c r="G28" s="102"/>
    </row>
    <row r="29" spans="1:7">
      <c r="A29" s="563" t="s">
        <v>2243</v>
      </c>
      <c r="B29" s="165" t="s">
        <v>1892</v>
      </c>
      <c r="C29" s="310" t="s">
        <v>784</v>
      </c>
      <c r="D29" s="166"/>
      <c r="E29" s="386" t="s">
        <v>1338</v>
      </c>
      <c r="F29" s="383" t="b">
        <v>1</v>
      </c>
    </row>
    <row r="30" spans="1:7">
      <c r="A30" s="564"/>
      <c r="B30" s="159" t="s">
        <v>1893</v>
      </c>
      <c r="C30" s="306">
        <v>2</v>
      </c>
      <c r="D30" s="155"/>
      <c r="E30" s="386" t="s">
        <v>1903</v>
      </c>
      <c r="F30" s="383" t="b">
        <v>1</v>
      </c>
    </row>
    <row r="31" spans="1:7">
      <c r="A31" s="562"/>
      <c r="B31" s="159" t="s">
        <v>1894</v>
      </c>
      <c r="C31" s="311">
        <v>2</v>
      </c>
      <c r="D31" s="293"/>
      <c r="E31" s="386" t="s">
        <v>1903</v>
      </c>
      <c r="F31" s="383" t="b">
        <v>1</v>
      </c>
    </row>
    <row r="32" spans="1:7" ht="13.5" thickBot="1">
      <c r="A32" s="565"/>
      <c r="B32" s="172" t="s">
        <v>1895</v>
      </c>
      <c r="C32" s="307" t="s">
        <v>1905</v>
      </c>
      <c r="D32" s="171"/>
      <c r="E32" s="386" t="s">
        <v>1903</v>
      </c>
      <c r="F32" s="383" t="b">
        <v>1</v>
      </c>
    </row>
    <row r="33" spans="1:6">
      <c r="A33" s="322" t="s">
        <v>1544</v>
      </c>
      <c r="B33" s="239" t="s">
        <v>1545</v>
      </c>
      <c r="C33" s="432" t="s">
        <v>784</v>
      </c>
      <c r="D33" s="300"/>
      <c r="E33" s="386" t="s">
        <v>1464</v>
      </c>
      <c r="F33" s="383" t="b">
        <f>$C$9&lt;&gt;"No"</f>
        <v>1</v>
      </c>
    </row>
    <row r="34" spans="1:6">
      <c r="A34" s="322"/>
      <c r="B34" s="159" t="s">
        <v>1551</v>
      </c>
      <c r="C34" s="306" t="s">
        <v>784</v>
      </c>
      <c r="D34" s="155"/>
      <c r="E34" s="386" t="s">
        <v>1464</v>
      </c>
      <c r="F34" s="383" t="b">
        <f t="shared" ref="F34:F39" si="1">$C$9&lt;&gt;"No"</f>
        <v>1</v>
      </c>
    </row>
    <row r="35" spans="1:6">
      <c r="A35" s="322"/>
      <c r="B35" s="159" t="s">
        <v>1552</v>
      </c>
      <c r="C35" s="306">
        <v>4</v>
      </c>
      <c r="D35" s="155"/>
      <c r="E35" s="386" t="s">
        <v>1514</v>
      </c>
      <c r="F35" s="383" t="b">
        <f t="shared" si="1"/>
        <v>1</v>
      </c>
    </row>
    <row r="36" spans="1:6">
      <c r="A36" s="322"/>
      <c r="B36" s="159" t="s">
        <v>1553</v>
      </c>
      <c r="C36" s="306" t="s">
        <v>1533</v>
      </c>
      <c r="D36" s="155"/>
      <c r="E36" s="386" t="s">
        <v>1514</v>
      </c>
      <c r="F36" s="383" t="b">
        <f t="shared" si="1"/>
        <v>1</v>
      </c>
    </row>
    <row r="37" spans="1:6">
      <c r="A37" s="322"/>
      <c r="B37" s="159" t="s">
        <v>1554</v>
      </c>
      <c r="C37" s="306">
        <v>2</v>
      </c>
      <c r="D37" s="155"/>
      <c r="E37" s="386" t="s">
        <v>1514</v>
      </c>
      <c r="F37" s="383" t="b">
        <f t="shared" si="1"/>
        <v>1</v>
      </c>
    </row>
    <row r="38" spans="1:6">
      <c r="A38" s="322"/>
      <c r="B38" s="159" t="s">
        <v>1556</v>
      </c>
      <c r="C38" s="311">
        <v>3</v>
      </c>
      <c r="D38" s="293"/>
      <c r="E38" s="386" t="s">
        <v>1514</v>
      </c>
      <c r="F38" s="383" t="b">
        <f t="shared" si="1"/>
        <v>1</v>
      </c>
    </row>
    <row r="39" spans="1:6" ht="13.5" thickBot="1">
      <c r="A39" s="323"/>
      <c r="B39" s="172" t="s">
        <v>1555</v>
      </c>
      <c r="C39" s="170"/>
      <c r="D39" s="171"/>
      <c r="E39" s="385" t="s">
        <v>1393</v>
      </c>
      <c r="F39" s="383" t="b">
        <f t="shared" si="1"/>
        <v>1</v>
      </c>
    </row>
    <row r="40" spans="1:6" ht="13.5" thickBot="1">
      <c r="A40" s="375" t="s">
        <v>1900</v>
      </c>
      <c r="B40" s="354" t="s">
        <v>1901</v>
      </c>
      <c r="C40" s="307" t="s">
        <v>784</v>
      </c>
      <c r="D40" s="171"/>
      <c r="E40" s="384" t="s">
        <v>1338</v>
      </c>
      <c r="F40" s="383" t="b">
        <v>1</v>
      </c>
    </row>
    <row r="41" spans="1:6" ht="13.5" thickBot="1"/>
    <row r="42" spans="1:6" ht="21" thickBot="1">
      <c r="A42" s="524" t="s">
        <v>2004</v>
      </c>
      <c r="B42" s="525"/>
      <c r="C42" s="525"/>
      <c r="D42" s="526"/>
    </row>
    <row r="43" spans="1:6">
      <c r="A43" s="518" t="s">
        <v>1684</v>
      </c>
      <c r="B43" s="519"/>
      <c r="C43" s="519"/>
      <c r="D43" s="520"/>
    </row>
    <row r="44" spans="1:6">
      <c r="A44" s="243" t="s">
        <v>1329</v>
      </c>
      <c r="B44" s="243" t="s">
        <v>4</v>
      </c>
      <c r="C44" s="243" t="s">
        <v>1343</v>
      </c>
      <c r="D44" s="243" t="s">
        <v>1308</v>
      </c>
    </row>
    <row r="45" spans="1:6">
      <c r="A45" s="543" t="s">
        <v>1983</v>
      </c>
      <c r="B45" s="159" t="s">
        <v>1985</v>
      </c>
      <c r="C45" s="306" t="s">
        <v>784</v>
      </c>
      <c r="D45" s="99"/>
      <c r="E45" s="349" t="s">
        <v>1338</v>
      </c>
      <c r="F45" s="383" t="b">
        <v>1</v>
      </c>
    </row>
    <row r="46" spans="1:6">
      <c r="A46" s="544"/>
      <c r="B46" s="159" t="s">
        <v>1984</v>
      </c>
      <c r="C46" s="431">
        <v>1000</v>
      </c>
      <c r="D46" s="99"/>
      <c r="E46" s="382" t="s">
        <v>1619</v>
      </c>
      <c r="F46" s="383" t="b">
        <v>1</v>
      </c>
    </row>
  </sheetData>
  <mergeCells count="10">
    <mergeCell ref="A42:D42"/>
    <mergeCell ref="A43:D43"/>
    <mergeCell ref="A45:A46"/>
    <mergeCell ref="A1:D1"/>
    <mergeCell ref="A2:D2"/>
    <mergeCell ref="A5:A7"/>
    <mergeCell ref="A10:A17"/>
    <mergeCell ref="A18:A28"/>
    <mergeCell ref="A29:A32"/>
    <mergeCell ref="A8:A9"/>
  </mergeCells>
  <conditionalFormatting sqref="B7:D7">
    <cfRule type="expression" dxfId="14" priority="13">
      <formula>$F7=FALSE</formula>
    </cfRule>
  </conditionalFormatting>
  <conditionalFormatting sqref="A5:D12 A33:D40 B29:D32 A14:D28 A13:B13 D13">
    <cfRule type="expression" dxfId="13" priority="12">
      <formula>$F5=FALSE</formula>
    </cfRule>
  </conditionalFormatting>
  <conditionalFormatting sqref="C13">
    <cfRule type="expression" dxfId="12" priority="11">
      <formula>$F13=FALSE</formula>
    </cfRule>
  </conditionalFormatting>
  <conditionalFormatting sqref="F10:F40">
    <cfRule type="cellIs" dxfId="11" priority="5" operator="equal">
      <formula>TRUE</formula>
    </cfRule>
  </conditionalFormatting>
  <conditionalFormatting sqref="F45:F46">
    <cfRule type="cellIs" dxfId="10" priority="4" operator="equal">
      <formula>TRUE</formula>
    </cfRule>
  </conditionalFormatting>
  <conditionalFormatting sqref="F4">
    <cfRule type="cellIs" dxfId="9" priority="3" operator="equal">
      <formula>TRUE</formula>
    </cfRule>
  </conditionalFormatting>
  <conditionalFormatting sqref="F5:F6">
    <cfRule type="cellIs" dxfId="8" priority="2" operator="equal">
      <formula>TRUE</formula>
    </cfRule>
  </conditionalFormatting>
  <conditionalFormatting sqref="F7:F9">
    <cfRule type="cellIs" dxfId="7" priority="1" operator="equal">
      <formula>TRUE</formula>
    </cfRule>
  </conditionalFormatting>
  <dataValidations count="2">
    <dataValidation type="list" allowBlank="1" showInputMessage="1" showErrorMessage="1" sqref="C6 C45 C18:C27 C40 C29:C38 C8:C11" xr:uid="{D560CE6A-AB7E-4378-8CB8-AA081D045033}">
      <formula1>INDIRECT($E6)</formula1>
    </dataValidation>
    <dataValidation type="whole" operator="greaterThanOrEqual" allowBlank="1" showInputMessage="1" showErrorMessage="1" sqref="C46 C12:C17" xr:uid="{311112D4-5028-495E-A63C-C5885E0BCE9C}">
      <formula1>0</formula1>
    </dataValidation>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D074-AE5C-4846-885E-B3874C78FA26}">
  <sheetPr>
    <tabColor theme="6" tint="0.79998168889431442"/>
  </sheetPr>
  <dimension ref="A1:G46"/>
  <sheetViews>
    <sheetView topLeftCell="B1" workbookViewId="0">
      <selection activeCell="B8" sqref="A8:XFD8"/>
    </sheetView>
  </sheetViews>
  <sheetFormatPr defaultRowHeight="12.75"/>
  <cols>
    <col min="1" max="1" width="20" style="37" customWidth="1"/>
    <col min="2" max="2" width="86.5703125" style="37" customWidth="1"/>
    <col min="3" max="3" width="33.28515625" style="314" customWidth="1"/>
    <col min="4" max="4" width="16.85546875" style="37" customWidth="1"/>
    <col min="5" max="5" width="40.140625" style="37" customWidth="1"/>
    <col min="6" max="6" width="20.28515625" style="37" customWidth="1"/>
    <col min="7" max="16384" width="9.140625" style="37"/>
  </cols>
  <sheetData>
    <row r="1" spans="1:7" ht="20.25">
      <c r="A1" s="545" t="s">
        <v>1899</v>
      </c>
      <c r="B1" s="546"/>
      <c r="C1" s="546"/>
      <c r="D1" s="547"/>
    </row>
    <row r="2" spans="1:7" ht="13.5" thickBot="1">
      <c r="A2" s="568" t="s">
        <v>1434</v>
      </c>
      <c r="B2" s="569"/>
      <c r="C2" s="569"/>
      <c r="D2" s="570"/>
    </row>
    <row r="3" spans="1:7" ht="13.5" thickBot="1">
      <c r="A3" s="345" t="s">
        <v>1329</v>
      </c>
      <c r="B3" s="346" t="s">
        <v>4</v>
      </c>
      <c r="C3" s="346" t="s">
        <v>1343</v>
      </c>
      <c r="D3" s="348" t="s">
        <v>1308</v>
      </c>
      <c r="E3" s="137"/>
    </row>
    <row r="4" spans="1:7" ht="13.5" thickBot="1">
      <c r="A4" s="375" t="s">
        <v>2008</v>
      </c>
      <c r="B4" s="354" t="s">
        <v>2038</v>
      </c>
      <c r="C4" s="443" t="s">
        <v>1966</v>
      </c>
      <c r="D4" s="355"/>
      <c r="E4" s="389" t="s">
        <v>2046</v>
      </c>
      <c r="F4" s="383" t="b">
        <v>1</v>
      </c>
    </row>
    <row r="5" spans="1:7">
      <c r="A5" s="692" t="s">
        <v>1540</v>
      </c>
      <c r="B5" s="165" t="s">
        <v>1439</v>
      </c>
      <c r="C5" s="305" t="s">
        <v>2104</v>
      </c>
      <c r="D5" s="166"/>
      <c r="E5" s="385" t="s">
        <v>1590</v>
      </c>
      <c r="F5" s="383" t="b">
        <v>1</v>
      </c>
    </row>
    <row r="6" spans="1:7">
      <c r="A6" s="696"/>
      <c r="B6" s="159" t="s">
        <v>1438</v>
      </c>
      <c r="C6" s="306" t="s">
        <v>784</v>
      </c>
      <c r="D6" s="155"/>
      <c r="E6" s="384" t="s">
        <v>1338</v>
      </c>
      <c r="F6" s="383" t="b">
        <v>1</v>
      </c>
    </row>
    <row r="7" spans="1:7" ht="13.5" customHeight="1" thickBot="1">
      <c r="A7" s="729"/>
      <c r="B7" s="377" t="s">
        <v>1539</v>
      </c>
      <c r="C7" s="444"/>
      <c r="D7" s="293"/>
      <c r="E7" s="385" t="s">
        <v>1393</v>
      </c>
      <c r="F7" s="383" t="b">
        <f>C6&lt;&gt;"Yes"</f>
        <v>0</v>
      </c>
    </row>
    <row r="8" spans="1:7">
      <c r="A8" s="541" t="s">
        <v>2241</v>
      </c>
      <c r="B8" s="165" t="s">
        <v>2239</v>
      </c>
      <c r="C8" s="319" t="s">
        <v>784</v>
      </c>
      <c r="D8" s="166"/>
      <c r="E8" s="386" t="s">
        <v>1338</v>
      </c>
      <c r="F8" s="383" t="b">
        <v>1</v>
      </c>
      <c r="G8" s="102" t="s">
        <v>2240</v>
      </c>
    </row>
    <row r="9" spans="1:7" ht="13.5" thickBot="1">
      <c r="A9" s="523"/>
      <c r="B9" s="172" t="s">
        <v>2242</v>
      </c>
      <c r="C9" s="317" t="s">
        <v>783</v>
      </c>
      <c r="D9" s="171"/>
      <c r="E9" s="386" t="s">
        <v>1338</v>
      </c>
      <c r="F9" s="383" t="b">
        <v>1</v>
      </c>
      <c r="G9" s="102"/>
    </row>
    <row r="10" spans="1:7" ht="12.75" customHeight="1">
      <c r="A10" s="561" t="s">
        <v>1896</v>
      </c>
      <c r="B10" s="239" t="s">
        <v>1530</v>
      </c>
      <c r="C10" s="432" t="s">
        <v>784</v>
      </c>
      <c r="D10" s="300"/>
      <c r="E10" s="386" t="s">
        <v>1464</v>
      </c>
      <c r="F10" s="383" t="b">
        <f>$C$8&lt;&gt;"No"</f>
        <v>1</v>
      </c>
      <c r="G10" s="102"/>
    </row>
    <row r="11" spans="1:7">
      <c r="A11" s="561"/>
      <c r="B11" s="159" t="s">
        <v>1603</v>
      </c>
      <c r="C11" s="306" t="s">
        <v>1510</v>
      </c>
      <c r="D11" s="155"/>
      <c r="E11" s="386" t="s">
        <v>1512</v>
      </c>
      <c r="F11" s="383" t="b">
        <f t="shared" ref="F11:F28" si="0">$C$8&lt;&gt;"No"</f>
        <v>1</v>
      </c>
      <c r="G11" s="102"/>
    </row>
    <row r="12" spans="1:7">
      <c r="A12" s="561"/>
      <c r="B12" s="159" t="s">
        <v>1531</v>
      </c>
      <c r="C12" s="431">
        <v>65000</v>
      </c>
      <c r="D12" s="155"/>
      <c r="E12" s="387" t="s">
        <v>1391</v>
      </c>
      <c r="F12" s="383" t="b">
        <f t="shared" si="0"/>
        <v>1</v>
      </c>
      <c r="G12" s="102"/>
    </row>
    <row r="13" spans="1:7">
      <c r="A13" s="561"/>
      <c r="B13" s="159" t="s">
        <v>1595</v>
      </c>
      <c r="C13" s="730">
        <v>43831</v>
      </c>
      <c r="D13" s="155"/>
      <c r="E13" s="387" t="s">
        <v>1597</v>
      </c>
      <c r="F13" s="383" t="b">
        <f t="shared" si="0"/>
        <v>1</v>
      </c>
      <c r="G13" s="102"/>
    </row>
    <row r="14" spans="1:7">
      <c r="A14" s="561"/>
      <c r="B14" s="159" t="s">
        <v>1596</v>
      </c>
      <c r="C14" s="431">
        <v>4</v>
      </c>
      <c r="D14" s="155"/>
      <c r="E14" s="387" t="s">
        <v>1598</v>
      </c>
      <c r="F14" s="383" t="b">
        <f t="shared" si="0"/>
        <v>1</v>
      </c>
      <c r="G14" s="102"/>
    </row>
    <row r="15" spans="1:7">
      <c r="A15" s="561"/>
      <c r="B15" s="159" t="s">
        <v>1599</v>
      </c>
      <c r="C15" s="431">
        <v>23</v>
      </c>
      <c r="D15" s="155"/>
      <c r="E15" s="387" t="s">
        <v>1391</v>
      </c>
      <c r="F15" s="383" t="b">
        <f t="shared" si="0"/>
        <v>1</v>
      </c>
      <c r="G15" s="102"/>
    </row>
    <row r="16" spans="1:7">
      <c r="A16" s="561"/>
      <c r="B16" s="159" t="s">
        <v>1602</v>
      </c>
      <c r="C16" s="431">
        <v>2</v>
      </c>
      <c r="D16" s="155"/>
      <c r="E16" s="387" t="s">
        <v>1391</v>
      </c>
      <c r="F16" s="383" t="b">
        <f t="shared" si="0"/>
        <v>1</v>
      </c>
      <c r="G16" s="102"/>
    </row>
    <row r="17" spans="1:7" ht="13.5" thickBot="1">
      <c r="A17" s="567"/>
      <c r="B17" s="172" t="s">
        <v>1601</v>
      </c>
      <c r="C17" s="446">
        <v>2000</v>
      </c>
      <c r="D17" s="171"/>
      <c r="E17" s="387" t="s">
        <v>1391</v>
      </c>
      <c r="F17" s="383" t="b">
        <f t="shared" si="0"/>
        <v>1</v>
      </c>
      <c r="G17" s="102"/>
    </row>
    <row r="18" spans="1:7">
      <c r="A18" s="538" t="s">
        <v>1891</v>
      </c>
      <c r="B18" s="165" t="s">
        <v>1897</v>
      </c>
      <c r="C18" s="310">
        <v>4</v>
      </c>
      <c r="D18" s="166"/>
      <c r="E18" s="386" t="s">
        <v>1514</v>
      </c>
      <c r="F18" s="383" t="b">
        <f t="shared" si="0"/>
        <v>1</v>
      </c>
      <c r="G18" s="102"/>
    </row>
    <row r="19" spans="1:7">
      <c r="A19" s="561"/>
      <c r="B19" s="159" t="s">
        <v>1898</v>
      </c>
      <c r="C19" s="306">
        <v>3</v>
      </c>
      <c r="D19" s="155"/>
      <c r="E19" s="386" t="s">
        <v>1514</v>
      </c>
      <c r="F19" s="383" t="b">
        <f t="shared" si="0"/>
        <v>1</v>
      </c>
      <c r="G19" s="102"/>
    </row>
    <row r="20" spans="1:7">
      <c r="A20" s="561"/>
      <c r="B20" s="159" t="s">
        <v>2039</v>
      </c>
      <c r="C20" s="306">
        <v>4</v>
      </c>
      <c r="D20" s="155"/>
      <c r="E20" s="386" t="s">
        <v>1903</v>
      </c>
      <c r="F20" s="383" t="b">
        <f t="shared" si="0"/>
        <v>1</v>
      </c>
      <c r="G20" s="102"/>
    </row>
    <row r="21" spans="1:7">
      <c r="A21" s="561"/>
      <c r="B21" s="159" t="s">
        <v>2040</v>
      </c>
      <c r="C21" s="306">
        <v>4</v>
      </c>
      <c r="D21" s="155"/>
      <c r="E21" s="386" t="s">
        <v>1903</v>
      </c>
      <c r="F21" s="383" t="b">
        <f t="shared" si="0"/>
        <v>1</v>
      </c>
      <c r="G21" s="102"/>
    </row>
    <row r="22" spans="1:7">
      <c r="A22" s="561"/>
      <c r="B22" s="159" t="s">
        <v>2041</v>
      </c>
      <c r="C22" s="306">
        <v>4</v>
      </c>
      <c r="D22" s="155"/>
      <c r="E22" s="386" t="s">
        <v>1903</v>
      </c>
      <c r="F22" s="383" t="b">
        <f t="shared" si="0"/>
        <v>1</v>
      </c>
      <c r="G22" s="102"/>
    </row>
    <row r="23" spans="1:7">
      <c r="A23" s="561"/>
      <c r="B23" s="159" t="s">
        <v>2042</v>
      </c>
      <c r="C23" s="306" t="s">
        <v>1513</v>
      </c>
      <c r="D23" s="155"/>
      <c r="E23" s="386" t="s">
        <v>1903</v>
      </c>
      <c r="F23" s="383" t="b">
        <f t="shared" si="0"/>
        <v>1</v>
      </c>
      <c r="G23" s="102"/>
    </row>
    <row r="24" spans="1:7">
      <c r="A24" s="561"/>
      <c r="B24" s="159" t="s">
        <v>2043</v>
      </c>
      <c r="C24" s="306">
        <v>4</v>
      </c>
      <c r="D24" s="155"/>
      <c r="E24" s="386" t="s">
        <v>1903</v>
      </c>
      <c r="F24" s="383" t="b">
        <f t="shared" si="0"/>
        <v>1</v>
      </c>
      <c r="G24" s="102"/>
    </row>
    <row r="25" spans="1:7">
      <c r="A25" s="561"/>
      <c r="B25" s="159" t="s">
        <v>2044</v>
      </c>
      <c r="C25" s="306" t="s">
        <v>1905</v>
      </c>
      <c r="D25" s="155"/>
      <c r="E25" s="386" t="s">
        <v>1903</v>
      </c>
      <c r="F25" s="383" t="b">
        <f t="shared" si="0"/>
        <v>1</v>
      </c>
      <c r="G25" s="102"/>
    </row>
    <row r="26" spans="1:7">
      <c r="A26" s="561"/>
      <c r="B26" s="159" t="s">
        <v>1535</v>
      </c>
      <c r="C26" s="306" t="s">
        <v>784</v>
      </c>
      <c r="D26" s="155"/>
      <c r="E26" s="386" t="s">
        <v>1338</v>
      </c>
      <c r="F26" s="383" t="b">
        <f t="shared" si="0"/>
        <v>1</v>
      </c>
      <c r="G26" s="102"/>
    </row>
    <row r="27" spans="1:7">
      <c r="A27" s="561"/>
      <c r="B27" s="159" t="s">
        <v>1534</v>
      </c>
      <c r="C27" s="306">
        <v>4</v>
      </c>
      <c r="D27" s="155"/>
      <c r="E27" s="386" t="s">
        <v>1514</v>
      </c>
      <c r="F27" s="383" t="b">
        <f t="shared" si="0"/>
        <v>1</v>
      </c>
      <c r="G27" s="102"/>
    </row>
    <row r="28" spans="1:7" ht="13.5" thickBot="1">
      <c r="A28" s="561"/>
      <c r="B28" s="339" t="s">
        <v>1543</v>
      </c>
      <c r="C28" s="444" t="s">
        <v>2163</v>
      </c>
      <c r="D28" s="293"/>
      <c r="E28" s="385" t="s">
        <v>1546</v>
      </c>
      <c r="F28" s="383" t="b">
        <f t="shared" si="0"/>
        <v>1</v>
      </c>
      <c r="G28" s="102"/>
    </row>
    <row r="29" spans="1:7">
      <c r="A29" s="563" t="s">
        <v>2243</v>
      </c>
      <c r="B29" s="165" t="s">
        <v>1892</v>
      </c>
      <c r="C29" s="310" t="s">
        <v>784</v>
      </c>
      <c r="D29" s="166"/>
      <c r="E29" s="386" t="s">
        <v>1338</v>
      </c>
      <c r="F29" s="383" t="b">
        <v>1</v>
      </c>
    </row>
    <row r="30" spans="1:7">
      <c r="A30" s="564"/>
      <c r="B30" s="159" t="s">
        <v>1893</v>
      </c>
      <c r="C30" s="306">
        <v>2</v>
      </c>
      <c r="D30" s="155"/>
      <c r="E30" s="386" t="s">
        <v>1903</v>
      </c>
      <c r="F30" s="383" t="b">
        <v>1</v>
      </c>
    </row>
    <row r="31" spans="1:7">
      <c r="A31" s="562"/>
      <c r="B31" s="159" t="s">
        <v>1894</v>
      </c>
      <c r="C31" s="311">
        <v>2</v>
      </c>
      <c r="D31" s="293"/>
      <c r="E31" s="386" t="s">
        <v>1903</v>
      </c>
      <c r="F31" s="383" t="b">
        <v>1</v>
      </c>
    </row>
    <row r="32" spans="1:7" ht="13.5" thickBot="1">
      <c r="A32" s="565"/>
      <c r="B32" s="172" t="s">
        <v>1895</v>
      </c>
      <c r="C32" s="307" t="s">
        <v>1905</v>
      </c>
      <c r="D32" s="171"/>
      <c r="E32" s="386" t="s">
        <v>1903</v>
      </c>
      <c r="F32" s="383" t="b">
        <v>1</v>
      </c>
    </row>
    <row r="33" spans="1:6">
      <c r="A33" s="322" t="s">
        <v>1544</v>
      </c>
      <c r="B33" s="239" t="s">
        <v>1545</v>
      </c>
      <c r="C33" s="432"/>
      <c r="D33" s="300"/>
      <c r="E33" s="386" t="s">
        <v>1464</v>
      </c>
      <c r="F33" s="383" t="b">
        <f>$C$9&lt;&gt;"No"</f>
        <v>0</v>
      </c>
    </row>
    <row r="34" spans="1:6">
      <c r="A34" s="322"/>
      <c r="B34" s="159" t="s">
        <v>1551</v>
      </c>
      <c r="C34" s="306"/>
      <c r="D34" s="155"/>
      <c r="E34" s="386" t="s">
        <v>1464</v>
      </c>
      <c r="F34" s="383" t="b">
        <f t="shared" ref="F34:F39" si="1">$C$9&lt;&gt;"No"</f>
        <v>0</v>
      </c>
    </row>
    <row r="35" spans="1:6">
      <c r="A35" s="322"/>
      <c r="B35" s="159" t="s">
        <v>1552</v>
      </c>
      <c r="C35" s="306"/>
      <c r="D35" s="155"/>
      <c r="E35" s="386" t="s">
        <v>1514</v>
      </c>
      <c r="F35" s="383" t="b">
        <f t="shared" si="1"/>
        <v>0</v>
      </c>
    </row>
    <row r="36" spans="1:6">
      <c r="A36" s="322"/>
      <c r="B36" s="159" t="s">
        <v>1553</v>
      </c>
      <c r="C36" s="306"/>
      <c r="D36" s="155"/>
      <c r="E36" s="386" t="s">
        <v>1514</v>
      </c>
      <c r="F36" s="383" t="b">
        <f t="shared" si="1"/>
        <v>0</v>
      </c>
    </row>
    <row r="37" spans="1:6">
      <c r="A37" s="322"/>
      <c r="B37" s="159" t="s">
        <v>1554</v>
      </c>
      <c r="C37" s="306"/>
      <c r="D37" s="155"/>
      <c r="E37" s="386" t="s">
        <v>1514</v>
      </c>
      <c r="F37" s="383" t="b">
        <f t="shared" si="1"/>
        <v>0</v>
      </c>
    </row>
    <row r="38" spans="1:6">
      <c r="A38" s="322"/>
      <c r="B38" s="159" t="s">
        <v>1556</v>
      </c>
      <c r="C38" s="311"/>
      <c r="D38" s="293"/>
      <c r="E38" s="386" t="s">
        <v>1514</v>
      </c>
      <c r="F38" s="383" t="b">
        <f t="shared" si="1"/>
        <v>0</v>
      </c>
    </row>
    <row r="39" spans="1:6" ht="13.5" thickBot="1">
      <c r="A39" s="323"/>
      <c r="B39" s="172" t="s">
        <v>1555</v>
      </c>
      <c r="C39" s="170"/>
      <c r="D39" s="171"/>
      <c r="E39" s="385" t="s">
        <v>1393</v>
      </c>
      <c r="F39" s="383" t="b">
        <f t="shared" si="1"/>
        <v>0</v>
      </c>
    </row>
    <row r="40" spans="1:6" ht="13.5" thickBot="1">
      <c r="A40" s="375" t="s">
        <v>1900</v>
      </c>
      <c r="B40" s="354" t="s">
        <v>1901</v>
      </c>
      <c r="C40" s="307" t="s">
        <v>784</v>
      </c>
      <c r="D40" s="171"/>
      <c r="E40" s="384" t="s">
        <v>1338</v>
      </c>
      <c r="F40" s="383" t="b">
        <v>1</v>
      </c>
    </row>
    <row r="41" spans="1:6" ht="13.5" thickBot="1"/>
    <row r="42" spans="1:6" ht="21" thickBot="1">
      <c r="A42" s="524" t="s">
        <v>2004</v>
      </c>
      <c r="B42" s="525"/>
      <c r="C42" s="525"/>
      <c r="D42" s="526"/>
    </row>
    <row r="43" spans="1:6">
      <c r="A43" s="518" t="s">
        <v>1684</v>
      </c>
      <c r="B43" s="519"/>
      <c r="C43" s="519"/>
      <c r="D43" s="520"/>
    </row>
    <row r="44" spans="1:6">
      <c r="A44" s="243" t="s">
        <v>1329</v>
      </c>
      <c r="B44" s="243" t="s">
        <v>4</v>
      </c>
      <c r="C44" s="243" t="s">
        <v>1343</v>
      </c>
      <c r="D44" s="243" t="s">
        <v>1308</v>
      </c>
    </row>
    <row r="45" spans="1:6">
      <c r="A45" s="543" t="s">
        <v>1983</v>
      </c>
      <c r="B45" s="159" t="s">
        <v>1985</v>
      </c>
      <c r="C45" s="306" t="s">
        <v>784</v>
      </c>
      <c r="D45" s="99"/>
      <c r="E45" s="349" t="s">
        <v>1338</v>
      </c>
      <c r="F45" s="383" t="b">
        <v>1</v>
      </c>
    </row>
    <row r="46" spans="1:6">
      <c r="A46" s="544"/>
      <c r="B46" s="159" t="s">
        <v>1984</v>
      </c>
      <c r="C46" s="431">
        <v>1500</v>
      </c>
      <c r="D46" s="99"/>
      <c r="E46" s="382" t="s">
        <v>1619</v>
      </c>
      <c r="F46" s="383" t="b">
        <v>1</v>
      </c>
    </row>
  </sheetData>
  <mergeCells count="10">
    <mergeCell ref="A42:D42"/>
    <mergeCell ref="A43:D43"/>
    <mergeCell ref="A45:A46"/>
    <mergeCell ref="A1:D1"/>
    <mergeCell ref="A2:D2"/>
    <mergeCell ref="A5:A7"/>
    <mergeCell ref="A10:A17"/>
    <mergeCell ref="A18:A28"/>
    <mergeCell ref="A29:A32"/>
    <mergeCell ref="A8:A9"/>
  </mergeCells>
  <conditionalFormatting sqref="B7:D7">
    <cfRule type="expression" dxfId="6" priority="12">
      <formula>$F7=FALSE</formula>
    </cfRule>
  </conditionalFormatting>
  <conditionalFormatting sqref="A5:D28 A33:D40 B29:D32">
    <cfRule type="expression" dxfId="5" priority="11">
      <formula>$F5=FALSE</formula>
    </cfRule>
  </conditionalFormatting>
  <conditionalFormatting sqref="F10:F40">
    <cfRule type="cellIs" dxfId="4" priority="5" operator="equal">
      <formula>TRUE</formula>
    </cfRule>
  </conditionalFormatting>
  <conditionalFormatting sqref="F45:F46">
    <cfRule type="cellIs" dxfId="3" priority="4" operator="equal">
      <formula>TRUE</formula>
    </cfRule>
  </conditionalFormatting>
  <conditionalFormatting sqref="F4">
    <cfRule type="cellIs" dxfId="2" priority="3" operator="equal">
      <formula>TRUE</formula>
    </cfRule>
  </conditionalFormatting>
  <conditionalFormatting sqref="F5:F6">
    <cfRule type="cellIs" dxfId="1" priority="2" operator="equal">
      <formula>TRUE</formula>
    </cfRule>
  </conditionalFormatting>
  <conditionalFormatting sqref="F7:F9">
    <cfRule type="cellIs" dxfId="0" priority="1" operator="equal">
      <formula>TRUE</formula>
    </cfRule>
  </conditionalFormatting>
  <dataValidations count="2">
    <dataValidation type="whole" operator="greaterThanOrEqual" allowBlank="1" showInputMessage="1" showErrorMessage="1" sqref="C12:C17 C46" xr:uid="{C014F4C2-F5D5-4808-BA2A-E7DD988C3913}">
      <formula1>0</formula1>
    </dataValidation>
    <dataValidation type="list" allowBlank="1" showInputMessage="1" showErrorMessage="1" sqref="C6 C45 C18:C27 C8:C11 C40 C29:C38" xr:uid="{17A6B58A-389D-447A-9883-648D441BC4D0}">
      <formula1>INDIRECT($E6)</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1E10-46DE-43E4-AB95-83C757ECD6A4}">
  <sheetPr>
    <tabColor theme="4" tint="0.79998168889431442"/>
  </sheetPr>
  <dimension ref="A1:G50"/>
  <sheetViews>
    <sheetView workbookViewId="0">
      <selection activeCell="D34" sqref="D34"/>
    </sheetView>
  </sheetViews>
  <sheetFormatPr defaultRowHeight="12.75"/>
  <cols>
    <col min="1" max="1" width="20" style="37" customWidth="1"/>
    <col min="2" max="2" width="86.5703125" style="37" customWidth="1"/>
    <col min="3" max="3" width="33.28515625" style="314" customWidth="1"/>
    <col min="4" max="4" width="16.85546875" style="37" customWidth="1"/>
    <col min="5" max="5" width="32" style="37" customWidth="1"/>
    <col min="6" max="6" width="24.7109375" style="37" customWidth="1"/>
    <col min="7" max="16384" width="9.140625" style="37"/>
  </cols>
  <sheetData>
    <row r="1" spans="1:7" ht="20.25" customHeight="1">
      <c r="A1" s="537" t="s">
        <v>1445</v>
      </c>
      <c r="B1" s="537"/>
      <c r="C1" s="537"/>
      <c r="D1" s="537"/>
      <c r="E1" s="527" t="s">
        <v>1907</v>
      </c>
      <c r="F1" s="517" t="s">
        <v>1953</v>
      </c>
    </row>
    <row r="2" spans="1:7" ht="27.75" customHeight="1">
      <c r="A2" s="536" t="s">
        <v>1106</v>
      </c>
      <c r="B2" s="536"/>
      <c r="C2" s="536"/>
      <c r="D2" s="536"/>
      <c r="E2" s="528"/>
      <c r="F2" s="517"/>
    </row>
    <row r="3" spans="1:7" ht="13.5" thickBot="1">
      <c r="A3" s="243" t="s">
        <v>1329</v>
      </c>
      <c r="B3" s="243" t="s">
        <v>4</v>
      </c>
      <c r="C3" s="243" t="s">
        <v>1343</v>
      </c>
      <c r="D3" s="378" t="s">
        <v>1308</v>
      </c>
      <c r="E3" s="528"/>
      <c r="F3" s="517"/>
    </row>
    <row r="4" spans="1:7">
      <c r="A4" s="531" t="s">
        <v>1330</v>
      </c>
      <c r="B4" s="165" t="s">
        <v>1114</v>
      </c>
      <c r="C4" s="305"/>
      <c r="D4" s="166"/>
      <c r="E4" s="385" t="s">
        <v>1546</v>
      </c>
      <c r="F4" s="383" t="b">
        <v>1</v>
      </c>
      <c r="G4" s="102"/>
    </row>
    <row r="5" spans="1:7">
      <c r="A5" s="532"/>
      <c r="B5" s="239" t="s">
        <v>1436</v>
      </c>
      <c r="C5" s="313"/>
      <c r="D5" s="300"/>
      <c r="E5" s="385" t="s">
        <v>1546</v>
      </c>
      <c r="F5" s="383" t="b">
        <v>1</v>
      </c>
      <c r="G5" s="102"/>
    </row>
    <row r="6" spans="1:7">
      <c r="A6" s="534"/>
      <c r="B6" s="159" t="s">
        <v>1113</v>
      </c>
      <c r="C6" s="306"/>
      <c r="D6" s="155"/>
      <c r="E6" s="384" t="s">
        <v>1344</v>
      </c>
      <c r="F6" s="383" t="b">
        <v>1</v>
      </c>
      <c r="G6" s="102"/>
    </row>
    <row r="7" spans="1:7" ht="26.25" customHeight="1" thickBot="1">
      <c r="A7" s="535"/>
      <c r="B7" s="245" t="s">
        <v>1309</v>
      </c>
      <c r="C7" s="307"/>
      <c r="D7" s="171"/>
      <c r="E7" s="384" t="s">
        <v>1316</v>
      </c>
      <c r="F7" s="383" t="b">
        <v>1</v>
      </c>
      <c r="G7" s="102"/>
    </row>
    <row r="8" spans="1:7">
      <c r="A8" s="538" t="s">
        <v>1406</v>
      </c>
      <c r="B8" s="165" t="s">
        <v>1310</v>
      </c>
      <c r="C8" s="305"/>
      <c r="D8" s="166"/>
      <c r="E8" s="385" t="s">
        <v>1550</v>
      </c>
      <c r="F8" s="383" t="b">
        <v>1</v>
      </c>
      <c r="G8" s="102"/>
    </row>
    <row r="9" spans="1:7">
      <c r="A9" s="539"/>
      <c r="B9" s="159" t="s">
        <v>1311</v>
      </c>
      <c r="C9" s="308"/>
      <c r="D9" s="155"/>
      <c r="E9" s="385" t="s">
        <v>1550</v>
      </c>
      <c r="F9" s="383" t="b">
        <v>1</v>
      </c>
    </row>
    <row r="10" spans="1:7">
      <c r="A10" s="539"/>
      <c r="B10" s="159" t="s">
        <v>1312</v>
      </c>
      <c r="C10" s="308"/>
      <c r="D10" s="155"/>
      <c r="E10" s="385" t="s">
        <v>1546</v>
      </c>
      <c r="F10" s="383" t="b">
        <v>1</v>
      </c>
    </row>
    <row r="11" spans="1:7" ht="13.5" thickBot="1">
      <c r="A11" s="540"/>
      <c r="B11" s="172" t="s">
        <v>1326</v>
      </c>
      <c r="C11" s="309"/>
      <c r="D11" s="171"/>
      <c r="E11" s="385" t="s">
        <v>1546</v>
      </c>
      <c r="F11" s="383" t="b">
        <v>1</v>
      </c>
    </row>
    <row r="12" spans="1:7" ht="13.5" thickBot="1">
      <c r="A12" s="329" t="s">
        <v>1547</v>
      </c>
      <c r="B12" s="294" t="s">
        <v>1548</v>
      </c>
      <c r="C12" s="428"/>
      <c r="D12" s="332"/>
      <c r="E12" s="781" t="s">
        <v>1549</v>
      </c>
      <c r="F12" s="383" t="b">
        <v>1</v>
      </c>
    </row>
    <row r="13" spans="1:7">
      <c r="A13" s="531" t="s">
        <v>59</v>
      </c>
      <c r="B13" s="165" t="s">
        <v>1315</v>
      </c>
      <c r="C13" s="310"/>
      <c r="D13" s="166"/>
      <c r="E13" s="384" t="s">
        <v>1317</v>
      </c>
      <c r="F13" s="383" t="b">
        <v>1</v>
      </c>
      <c r="G13" s="102"/>
    </row>
    <row r="14" spans="1:7">
      <c r="A14" s="534"/>
      <c r="B14" s="159" t="s">
        <v>1332</v>
      </c>
      <c r="C14" s="306"/>
      <c r="D14" s="155"/>
      <c r="E14" s="384" t="s">
        <v>1334</v>
      </c>
      <c r="F14" s="383" t="b">
        <v>1</v>
      </c>
      <c r="G14" s="102"/>
    </row>
    <row r="15" spans="1:7">
      <c r="A15" s="534"/>
      <c r="B15" s="159" t="s">
        <v>971</v>
      </c>
      <c r="C15" s="306"/>
      <c r="D15" s="155"/>
      <c r="E15" s="384" t="s">
        <v>1338</v>
      </c>
      <c r="F15" s="383" t="b">
        <v>1</v>
      </c>
      <c r="G15" s="102"/>
    </row>
    <row r="16" spans="1:7">
      <c r="A16" s="534"/>
      <c r="B16" s="159" t="s">
        <v>1336</v>
      </c>
      <c r="C16" s="306"/>
      <c r="D16" s="155"/>
      <c r="E16" s="384" t="s">
        <v>1338</v>
      </c>
      <c r="F16" s="383" t="b">
        <v>1</v>
      </c>
      <c r="G16" s="102"/>
    </row>
    <row r="17" spans="1:7">
      <c r="A17" s="534"/>
      <c r="B17" s="159" t="s">
        <v>1348</v>
      </c>
      <c r="C17" s="306"/>
      <c r="D17" s="155"/>
      <c r="E17" s="384" t="s">
        <v>1345</v>
      </c>
      <c r="F17" s="383" t="b">
        <v>1</v>
      </c>
      <c r="G17" s="102"/>
    </row>
    <row r="18" spans="1:7" ht="13.5" thickBot="1">
      <c r="A18" s="535"/>
      <c r="B18" s="172" t="s">
        <v>1349</v>
      </c>
      <c r="C18" s="307"/>
      <c r="D18" s="171"/>
      <c r="E18" s="384" t="s">
        <v>1338</v>
      </c>
      <c r="F18" s="383" t="b">
        <v>1</v>
      </c>
      <c r="G18" s="102"/>
    </row>
    <row r="19" spans="1:7">
      <c r="A19" s="246" t="s">
        <v>1335</v>
      </c>
      <c r="B19" s="165" t="s">
        <v>1557</v>
      </c>
      <c r="C19" s="306"/>
      <c r="D19" s="155"/>
      <c r="E19" s="386" t="s">
        <v>2053</v>
      </c>
      <c r="F19" s="383" t="b">
        <v>1</v>
      </c>
    </row>
    <row r="20" spans="1:7">
      <c r="A20" s="322"/>
      <c r="B20" s="239" t="s">
        <v>1874</v>
      </c>
      <c r="C20" s="306"/>
      <c r="D20" s="155"/>
      <c r="E20" s="386" t="s">
        <v>2067</v>
      </c>
      <c r="F20" s="383" t="b">
        <v>1</v>
      </c>
    </row>
    <row r="21" spans="1:7">
      <c r="A21" s="322"/>
      <c r="B21" s="161" t="s">
        <v>47</v>
      </c>
      <c r="C21" s="306"/>
      <c r="D21" s="155"/>
      <c r="E21" s="386" t="s">
        <v>2066</v>
      </c>
      <c r="F21" s="383" t="b">
        <v>1</v>
      </c>
    </row>
    <row r="22" spans="1:7" ht="13.5" thickBot="1">
      <c r="A22" s="322"/>
      <c r="B22" s="159" t="s">
        <v>1390</v>
      </c>
      <c r="C22" s="430"/>
      <c r="D22" s="155"/>
      <c r="E22" s="387" t="s">
        <v>1391</v>
      </c>
      <c r="F22" s="383" t="b">
        <v>1</v>
      </c>
    </row>
    <row r="23" spans="1:7">
      <c r="A23" s="249" t="s">
        <v>75</v>
      </c>
      <c r="B23" s="164" t="s">
        <v>1350</v>
      </c>
      <c r="C23" s="310"/>
      <c r="D23" s="166"/>
      <c r="E23" s="384" t="s">
        <v>1338</v>
      </c>
      <c r="F23" s="383" t="b">
        <v>1</v>
      </c>
    </row>
    <row r="24" spans="1:7" ht="25.5">
      <c r="A24" s="250"/>
      <c r="B24" s="240" t="s">
        <v>1515</v>
      </c>
      <c r="C24" s="306"/>
      <c r="D24" s="155"/>
      <c r="E24" s="384" t="s">
        <v>1338</v>
      </c>
      <c r="F24" s="383" t="b">
        <v>1</v>
      </c>
    </row>
    <row r="25" spans="1:7">
      <c r="A25" s="250"/>
      <c r="B25" s="292" t="s">
        <v>1351</v>
      </c>
      <c r="C25" s="311"/>
      <c r="D25" s="293"/>
      <c r="E25" s="386" t="s">
        <v>2175</v>
      </c>
      <c r="F25" s="383" t="b">
        <v>1</v>
      </c>
    </row>
    <row r="26" spans="1:7">
      <c r="A26" s="250"/>
      <c r="B26" s="529" t="s">
        <v>1360</v>
      </c>
      <c r="C26" s="311"/>
      <c r="D26" s="293"/>
      <c r="E26" s="386" t="s">
        <v>1370</v>
      </c>
      <c r="F26" s="383" t="b">
        <v>1</v>
      </c>
    </row>
    <row r="27" spans="1:7">
      <c r="A27" s="250"/>
      <c r="B27" s="530"/>
      <c r="C27" s="311"/>
      <c r="D27" s="293"/>
      <c r="E27" s="386" t="s">
        <v>1370</v>
      </c>
      <c r="F27" s="383" t="b">
        <v>1</v>
      </c>
    </row>
    <row r="28" spans="1:7" ht="13.5" thickBot="1">
      <c r="A28" s="250"/>
      <c r="B28" s="530"/>
      <c r="C28" s="311"/>
      <c r="D28" s="293"/>
      <c r="E28" s="386" t="s">
        <v>1370</v>
      </c>
      <c r="F28" s="383" t="b">
        <v>1</v>
      </c>
    </row>
    <row r="29" spans="1:7" ht="25.5">
      <c r="A29" s="531" t="s">
        <v>1373</v>
      </c>
      <c r="B29" s="301" t="s">
        <v>1388</v>
      </c>
      <c r="C29" s="310"/>
      <c r="D29" s="166"/>
      <c r="E29" s="386" t="s">
        <v>1374</v>
      </c>
      <c r="F29" s="383" t="b">
        <v>1</v>
      </c>
    </row>
    <row r="30" spans="1:7">
      <c r="A30" s="532"/>
      <c r="B30" s="99" t="s">
        <v>11</v>
      </c>
      <c r="C30" s="430"/>
      <c r="D30" s="155"/>
      <c r="E30" s="387" t="s">
        <v>1391</v>
      </c>
      <c r="F30" s="383" t="b">
        <v>1</v>
      </c>
    </row>
    <row r="31" spans="1:7">
      <c r="A31" s="532"/>
      <c r="B31" s="159" t="s">
        <v>1392</v>
      </c>
      <c r="C31" s="308"/>
      <c r="D31" s="155"/>
      <c r="E31" s="385" t="s">
        <v>1393</v>
      </c>
      <c r="F31" s="383" t="b">
        <v>1</v>
      </c>
    </row>
    <row r="32" spans="1:7">
      <c r="A32" s="532"/>
      <c r="B32" s="99" t="s">
        <v>1313</v>
      </c>
      <c r="C32" s="440"/>
      <c r="D32" s="155"/>
      <c r="E32" s="387" t="s">
        <v>1391</v>
      </c>
      <c r="F32" s="383" t="b">
        <v>1</v>
      </c>
    </row>
    <row r="33" spans="1:6">
      <c r="A33" s="532"/>
      <c r="B33" s="99" t="s">
        <v>1314</v>
      </c>
      <c r="C33" s="440"/>
      <c r="D33" s="155"/>
      <c r="E33" s="387" t="s">
        <v>1391</v>
      </c>
      <c r="F33" s="383" t="b">
        <v>1</v>
      </c>
    </row>
    <row r="34" spans="1:6" ht="25.5">
      <c r="A34" s="532"/>
      <c r="B34" s="240" t="s">
        <v>2071</v>
      </c>
      <c r="C34" s="308"/>
      <c r="D34" s="155"/>
      <c r="E34" s="782" t="s">
        <v>1906</v>
      </c>
      <c r="F34" s="383" t="b">
        <v>1</v>
      </c>
    </row>
    <row r="35" spans="1:6">
      <c r="A35" s="532"/>
      <c r="B35" s="326" t="s">
        <v>1327</v>
      </c>
      <c r="C35" s="312"/>
      <c r="D35" s="155"/>
      <c r="E35" s="386" t="s">
        <v>1382</v>
      </c>
      <c r="F35" s="383" t="b">
        <v>1</v>
      </c>
    </row>
    <row r="36" spans="1:6">
      <c r="A36" s="532"/>
      <c r="B36" s="159" t="s">
        <v>1328</v>
      </c>
      <c r="C36" s="312"/>
      <c r="D36" s="155"/>
      <c r="E36" s="386" t="s">
        <v>1382</v>
      </c>
      <c r="F36" s="383" t="b">
        <v>1</v>
      </c>
    </row>
    <row r="37" spans="1:6" ht="13.5" thickBot="1">
      <c r="A37" s="533"/>
      <c r="B37" s="172" t="s">
        <v>1389</v>
      </c>
      <c r="C37" s="433"/>
      <c r="D37" s="171"/>
      <c r="E37" s="386" t="s">
        <v>1382</v>
      </c>
      <c r="F37" s="383" t="b">
        <v>1</v>
      </c>
    </row>
    <row r="38" spans="1:6" ht="13.5" thickBot="1">
      <c r="A38" s="375" t="s">
        <v>1900</v>
      </c>
      <c r="B38" s="354" t="s">
        <v>1933</v>
      </c>
      <c r="C38" s="307"/>
      <c r="D38" s="171"/>
      <c r="E38" s="384" t="s">
        <v>1338</v>
      </c>
      <c r="F38" s="383" t="b">
        <v>1</v>
      </c>
    </row>
    <row r="39" spans="1:6" ht="13.5" thickBot="1">
      <c r="A39" s="102"/>
    </row>
    <row r="40" spans="1:6" ht="21" thickBot="1">
      <c r="A40" s="524" t="s">
        <v>1697</v>
      </c>
      <c r="B40" s="525"/>
      <c r="C40" s="525"/>
      <c r="D40" s="526"/>
    </row>
    <row r="41" spans="1:6" ht="12.75" customHeight="1">
      <c r="A41" s="518" t="s">
        <v>1684</v>
      </c>
      <c r="B41" s="519"/>
      <c r="C41" s="519"/>
      <c r="D41" s="520"/>
    </row>
    <row r="42" spans="1:6">
      <c r="A42" s="243" t="s">
        <v>1329</v>
      </c>
      <c r="B42" s="243" t="s">
        <v>4</v>
      </c>
      <c r="C42" s="243" t="s">
        <v>1343</v>
      </c>
      <c r="D42" s="243" t="s">
        <v>1308</v>
      </c>
    </row>
    <row r="43" spans="1:6">
      <c r="A43" s="521" t="s">
        <v>1685</v>
      </c>
      <c r="B43" s="159" t="s">
        <v>1698</v>
      </c>
      <c r="C43" s="306"/>
      <c r="D43" s="379"/>
      <c r="E43" s="349" t="s">
        <v>1338</v>
      </c>
      <c r="F43" s="383" t="b">
        <v>1</v>
      </c>
    </row>
    <row r="44" spans="1:6">
      <c r="A44" s="521"/>
      <c r="B44" s="159" t="s">
        <v>1699</v>
      </c>
      <c r="C44" s="430"/>
      <c r="D44" s="379"/>
      <c r="E44" s="382" t="s">
        <v>1972</v>
      </c>
      <c r="F44" s="383" t="b">
        <v>1</v>
      </c>
    </row>
    <row r="45" spans="1:6">
      <c r="A45" s="521"/>
      <c r="B45" s="159" t="s">
        <v>1700</v>
      </c>
      <c r="C45" s="434"/>
      <c r="D45" s="379"/>
      <c r="E45" s="382" t="s">
        <v>1973</v>
      </c>
      <c r="F45" s="383" t="b">
        <v>1</v>
      </c>
    </row>
    <row r="46" spans="1:6">
      <c r="A46" s="521"/>
      <c r="B46" s="159" t="s">
        <v>1701</v>
      </c>
      <c r="C46" s="434"/>
      <c r="D46" s="379"/>
      <c r="E46" s="382" t="s">
        <v>1973</v>
      </c>
      <c r="F46" s="383" t="b">
        <v>1</v>
      </c>
    </row>
    <row r="47" spans="1:6">
      <c r="A47" s="521"/>
      <c r="B47" s="159" t="s">
        <v>1704</v>
      </c>
      <c r="C47" s="431"/>
      <c r="D47" s="379"/>
      <c r="E47" s="382" t="s">
        <v>1391</v>
      </c>
      <c r="F47" s="383" t="b">
        <v>1</v>
      </c>
    </row>
    <row r="48" spans="1:6">
      <c r="A48" s="521"/>
      <c r="B48" s="159" t="s">
        <v>1703</v>
      </c>
      <c r="C48" s="434"/>
      <c r="D48" s="379"/>
      <c r="E48" s="382" t="s">
        <v>1693</v>
      </c>
      <c r="F48" s="383" t="b">
        <v>1</v>
      </c>
    </row>
    <row r="49" spans="1:6">
      <c r="A49" s="522"/>
      <c r="B49" s="339" t="s">
        <v>1702</v>
      </c>
      <c r="C49" s="435"/>
      <c r="D49" s="343"/>
      <c r="E49" s="382" t="s">
        <v>1694</v>
      </c>
      <c r="F49" s="383" t="b">
        <v>1</v>
      </c>
    </row>
    <row r="50" spans="1:6" ht="26.25" thickBot="1">
      <c r="A50" s="523"/>
      <c r="B50" s="245" t="s">
        <v>1705</v>
      </c>
      <c r="C50" s="436"/>
      <c r="D50" s="380"/>
      <c r="E50" s="382" t="s">
        <v>1694</v>
      </c>
      <c r="F50" s="383" t="b">
        <v>1</v>
      </c>
    </row>
  </sheetData>
  <mergeCells count="12">
    <mergeCell ref="F1:F3"/>
    <mergeCell ref="A41:D41"/>
    <mergeCell ref="A43:A50"/>
    <mergeCell ref="A40:D40"/>
    <mergeCell ref="E1:E3"/>
    <mergeCell ref="B26:B28"/>
    <mergeCell ref="A29:A37"/>
    <mergeCell ref="A13:A18"/>
    <mergeCell ref="A2:D2"/>
    <mergeCell ref="A1:D1"/>
    <mergeCell ref="A4:A7"/>
    <mergeCell ref="A8:A11"/>
  </mergeCells>
  <phoneticPr fontId="46" type="noConversion"/>
  <conditionalFormatting sqref="F43:F50 F4:F38">
    <cfRule type="cellIs" dxfId="163" priority="1" operator="equal">
      <formula>TRUE</formula>
    </cfRule>
  </conditionalFormatting>
  <dataValidations count="3">
    <dataValidation type="list" allowBlank="1" showInputMessage="1" showErrorMessage="1" sqref="C6:C7 C43 C35:C38 C13:C21 C23:C29" xr:uid="{9CE7E390-E578-4C17-91A3-968F49F07D27}">
      <formula1>INDIRECT($E6)</formula1>
    </dataValidation>
    <dataValidation type="whole" operator="greaterThanOrEqual" allowBlank="1" showInputMessage="1" showErrorMessage="1" sqref="C22 C30 C32:C33 C47 C44:C46" xr:uid="{C296AD85-7B8B-4F5D-A3C4-0AB3B913FCB9}">
      <formula1>0</formula1>
    </dataValidation>
    <dataValidation type="decimal" operator="greaterThanOrEqual" allowBlank="1" showInputMessage="1" showErrorMessage="1" sqref="C48:C50" xr:uid="{F12EDD8A-5B60-4057-8430-8C4FDCFBC74A}">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FE11C-09AE-43DF-A18F-4C47C198E17E}">
  <sheetPr>
    <tabColor theme="6" tint="0.79998168889431442"/>
  </sheetPr>
  <dimension ref="A1:F28"/>
  <sheetViews>
    <sheetView workbookViewId="0">
      <selection activeCell="C17" sqref="C17"/>
    </sheetView>
  </sheetViews>
  <sheetFormatPr defaultRowHeight="12.75"/>
  <cols>
    <col min="1" max="1" width="20" style="37" customWidth="1"/>
    <col min="2" max="2" width="86.5703125" style="37" customWidth="1"/>
    <col min="3" max="3" width="33.28515625" style="241" customWidth="1"/>
    <col min="4" max="4" width="16.85546875" style="37" customWidth="1"/>
    <col min="5" max="5" width="32" style="37" customWidth="1"/>
    <col min="6" max="6" width="24.7109375" style="37" customWidth="1"/>
    <col min="7" max="16384" width="9.140625" style="37"/>
  </cols>
  <sheetData>
    <row r="1" spans="1:6" ht="20.25">
      <c r="A1" s="545" t="s">
        <v>1433</v>
      </c>
      <c r="B1" s="546"/>
      <c r="C1" s="546"/>
      <c r="D1" s="547"/>
      <c r="E1" s="527" t="s">
        <v>1907</v>
      </c>
      <c r="F1" s="517" t="s">
        <v>1953</v>
      </c>
    </row>
    <row r="2" spans="1:6">
      <c r="A2" s="548" t="s">
        <v>1434</v>
      </c>
      <c r="B2" s="549"/>
      <c r="C2" s="549"/>
      <c r="D2" s="550"/>
      <c r="E2" s="528"/>
      <c r="F2" s="517"/>
    </row>
    <row r="3" spans="1:6" ht="13.5" thickBot="1">
      <c r="A3" s="243" t="s">
        <v>1329</v>
      </c>
      <c r="B3" s="243" t="s">
        <v>4</v>
      </c>
      <c r="C3" s="315" t="s">
        <v>1343</v>
      </c>
      <c r="D3" s="243" t="s">
        <v>1308</v>
      </c>
      <c r="E3" s="528"/>
      <c r="F3" s="517"/>
    </row>
    <row r="4" spans="1:6">
      <c r="A4" s="541" t="s">
        <v>1540</v>
      </c>
      <c r="B4" s="165" t="s">
        <v>1439</v>
      </c>
      <c r="C4" s="165"/>
      <c r="D4" s="166"/>
      <c r="E4" s="385" t="s">
        <v>1546</v>
      </c>
      <c r="F4" s="383" t="b">
        <v>1</v>
      </c>
    </row>
    <row r="5" spans="1:6">
      <c r="A5" s="521"/>
      <c r="B5" s="159" t="s">
        <v>1438</v>
      </c>
      <c r="C5" s="316"/>
      <c r="D5" s="155"/>
      <c r="E5" s="384" t="s">
        <v>1338</v>
      </c>
      <c r="F5" s="383" t="b">
        <v>1</v>
      </c>
    </row>
    <row r="6" spans="1:6" ht="13.5" thickBot="1">
      <c r="A6" s="523"/>
      <c r="B6" s="172" t="s">
        <v>1539</v>
      </c>
      <c r="C6" s="170"/>
      <c r="D6" s="171"/>
      <c r="E6" s="385" t="s">
        <v>1393</v>
      </c>
      <c r="F6" s="383" t="b">
        <f>C5&lt;&gt;"Yes"</f>
        <v>1</v>
      </c>
    </row>
    <row r="7" spans="1:6">
      <c r="A7" s="246" t="s">
        <v>1883</v>
      </c>
      <c r="B7" s="159" t="s">
        <v>1884</v>
      </c>
      <c r="C7" s="450"/>
      <c r="D7" s="155"/>
      <c r="E7" s="387" t="s">
        <v>1871</v>
      </c>
      <c r="F7" s="383" t="b">
        <v>1</v>
      </c>
    </row>
    <row r="8" spans="1:6">
      <c r="A8" s="322"/>
      <c r="B8" s="239" t="s">
        <v>1465</v>
      </c>
      <c r="C8" s="451"/>
      <c r="D8" s="300"/>
      <c r="E8" s="384" t="s">
        <v>1338</v>
      </c>
      <c r="F8" s="383" t="b">
        <v>1</v>
      </c>
    </row>
    <row r="9" spans="1:6" ht="13.5" thickBot="1">
      <c r="A9" s="322"/>
      <c r="B9" s="339" t="s">
        <v>1505</v>
      </c>
      <c r="C9" s="452"/>
      <c r="D9" s="293"/>
      <c r="E9" s="384" t="s">
        <v>1338</v>
      </c>
      <c r="F9" s="418" t="b">
        <v>1</v>
      </c>
    </row>
    <row r="10" spans="1:6">
      <c r="A10" s="541" t="s">
        <v>1873</v>
      </c>
      <c r="B10" s="165" t="s">
        <v>1872</v>
      </c>
      <c r="C10" s="351"/>
      <c r="D10" s="166"/>
      <c r="E10" s="387" t="s">
        <v>1391</v>
      </c>
      <c r="F10" s="390" t="b">
        <v>1</v>
      </c>
    </row>
    <row r="11" spans="1:6">
      <c r="A11" s="521"/>
      <c r="B11" s="159" t="s">
        <v>1875</v>
      </c>
      <c r="C11" s="453"/>
      <c r="D11" s="155"/>
      <c r="E11" s="386" t="s">
        <v>1876</v>
      </c>
      <c r="F11" s="391" t="b">
        <v>1</v>
      </c>
    </row>
    <row r="12" spans="1:6">
      <c r="A12" s="521"/>
      <c r="B12" s="159" t="s">
        <v>1440</v>
      </c>
      <c r="C12" s="453"/>
      <c r="D12" s="155"/>
      <c r="E12" s="386" t="s">
        <v>1464</v>
      </c>
      <c r="F12" s="391" t="b">
        <v>1</v>
      </c>
    </row>
    <row r="13" spans="1:6">
      <c r="A13" s="521"/>
      <c r="B13" s="159" t="s">
        <v>1879</v>
      </c>
      <c r="C13" s="453"/>
      <c r="D13" s="155"/>
      <c r="E13" s="386" t="s">
        <v>2180</v>
      </c>
      <c r="F13" s="391" t="b">
        <v>1</v>
      </c>
    </row>
    <row r="14" spans="1:6">
      <c r="A14" s="521"/>
      <c r="B14" s="159" t="s">
        <v>1880</v>
      </c>
      <c r="C14" s="453"/>
      <c r="D14" s="155"/>
      <c r="E14" s="386" t="s">
        <v>2180</v>
      </c>
      <c r="F14" s="391" t="b">
        <v>1</v>
      </c>
    </row>
    <row r="15" spans="1:6" ht="13.5" thickBot="1">
      <c r="A15" s="523"/>
      <c r="B15" s="172" t="s">
        <v>1881</v>
      </c>
      <c r="C15" s="318"/>
      <c r="D15" s="171"/>
      <c r="E15" s="385" t="s">
        <v>1882</v>
      </c>
      <c r="F15" s="392" t="b">
        <f>OR(C13="Yes",C14="Yes")</f>
        <v>0</v>
      </c>
    </row>
    <row r="16" spans="1:6">
      <c r="A16" s="541" t="s">
        <v>75</v>
      </c>
      <c r="B16" s="165" t="s">
        <v>1437</v>
      </c>
      <c r="C16" s="454"/>
      <c r="D16" s="166"/>
      <c r="E16" s="386" t="s">
        <v>1464</v>
      </c>
      <c r="F16" s="455" t="b">
        <v>1</v>
      </c>
    </row>
    <row r="17" spans="1:6">
      <c r="A17" s="521"/>
      <c r="B17" s="159" t="s">
        <v>1878</v>
      </c>
      <c r="C17" s="316"/>
      <c r="D17" s="155"/>
      <c r="E17" s="386" t="s">
        <v>1903</v>
      </c>
      <c r="F17" s="383" t="b">
        <v>1</v>
      </c>
    </row>
    <row r="18" spans="1:6">
      <c r="A18" s="521"/>
      <c r="B18" s="159" t="s">
        <v>1885</v>
      </c>
      <c r="C18" s="316"/>
      <c r="D18" s="155"/>
      <c r="E18" s="386" t="s">
        <v>1903</v>
      </c>
      <c r="F18" s="383" t="b">
        <v>1</v>
      </c>
    </row>
    <row r="19" spans="1:6">
      <c r="A19" s="521"/>
      <c r="B19" s="159" t="s">
        <v>1886</v>
      </c>
      <c r="C19" s="316"/>
      <c r="D19" s="155"/>
      <c r="E19" s="386" t="s">
        <v>1903</v>
      </c>
      <c r="F19" s="383" t="b">
        <v>1</v>
      </c>
    </row>
    <row r="20" spans="1:6">
      <c r="A20" s="521"/>
      <c r="B20" s="159" t="s">
        <v>1887</v>
      </c>
      <c r="C20" s="316"/>
      <c r="D20" s="155"/>
      <c r="E20" s="386" t="s">
        <v>1903</v>
      </c>
      <c r="F20" s="383" t="b">
        <v>1</v>
      </c>
    </row>
    <row r="21" spans="1:6" ht="13.5" thickBot="1">
      <c r="A21" s="523"/>
      <c r="B21" s="172" t="s">
        <v>1888</v>
      </c>
      <c r="C21" s="317"/>
      <c r="D21" s="171"/>
      <c r="E21" s="386" t="s">
        <v>1903</v>
      </c>
      <c r="F21" s="383" t="b">
        <v>1</v>
      </c>
    </row>
    <row r="22" spans="1:6" ht="13.5" thickBot="1">
      <c r="A22" s="321" t="s">
        <v>1900</v>
      </c>
      <c r="B22" s="356" t="s">
        <v>1901</v>
      </c>
      <c r="C22" s="373"/>
      <c r="D22" s="353"/>
      <c r="E22" s="384" t="s">
        <v>1338</v>
      </c>
      <c r="F22" s="383" t="b">
        <v>1</v>
      </c>
    </row>
    <row r="23" spans="1:6" ht="13.5" thickBot="1">
      <c r="C23" s="37"/>
    </row>
    <row r="24" spans="1:6" ht="21" thickBot="1">
      <c r="A24" s="524" t="s">
        <v>1982</v>
      </c>
      <c r="B24" s="525"/>
      <c r="C24" s="525"/>
      <c r="D24" s="526"/>
    </row>
    <row r="25" spans="1:6" ht="12.75" customHeight="1">
      <c r="A25" s="518" t="s">
        <v>1684</v>
      </c>
      <c r="B25" s="519"/>
      <c r="C25" s="519"/>
      <c r="D25" s="520"/>
    </row>
    <row r="26" spans="1:6">
      <c r="A26" s="243" t="s">
        <v>1329</v>
      </c>
      <c r="B26" s="243" t="s">
        <v>4</v>
      </c>
      <c r="C26" s="315" t="s">
        <v>1343</v>
      </c>
      <c r="D26" s="243" t="s">
        <v>1308</v>
      </c>
    </row>
    <row r="27" spans="1:6">
      <c r="A27" s="543" t="s">
        <v>1983</v>
      </c>
      <c r="B27" s="159" t="s">
        <v>1985</v>
      </c>
      <c r="C27" s="316"/>
      <c r="D27" s="99"/>
      <c r="E27" s="349" t="s">
        <v>1338</v>
      </c>
      <c r="F27" s="383" t="b">
        <v>1</v>
      </c>
    </row>
    <row r="28" spans="1:6">
      <c r="A28" s="544"/>
      <c r="B28" s="159" t="s">
        <v>1984</v>
      </c>
      <c r="C28" s="350"/>
      <c r="D28" s="99"/>
      <c r="E28" s="382" t="s">
        <v>1619</v>
      </c>
      <c r="F28" s="383" t="b">
        <v>1</v>
      </c>
    </row>
  </sheetData>
  <mergeCells count="10">
    <mergeCell ref="A1:D1"/>
    <mergeCell ref="A2:D2"/>
    <mergeCell ref="A4:A6"/>
    <mergeCell ref="E1:E3"/>
    <mergeCell ref="F1:F3"/>
    <mergeCell ref="A10:A15"/>
    <mergeCell ref="A16:A21"/>
    <mergeCell ref="A24:D24"/>
    <mergeCell ref="A25:D25"/>
    <mergeCell ref="A27:A28"/>
  </mergeCells>
  <conditionalFormatting sqref="F27:F28">
    <cfRule type="cellIs" dxfId="162" priority="5" operator="equal">
      <formula>TRUE</formula>
    </cfRule>
  </conditionalFormatting>
  <conditionalFormatting sqref="F4:F5 F7:F14 F16:F22">
    <cfRule type="cellIs" dxfId="161" priority="4" operator="equal">
      <formula>TRUE</formula>
    </cfRule>
  </conditionalFormatting>
  <conditionalFormatting sqref="F6">
    <cfRule type="cellIs" dxfId="160" priority="3" operator="equal">
      <formula>TRUE</formula>
    </cfRule>
  </conditionalFormatting>
  <conditionalFormatting sqref="A4:D22">
    <cfRule type="expression" dxfId="159" priority="2">
      <formula>$F4=FALSE</formula>
    </cfRule>
  </conditionalFormatting>
  <conditionalFormatting sqref="F15">
    <cfRule type="cellIs" dxfId="158" priority="1" operator="equal">
      <formula>TRUE</formula>
    </cfRule>
  </conditionalFormatting>
  <dataValidations count="3">
    <dataValidation type="date" operator="greaterThan" allowBlank="1" showInputMessage="1" showErrorMessage="1" sqref="C7" xr:uid="{B595C002-DB96-4425-B3F6-33CED07DFC11}">
      <formula1>43466</formula1>
    </dataValidation>
    <dataValidation type="whole" operator="greaterThanOrEqual" allowBlank="1" showInputMessage="1" showErrorMessage="1" sqref="C28 C10" xr:uid="{BE988682-043D-43FD-876D-6000FDC68E36}">
      <formula1>0</formula1>
    </dataValidation>
    <dataValidation type="list" allowBlank="1" showInputMessage="1" showErrorMessage="1" sqref="C16:C22 C5 C8:C9 C27 C11:C14" xr:uid="{2C4E4E4C-4F65-491D-8380-D27EB7F3BE8E}">
      <formula1>INDIRECT($E5)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25659-69A0-46EF-BB7C-8E1B58185E9A}">
  <sheetPr>
    <tabColor theme="4" tint="0.79998168889431442"/>
  </sheetPr>
  <dimension ref="A1:G53"/>
  <sheetViews>
    <sheetView workbookViewId="0">
      <selection activeCell="C18" sqref="C18"/>
    </sheetView>
  </sheetViews>
  <sheetFormatPr defaultRowHeight="12.75"/>
  <cols>
    <col min="1" max="1" width="20" style="37" customWidth="1"/>
    <col min="2" max="2" width="86.5703125" style="37" customWidth="1"/>
    <col min="3" max="3" width="33.28515625" style="314" customWidth="1"/>
    <col min="4" max="4" width="16.85546875" style="37" customWidth="1"/>
    <col min="5" max="5" width="32" style="37" customWidth="1"/>
    <col min="6" max="6" width="17.42578125" style="37" customWidth="1"/>
    <col min="7" max="16384" width="9.140625" style="37"/>
  </cols>
  <sheetData>
    <row r="1" spans="1:7" ht="20.25" customHeight="1">
      <c r="A1" s="555" t="s">
        <v>1446</v>
      </c>
      <c r="B1" s="556"/>
      <c r="C1" s="556"/>
      <c r="D1" s="557"/>
      <c r="E1" s="552" t="s">
        <v>1907</v>
      </c>
      <c r="F1" s="517" t="s">
        <v>1953</v>
      </c>
    </row>
    <row r="2" spans="1:7" ht="40.5" customHeight="1" thickBot="1">
      <c r="A2" s="558" t="s">
        <v>1469</v>
      </c>
      <c r="B2" s="559"/>
      <c r="C2" s="559"/>
      <c r="D2" s="560"/>
      <c r="E2" s="553"/>
      <c r="F2" s="517"/>
    </row>
    <row r="3" spans="1:7">
      <c r="A3" s="336" t="s">
        <v>1329</v>
      </c>
      <c r="B3" s="337" t="s">
        <v>4</v>
      </c>
      <c r="C3" s="337" t="s">
        <v>1343</v>
      </c>
      <c r="D3" s="338" t="s">
        <v>1308</v>
      </c>
      <c r="E3" s="553"/>
      <c r="F3" s="517"/>
    </row>
    <row r="4" spans="1:7">
      <c r="A4" s="341" t="s">
        <v>1407</v>
      </c>
      <c r="B4" s="159" t="s">
        <v>1428</v>
      </c>
      <c r="C4" s="308"/>
      <c r="D4" s="155"/>
      <c r="E4" s="385" t="s">
        <v>1546</v>
      </c>
      <c r="F4" s="383" t="b">
        <v>1</v>
      </c>
      <c r="G4" s="102"/>
    </row>
    <row r="5" spans="1:7">
      <c r="A5" s="322"/>
      <c r="B5" s="159" t="s">
        <v>1411</v>
      </c>
      <c r="C5" s="308"/>
      <c r="D5" s="155"/>
      <c r="E5" s="385" t="s">
        <v>1546</v>
      </c>
      <c r="F5" s="383" t="b">
        <v>1</v>
      </c>
      <c r="G5" s="102"/>
    </row>
    <row r="6" spans="1:7">
      <c r="A6" s="322"/>
      <c r="B6" s="339" t="s">
        <v>1452</v>
      </c>
      <c r="C6" s="308"/>
      <c r="D6" s="293"/>
      <c r="E6" s="385" t="s">
        <v>1393</v>
      </c>
      <c r="F6" s="383" t="b">
        <v>1</v>
      </c>
    </row>
    <row r="7" spans="1:7">
      <c r="A7" s="322"/>
      <c r="B7" s="339" t="s">
        <v>1670</v>
      </c>
      <c r="C7" s="308"/>
      <c r="D7" s="293"/>
      <c r="E7" s="385" t="s">
        <v>1393</v>
      </c>
      <c r="F7" s="383" t="b">
        <v>1</v>
      </c>
    </row>
    <row r="8" spans="1:7">
      <c r="A8" s="322"/>
      <c r="B8" s="339" t="s">
        <v>1669</v>
      </c>
      <c r="C8" s="308"/>
      <c r="D8" s="293"/>
      <c r="E8" s="385" t="s">
        <v>1393</v>
      </c>
      <c r="F8" s="383" t="b">
        <v>1</v>
      </c>
    </row>
    <row r="9" spans="1:7">
      <c r="A9" s="322"/>
      <c r="B9" s="339" t="s">
        <v>1454</v>
      </c>
      <c r="C9" s="311"/>
      <c r="D9" s="293"/>
      <c r="E9" s="386" t="s">
        <v>1460</v>
      </c>
      <c r="F9" s="383" t="b">
        <v>1</v>
      </c>
    </row>
    <row r="10" spans="1:7" ht="26.25" customHeight="1" thickBot="1">
      <c r="A10" s="323"/>
      <c r="B10" s="245" t="s">
        <v>1408</v>
      </c>
      <c r="C10" s="307"/>
      <c r="D10" s="171"/>
      <c r="E10" s="384" t="s">
        <v>1316</v>
      </c>
      <c r="F10" s="383" t="b">
        <v>1</v>
      </c>
      <c r="G10" s="102"/>
    </row>
    <row r="11" spans="1:7">
      <c r="A11" s="531" t="s">
        <v>1453</v>
      </c>
      <c r="B11" s="159" t="s">
        <v>1412</v>
      </c>
      <c r="C11" s="308"/>
      <c r="D11" s="155"/>
      <c r="E11" s="385" t="s">
        <v>1546</v>
      </c>
      <c r="F11" s="383" t="b">
        <v>1</v>
      </c>
    </row>
    <row r="12" spans="1:7">
      <c r="A12" s="532"/>
      <c r="B12" s="159" t="s">
        <v>1413</v>
      </c>
      <c r="C12" s="308"/>
      <c r="D12" s="155"/>
      <c r="E12" s="385" t="s">
        <v>1546</v>
      </c>
      <c r="F12" s="383" t="b">
        <v>1</v>
      </c>
    </row>
    <row r="13" spans="1:7">
      <c r="A13" s="532"/>
      <c r="B13" s="159" t="s">
        <v>1414</v>
      </c>
      <c r="C13" s="308"/>
      <c r="D13" s="155"/>
      <c r="E13" s="385" t="s">
        <v>1393</v>
      </c>
      <c r="F13" s="383" t="b">
        <v>1</v>
      </c>
    </row>
    <row r="14" spans="1:7" ht="13.5" thickBot="1">
      <c r="A14" s="533"/>
      <c r="B14" s="339" t="s">
        <v>1416</v>
      </c>
      <c r="C14" s="306"/>
      <c r="D14" s="293"/>
      <c r="E14" s="386" t="s">
        <v>1417</v>
      </c>
      <c r="F14" s="383" t="b">
        <v>1</v>
      </c>
    </row>
    <row r="15" spans="1:7">
      <c r="A15" s="531" t="s">
        <v>1415</v>
      </c>
      <c r="B15" s="165" t="s">
        <v>1419</v>
      </c>
      <c r="C15" s="305"/>
      <c r="D15" s="166"/>
      <c r="E15" s="385" t="s">
        <v>1393</v>
      </c>
      <c r="F15" s="383" t="b">
        <v>1</v>
      </c>
    </row>
    <row r="16" spans="1:7">
      <c r="A16" s="532"/>
      <c r="B16" s="239" t="s">
        <v>1461</v>
      </c>
      <c r="C16" s="313"/>
      <c r="D16" s="300"/>
      <c r="E16" s="385" t="s">
        <v>1393</v>
      </c>
      <c r="F16" s="383" t="b">
        <v>1</v>
      </c>
    </row>
    <row r="17" spans="1:7">
      <c r="A17" s="532"/>
      <c r="B17" s="159" t="s">
        <v>1462</v>
      </c>
      <c r="C17" s="308"/>
      <c r="D17" s="155"/>
      <c r="E17" s="385" t="s">
        <v>1393</v>
      </c>
      <c r="F17" s="383" t="b">
        <v>1</v>
      </c>
      <c r="G17" s="102"/>
    </row>
    <row r="18" spans="1:7" ht="25.5">
      <c r="A18" s="532"/>
      <c r="B18" s="416" t="s">
        <v>2034</v>
      </c>
      <c r="C18" s="311" t="s">
        <v>1422</v>
      </c>
      <c r="D18" s="293"/>
      <c r="E18" s="386" t="s">
        <v>1420</v>
      </c>
      <c r="F18" s="383" t="b">
        <v>1</v>
      </c>
      <c r="G18" s="102" t="s">
        <v>2215</v>
      </c>
    </row>
    <row r="19" spans="1:7">
      <c r="A19" s="532"/>
      <c r="B19" s="415" t="s">
        <v>2035</v>
      </c>
      <c r="C19" s="311"/>
      <c r="D19" s="293"/>
      <c r="E19" s="386" t="s">
        <v>1420</v>
      </c>
      <c r="F19" s="383" t="b">
        <v>1</v>
      </c>
    </row>
    <row r="20" spans="1:7" ht="13.5" thickBot="1">
      <c r="A20" s="533"/>
      <c r="B20" s="424" t="s">
        <v>2036</v>
      </c>
      <c r="C20" s="307"/>
      <c r="D20" s="171"/>
      <c r="E20" s="386" t="s">
        <v>1420</v>
      </c>
      <c r="F20" s="383" t="b">
        <v>1</v>
      </c>
    </row>
    <row r="21" spans="1:7">
      <c r="A21" s="538" t="s">
        <v>1466</v>
      </c>
      <c r="B21" s="165" t="s">
        <v>1467</v>
      </c>
      <c r="C21" s="311"/>
      <c r="D21" s="293"/>
      <c r="E21" s="386" t="s">
        <v>1482</v>
      </c>
      <c r="F21" s="383" t="b">
        <v>1</v>
      </c>
    </row>
    <row r="22" spans="1:7" ht="25.5">
      <c r="A22" s="561"/>
      <c r="B22" s="240" t="s">
        <v>1474</v>
      </c>
      <c r="C22" s="311"/>
      <c r="D22" s="293"/>
      <c r="E22" s="386" t="s">
        <v>1479</v>
      </c>
      <c r="F22" s="383" t="b">
        <v>1</v>
      </c>
    </row>
    <row r="23" spans="1:7">
      <c r="A23" s="561"/>
      <c r="B23" s="159" t="s">
        <v>1473</v>
      </c>
      <c r="C23" s="311"/>
      <c r="D23" s="293"/>
      <c r="E23" s="386" t="s">
        <v>1479</v>
      </c>
      <c r="F23" s="383" t="b">
        <v>1</v>
      </c>
    </row>
    <row r="24" spans="1:7">
      <c r="A24" s="561"/>
      <c r="B24" s="159" t="s">
        <v>1470</v>
      </c>
      <c r="C24" s="311"/>
      <c r="D24" s="293"/>
      <c r="E24" s="386" t="s">
        <v>1479</v>
      </c>
      <c r="F24" s="383" t="b">
        <v>1</v>
      </c>
    </row>
    <row r="25" spans="1:7">
      <c r="A25" s="561"/>
      <c r="B25" s="159" t="s">
        <v>1471</v>
      </c>
      <c r="C25" s="311"/>
      <c r="D25" s="293"/>
      <c r="E25" s="386" t="s">
        <v>1479</v>
      </c>
      <c r="F25" s="383" t="b">
        <v>1</v>
      </c>
    </row>
    <row r="26" spans="1:7">
      <c r="A26" s="561"/>
      <c r="B26" s="159" t="s">
        <v>1472</v>
      </c>
      <c r="C26" s="311"/>
      <c r="D26" s="293"/>
      <c r="E26" s="386" t="s">
        <v>1479</v>
      </c>
      <c r="F26" s="383" t="b">
        <v>1</v>
      </c>
    </row>
    <row r="27" spans="1:7">
      <c r="A27" s="561"/>
      <c r="B27" s="159" t="s">
        <v>1475</v>
      </c>
      <c r="C27" s="311"/>
      <c r="D27" s="293"/>
      <c r="E27" s="386" t="s">
        <v>1479</v>
      </c>
      <c r="F27" s="383" t="b">
        <v>1</v>
      </c>
    </row>
    <row r="28" spans="1:7">
      <c r="A28" s="561"/>
      <c r="B28" s="159" t="s">
        <v>1476</v>
      </c>
      <c r="C28" s="311"/>
      <c r="D28" s="293"/>
      <c r="E28" s="386" t="s">
        <v>1479</v>
      </c>
      <c r="F28" s="383" t="b">
        <v>1</v>
      </c>
    </row>
    <row r="29" spans="1:7">
      <c r="A29" s="561"/>
      <c r="B29" s="159" t="s">
        <v>1477</v>
      </c>
      <c r="C29" s="311"/>
      <c r="D29" s="293"/>
      <c r="E29" s="386" t="s">
        <v>1479</v>
      </c>
      <c r="F29" s="383" t="b">
        <v>1</v>
      </c>
    </row>
    <row r="30" spans="1:7">
      <c r="A30" s="561"/>
      <c r="B30" s="159" t="s">
        <v>1478</v>
      </c>
      <c r="C30" s="311"/>
      <c r="D30" s="293"/>
      <c r="E30" s="386" t="s">
        <v>1479</v>
      </c>
      <c r="F30" s="383" t="b">
        <v>1</v>
      </c>
    </row>
    <row r="31" spans="1:7" ht="13.5" thickBot="1">
      <c r="A31" s="567"/>
      <c r="B31" s="172" t="s">
        <v>1468</v>
      </c>
      <c r="C31" s="309"/>
      <c r="D31" s="171"/>
      <c r="E31" s="385" t="s">
        <v>1481</v>
      </c>
      <c r="F31" s="383" t="b">
        <v>1</v>
      </c>
      <c r="G31" s="102"/>
    </row>
    <row r="32" spans="1:7">
      <c r="A32" s="561" t="s">
        <v>1449</v>
      </c>
      <c r="B32" s="239" t="s">
        <v>1395</v>
      </c>
      <c r="C32" s="313"/>
      <c r="D32" s="300"/>
      <c r="E32" s="385" t="s">
        <v>1393</v>
      </c>
      <c r="F32" s="383" t="b">
        <f>OR($C$18="Coding",$C$19="Coding",$C$20="Coding")</f>
        <v>1</v>
      </c>
    </row>
    <row r="33" spans="1:7">
      <c r="A33" s="561"/>
      <c r="B33" s="159" t="s">
        <v>1447</v>
      </c>
      <c r="C33" s="308"/>
      <c r="D33" s="155"/>
      <c r="E33" s="385" t="s">
        <v>1393</v>
      </c>
      <c r="F33" s="383" t="b">
        <f t="shared" ref="F33:F39" si="0">OR($C$18="Coding",$C$19="Coding",$C$20="Coding")</f>
        <v>1</v>
      </c>
    </row>
    <row r="34" spans="1:7">
      <c r="A34" s="561"/>
      <c r="B34" s="326" t="s">
        <v>1448</v>
      </c>
      <c r="C34" s="308"/>
      <c r="D34" s="155"/>
      <c r="E34" s="385" t="s">
        <v>1393</v>
      </c>
      <c r="F34" s="383" t="b">
        <f t="shared" si="0"/>
        <v>1</v>
      </c>
    </row>
    <row r="35" spans="1:7">
      <c r="A35" s="561"/>
      <c r="B35" s="326" t="s">
        <v>1451</v>
      </c>
      <c r="C35" s="308"/>
      <c r="D35" s="155"/>
      <c r="E35" s="385" t="s">
        <v>1393</v>
      </c>
      <c r="F35" s="383" t="b">
        <f t="shared" si="0"/>
        <v>1</v>
      </c>
    </row>
    <row r="36" spans="1:7">
      <c r="A36" s="561"/>
      <c r="B36" s="159" t="s">
        <v>1450</v>
      </c>
      <c r="C36" s="312"/>
      <c r="D36" s="155"/>
      <c r="E36" s="386" t="s">
        <v>1490</v>
      </c>
      <c r="F36" s="383" t="b">
        <f t="shared" si="0"/>
        <v>1</v>
      </c>
    </row>
    <row r="37" spans="1:7">
      <c r="A37" s="561"/>
      <c r="B37" s="159" t="s">
        <v>1492</v>
      </c>
      <c r="C37" s="312"/>
      <c r="D37" s="155"/>
      <c r="E37" s="386" t="s">
        <v>1490</v>
      </c>
      <c r="F37" s="383" t="b">
        <f t="shared" si="0"/>
        <v>1</v>
      </c>
    </row>
    <row r="38" spans="1:7" ht="13.5" thickBot="1">
      <c r="A38" s="567"/>
      <c r="B38" s="172" t="s">
        <v>1503</v>
      </c>
      <c r="C38" s="433"/>
      <c r="D38" s="171"/>
      <c r="E38" s="386" t="s">
        <v>1501</v>
      </c>
      <c r="F38" s="383" t="b">
        <f t="shared" si="0"/>
        <v>1</v>
      </c>
    </row>
    <row r="39" spans="1:7">
      <c r="A39" s="561" t="s">
        <v>1923</v>
      </c>
      <c r="B39" s="159" t="s">
        <v>1931</v>
      </c>
      <c r="C39" s="312"/>
      <c r="D39" s="155"/>
      <c r="E39" s="386" t="s">
        <v>1490</v>
      </c>
      <c r="F39" s="383" t="b">
        <v>1</v>
      </c>
    </row>
    <row r="40" spans="1:7" ht="13.5" thickBot="1">
      <c r="A40" s="567"/>
      <c r="B40" s="172" t="s">
        <v>1930</v>
      </c>
      <c r="C40" s="433"/>
      <c r="D40" s="171"/>
      <c r="E40" s="386" t="s">
        <v>1493</v>
      </c>
      <c r="F40" s="383" t="b">
        <v>1</v>
      </c>
    </row>
    <row r="41" spans="1:7" ht="13.5" thickBot="1">
      <c r="A41" s="375" t="s">
        <v>1900</v>
      </c>
      <c r="B41" s="354" t="s">
        <v>1933</v>
      </c>
      <c r="C41" s="307"/>
      <c r="D41" s="171"/>
      <c r="E41" s="384" t="s">
        <v>1338</v>
      </c>
      <c r="F41" s="383" t="b">
        <v>1</v>
      </c>
    </row>
    <row r="42" spans="1:7" ht="13.5" thickBot="1"/>
    <row r="43" spans="1:7" ht="21" thickBot="1">
      <c r="A43" s="524" t="s">
        <v>1695</v>
      </c>
      <c r="B43" s="525"/>
      <c r="C43" s="525"/>
      <c r="D43" s="526"/>
      <c r="E43" s="137"/>
    </row>
    <row r="44" spans="1:7" ht="13.5" thickBot="1">
      <c r="A44" s="518" t="s">
        <v>1684</v>
      </c>
      <c r="B44" s="519"/>
      <c r="C44" s="519"/>
      <c r="D44" s="520"/>
      <c r="E44" s="137"/>
    </row>
    <row r="45" spans="1:7">
      <c r="A45" s="336" t="s">
        <v>1329</v>
      </c>
      <c r="B45" s="337" t="s">
        <v>4</v>
      </c>
      <c r="C45" s="337" t="s">
        <v>1343</v>
      </c>
      <c r="D45" s="338" t="s">
        <v>1308</v>
      </c>
      <c r="E45" s="137"/>
    </row>
    <row r="46" spans="1:7">
      <c r="A46" s="521" t="s">
        <v>1685</v>
      </c>
      <c r="B46" s="159" t="s">
        <v>1686</v>
      </c>
      <c r="C46" s="306" t="s">
        <v>784</v>
      </c>
      <c r="D46" s="155"/>
      <c r="E46" s="384" t="s">
        <v>1338</v>
      </c>
      <c r="F46" s="383" t="b">
        <v>1</v>
      </c>
      <c r="G46" s="102" t="s">
        <v>2216</v>
      </c>
    </row>
    <row r="47" spans="1:7">
      <c r="A47" s="521"/>
      <c r="B47" s="159" t="s">
        <v>1687</v>
      </c>
      <c r="C47" s="431"/>
      <c r="D47" s="155"/>
      <c r="E47" s="387" t="s">
        <v>1391</v>
      </c>
      <c r="F47" s="383" t="b">
        <f>C$46="Yes"</f>
        <v>1</v>
      </c>
    </row>
    <row r="48" spans="1:7">
      <c r="A48" s="521"/>
      <c r="B48" s="159" t="s">
        <v>1688</v>
      </c>
      <c r="C48" s="434"/>
      <c r="D48" s="155"/>
      <c r="E48" s="387" t="s">
        <v>1693</v>
      </c>
      <c r="F48" s="383" t="b">
        <f t="shared" ref="F48:F53" si="1">C$46="Yes"</f>
        <v>1</v>
      </c>
    </row>
    <row r="49" spans="1:6">
      <c r="A49" s="521"/>
      <c r="B49" s="159" t="s">
        <v>1689</v>
      </c>
      <c r="C49" s="434"/>
      <c r="D49" s="155"/>
      <c r="E49" s="387" t="s">
        <v>1693</v>
      </c>
      <c r="F49" s="383" t="b">
        <f t="shared" si="1"/>
        <v>1</v>
      </c>
    </row>
    <row r="50" spans="1:6">
      <c r="A50" s="521"/>
      <c r="B50" s="159" t="s">
        <v>1690</v>
      </c>
      <c r="C50" s="431"/>
      <c r="D50" s="155"/>
      <c r="E50" s="387" t="s">
        <v>1391</v>
      </c>
      <c r="F50" s="383" t="b">
        <f t="shared" si="1"/>
        <v>1</v>
      </c>
    </row>
    <row r="51" spans="1:6">
      <c r="A51" s="521"/>
      <c r="B51" s="159" t="s">
        <v>1691</v>
      </c>
      <c r="C51" s="434"/>
      <c r="D51" s="155"/>
      <c r="E51" s="387" t="s">
        <v>1693</v>
      </c>
      <c r="F51" s="383" t="b">
        <f t="shared" si="1"/>
        <v>1</v>
      </c>
    </row>
    <row r="52" spans="1:6">
      <c r="A52" s="522"/>
      <c r="B52" s="339" t="s">
        <v>1692</v>
      </c>
      <c r="C52" s="435"/>
      <c r="D52" s="293"/>
      <c r="E52" s="387" t="s">
        <v>1694</v>
      </c>
      <c r="F52" s="383" t="b">
        <f t="shared" si="1"/>
        <v>1</v>
      </c>
    </row>
    <row r="53" spans="1:6" ht="26.25" thickBot="1">
      <c r="A53" s="523"/>
      <c r="B53" s="245" t="s">
        <v>1696</v>
      </c>
      <c r="C53" s="436"/>
      <c r="D53" s="171"/>
      <c r="E53" s="387" t="s">
        <v>1694</v>
      </c>
      <c r="F53" s="383" t="b">
        <f t="shared" si="1"/>
        <v>1</v>
      </c>
    </row>
  </sheetData>
  <mergeCells count="12">
    <mergeCell ref="A39:A40"/>
    <mergeCell ref="F1:F3"/>
    <mergeCell ref="A43:D43"/>
    <mergeCell ref="A44:D44"/>
    <mergeCell ref="A46:A53"/>
    <mergeCell ref="A11:A14"/>
    <mergeCell ref="A15:A20"/>
    <mergeCell ref="A21:A31"/>
    <mergeCell ref="A32:A38"/>
    <mergeCell ref="A1:D1"/>
    <mergeCell ref="E1:E3"/>
    <mergeCell ref="A2:D2"/>
  </mergeCells>
  <conditionalFormatting sqref="F4:F41">
    <cfRule type="cellIs" dxfId="157" priority="4" operator="equal">
      <formula>TRUE</formula>
    </cfRule>
  </conditionalFormatting>
  <conditionalFormatting sqref="F46:F53">
    <cfRule type="cellIs" dxfId="156" priority="2" operator="equal">
      <formula>TRUE</formula>
    </cfRule>
  </conditionalFormatting>
  <conditionalFormatting sqref="A4:D40 A46:D53">
    <cfRule type="expression" dxfId="155" priority="1">
      <formula>$F4=FALSE</formula>
    </cfRule>
  </conditionalFormatting>
  <dataValidations count="3">
    <dataValidation type="list" allowBlank="1" showInputMessage="1" showErrorMessage="1" sqref="C14 C18:C30 C9:C10 C46 C36:C41" xr:uid="{357E896E-04DB-4961-A76A-448D44895298}">
      <formula1>INDIRECT($E9)</formula1>
    </dataValidation>
    <dataValidation type="whole" operator="greaterThanOrEqual" allowBlank="1" showInputMessage="1" showErrorMessage="1" sqref="C47 C50" xr:uid="{EB9222FB-8A3E-4DCC-BFCD-DC68BFC9A9A1}">
      <formula1>0</formula1>
    </dataValidation>
    <dataValidation type="decimal" operator="greaterThanOrEqual" allowBlank="1" showInputMessage="1" showErrorMessage="1" sqref="C51:C53 C48:C49" xr:uid="{20AC11C3-D2E7-49A1-8C0C-DB9E26439136}">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F55A5-1F57-4322-876A-2D4ADA80D8F1}">
  <sheetPr>
    <tabColor theme="6" tint="0.79998168889431442"/>
  </sheetPr>
  <dimension ref="A1:G30"/>
  <sheetViews>
    <sheetView workbookViewId="0">
      <selection activeCell="C13" sqref="C13"/>
    </sheetView>
  </sheetViews>
  <sheetFormatPr defaultRowHeight="12.75"/>
  <cols>
    <col min="1" max="1" width="20" style="37" customWidth="1"/>
    <col min="2" max="2" width="86.5703125" style="37" customWidth="1"/>
    <col min="3" max="3" width="33.28515625" style="314" customWidth="1"/>
    <col min="4" max="4" width="16.85546875" style="37" customWidth="1"/>
    <col min="5" max="5" width="32" style="37" customWidth="1"/>
    <col min="6" max="6" width="17.42578125" style="37" customWidth="1"/>
    <col min="7" max="16384" width="9.140625" style="37"/>
  </cols>
  <sheetData>
    <row r="1" spans="1:7" ht="20.25">
      <c r="A1" s="545" t="s">
        <v>1908</v>
      </c>
      <c r="B1" s="546"/>
      <c r="C1" s="546"/>
      <c r="D1" s="547"/>
      <c r="E1" s="552" t="s">
        <v>1907</v>
      </c>
      <c r="F1" s="517" t="s">
        <v>1953</v>
      </c>
    </row>
    <row r="2" spans="1:7" ht="13.5" thickBot="1">
      <c r="A2" s="568" t="s">
        <v>1434</v>
      </c>
      <c r="B2" s="569"/>
      <c r="C2" s="569"/>
      <c r="D2" s="570"/>
      <c r="E2" s="553"/>
      <c r="F2" s="517"/>
    </row>
    <row r="3" spans="1:7" ht="13.5" thickBot="1">
      <c r="A3" s="336" t="s">
        <v>1329</v>
      </c>
      <c r="B3" s="337" t="s">
        <v>4</v>
      </c>
      <c r="C3" s="337" t="s">
        <v>1343</v>
      </c>
      <c r="D3" s="338" t="s">
        <v>1308</v>
      </c>
      <c r="E3" s="553"/>
      <c r="F3" s="517"/>
    </row>
    <row r="4" spans="1:7">
      <c r="A4" s="521" t="s">
        <v>1435</v>
      </c>
      <c r="B4" s="159" t="s">
        <v>2218</v>
      </c>
      <c r="C4" s="165"/>
      <c r="D4" s="166"/>
      <c r="E4" s="385" t="s">
        <v>1546</v>
      </c>
      <c r="F4" s="383" t="b">
        <v>1</v>
      </c>
    </row>
    <row r="5" spans="1:7">
      <c r="A5" s="521"/>
      <c r="B5" s="159" t="s">
        <v>1441</v>
      </c>
      <c r="C5" s="316"/>
      <c r="D5" s="155"/>
      <c r="E5" s="384" t="s">
        <v>1338</v>
      </c>
      <c r="F5" s="383" t="b">
        <v>1</v>
      </c>
    </row>
    <row r="6" spans="1:7">
      <c r="A6" s="521"/>
      <c r="B6" s="159" t="s">
        <v>1442</v>
      </c>
      <c r="C6" s="306"/>
      <c r="D6" s="155"/>
      <c r="E6" s="384" t="s">
        <v>1338</v>
      </c>
      <c r="F6" s="383" t="b">
        <v>1</v>
      </c>
    </row>
    <row r="7" spans="1:7">
      <c r="A7" s="521"/>
      <c r="B7" s="159" t="s">
        <v>1443</v>
      </c>
      <c r="C7" s="306"/>
      <c r="D7" s="155"/>
      <c r="E7" s="384" t="s">
        <v>1338</v>
      </c>
      <c r="F7" s="383" t="b">
        <v>1</v>
      </c>
    </row>
    <row r="8" spans="1:7">
      <c r="A8" s="521"/>
      <c r="B8" s="159" t="s">
        <v>1444</v>
      </c>
      <c r="C8" s="306"/>
      <c r="D8" s="155"/>
      <c r="E8" s="384" t="s">
        <v>1338</v>
      </c>
      <c r="F8" s="383" t="b">
        <v>1</v>
      </c>
    </row>
    <row r="9" spans="1:7" ht="13.5" thickBot="1">
      <c r="A9" s="522"/>
      <c r="B9" s="339" t="s">
        <v>1504</v>
      </c>
      <c r="C9" s="311"/>
      <c r="D9" s="293"/>
      <c r="E9" s="384" t="s">
        <v>1338</v>
      </c>
      <c r="F9" s="383" t="b">
        <v>1</v>
      </c>
    </row>
    <row r="10" spans="1:7">
      <c r="A10" s="692" t="s">
        <v>1540</v>
      </c>
      <c r="B10" s="165" t="s">
        <v>1439</v>
      </c>
      <c r="C10" s="305"/>
      <c r="D10" s="166"/>
      <c r="E10" s="385" t="s">
        <v>1546</v>
      </c>
      <c r="F10" s="383" t="b">
        <v>1</v>
      </c>
    </row>
    <row r="11" spans="1:7" ht="25.5">
      <c r="A11" s="696"/>
      <c r="B11" s="240" t="s">
        <v>1538</v>
      </c>
      <c r="C11" s="306"/>
      <c r="D11" s="155"/>
      <c r="E11" s="384" t="s">
        <v>1338</v>
      </c>
      <c r="F11" s="383" t="b">
        <v>1</v>
      </c>
    </row>
    <row r="12" spans="1:7" ht="13.5" customHeight="1" thickBot="1">
      <c r="A12" s="697"/>
      <c r="B12" s="245" t="s">
        <v>1539</v>
      </c>
      <c r="C12" s="309"/>
      <c r="D12" s="171"/>
      <c r="E12" s="389" t="s">
        <v>1393</v>
      </c>
      <c r="F12" s="383" t="b">
        <f>C11&lt;&gt;"Yes"</f>
        <v>1</v>
      </c>
    </row>
    <row r="13" spans="1:7" ht="13.5" thickBot="1">
      <c r="A13" s="244" t="s">
        <v>2233</v>
      </c>
      <c r="B13" s="724" t="s">
        <v>2234</v>
      </c>
      <c r="C13" s="320"/>
      <c r="D13" s="293"/>
      <c r="E13" s="384" t="s">
        <v>1338</v>
      </c>
      <c r="F13" s="383" t="b">
        <v>1</v>
      </c>
      <c r="G13" s="102" t="s">
        <v>2235</v>
      </c>
    </row>
    <row r="14" spans="1:7">
      <c r="A14" s="541" t="s">
        <v>1463</v>
      </c>
      <c r="B14" s="165" t="s">
        <v>1706</v>
      </c>
      <c r="C14" s="725"/>
      <c r="D14" s="166"/>
      <c r="E14" s="382" t="s">
        <v>2133</v>
      </c>
      <c r="F14" s="383" t="b">
        <f>$C$13&lt;&gt;"No"</f>
        <v>1</v>
      </c>
      <c r="G14" s="102"/>
    </row>
    <row r="15" spans="1:7">
      <c r="A15" s="542"/>
      <c r="B15" s="239" t="s">
        <v>1485</v>
      </c>
      <c r="C15" s="331"/>
      <c r="D15" s="300"/>
      <c r="E15" s="386" t="s">
        <v>1464</v>
      </c>
      <c r="F15" s="383" t="b">
        <f t="shared" ref="F15:F20" si="0">$C$13&lt;&gt;"No"</f>
        <v>1</v>
      </c>
      <c r="G15" s="102"/>
    </row>
    <row r="16" spans="1:7">
      <c r="A16" s="521"/>
      <c r="B16" s="159" t="s">
        <v>1486</v>
      </c>
      <c r="C16" s="316"/>
      <c r="D16" s="155"/>
      <c r="E16" s="386" t="s">
        <v>1464</v>
      </c>
      <c r="F16" s="383" t="b">
        <f t="shared" si="0"/>
        <v>1</v>
      </c>
      <c r="G16" s="102"/>
    </row>
    <row r="17" spans="1:7">
      <c r="A17" s="521"/>
      <c r="B17" s="159" t="s">
        <v>1487</v>
      </c>
      <c r="C17" s="316"/>
      <c r="D17" s="155"/>
      <c r="E17" s="386" t="s">
        <v>1512</v>
      </c>
      <c r="F17" s="383" t="b">
        <f t="shared" si="0"/>
        <v>1</v>
      </c>
      <c r="G17" s="102"/>
    </row>
    <row r="18" spans="1:7">
      <c r="A18" s="521"/>
      <c r="B18" s="159" t="s">
        <v>1488</v>
      </c>
      <c r="C18" s="316"/>
      <c r="D18" s="155"/>
      <c r="E18" s="386" t="s">
        <v>1514</v>
      </c>
      <c r="F18" s="383" t="b">
        <f t="shared" si="0"/>
        <v>1</v>
      </c>
      <c r="G18" s="102"/>
    </row>
    <row r="19" spans="1:7">
      <c r="A19" s="521"/>
      <c r="B19" s="159" t="s">
        <v>1489</v>
      </c>
      <c r="C19" s="316"/>
      <c r="D19" s="155"/>
      <c r="E19" s="384" t="s">
        <v>1338</v>
      </c>
      <c r="F19" s="383" t="b">
        <f t="shared" si="0"/>
        <v>1</v>
      </c>
      <c r="G19" s="102"/>
    </row>
    <row r="20" spans="1:7" ht="13.5" thickBot="1">
      <c r="A20" s="523"/>
      <c r="B20" s="172" t="s">
        <v>1541</v>
      </c>
      <c r="C20" s="170"/>
      <c r="D20" s="171"/>
      <c r="E20" s="385" t="s">
        <v>1546</v>
      </c>
      <c r="F20" s="383" t="b">
        <f t="shared" si="0"/>
        <v>1</v>
      </c>
      <c r="G20" s="102"/>
    </row>
    <row r="21" spans="1:7">
      <c r="A21" s="541" t="s">
        <v>1920</v>
      </c>
      <c r="B21" s="165" t="s">
        <v>1921</v>
      </c>
      <c r="C21" s="310"/>
      <c r="D21" s="166"/>
      <c r="E21" s="386" t="s">
        <v>1903</v>
      </c>
      <c r="F21" s="383" t="b">
        <v>1</v>
      </c>
    </row>
    <row r="22" spans="1:7">
      <c r="A22" s="521"/>
      <c r="B22" s="159" t="s">
        <v>1922</v>
      </c>
      <c r="C22" s="306"/>
      <c r="D22" s="155"/>
      <c r="E22" s="386" t="s">
        <v>1903</v>
      </c>
      <c r="F22" s="383" t="b">
        <v>1</v>
      </c>
    </row>
    <row r="23" spans="1:7" ht="13.5" thickBot="1">
      <c r="A23" s="523"/>
      <c r="B23" s="172" t="s">
        <v>1932</v>
      </c>
      <c r="C23" s="307"/>
      <c r="D23" s="171"/>
      <c r="E23" s="386" t="s">
        <v>1903</v>
      </c>
      <c r="F23" s="383" t="b">
        <v>1</v>
      </c>
    </row>
    <row r="24" spans="1:7" ht="13.5" thickBot="1">
      <c r="A24" s="321" t="s">
        <v>1900</v>
      </c>
      <c r="B24" s="356" t="s">
        <v>1901</v>
      </c>
      <c r="C24" s="441"/>
      <c r="D24" s="353"/>
      <c r="E24" s="384" t="s">
        <v>1338</v>
      </c>
      <c r="F24" s="383" t="b">
        <v>1</v>
      </c>
    </row>
    <row r="25" spans="1:7" ht="13.5" thickBot="1"/>
    <row r="26" spans="1:7" ht="21" thickBot="1">
      <c r="A26" s="524" t="s">
        <v>2005</v>
      </c>
      <c r="B26" s="525"/>
      <c r="C26" s="525"/>
      <c r="D26" s="526"/>
    </row>
    <row r="27" spans="1:7">
      <c r="A27" s="518" t="s">
        <v>1684</v>
      </c>
      <c r="B27" s="519"/>
      <c r="C27" s="519"/>
      <c r="D27" s="520"/>
    </row>
    <row r="28" spans="1:7">
      <c r="A28" s="243" t="s">
        <v>1329</v>
      </c>
      <c r="B28" s="243" t="s">
        <v>4</v>
      </c>
      <c r="C28" s="243" t="s">
        <v>1343</v>
      </c>
      <c r="D28" s="243" t="s">
        <v>1308</v>
      </c>
    </row>
    <row r="29" spans="1:7">
      <c r="A29" s="543" t="s">
        <v>1983</v>
      </c>
      <c r="B29" s="159" t="s">
        <v>1985</v>
      </c>
      <c r="C29" s="306"/>
      <c r="D29" s="99"/>
      <c r="E29" s="349" t="s">
        <v>1338</v>
      </c>
      <c r="F29" s="383" t="b">
        <v>1</v>
      </c>
    </row>
    <row r="30" spans="1:7">
      <c r="A30" s="544"/>
      <c r="B30" s="159" t="s">
        <v>1984</v>
      </c>
      <c r="C30" s="431"/>
      <c r="D30" s="99"/>
      <c r="E30" s="382" t="s">
        <v>1619</v>
      </c>
      <c r="F30" s="383" t="b">
        <v>1</v>
      </c>
    </row>
  </sheetData>
  <mergeCells count="11">
    <mergeCell ref="A26:D26"/>
    <mergeCell ref="A27:D27"/>
    <mergeCell ref="A29:A30"/>
    <mergeCell ref="E1:E3"/>
    <mergeCell ref="F1:F3"/>
    <mergeCell ref="A10:A12"/>
    <mergeCell ref="A14:A20"/>
    <mergeCell ref="A21:A23"/>
    <mergeCell ref="A1:D1"/>
    <mergeCell ref="A2:D2"/>
    <mergeCell ref="A4:A9"/>
  </mergeCells>
  <conditionalFormatting sqref="F6:F9 F21:F24">
    <cfRule type="cellIs" dxfId="154" priority="11" operator="equal">
      <formula>TRUE</formula>
    </cfRule>
  </conditionalFormatting>
  <conditionalFormatting sqref="F29:F30">
    <cfRule type="cellIs" dxfId="153" priority="9" operator="equal">
      <formula>TRUE</formula>
    </cfRule>
  </conditionalFormatting>
  <conditionalFormatting sqref="F10:F11">
    <cfRule type="cellIs" dxfId="152" priority="7" operator="equal">
      <formula>TRUE</formula>
    </cfRule>
  </conditionalFormatting>
  <conditionalFormatting sqref="F12">
    <cfRule type="cellIs" dxfId="151" priority="6" operator="equal">
      <formula>TRUE</formula>
    </cfRule>
  </conditionalFormatting>
  <conditionalFormatting sqref="B12:D12">
    <cfRule type="expression" dxfId="150" priority="5">
      <formula>$F12=FALSE</formula>
    </cfRule>
  </conditionalFormatting>
  <conditionalFormatting sqref="F4:F5">
    <cfRule type="cellIs" dxfId="149" priority="4" operator="equal">
      <formula>TRUE</formula>
    </cfRule>
  </conditionalFormatting>
  <conditionalFormatting sqref="F13:F20">
    <cfRule type="cellIs" dxfId="148" priority="2" operator="equal">
      <formula>TRUE</formula>
    </cfRule>
  </conditionalFormatting>
  <conditionalFormatting sqref="A4:D24">
    <cfRule type="expression" dxfId="147" priority="1">
      <formula>$F4=FALSE</formula>
    </cfRule>
  </conditionalFormatting>
  <dataValidations count="3">
    <dataValidation type="date" operator="greaterThan" allowBlank="1" showInputMessage="1" showErrorMessage="1" sqref="C14" xr:uid="{4792AA87-0D41-44E7-A51D-A24C8AF573D0}">
      <formula1>43466</formula1>
    </dataValidation>
    <dataValidation type="list" allowBlank="1" showInputMessage="1" showErrorMessage="1" sqref="C21:C24 C11 C15:C19 C29 C5:C9 C13" xr:uid="{ADF5FA20-0C24-4B0B-AFE9-A20B6040D720}">
      <formula1>INDIRECT($E5)</formula1>
    </dataValidation>
    <dataValidation type="whole" operator="greaterThanOrEqual" allowBlank="1" showInputMessage="1" showErrorMessage="1" sqref="C30" xr:uid="{102EAAFF-7F17-4B61-9364-FF3BBC05CE29}">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D549-D70E-4755-9C55-CC97A7DD7DE9}">
  <sheetPr>
    <tabColor theme="4" tint="0.79998168889431442"/>
  </sheetPr>
  <dimension ref="A1:G30"/>
  <sheetViews>
    <sheetView workbookViewId="0">
      <selection activeCell="C9" sqref="C9"/>
    </sheetView>
  </sheetViews>
  <sheetFormatPr defaultRowHeight="12.75"/>
  <cols>
    <col min="1" max="1" width="20" style="37" customWidth="1"/>
    <col min="2" max="2" width="86.5703125" style="37" customWidth="1"/>
    <col min="3" max="3" width="33.28515625" style="314" customWidth="1"/>
    <col min="4" max="4" width="16.85546875" style="37" customWidth="1"/>
    <col min="5" max="5" width="40.140625" style="37" customWidth="1"/>
    <col min="6" max="6" width="20.28515625" style="37" customWidth="1"/>
    <col min="7" max="16384" width="9.140625" style="37"/>
  </cols>
  <sheetData>
    <row r="1" spans="1:7" ht="20.25">
      <c r="A1" s="571" t="s">
        <v>1542</v>
      </c>
      <c r="B1" s="572"/>
      <c r="C1" s="572"/>
      <c r="D1" s="573"/>
      <c r="E1" s="527" t="s">
        <v>1907</v>
      </c>
      <c r="F1" s="517" t="s">
        <v>1953</v>
      </c>
    </row>
    <row r="2" spans="1:7" ht="13.5" thickBot="1">
      <c r="A2" s="574" t="s">
        <v>1430</v>
      </c>
      <c r="B2" s="575"/>
      <c r="C2" s="575"/>
      <c r="D2" s="576"/>
      <c r="E2" s="528"/>
      <c r="F2" s="517"/>
    </row>
    <row r="3" spans="1:7" ht="13.5" thickBot="1">
      <c r="A3" s="693" t="s">
        <v>1329</v>
      </c>
      <c r="B3" s="694" t="s">
        <v>4</v>
      </c>
      <c r="C3" s="694" t="s">
        <v>1343</v>
      </c>
      <c r="D3" s="728" t="s">
        <v>1308</v>
      </c>
      <c r="E3" s="528"/>
      <c r="F3" s="517"/>
    </row>
    <row r="4" spans="1:7">
      <c r="A4" s="563" t="s">
        <v>1429</v>
      </c>
      <c r="B4" s="165" t="s">
        <v>1432</v>
      </c>
      <c r="C4" s="305"/>
      <c r="D4" s="166"/>
      <c r="E4" s="389" t="s">
        <v>1517</v>
      </c>
      <c r="F4" s="383" t="b">
        <v>1</v>
      </c>
    </row>
    <row r="5" spans="1:7">
      <c r="A5" s="564"/>
      <c r="B5" s="159" t="s">
        <v>1518</v>
      </c>
      <c r="C5" s="308"/>
      <c r="D5" s="155"/>
      <c r="E5" s="389" t="s">
        <v>1519</v>
      </c>
      <c r="F5" s="383" t="b">
        <v>1</v>
      </c>
    </row>
    <row r="6" spans="1:7">
      <c r="A6" s="564"/>
      <c r="B6" s="159" t="s">
        <v>1405</v>
      </c>
      <c r="C6" s="308"/>
      <c r="D6" s="155"/>
      <c r="E6" s="385" t="s">
        <v>1546</v>
      </c>
      <c r="F6" s="383" t="b">
        <v>1</v>
      </c>
    </row>
    <row r="7" spans="1:7">
      <c r="A7" s="564"/>
      <c r="B7" s="159" t="s">
        <v>1431</v>
      </c>
      <c r="C7" s="308"/>
      <c r="D7" s="155"/>
      <c r="E7" s="385" t="s">
        <v>1393</v>
      </c>
      <c r="F7" s="383" t="b">
        <v>1</v>
      </c>
    </row>
    <row r="8" spans="1:7">
      <c r="A8" s="564"/>
      <c r="B8" s="159" t="s">
        <v>1566</v>
      </c>
      <c r="C8" s="306" t="s">
        <v>1569</v>
      </c>
      <c r="D8" s="155"/>
      <c r="E8" s="386" t="s">
        <v>1568</v>
      </c>
      <c r="F8" s="383" t="b">
        <v>1</v>
      </c>
      <c r="G8" s="102" t="s">
        <v>2217</v>
      </c>
    </row>
    <row r="9" spans="1:7" ht="13.5" thickBot="1">
      <c r="A9" s="565"/>
      <c r="B9" s="172" t="s">
        <v>2238</v>
      </c>
      <c r="C9" s="307"/>
      <c r="D9" s="171"/>
      <c r="E9" s="386" t="s">
        <v>1338</v>
      </c>
      <c r="F9" s="383" t="b">
        <v>1</v>
      </c>
      <c r="G9" s="102"/>
    </row>
    <row r="10" spans="1:7" ht="12.75" customHeight="1">
      <c r="A10" s="561" t="s">
        <v>1889</v>
      </c>
      <c r="B10" s="239" t="s">
        <v>1516</v>
      </c>
      <c r="C10" s="432"/>
      <c r="D10" s="300"/>
      <c r="E10" s="386" t="s">
        <v>1608</v>
      </c>
      <c r="F10" s="383" t="b">
        <f>NOT(ISERROR(FIND("code",$C$8)))</f>
        <v>1</v>
      </c>
    </row>
    <row r="11" spans="1:7">
      <c r="A11" s="561"/>
      <c r="B11" s="159" t="s">
        <v>1589</v>
      </c>
      <c r="C11" s="306"/>
      <c r="D11" s="155"/>
      <c r="E11" s="386" t="s">
        <v>1584</v>
      </c>
      <c r="F11" s="383" t="b">
        <f t="shared" ref="F11:F19" si="0">NOT(ISERROR(FIND("code",$C$8)))</f>
        <v>1</v>
      </c>
    </row>
    <row r="12" spans="1:7">
      <c r="A12" s="561"/>
      <c r="B12" s="159" t="s">
        <v>1520</v>
      </c>
      <c r="C12" s="308"/>
      <c r="D12" s="155"/>
      <c r="E12" s="385" t="s">
        <v>1393</v>
      </c>
      <c r="F12" s="383" t="b">
        <f t="shared" si="0"/>
        <v>1</v>
      </c>
    </row>
    <row r="13" spans="1:7">
      <c r="A13" s="561"/>
      <c r="B13" s="159" t="s">
        <v>1604</v>
      </c>
      <c r="C13" s="308"/>
      <c r="D13" s="155"/>
      <c r="E13" s="385" t="s">
        <v>1393</v>
      </c>
      <c r="F13" s="383" t="b">
        <f t="shared" si="0"/>
        <v>1</v>
      </c>
    </row>
    <row r="14" spans="1:7">
      <c r="A14" s="561"/>
      <c r="B14" s="159" t="s">
        <v>1605</v>
      </c>
      <c r="C14" s="308"/>
      <c r="D14" s="155"/>
      <c r="E14" s="385" t="s">
        <v>1393</v>
      </c>
      <c r="F14" s="383" t="b">
        <f t="shared" si="0"/>
        <v>1</v>
      </c>
    </row>
    <row r="15" spans="1:7" ht="13.5" thickBot="1">
      <c r="A15" s="561"/>
      <c r="B15" s="339" t="s">
        <v>1536</v>
      </c>
      <c r="C15" s="444"/>
      <c r="D15" s="293"/>
      <c r="E15" s="385" t="s">
        <v>1546</v>
      </c>
      <c r="F15" s="383" t="b">
        <f t="shared" si="0"/>
        <v>1</v>
      </c>
    </row>
    <row r="16" spans="1:7">
      <c r="A16" s="538" t="s">
        <v>1890</v>
      </c>
      <c r="B16" s="165" t="s">
        <v>1600</v>
      </c>
      <c r="C16" s="429"/>
      <c r="D16" s="166"/>
      <c r="E16" s="387" t="s">
        <v>1391</v>
      </c>
      <c r="F16" s="383" t="b">
        <f t="shared" si="0"/>
        <v>1</v>
      </c>
    </row>
    <row r="17" spans="1:6">
      <c r="A17" s="561"/>
      <c r="B17" s="339" t="s">
        <v>1606</v>
      </c>
      <c r="C17" s="306"/>
      <c r="D17" s="155"/>
      <c r="E17" s="386" t="s">
        <v>1338</v>
      </c>
      <c r="F17" s="383" t="b">
        <f t="shared" si="0"/>
        <v>1</v>
      </c>
    </row>
    <row r="18" spans="1:6">
      <c r="A18" s="561"/>
      <c r="B18" s="339" t="s">
        <v>1607</v>
      </c>
      <c r="C18" s="311"/>
      <c r="D18" s="293"/>
      <c r="E18" s="386" t="s">
        <v>1612</v>
      </c>
      <c r="F18" s="383" t="b">
        <f t="shared" si="0"/>
        <v>1</v>
      </c>
    </row>
    <row r="19" spans="1:6" ht="13.5" thickBot="1">
      <c r="A19" s="567"/>
      <c r="B19" s="172" t="s">
        <v>2160</v>
      </c>
      <c r="C19" s="317"/>
      <c r="D19" s="171"/>
      <c r="E19" s="386" t="s">
        <v>1464</v>
      </c>
      <c r="F19" s="383" t="b">
        <f t="shared" si="0"/>
        <v>1</v>
      </c>
    </row>
    <row r="20" spans="1:6" ht="13.5" thickBot="1">
      <c r="A20" s="330" t="s">
        <v>1571</v>
      </c>
      <c r="B20" s="356" t="s">
        <v>2466</v>
      </c>
      <c r="C20" s="449"/>
      <c r="D20" s="353"/>
      <c r="E20" s="385" t="s">
        <v>1393</v>
      </c>
      <c r="F20" s="383" t="b">
        <v>1</v>
      </c>
    </row>
    <row r="21" spans="1:6">
      <c r="A21" s="566" t="s">
        <v>1521</v>
      </c>
      <c r="B21" s="239" t="s">
        <v>1522</v>
      </c>
      <c r="C21" s="313"/>
      <c r="D21" s="300"/>
      <c r="E21" s="385" t="s">
        <v>1393</v>
      </c>
      <c r="F21" s="383" t="b">
        <f>$C$9&lt;&gt;"No"</f>
        <v>1</v>
      </c>
    </row>
    <row r="22" spans="1:6">
      <c r="A22" s="564"/>
      <c r="B22" s="159" t="s">
        <v>1523</v>
      </c>
      <c r="C22" s="308"/>
      <c r="D22" s="155"/>
      <c r="E22" s="385" t="s">
        <v>1393</v>
      </c>
      <c r="F22" s="383" t="b">
        <f t="shared" ref="F22:F29" si="1">$C$9&lt;&gt;"No"</f>
        <v>1</v>
      </c>
    </row>
    <row r="23" spans="1:6">
      <c r="A23" s="564"/>
      <c r="B23" s="159" t="s">
        <v>1529</v>
      </c>
      <c r="C23" s="306"/>
      <c r="D23" s="155"/>
      <c r="E23" s="386" t="s">
        <v>1576</v>
      </c>
      <c r="F23" s="383" t="b">
        <f t="shared" si="1"/>
        <v>1</v>
      </c>
    </row>
    <row r="24" spans="1:6">
      <c r="A24" s="564"/>
      <c r="B24" s="159" t="s">
        <v>1524</v>
      </c>
      <c r="C24" s="308"/>
      <c r="D24" s="155"/>
      <c r="E24" s="385" t="s">
        <v>1393</v>
      </c>
      <c r="F24" s="383" t="b">
        <f t="shared" si="1"/>
        <v>1</v>
      </c>
    </row>
    <row r="25" spans="1:6">
      <c r="A25" s="564"/>
      <c r="B25" s="159" t="s">
        <v>1525</v>
      </c>
      <c r="C25" s="308"/>
      <c r="D25" s="155"/>
      <c r="E25" s="385" t="s">
        <v>1393</v>
      </c>
      <c r="F25" s="383" t="b">
        <f t="shared" si="1"/>
        <v>1</v>
      </c>
    </row>
    <row r="26" spans="1:6">
      <c r="A26" s="564"/>
      <c r="B26" s="159" t="s">
        <v>1526</v>
      </c>
      <c r="C26" s="308"/>
      <c r="D26" s="155"/>
      <c r="E26" s="385" t="s">
        <v>1393</v>
      </c>
      <c r="F26" s="383" t="b">
        <f t="shared" si="1"/>
        <v>1</v>
      </c>
    </row>
    <row r="27" spans="1:6">
      <c r="A27" s="564"/>
      <c r="B27" s="159" t="s">
        <v>1527</v>
      </c>
      <c r="C27" s="308"/>
      <c r="D27" s="155"/>
      <c r="E27" s="385" t="s">
        <v>1546</v>
      </c>
      <c r="F27" s="383" t="b">
        <f t="shared" si="1"/>
        <v>1</v>
      </c>
    </row>
    <row r="28" spans="1:6">
      <c r="A28" s="564"/>
      <c r="B28" s="159" t="s">
        <v>1537</v>
      </c>
      <c r="C28" s="308"/>
      <c r="D28" s="155"/>
      <c r="E28" s="385" t="s">
        <v>1546</v>
      </c>
      <c r="F28" s="383" t="b">
        <f t="shared" si="1"/>
        <v>1</v>
      </c>
    </row>
    <row r="29" spans="1:6" ht="13.5" thickBot="1">
      <c r="A29" s="565"/>
      <c r="B29" s="172" t="s">
        <v>1528</v>
      </c>
      <c r="C29" s="309"/>
      <c r="D29" s="171"/>
      <c r="E29" s="385" t="s">
        <v>1393</v>
      </c>
      <c r="F29" s="383" t="b">
        <f t="shared" si="1"/>
        <v>1</v>
      </c>
    </row>
    <row r="30" spans="1:6" ht="13.5" thickBot="1">
      <c r="A30" s="375" t="s">
        <v>1900</v>
      </c>
      <c r="B30" s="354" t="s">
        <v>1933</v>
      </c>
      <c r="C30" s="307"/>
      <c r="D30" s="171"/>
      <c r="E30" s="384" t="s">
        <v>1338</v>
      </c>
      <c r="F30" s="383" t="b">
        <v>1</v>
      </c>
    </row>
  </sheetData>
  <mergeCells count="8">
    <mergeCell ref="A21:A29"/>
    <mergeCell ref="A4:A9"/>
    <mergeCell ref="A10:A15"/>
    <mergeCell ref="A16:A19"/>
    <mergeCell ref="F1:F3"/>
    <mergeCell ref="E1:E3"/>
    <mergeCell ref="A1:D1"/>
    <mergeCell ref="A2:D2"/>
  </mergeCells>
  <phoneticPr fontId="33" type="noConversion"/>
  <conditionalFormatting sqref="F4:F30">
    <cfRule type="cellIs" dxfId="146" priority="5" operator="equal">
      <formula>TRUE</formula>
    </cfRule>
  </conditionalFormatting>
  <conditionalFormatting sqref="A10:D19 A21:D30 A20 C20:D20">
    <cfRule type="expression" dxfId="145" priority="3">
      <formula>$F10=FALSE</formula>
    </cfRule>
  </conditionalFormatting>
  <conditionalFormatting sqref="B9:D9">
    <cfRule type="expression" dxfId="144" priority="2">
      <formula>$F9=FALSE</formula>
    </cfRule>
  </conditionalFormatting>
  <conditionalFormatting sqref="B20">
    <cfRule type="expression" dxfId="143" priority="1">
      <formula>$F20=FALSE</formula>
    </cfRule>
  </conditionalFormatting>
  <dataValidations count="2">
    <dataValidation type="list" allowBlank="1" showInputMessage="1" showErrorMessage="1" sqref="C23 C17:C19 C30 C8:C11" xr:uid="{582D509F-5B53-4F1A-86BC-BFF465E18EC1}">
      <formula1>INDIRECT($E8)</formula1>
    </dataValidation>
    <dataValidation type="whole" operator="greaterThanOrEqual" allowBlank="1" showInputMessage="1" showErrorMessage="1" sqref="C16" xr:uid="{77836575-D653-410C-A8E6-4738005047DD}">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56</vt:i4>
      </vt:variant>
    </vt:vector>
  </HeadingPairs>
  <TitlesOfParts>
    <vt:vector size="97" baseType="lpstr">
      <vt:lpstr>Index</vt:lpstr>
      <vt:lpstr>VA Front Page</vt:lpstr>
      <vt:lpstr>VA Detailed Scorecard Config</vt:lpstr>
      <vt:lpstr>VA Dealbreakers</vt:lpstr>
      <vt:lpstr>Org Profile</vt:lpstr>
      <vt:lpstr>Org Audit</vt:lpstr>
      <vt:lpstr>Individual Profile</vt:lpstr>
      <vt:lpstr>Individual Audit</vt:lpstr>
      <vt:lpstr>Reference</vt:lpstr>
      <vt:lpstr>Reference Audit</vt:lpstr>
      <vt:lpstr>Grant - Request</vt:lpstr>
      <vt:lpstr>Grant - Milestone</vt:lpstr>
      <vt:lpstr>Grant Audit</vt:lpstr>
      <vt:lpstr>Data Parser</vt:lpstr>
      <vt:lpstr>Scorecard Detail</vt:lpstr>
      <vt:lpstr>Proposer Inputs</vt:lpstr>
      <vt:lpstr>Auditor Inputs</vt:lpstr>
      <vt:lpstr>Proposer Inputs (Addl Pool)</vt:lpstr>
      <vt:lpstr>Lookup Tables</vt:lpstr>
      <vt:lpstr>Lookup Tables (2)</vt:lpstr>
      <vt:lpstr>SampleOrg1</vt:lpstr>
      <vt:lpstr>SampleOrgAudit1</vt:lpstr>
      <vt:lpstr>SampleOrgAudit2</vt:lpstr>
      <vt:lpstr>Grant10000</vt:lpstr>
      <vt:lpstr>Milestone10000.1</vt:lpstr>
      <vt:lpstr>Milestone10000.2</vt:lpstr>
      <vt:lpstr>Milestone10000.3</vt:lpstr>
      <vt:lpstr>Milestone10000.4</vt:lpstr>
      <vt:lpstr>Grant10000Audit1</vt:lpstr>
      <vt:lpstr>Grant10000Audit2</vt:lpstr>
      <vt:lpstr>SamplePerson1</vt:lpstr>
      <vt:lpstr>SamplePerson2</vt:lpstr>
      <vt:lpstr>SamplePerson3</vt:lpstr>
      <vt:lpstr>AuditSamplePerson1</vt:lpstr>
      <vt:lpstr>AuditSamplePerson2</vt:lpstr>
      <vt:lpstr>AuditSamplePerson3</vt:lpstr>
      <vt:lpstr>SampleRef1</vt:lpstr>
      <vt:lpstr>SampleRef2</vt:lpstr>
      <vt:lpstr>SampleRef3</vt:lpstr>
      <vt:lpstr>Ref1Audit</vt:lpstr>
      <vt:lpstr>Ref3Audit</vt:lpstr>
      <vt:lpstr>AllQuestions</vt:lpstr>
      <vt:lpstr>Backup</vt:lpstr>
      <vt:lpstr>Backup_Frequency</vt:lpstr>
      <vt:lpstr>Centralization</vt:lpstr>
      <vt:lpstr>Client_Type</vt:lpstr>
      <vt:lpstr>CompSci_Education</vt:lpstr>
      <vt:lpstr>Contact_Methods</vt:lpstr>
      <vt:lpstr>Contribution_Level</vt:lpstr>
      <vt:lpstr>Countries</vt:lpstr>
      <vt:lpstr>DAO_Experience</vt:lpstr>
      <vt:lpstr>Decisions</vt:lpstr>
      <vt:lpstr>Disagree_Agree_1_5</vt:lpstr>
      <vt:lpstr>Education</vt:lpstr>
      <vt:lpstr>ETA_Relationship</vt:lpstr>
      <vt:lpstr>Existing_Problems</vt:lpstr>
      <vt:lpstr>Expansion</vt:lpstr>
      <vt:lpstr>Expressions</vt:lpstr>
      <vt:lpstr>Extension</vt:lpstr>
      <vt:lpstr>Focus_Area_Diversity</vt:lpstr>
      <vt:lpstr>Focus_Area_Fit</vt:lpstr>
      <vt:lpstr>Funding_Buckets</vt:lpstr>
      <vt:lpstr>Gender</vt:lpstr>
      <vt:lpstr>Generic_1_5</vt:lpstr>
      <vt:lpstr>High_Percent_Good</vt:lpstr>
      <vt:lpstr>Industry_Diversity</vt:lpstr>
      <vt:lpstr>Invite_Source</vt:lpstr>
      <vt:lpstr>Layer_1</vt:lpstr>
      <vt:lpstr>License</vt:lpstr>
      <vt:lpstr>Low_Percent_Good</vt:lpstr>
      <vt:lpstr>Major_SLA_Penalty</vt:lpstr>
      <vt:lpstr>Mentoring_Reward</vt:lpstr>
      <vt:lpstr>Minor_SLA_Penalty</vt:lpstr>
      <vt:lpstr>Mission_Fit</vt:lpstr>
      <vt:lpstr>NO_Yes</vt:lpstr>
      <vt:lpstr>Org_Role</vt:lpstr>
      <vt:lpstr>Org_Type</vt:lpstr>
      <vt:lpstr>Personal_Talent</vt:lpstr>
      <vt:lpstr>Project_Program</vt:lpstr>
      <vt:lpstr>Project_Type</vt:lpstr>
      <vt:lpstr>Proprietary_to_OpenSource</vt:lpstr>
      <vt:lpstr>Ref_Check_OK</vt:lpstr>
      <vt:lpstr>Release_Location</vt:lpstr>
      <vt:lpstr>Resolution_Time</vt:lpstr>
      <vt:lpstr>Response_Time</vt:lpstr>
      <vt:lpstr>Revenue_Buckets</vt:lpstr>
      <vt:lpstr>Social_Impact</vt:lpstr>
      <vt:lpstr>Staff_Buckets</vt:lpstr>
      <vt:lpstr>Uptime</vt:lpstr>
      <vt:lpstr>Vulnerability_Repair</vt:lpstr>
      <vt:lpstr>Warranty</vt:lpstr>
      <vt:lpstr>Years_Experience</vt:lpstr>
      <vt:lpstr>YES_No</vt:lpstr>
      <vt:lpstr>YES_No_Link</vt:lpstr>
      <vt:lpstr>Yes_No_NA</vt:lpstr>
      <vt:lpstr>YES_No_OptOut</vt:lpstr>
      <vt:lpstr>Yes_No_Partial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 Veytsel</cp:lastModifiedBy>
  <dcterms:created xsi:type="dcterms:W3CDTF">2022-07-08T22:14:43Z</dcterms:created>
  <dcterms:modified xsi:type="dcterms:W3CDTF">2023-01-31T19:26:06Z</dcterms:modified>
</cp:coreProperties>
</file>