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d49b3d6fd871ac/Desktop/Sugar DD/"/>
    </mc:Choice>
  </mc:AlternateContent>
  <xr:revisionPtr revIDLastSave="0" documentId="8_{97EE198D-E186-4924-9234-952E7243441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K21" i="1"/>
  <c r="N29" i="1"/>
  <c r="M49" i="1"/>
  <c r="L49" i="1"/>
  <c r="K49" i="1"/>
  <c r="J49" i="1"/>
  <c r="I49" i="1"/>
  <c r="H49" i="1"/>
  <c r="G49" i="1"/>
  <c r="F49" i="1"/>
  <c r="E49" i="1"/>
  <c r="D49" i="1"/>
  <c r="C49" i="1"/>
  <c r="B49" i="1"/>
  <c r="N49" i="1" s="1"/>
  <c r="M48" i="1"/>
  <c r="L48" i="1"/>
  <c r="K48" i="1"/>
  <c r="J48" i="1"/>
  <c r="I48" i="1"/>
  <c r="H48" i="1"/>
  <c r="G48" i="1"/>
  <c r="F48" i="1"/>
  <c r="E48" i="1"/>
  <c r="D48" i="1"/>
  <c r="C48" i="1"/>
  <c r="B48" i="1"/>
  <c r="N48" i="1" s="1"/>
  <c r="H47" i="1"/>
  <c r="M46" i="1"/>
  <c r="L46" i="1"/>
  <c r="K46" i="1"/>
  <c r="J46" i="1"/>
  <c r="I46" i="1"/>
  <c r="I47" i="1" s="1"/>
  <c r="H46" i="1"/>
  <c r="G46" i="1"/>
  <c r="F46" i="1"/>
  <c r="E46" i="1"/>
  <c r="D46" i="1"/>
  <c r="C46" i="1"/>
  <c r="B46" i="1"/>
  <c r="N46" i="1" s="1"/>
  <c r="M45" i="1"/>
  <c r="M47" i="1" s="1"/>
  <c r="L45" i="1"/>
  <c r="L47" i="1" s="1"/>
  <c r="K45" i="1"/>
  <c r="K47" i="1" s="1"/>
  <c r="J45" i="1"/>
  <c r="J47" i="1" s="1"/>
  <c r="I45" i="1"/>
  <c r="H45" i="1"/>
  <c r="G45" i="1"/>
  <c r="G47" i="1" s="1"/>
  <c r="F45" i="1"/>
  <c r="F47" i="1" s="1"/>
  <c r="E45" i="1"/>
  <c r="E47" i="1" s="1"/>
  <c r="D45" i="1"/>
  <c r="D47" i="1" s="1"/>
  <c r="C45" i="1"/>
  <c r="C47" i="1" s="1"/>
  <c r="B45" i="1"/>
  <c r="N45" i="1" s="1"/>
  <c r="M44" i="1"/>
  <c r="L44" i="1"/>
  <c r="K44" i="1"/>
  <c r="J44" i="1"/>
  <c r="I44" i="1"/>
  <c r="H44" i="1"/>
  <c r="G44" i="1"/>
  <c r="F44" i="1"/>
  <c r="E44" i="1"/>
  <c r="D44" i="1"/>
  <c r="C44" i="1"/>
  <c r="B44" i="1"/>
  <c r="N44" i="1" s="1"/>
  <c r="M43" i="1"/>
  <c r="L43" i="1"/>
  <c r="K43" i="1"/>
  <c r="J43" i="1"/>
  <c r="I43" i="1"/>
  <c r="H43" i="1"/>
  <c r="G43" i="1"/>
  <c r="F43" i="1"/>
  <c r="E43" i="1"/>
  <c r="D43" i="1"/>
  <c r="C43" i="1"/>
  <c r="B43" i="1"/>
  <c r="N43" i="1" s="1"/>
  <c r="M42" i="1"/>
  <c r="L42" i="1"/>
  <c r="K42" i="1"/>
  <c r="J42" i="1"/>
  <c r="I42" i="1"/>
  <c r="H42" i="1"/>
  <c r="G42" i="1"/>
  <c r="F42" i="1"/>
  <c r="E42" i="1"/>
  <c r="D42" i="1"/>
  <c r="C42" i="1"/>
  <c r="B42" i="1"/>
  <c r="N42" i="1" s="1"/>
  <c r="M41" i="1"/>
  <c r="L41" i="1"/>
  <c r="K41" i="1"/>
  <c r="J41" i="1"/>
  <c r="I41" i="1"/>
  <c r="H41" i="1"/>
  <c r="G41" i="1"/>
  <c r="F41" i="1"/>
  <c r="E41" i="1"/>
  <c r="D41" i="1"/>
  <c r="C41" i="1"/>
  <c r="B41" i="1"/>
  <c r="N41" i="1" s="1"/>
  <c r="M40" i="1"/>
  <c r="L40" i="1"/>
  <c r="K40" i="1"/>
  <c r="J40" i="1"/>
  <c r="I40" i="1"/>
  <c r="H40" i="1"/>
  <c r="G40" i="1"/>
  <c r="F40" i="1"/>
  <c r="E40" i="1"/>
  <c r="D40" i="1"/>
  <c r="C40" i="1"/>
  <c r="B40" i="1"/>
  <c r="N40" i="1" s="1"/>
  <c r="M39" i="1"/>
  <c r="L39" i="1"/>
  <c r="K39" i="1"/>
  <c r="J39" i="1"/>
  <c r="I39" i="1"/>
  <c r="H39" i="1"/>
  <c r="G39" i="1"/>
  <c r="F39" i="1"/>
  <c r="E39" i="1"/>
  <c r="D39" i="1"/>
  <c r="C39" i="1"/>
  <c r="B39" i="1"/>
  <c r="N39" i="1" s="1"/>
  <c r="M38" i="1"/>
  <c r="L38" i="1"/>
  <c r="K38" i="1"/>
  <c r="J38" i="1"/>
  <c r="I38" i="1"/>
  <c r="H38" i="1"/>
  <c r="G38" i="1"/>
  <c r="F38" i="1"/>
  <c r="E38" i="1"/>
  <c r="E50" i="1" s="1"/>
  <c r="D38" i="1"/>
  <c r="C38" i="1"/>
  <c r="B38" i="1"/>
  <c r="N38" i="1" s="1"/>
  <c r="M37" i="1"/>
  <c r="L37" i="1"/>
  <c r="K37" i="1"/>
  <c r="J37" i="1"/>
  <c r="I37" i="1"/>
  <c r="H37" i="1"/>
  <c r="G37" i="1"/>
  <c r="F37" i="1"/>
  <c r="F50" i="1" s="1"/>
  <c r="E37" i="1"/>
  <c r="D37" i="1"/>
  <c r="C37" i="1"/>
  <c r="B37" i="1"/>
  <c r="N37" i="1" s="1"/>
  <c r="M36" i="1"/>
  <c r="L36" i="1"/>
  <c r="K36" i="1"/>
  <c r="J36" i="1"/>
  <c r="I36" i="1"/>
  <c r="H36" i="1"/>
  <c r="G36" i="1"/>
  <c r="G50" i="1" s="1"/>
  <c r="F36" i="1"/>
  <c r="E36" i="1"/>
  <c r="D36" i="1"/>
  <c r="C36" i="1"/>
  <c r="B36" i="1"/>
  <c r="N36" i="1" s="1"/>
  <c r="M35" i="1"/>
  <c r="L35" i="1"/>
  <c r="K35" i="1"/>
  <c r="J35" i="1"/>
  <c r="I35" i="1"/>
  <c r="H35" i="1"/>
  <c r="H50" i="1" s="1"/>
  <c r="G35" i="1"/>
  <c r="F35" i="1"/>
  <c r="E35" i="1"/>
  <c r="D35" i="1"/>
  <c r="C35" i="1"/>
  <c r="B35" i="1"/>
  <c r="N35" i="1" s="1"/>
  <c r="M34" i="1"/>
  <c r="M50" i="1" s="1"/>
  <c r="L34" i="1"/>
  <c r="L50" i="1" s="1"/>
  <c r="K34" i="1"/>
  <c r="K50" i="1" s="1"/>
  <c r="J34" i="1"/>
  <c r="J50" i="1" s="1"/>
  <c r="I34" i="1"/>
  <c r="I50" i="1" s="1"/>
  <c r="H34" i="1"/>
  <c r="G34" i="1"/>
  <c r="F34" i="1"/>
  <c r="E34" i="1"/>
  <c r="D34" i="1"/>
  <c r="D50" i="1" s="1"/>
  <c r="C34" i="1"/>
  <c r="C50" i="1" s="1"/>
  <c r="B34" i="1"/>
  <c r="K31" i="1"/>
  <c r="M30" i="1"/>
  <c r="L30" i="1"/>
  <c r="L31" i="1" s="1"/>
  <c r="K30" i="1"/>
  <c r="J30" i="1"/>
  <c r="I30" i="1"/>
  <c r="H30" i="1"/>
  <c r="G30" i="1"/>
  <c r="F30" i="1"/>
  <c r="E30" i="1"/>
  <c r="D30" i="1"/>
  <c r="C30" i="1"/>
  <c r="B30" i="1"/>
  <c r="N30" i="1" s="1"/>
  <c r="M29" i="1"/>
  <c r="M31" i="1" s="1"/>
  <c r="L29" i="1"/>
  <c r="K29" i="1"/>
  <c r="J29" i="1"/>
  <c r="I29" i="1"/>
  <c r="H29" i="1"/>
  <c r="G29" i="1"/>
  <c r="F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B31" i="1" s="1"/>
  <c r="M27" i="1"/>
  <c r="L27" i="1"/>
  <c r="K27" i="1"/>
  <c r="J27" i="1"/>
  <c r="I27" i="1"/>
  <c r="H27" i="1"/>
  <c r="G27" i="1"/>
  <c r="F27" i="1"/>
  <c r="E27" i="1"/>
  <c r="D27" i="1"/>
  <c r="C27" i="1"/>
  <c r="C31" i="1" s="1"/>
  <c r="B27" i="1"/>
  <c r="N27" i="1" s="1"/>
  <c r="M26" i="1"/>
  <c r="L26" i="1"/>
  <c r="K26" i="1"/>
  <c r="J26" i="1"/>
  <c r="I26" i="1"/>
  <c r="H26" i="1"/>
  <c r="G26" i="1"/>
  <c r="F26" i="1"/>
  <c r="E26" i="1"/>
  <c r="D26" i="1"/>
  <c r="D31" i="1" s="1"/>
  <c r="C26" i="1"/>
  <c r="B26" i="1"/>
  <c r="N26" i="1" s="1"/>
  <c r="M25" i="1"/>
  <c r="L25" i="1"/>
  <c r="K25" i="1"/>
  <c r="J25" i="1"/>
  <c r="I25" i="1"/>
  <c r="H25" i="1"/>
  <c r="G25" i="1"/>
  <c r="F25" i="1"/>
  <c r="E25" i="1"/>
  <c r="E31" i="1" s="1"/>
  <c r="D25" i="1"/>
  <c r="C25" i="1"/>
  <c r="B25" i="1"/>
  <c r="N25" i="1" s="1"/>
  <c r="M24" i="1"/>
  <c r="L24" i="1"/>
  <c r="K24" i="1"/>
  <c r="J24" i="1"/>
  <c r="J31" i="1" s="1"/>
  <c r="I24" i="1"/>
  <c r="I31" i="1" s="1"/>
  <c r="H24" i="1"/>
  <c r="H31" i="1" s="1"/>
  <c r="G24" i="1"/>
  <c r="G31" i="1" s="1"/>
  <c r="F24" i="1"/>
  <c r="F31" i="1" s="1"/>
  <c r="E24" i="1"/>
  <c r="D24" i="1"/>
  <c r="C24" i="1"/>
  <c r="B24" i="1"/>
  <c r="N24" i="1" s="1"/>
  <c r="M21" i="1"/>
  <c r="L21" i="1"/>
  <c r="J21" i="1"/>
  <c r="I21" i="1"/>
  <c r="H21" i="1"/>
  <c r="G21" i="1"/>
  <c r="F21" i="1"/>
  <c r="E21" i="1"/>
  <c r="D21" i="1"/>
  <c r="C21" i="1"/>
  <c r="B21" i="1"/>
  <c r="N21" i="1" s="1"/>
  <c r="M20" i="1"/>
  <c r="L20" i="1"/>
  <c r="K20" i="1"/>
  <c r="J20" i="1"/>
  <c r="I20" i="1"/>
  <c r="H20" i="1"/>
  <c r="G20" i="1"/>
  <c r="F20" i="1"/>
  <c r="E20" i="1"/>
  <c r="D20" i="1"/>
  <c r="C20" i="1"/>
  <c r="B20" i="1"/>
  <c r="N20" i="1" s="1"/>
  <c r="J19" i="1"/>
  <c r="M18" i="1"/>
  <c r="L18" i="1"/>
  <c r="K18" i="1"/>
  <c r="K19" i="1" s="1"/>
  <c r="J18" i="1"/>
  <c r="I18" i="1"/>
  <c r="H18" i="1"/>
  <c r="G18" i="1"/>
  <c r="F18" i="1"/>
  <c r="E18" i="1"/>
  <c r="D18" i="1"/>
  <c r="C18" i="1"/>
  <c r="B18" i="1"/>
  <c r="N18" i="1" s="1"/>
  <c r="M17" i="1"/>
  <c r="M19" i="1" s="1"/>
  <c r="L17" i="1"/>
  <c r="L19" i="1" s="1"/>
  <c r="K17" i="1"/>
  <c r="J17" i="1"/>
  <c r="I17" i="1"/>
  <c r="I19" i="1" s="1"/>
  <c r="H17" i="1"/>
  <c r="H19" i="1" s="1"/>
  <c r="G17" i="1"/>
  <c r="G19" i="1" s="1"/>
  <c r="F17" i="1"/>
  <c r="F19" i="1" s="1"/>
  <c r="E17" i="1"/>
  <c r="E19" i="1" s="1"/>
  <c r="D17" i="1"/>
  <c r="D19" i="1" s="1"/>
  <c r="C17" i="1"/>
  <c r="C19" i="1" s="1"/>
  <c r="B17" i="1"/>
  <c r="N17" i="1" s="1"/>
  <c r="M16" i="1"/>
  <c r="M15" i="1"/>
  <c r="L15" i="1"/>
  <c r="K15" i="1"/>
  <c r="J15" i="1"/>
  <c r="I15" i="1"/>
  <c r="H15" i="1"/>
  <c r="G15" i="1"/>
  <c r="F15" i="1"/>
  <c r="E15" i="1"/>
  <c r="D15" i="1"/>
  <c r="C15" i="1"/>
  <c r="B15" i="1"/>
  <c r="B16" i="1" s="1"/>
  <c r="N16" i="1" s="1"/>
  <c r="M14" i="1"/>
  <c r="L14" i="1"/>
  <c r="L16" i="1" s="1"/>
  <c r="K14" i="1"/>
  <c r="K16" i="1" s="1"/>
  <c r="J14" i="1"/>
  <c r="J16" i="1" s="1"/>
  <c r="I14" i="1"/>
  <c r="I16" i="1" s="1"/>
  <c r="H14" i="1"/>
  <c r="H16" i="1" s="1"/>
  <c r="G14" i="1"/>
  <c r="G16" i="1" s="1"/>
  <c r="F14" i="1"/>
  <c r="F16" i="1" s="1"/>
  <c r="E14" i="1"/>
  <c r="E16" i="1" s="1"/>
  <c r="D14" i="1"/>
  <c r="D16" i="1" s="1"/>
  <c r="C14" i="1"/>
  <c r="C16" i="1" s="1"/>
  <c r="B14" i="1"/>
  <c r="N14" i="1" s="1"/>
  <c r="M13" i="1"/>
  <c r="L13" i="1"/>
  <c r="K13" i="1"/>
  <c r="J13" i="1"/>
  <c r="I13" i="1"/>
  <c r="H13" i="1"/>
  <c r="G13" i="1"/>
  <c r="F13" i="1"/>
  <c r="E13" i="1"/>
  <c r="D13" i="1"/>
  <c r="C13" i="1"/>
  <c r="B13" i="1"/>
  <c r="N13" i="1" s="1"/>
  <c r="M12" i="1"/>
  <c r="L12" i="1"/>
  <c r="K12" i="1"/>
  <c r="J12" i="1"/>
  <c r="I12" i="1"/>
  <c r="H12" i="1"/>
  <c r="G12" i="1"/>
  <c r="F12" i="1"/>
  <c r="E12" i="1"/>
  <c r="D12" i="1"/>
  <c r="C12" i="1"/>
  <c r="B12" i="1"/>
  <c r="N12" i="1" s="1"/>
  <c r="M11" i="1"/>
  <c r="L11" i="1"/>
  <c r="K11" i="1"/>
  <c r="J11" i="1"/>
  <c r="I11" i="1"/>
  <c r="H11" i="1"/>
  <c r="G11" i="1"/>
  <c r="F11" i="1"/>
  <c r="E11" i="1"/>
  <c r="D11" i="1"/>
  <c r="C11" i="1"/>
  <c r="B11" i="1"/>
  <c r="N11" i="1" s="1"/>
  <c r="M10" i="1"/>
  <c r="L10" i="1"/>
  <c r="K10" i="1"/>
  <c r="J10" i="1"/>
  <c r="I10" i="1"/>
  <c r="H10" i="1"/>
  <c r="G10" i="1"/>
  <c r="N10" i="1" s="1"/>
  <c r="F10" i="1"/>
  <c r="E10" i="1"/>
  <c r="D10" i="1"/>
  <c r="C10" i="1"/>
  <c r="B10" i="1"/>
  <c r="M9" i="1"/>
  <c r="L9" i="1"/>
  <c r="K9" i="1"/>
  <c r="J9" i="1"/>
  <c r="I9" i="1"/>
  <c r="H9" i="1"/>
  <c r="H22" i="1" s="1"/>
  <c r="H32" i="1" s="1"/>
  <c r="H51" i="1" s="1"/>
  <c r="H52" i="1" s="1"/>
  <c r="G9" i="1"/>
  <c r="F9" i="1"/>
  <c r="E9" i="1"/>
  <c r="D9" i="1"/>
  <c r="C9" i="1"/>
  <c r="B9" i="1"/>
  <c r="N9" i="1" s="1"/>
  <c r="M8" i="1"/>
  <c r="L8" i="1"/>
  <c r="K8" i="1"/>
  <c r="J8" i="1"/>
  <c r="I8" i="1"/>
  <c r="I22" i="1" s="1"/>
  <c r="I32" i="1" s="1"/>
  <c r="I51" i="1" s="1"/>
  <c r="I52" i="1" s="1"/>
  <c r="H8" i="1"/>
  <c r="G8" i="1"/>
  <c r="F8" i="1"/>
  <c r="E8" i="1"/>
  <c r="D8" i="1"/>
  <c r="C8" i="1"/>
  <c r="B8" i="1"/>
  <c r="N8" i="1" s="1"/>
  <c r="M7" i="1"/>
  <c r="M22" i="1" s="1"/>
  <c r="M32" i="1" s="1"/>
  <c r="M51" i="1" s="1"/>
  <c r="M52" i="1" s="1"/>
  <c r="L7" i="1"/>
  <c r="K7" i="1"/>
  <c r="K22" i="1" s="1"/>
  <c r="K32" i="1" s="1"/>
  <c r="J7" i="1"/>
  <c r="J22" i="1" s="1"/>
  <c r="J32" i="1" s="1"/>
  <c r="I7" i="1"/>
  <c r="H7" i="1"/>
  <c r="G7" i="1"/>
  <c r="F7" i="1"/>
  <c r="F22" i="1" s="1"/>
  <c r="F32" i="1" s="1"/>
  <c r="F51" i="1" s="1"/>
  <c r="F52" i="1" s="1"/>
  <c r="E7" i="1"/>
  <c r="D7" i="1"/>
  <c r="D22" i="1" s="1"/>
  <c r="C7" i="1"/>
  <c r="C22" i="1" s="1"/>
  <c r="C32" i="1" s="1"/>
  <c r="B7" i="1"/>
  <c r="J51" i="1" l="1"/>
  <c r="J52" i="1" s="1"/>
  <c r="K51" i="1"/>
  <c r="K52" i="1" s="1"/>
  <c r="L22" i="1"/>
  <c r="L32" i="1" s="1"/>
  <c r="L51" i="1" s="1"/>
  <c r="L52" i="1" s="1"/>
  <c r="B22" i="1"/>
  <c r="C51" i="1"/>
  <c r="C52" i="1" s="1"/>
  <c r="D32" i="1"/>
  <c r="D51" i="1" s="1"/>
  <c r="D52" i="1" s="1"/>
  <c r="N31" i="1"/>
  <c r="E22" i="1"/>
  <c r="E32" i="1" s="1"/>
  <c r="E51" i="1" s="1"/>
  <c r="E52" i="1" s="1"/>
  <c r="B50" i="1"/>
  <c r="N50" i="1" s="1"/>
  <c r="N15" i="1"/>
  <c r="N28" i="1"/>
  <c r="G22" i="1"/>
  <c r="G32" i="1" s="1"/>
  <c r="G51" i="1" s="1"/>
  <c r="G52" i="1" s="1"/>
  <c r="B19" i="1"/>
  <c r="N19" i="1" s="1"/>
  <c r="B47" i="1"/>
  <c r="N47" i="1" s="1"/>
  <c r="N7" i="1"/>
  <c r="N34" i="1"/>
  <c r="N22" i="1" l="1"/>
  <c r="B32" i="1"/>
  <c r="N32" i="1" l="1"/>
  <c r="B51" i="1"/>
  <c r="B52" i="1" l="1"/>
  <c r="N52" i="1" s="1"/>
  <c r="N51" i="1"/>
</calcChain>
</file>

<file path=xl/sharedStrings.xml><?xml version="1.0" encoding="utf-8"?>
<sst xmlns="http://schemas.openxmlformats.org/spreadsheetml/2006/main" count="65" uniqueCount="65">
  <si>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</si>
  <si>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</si>
  <si>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</si>
  <si>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</si>
  <si>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</si>
  <si>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</si>
  <si>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</si>
  <si>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</si>
  <si>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</si>
  <si>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</si>
  <si>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</si>
  <si>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</si>
  <si>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Total</t>
  </si>
  <si>
    <t>Income</t>
  </si>
  <si>
    <t xml:space="preserve">   40210 Sales - Wax</t>
  </si>
  <si>
    <t xml:space="preserve">   40220 Sales - Treatment Products</t>
  </si>
  <si>
    <t xml:space="preserve">   40230 Sales - Retail Products</t>
  </si>
  <si>
    <t xml:space="preserve">   40240 Sales - Apparel Products</t>
  </si>
  <si>
    <t xml:space="preserve">   40250 Sales - Other</t>
  </si>
  <si>
    <t xml:space="preserve">   40280 Sales - Shipping Income</t>
  </si>
  <si>
    <t xml:space="preserve">   40370 Sales - Refunds/Allowance</t>
  </si>
  <si>
    <t xml:space="preserve">   Channel Discount</t>
  </si>
  <si>
    <t xml:space="preserve">      Shopify Discount</t>
  </si>
  <si>
    <t xml:space="preserve">   Total Channel Discount</t>
  </si>
  <si>
    <t xml:space="preserve">   Channel Shipping Income</t>
  </si>
  <si>
    <t xml:space="preserve">      Shopify Shipping Income</t>
  </si>
  <si>
    <t xml:space="preserve">   Total Channel Shipping Income</t>
  </si>
  <si>
    <t xml:space="preserve">   Sales of Product Income</t>
  </si>
  <si>
    <t xml:space="preserve">   Uncategorized Income</t>
  </si>
  <si>
    <t>Total Income</t>
  </si>
  <si>
    <t>Cost of Goods Sold</t>
  </si>
  <si>
    <t xml:space="preserve">   50009 Shipping Expense</t>
  </si>
  <si>
    <t xml:space="preserve">   50210 Wax</t>
  </si>
  <si>
    <t xml:space="preserve">   50220 Treatment Supplies</t>
  </si>
  <si>
    <t xml:space="preserve">   50230 Retail Products</t>
  </si>
  <si>
    <t xml:space="preserve">   50240 Apparel Products</t>
  </si>
  <si>
    <t xml:space="preserve">   60500 Inventory Shrinkage</t>
  </si>
  <si>
    <t xml:space="preserve">   Cost of Goods Sold</t>
  </si>
  <si>
    <t>Total Cost of Goods Sold</t>
  </si>
  <si>
    <t>Gross Profit</t>
  </si>
  <si>
    <t>Expenses</t>
  </si>
  <si>
    <t xml:space="preserve">   80200 Bank Charges</t>
  </si>
  <si>
    <t xml:space="preserve">   80450 Dues &amp; Subscriptions</t>
  </si>
  <si>
    <t xml:space="preserve">   80710 Insurance Expense - Property</t>
  </si>
  <si>
    <t xml:space="preserve">   81510 Professional Fees - Consulting</t>
  </si>
  <si>
    <t xml:space="preserve">   81560 Promotional/Samples-Not for Sale</t>
  </si>
  <si>
    <t xml:space="preserve">   81565 Marketing</t>
  </si>
  <si>
    <t xml:space="preserve">   81600 Rent or Lease Expense</t>
  </si>
  <si>
    <t xml:space="preserve">   81650 Repair &amp; Maintenance</t>
  </si>
  <si>
    <t xml:space="preserve">   81755 Store Supplies</t>
  </si>
  <si>
    <t xml:space="preserve">   81900 Travel Expense</t>
  </si>
  <si>
    <t xml:space="preserve">   81970 Warehouse/Distribution Expense</t>
  </si>
  <si>
    <t xml:space="preserve">   Channel Subscription Fees</t>
  </si>
  <si>
    <t xml:space="preserve">      Shopify Subscription Fees</t>
  </si>
  <si>
    <t xml:space="preserve">   Total Channel Subscription Fees</t>
  </si>
  <si>
    <t xml:space="preserve">   QuickBooks Payments Fees</t>
  </si>
  <si>
    <t xml:space="preserve">   Uncategorized Expense</t>
  </si>
  <si>
    <t>Total Expenses</t>
  </si>
  <si>
    <t>Net Operating Income</t>
  </si>
  <si>
    <t>Net Income</t>
  </si>
  <si>
    <t>The Waxxpot Distribution Company LLC</t>
  </si>
  <si>
    <t>Profit and Loss</t>
  </si>
  <si>
    <t>January - December 2024</t>
  </si>
  <si>
    <t>One-time insurance payment for theft.</t>
  </si>
  <si>
    <t>Inventory count and obsolence.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</si>
</sst>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4.5" x14ac:dyDescent="0.35"/>
  <cols>
    <col min="1" max="1" width="36.08984375" customWidth="1"/>
    <col min="2" max="4" width="9.453125" customWidth="1"/>
    <col min="5" max="5" width="11.1796875" customWidth="1"/>
    <col min="6" max="7" width="9.453125" customWidth="1"/>
    <col min="8" max="8" width="10.26953125" customWidth="1"/>
    <col min="9" max="9" width="11.1796875" customWidth="1"/>
    <col min="10" max="10" width="10.26953125" customWidth="1"/>
    <col min="11" max="11" width="9.453125" customWidth="1"/>
    <col min="12" max="12" width="11.1796875" customWidth="1"/>
    <col min="13" max="13" width="9.453125" customWidth="1"/>
    <col min="14" max="14" width="12" customWidth="1"/>
  </cols>
  <sheetData>
    <row r="1" spans="1:14" ht="18" x14ac:dyDescent="0.4">
      <c r="A1" s="10" t="s">
        <v>60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8" x14ac:dyDescent="0.4">
      <c r="A2" s="10" t="s">
        <v>61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35">
      <c r="A3" s="11" t="s">
        <v>62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5" spans="1:14" x14ac:dyDescent="0.3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</row>
    <row r="6" spans="1:14" x14ac:dyDescent="0.35">
      <c r="A6" s="3" t="s">
        <v>13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5">
      <c r="A7" s="3" t="s">
        <v>14</v>
      </c>
      <c r="B7" s="5">
        <f>12810</f>
        <v>12810</v>
      </c>
      <c r="C7" s="5">
        <f>24675</f>
        <v>24675</v>
      </c>
      <c r="D7" s="5">
        <f>25480</f>
        <v>25480</v>
      </c>
      <c r="E7" s="5">
        <f>24235</f>
        <v>24235</v>
      </c>
      <c r="F7" s="5">
        <f>27565</f>
        <v>27565</v>
      </c>
      <c r="G7" s="5">
        <f>13135</f>
        <v>13135</v>
      </c>
      <c r="H7" s="5">
        <f>39220</f>
        <v>39220</v>
      </c>
      <c r="I7" s="5">
        <f>20001.03</f>
        <v>20001.03</v>
      </c>
      <c r="J7" s="5">
        <f>22922.58</f>
        <v>22922.58</v>
      </c>
      <c r="K7" s="5">
        <f>25594.44</f>
        <v>25594.44</v>
      </c>
      <c r="L7" s="5">
        <f>19795</f>
        <v>19795</v>
      </c>
      <c r="M7" s="5">
        <f>26455</f>
        <v>26455</v>
      </c>
      <c r="N7" s="5">
        <f t="shared" ref="N7:N22" si="0">(((((((((((B7)+(C7))+(D7))+(E7))+(F7))+(G7))+(H7))+(I7))+(J7))+(K7))+(L7))+(M7)</f>
        <v>281888.05</v>
      </c>
    </row>
    <row r="8" spans="1:14" x14ac:dyDescent="0.35">
      <c r="A8" s="3" t="s">
        <v>15</v>
      </c>
      <c r="B8" s="5">
        <f>4178</f>
        <v>4178</v>
      </c>
      <c r="C8" s="5">
        <f>8773</f>
        <v>8773</v>
      </c>
      <c r="D8" s="5">
        <f>6806</f>
        <v>6806</v>
      </c>
      <c r="E8" s="5">
        <f>16613</f>
        <v>16613</v>
      </c>
      <c r="F8" s="5">
        <f>4612</f>
        <v>4612</v>
      </c>
      <c r="G8" s="5">
        <f>10902</f>
        <v>10902</v>
      </c>
      <c r="H8" s="5">
        <f>36881</f>
        <v>36881</v>
      </c>
      <c r="I8" s="5">
        <f>-2319.83</f>
        <v>-2319.83</v>
      </c>
      <c r="J8" s="5">
        <f>7124</f>
        <v>7124</v>
      </c>
      <c r="K8" s="5">
        <f>8356</f>
        <v>8356</v>
      </c>
      <c r="L8" s="5">
        <f>4377</f>
        <v>4377</v>
      </c>
      <c r="M8" s="5">
        <f>10884</f>
        <v>10884</v>
      </c>
      <c r="N8" s="5">
        <f t="shared" si="0"/>
        <v>117186.17</v>
      </c>
    </row>
    <row r="9" spans="1:14" x14ac:dyDescent="0.35">
      <c r="A9" s="3" t="s">
        <v>16</v>
      </c>
      <c r="B9" s="5">
        <f>3402</f>
        <v>3402</v>
      </c>
      <c r="C9" s="5">
        <f>10990</f>
        <v>10990</v>
      </c>
      <c r="D9" s="5">
        <f>10367</f>
        <v>10367</v>
      </c>
      <c r="E9" s="5">
        <f>5189.16</f>
        <v>5189.16</v>
      </c>
      <c r="F9" s="5">
        <f>12276</f>
        <v>12276</v>
      </c>
      <c r="G9" s="5">
        <f>10436</f>
        <v>10436</v>
      </c>
      <c r="H9" s="5">
        <f>35649</f>
        <v>35649</v>
      </c>
      <c r="I9" s="5">
        <f>4688.34</f>
        <v>4688.34</v>
      </c>
      <c r="J9" s="5">
        <f>4748</f>
        <v>4748</v>
      </c>
      <c r="K9" s="5">
        <f>13327</f>
        <v>13327</v>
      </c>
      <c r="L9" s="5">
        <f>4602</f>
        <v>4602</v>
      </c>
      <c r="M9" s="5">
        <f>5222</f>
        <v>5222</v>
      </c>
      <c r="N9" s="5">
        <f t="shared" si="0"/>
        <v>120896.5</v>
      </c>
    </row>
    <row r="10" spans="1:14" x14ac:dyDescent="0.35">
      <c r="A10" s="3" t="s">
        <v>17</v>
      </c>
      <c r="B10" s="5">
        <f>351</f>
        <v>351</v>
      </c>
      <c r="C10" s="5">
        <f>1390</f>
        <v>1390</v>
      </c>
      <c r="D10" s="5">
        <f>1715</f>
        <v>1715</v>
      </c>
      <c r="E10" s="5">
        <f>931</f>
        <v>931</v>
      </c>
      <c r="F10" s="5">
        <f>800</f>
        <v>800</v>
      </c>
      <c r="G10" s="5">
        <f>673</f>
        <v>673</v>
      </c>
      <c r="H10" s="5">
        <f>1865</f>
        <v>1865</v>
      </c>
      <c r="I10" s="5">
        <f>436</f>
        <v>436</v>
      </c>
      <c r="J10" s="5">
        <f>336</f>
        <v>336</v>
      </c>
      <c r="K10" s="5">
        <f>0</f>
        <v>0</v>
      </c>
      <c r="L10" s="5">
        <f>0</f>
        <v>0</v>
      </c>
      <c r="M10" s="5">
        <f>0</f>
        <v>0</v>
      </c>
      <c r="N10" s="5">
        <f t="shared" si="0"/>
        <v>8497</v>
      </c>
    </row>
    <row r="11" spans="1:14" x14ac:dyDescent="0.35">
      <c r="A11" s="3" t="s">
        <v>18</v>
      </c>
      <c r="B11" s="5">
        <f>0</f>
        <v>0</v>
      </c>
      <c r="C11" s="5">
        <f>0</f>
        <v>0</v>
      </c>
      <c r="D11" s="5">
        <f>973</f>
        <v>973</v>
      </c>
      <c r="E11" s="5">
        <f>0</f>
        <v>0</v>
      </c>
      <c r="F11" s="5">
        <f>0</f>
        <v>0</v>
      </c>
      <c r="G11" s="5">
        <f>0</f>
        <v>0</v>
      </c>
      <c r="H11" s="5">
        <f>0</f>
        <v>0</v>
      </c>
      <c r="I11" s="5">
        <f>0</f>
        <v>0</v>
      </c>
      <c r="J11" s="5">
        <f>0</f>
        <v>0</v>
      </c>
      <c r="K11" s="5">
        <f>0</f>
        <v>0</v>
      </c>
      <c r="L11" s="5">
        <f>0</f>
        <v>0</v>
      </c>
      <c r="M11" s="5">
        <f>0</f>
        <v>0</v>
      </c>
      <c r="N11" s="5">
        <f t="shared" si="0"/>
        <v>973</v>
      </c>
    </row>
    <row r="12" spans="1:14" x14ac:dyDescent="0.35">
      <c r="A12" s="3" t="s">
        <v>19</v>
      </c>
      <c r="B12" s="5">
        <f>0</f>
        <v>0</v>
      </c>
      <c r="C12" s="5">
        <f>0</f>
        <v>0</v>
      </c>
      <c r="D12" s="5">
        <f>0</f>
        <v>0</v>
      </c>
      <c r="E12" s="5">
        <f>0</f>
        <v>0</v>
      </c>
      <c r="F12" s="5">
        <f>0</f>
        <v>0</v>
      </c>
      <c r="G12" s="5">
        <f>0</f>
        <v>0</v>
      </c>
      <c r="H12" s="5">
        <f>0</f>
        <v>0</v>
      </c>
      <c r="I12" s="5">
        <f>0</f>
        <v>0</v>
      </c>
      <c r="J12" s="5">
        <f>15</f>
        <v>15</v>
      </c>
      <c r="K12" s="5">
        <f>62</f>
        <v>62</v>
      </c>
      <c r="L12" s="5">
        <f>0</f>
        <v>0</v>
      </c>
      <c r="M12" s="5">
        <f>0</f>
        <v>0</v>
      </c>
      <c r="N12" s="5">
        <f t="shared" si="0"/>
        <v>77</v>
      </c>
    </row>
    <row r="13" spans="1:14" x14ac:dyDescent="0.35">
      <c r="A13" s="3" t="s">
        <v>20</v>
      </c>
      <c r="B13" s="5">
        <f>0</f>
        <v>0</v>
      </c>
      <c r="C13" s="5">
        <f>0</f>
        <v>0</v>
      </c>
      <c r="D13" s="5">
        <f>0</f>
        <v>0</v>
      </c>
      <c r="E13" s="5">
        <f>0</f>
        <v>0</v>
      </c>
      <c r="F13" s="5">
        <f>0</f>
        <v>0</v>
      </c>
      <c r="G13" s="5">
        <f>0</f>
        <v>0</v>
      </c>
      <c r="H13" s="5">
        <f>0</f>
        <v>0</v>
      </c>
      <c r="I13" s="5">
        <f>-5309.25</f>
        <v>-5309.25</v>
      </c>
      <c r="J13" s="5">
        <f>0</f>
        <v>0</v>
      </c>
      <c r="K13" s="5">
        <f>0</f>
        <v>0</v>
      </c>
      <c r="L13" s="5">
        <f>0</f>
        <v>0</v>
      </c>
      <c r="M13" s="5">
        <f>0</f>
        <v>0</v>
      </c>
      <c r="N13" s="5">
        <f t="shared" si="0"/>
        <v>-5309.25</v>
      </c>
    </row>
    <row r="14" spans="1:14" x14ac:dyDescent="0.35">
      <c r="A14" s="3" t="s">
        <v>21</v>
      </c>
      <c r="B14" s="5">
        <f>0</f>
        <v>0</v>
      </c>
      <c r="C14" s="5">
        <f>0</f>
        <v>0</v>
      </c>
      <c r="D14" s="5">
        <f>0</f>
        <v>0</v>
      </c>
      <c r="E14" s="5">
        <f>0</f>
        <v>0</v>
      </c>
      <c r="F14" s="5">
        <f>0</f>
        <v>0</v>
      </c>
      <c r="G14" s="5">
        <f>0</f>
        <v>0</v>
      </c>
      <c r="H14" s="5">
        <f>0</f>
        <v>0</v>
      </c>
      <c r="I14" s="5">
        <f>0</f>
        <v>0</v>
      </c>
      <c r="J14" s="5">
        <f>0</f>
        <v>0</v>
      </c>
      <c r="K14" s="5">
        <f>0</f>
        <v>0</v>
      </c>
      <c r="L14" s="5">
        <f>0</f>
        <v>0</v>
      </c>
      <c r="M14" s="5">
        <f>0</f>
        <v>0</v>
      </c>
      <c r="N14" s="5">
        <f t="shared" si="0"/>
        <v>0</v>
      </c>
    </row>
    <row r="15" spans="1:14" x14ac:dyDescent="0.35">
      <c r="A15" s="3" t="s">
        <v>22</v>
      </c>
      <c r="B15" s="5">
        <f>0</f>
        <v>0</v>
      </c>
      <c r="C15" s="5">
        <f>0</f>
        <v>0</v>
      </c>
      <c r="D15" s="5">
        <f>0</f>
        <v>0</v>
      </c>
      <c r="E15" s="5">
        <f>0</f>
        <v>0</v>
      </c>
      <c r="F15" s="5">
        <f>0</f>
        <v>0</v>
      </c>
      <c r="G15" s="5">
        <f>0</f>
        <v>0</v>
      </c>
      <c r="H15" s="5">
        <f>0</f>
        <v>0</v>
      </c>
      <c r="I15" s="5">
        <f>0</f>
        <v>0</v>
      </c>
      <c r="J15" s="5">
        <f>0</f>
        <v>0</v>
      </c>
      <c r="K15" s="5">
        <f>0</f>
        <v>0</v>
      </c>
      <c r="L15" s="5">
        <f>0</f>
        <v>0</v>
      </c>
      <c r="M15" s="5">
        <f>-1507.31</f>
        <v>-1507.31</v>
      </c>
      <c r="N15" s="5">
        <f t="shared" si="0"/>
        <v>-1507.31</v>
      </c>
    </row>
    <row r="16" spans="1:14" x14ac:dyDescent="0.35">
      <c r="A16" s="3" t="s">
        <v>23</v>
      </c>
      <c r="B16" s="6">
        <f t="shared" ref="B16:M16" si="1">(B14)+(B15)</f>
        <v>0</v>
      </c>
      <c r="C16" s="6">
        <f t="shared" si="1"/>
        <v>0</v>
      </c>
      <c r="D16" s="6">
        <f t="shared" si="1"/>
        <v>0</v>
      </c>
      <c r="E16" s="6">
        <f t="shared" si="1"/>
        <v>0</v>
      </c>
      <c r="F16" s="6">
        <f t="shared" si="1"/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-1507.31</v>
      </c>
      <c r="N16" s="6">
        <f t="shared" si="0"/>
        <v>-1507.31</v>
      </c>
    </row>
    <row r="17" spans="1:16" x14ac:dyDescent="0.35">
      <c r="A17" s="3" t="s">
        <v>24</v>
      </c>
      <c r="B17" s="5">
        <f>0</f>
        <v>0</v>
      </c>
      <c r="C17" s="5">
        <f>0</f>
        <v>0</v>
      </c>
      <c r="D17" s="5">
        <f>0</f>
        <v>0</v>
      </c>
      <c r="E17" s="5">
        <f>0</f>
        <v>0</v>
      </c>
      <c r="F17" s="5">
        <f>0</f>
        <v>0</v>
      </c>
      <c r="G17" s="5">
        <f>0</f>
        <v>0</v>
      </c>
      <c r="H17" s="5">
        <f>0</f>
        <v>0</v>
      </c>
      <c r="I17" s="5">
        <f>0</f>
        <v>0</v>
      </c>
      <c r="J17" s="5">
        <f>0</f>
        <v>0</v>
      </c>
      <c r="K17" s="5">
        <f>0</f>
        <v>0</v>
      </c>
      <c r="L17" s="5">
        <f>0</f>
        <v>0</v>
      </c>
      <c r="M17" s="5">
        <f>0</f>
        <v>0</v>
      </c>
      <c r="N17" s="5">
        <f t="shared" si="0"/>
        <v>0</v>
      </c>
    </row>
    <row r="18" spans="1:16" x14ac:dyDescent="0.35">
      <c r="A18" s="3" t="s">
        <v>25</v>
      </c>
      <c r="B18" s="5">
        <f>0</f>
        <v>0</v>
      </c>
      <c r="C18" s="5">
        <f>0</f>
        <v>0</v>
      </c>
      <c r="D18" s="5">
        <f>0</f>
        <v>0</v>
      </c>
      <c r="E18" s="5">
        <f>0</f>
        <v>0</v>
      </c>
      <c r="F18" s="5">
        <f>0</f>
        <v>0</v>
      </c>
      <c r="G18" s="5">
        <f>0</f>
        <v>0</v>
      </c>
      <c r="H18" s="5">
        <f>0</f>
        <v>0</v>
      </c>
      <c r="I18" s="5">
        <f>0</f>
        <v>0</v>
      </c>
      <c r="J18" s="5">
        <f>0</f>
        <v>0</v>
      </c>
      <c r="K18" s="5">
        <f>0</f>
        <v>0</v>
      </c>
      <c r="L18" s="5">
        <f>0</f>
        <v>0</v>
      </c>
      <c r="M18" s="5">
        <f>4005.6</f>
        <v>4005.6</v>
      </c>
      <c r="N18" s="5">
        <f t="shared" si="0"/>
        <v>4005.6</v>
      </c>
    </row>
    <row r="19" spans="1:16" x14ac:dyDescent="0.35">
      <c r="A19" s="3" t="s">
        <v>26</v>
      </c>
      <c r="B19" s="6">
        <f t="shared" ref="B19:M19" si="2">(B17)+(B18)</f>
        <v>0</v>
      </c>
      <c r="C19" s="6">
        <f t="shared" si="2"/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0</v>
      </c>
      <c r="I19" s="6">
        <f t="shared" si="2"/>
        <v>0</v>
      </c>
      <c r="J19" s="6">
        <f t="shared" si="2"/>
        <v>0</v>
      </c>
      <c r="K19" s="6">
        <f t="shared" si="2"/>
        <v>0</v>
      </c>
      <c r="L19" s="6">
        <f t="shared" si="2"/>
        <v>0</v>
      </c>
      <c r="M19" s="6">
        <f t="shared" si="2"/>
        <v>4005.6</v>
      </c>
      <c r="N19" s="6">
        <f t="shared" si="0"/>
        <v>4005.6</v>
      </c>
    </row>
    <row r="20" spans="1:16" x14ac:dyDescent="0.35">
      <c r="A20" s="3" t="s">
        <v>27</v>
      </c>
      <c r="B20" s="5">
        <f>0</f>
        <v>0</v>
      </c>
      <c r="C20" s="5">
        <f>0</f>
        <v>0</v>
      </c>
      <c r="D20" s="5">
        <f>0</f>
        <v>0</v>
      </c>
      <c r="E20" s="5">
        <f>1360</f>
        <v>1360</v>
      </c>
      <c r="F20" s="5">
        <f>850</f>
        <v>850</v>
      </c>
      <c r="G20" s="5">
        <f>430</f>
        <v>430</v>
      </c>
      <c r="H20" s="5">
        <f>3570</f>
        <v>3570</v>
      </c>
      <c r="I20" s="5">
        <f>1360</f>
        <v>1360</v>
      </c>
      <c r="J20" s="5">
        <f>0</f>
        <v>0</v>
      </c>
      <c r="K20" s="5">
        <f>1306.5</f>
        <v>1306.5</v>
      </c>
      <c r="L20" s="5">
        <f>19</f>
        <v>19</v>
      </c>
      <c r="M20" s="5">
        <f>0</f>
        <v>0</v>
      </c>
      <c r="N20" s="5">
        <f t="shared" si="0"/>
        <v>8895.5</v>
      </c>
    </row>
    <row r="21" spans="1:16" x14ac:dyDescent="0.35">
      <c r="A21" s="3" t="s">
        <v>28</v>
      </c>
      <c r="B21" s="5">
        <f>0</f>
        <v>0</v>
      </c>
      <c r="C21" s="5">
        <f>0</f>
        <v>0</v>
      </c>
      <c r="D21" s="5">
        <f>0</f>
        <v>0</v>
      </c>
      <c r="E21" s="5">
        <f>0</f>
        <v>0</v>
      </c>
      <c r="F21" s="5">
        <f>0</f>
        <v>0</v>
      </c>
      <c r="G21" s="5">
        <f>0</f>
        <v>0</v>
      </c>
      <c r="H21" s="5">
        <f>0</f>
        <v>0</v>
      </c>
      <c r="I21" s="5">
        <f>0</f>
        <v>0</v>
      </c>
      <c r="J21" s="5">
        <f>0</f>
        <v>0</v>
      </c>
      <c r="K21" s="5">
        <f>34554.75</f>
        <v>34554.75</v>
      </c>
      <c r="L21" s="5">
        <f>0</f>
        <v>0</v>
      </c>
      <c r="M21" s="5">
        <f>0</f>
        <v>0</v>
      </c>
      <c r="N21" s="5">
        <f t="shared" si="0"/>
        <v>34554.75</v>
      </c>
      <c r="P21" t="s">
        <v>63</v>
      </c>
    </row>
    <row r="22" spans="1:16" x14ac:dyDescent="0.35">
      <c r="A22" s="3" t="s">
        <v>29</v>
      </c>
      <c r="B22" s="6">
        <f t="shared" ref="B22:M22" si="3">((((((((((B7)+(B8))+(B9))+(B10))+(B11))+(B12))+(B13))+(B16))+(B19))+(B20))+(B21)</f>
        <v>20741</v>
      </c>
      <c r="C22" s="6">
        <f t="shared" si="3"/>
        <v>45828</v>
      </c>
      <c r="D22" s="6">
        <f t="shared" si="3"/>
        <v>45341</v>
      </c>
      <c r="E22" s="6">
        <f t="shared" si="3"/>
        <v>48328.160000000003</v>
      </c>
      <c r="F22" s="6">
        <f t="shared" si="3"/>
        <v>46103</v>
      </c>
      <c r="G22" s="6">
        <f t="shared" si="3"/>
        <v>35576</v>
      </c>
      <c r="H22" s="6">
        <f t="shared" si="3"/>
        <v>117185</v>
      </c>
      <c r="I22" s="6">
        <f t="shared" si="3"/>
        <v>18856.289999999997</v>
      </c>
      <c r="J22" s="6">
        <f t="shared" si="3"/>
        <v>35145.58</v>
      </c>
      <c r="K22" s="6">
        <f t="shared" si="3"/>
        <v>83200.69</v>
      </c>
      <c r="L22" s="6">
        <f t="shared" si="3"/>
        <v>28793</v>
      </c>
      <c r="M22" s="6">
        <f t="shared" si="3"/>
        <v>45059.29</v>
      </c>
      <c r="N22" s="6">
        <f t="shared" si="0"/>
        <v>570157.01</v>
      </c>
    </row>
    <row r="23" spans="1:16" x14ac:dyDescent="0.35">
      <c r="A23" s="3" t="s">
        <v>30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6" x14ac:dyDescent="0.35">
      <c r="A24" s="3" t="s">
        <v>31</v>
      </c>
      <c r="B24" s="5">
        <f>0</f>
        <v>0</v>
      </c>
      <c r="C24" s="5">
        <f>0</f>
        <v>0</v>
      </c>
      <c r="D24" s="5">
        <f>0</f>
        <v>0</v>
      </c>
      <c r="E24" s="5">
        <f>0</f>
        <v>0</v>
      </c>
      <c r="F24" s="5">
        <f>0</f>
        <v>0</v>
      </c>
      <c r="G24" s="5">
        <f>0</f>
        <v>0</v>
      </c>
      <c r="H24" s="5">
        <f>0</f>
        <v>0</v>
      </c>
      <c r="I24" s="5">
        <f>0</f>
        <v>0</v>
      </c>
      <c r="J24" s="5">
        <f>0</f>
        <v>0</v>
      </c>
      <c r="K24" s="5">
        <f>402.29</f>
        <v>402.29</v>
      </c>
      <c r="L24" s="5">
        <f>54.55</f>
        <v>54.55</v>
      </c>
      <c r="M24" s="5">
        <f>5437.92</f>
        <v>5437.92</v>
      </c>
      <c r="N24" s="5">
        <f t="shared" ref="N24:N32" si="4">(((((((((((B24)+(C24))+(D24))+(E24))+(F24))+(G24))+(H24))+(I24))+(J24))+(K24))+(L24))+(M24)</f>
        <v>5894.76</v>
      </c>
    </row>
    <row r="25" spans="1:16" x14ac:dyDescent="0.35">
      <c r="A25" s="3" t="s">
        <v>32</v>
      </c>
      <c r="B25" s="5">
        <f>8487</f>
        <v>8487</v>
      </c>
      <c r="C25" s="5">
        <f>15375</f>
        <v>15375</v>
      </c>
      <c r="D25" s="5">
        <f>16482</f>
        <v>16482</v>
      </c>
      <c r="E25" s="5">
        <f>16113</f>
        <v>16113</v>
      </c>
      <c r="F25" s="5">
        <f>18327</f>
        <v>18327</v>
      </c>
      <c r="G25" s="5">
        <f>8733</f>
        <v>8733</v>
      </c>
      <c r="H25" s="5">
        <f>26076</f>
        <v>26076</v>
      </c>
      <c r="I25" s="5">
        <f>19803</f>
        <v>19803</v>
      </c>
      <c r="J25" s="5">
        <f>19557</f>
        <v>19557</v>
      </c>
      <c r="K25" s="5">
        <f>18819</f>
        <v>18819</v>
      </c>
      <c r="L25" s="5">
        <f>13161</f>
        <v>13161</v>
      </c>
      <c r="M25" s="5">
        <f>17589</f>
        <v>17589</v>
      </c>
      <c r="N25" s="5">
        <f t="shared" si="4"/>
        <v>198522</v>
      </c>
    </row>
    <row r="26" spans="1:16" x14ac:dyDescent="0.35">
      <c r="A26" s="3" t="s">
        <v>33</v>
      </c>
      <c r="B26" s="5">
        <f>1208.52</f>
        <v>1208.52</v>
      </c>
      <c r="C26" s="5">
        <f>2497.25</f>
        <v>2497.25</v>
      </c>
      <c r="D26" s="5">
        <f>3848.95</f>
        <v>3848.95</v>
      </c>
      <c r="E26" s="5">
        <f>3294.7</f>
        <v>3294.7</v>
      </c>
      <c r="F26" s="5">
        <f>5087.2</f>
        <v>5087.2</v>
      </c>
      <c r="G26" s="5">
        <f>3416.67</f>
        <v>3416.67</v>
      </c>
      <c r="H26" s="5">
        <f>8543.22</f>
        <v>8543.2199999999993</v>
      </c>
      <c r="I26" s="5">
        <f>-45591.16</f>
        <v>-45591.16</v>
      </c>
      <c r="J26" s="5">
        <f>11256.35</f>
        <v>11256.35</v>
      </c>
      <c r="K26" s="5">
        <f>16802.39</f>
        <v>16802.39</v>
      </c>
      <c r="L26" s="5">
        <f>7547.5</f>
        <v>7547.5</v>
      </c>
      <c r="M26" s="5">
        <f>8257.11</f>
        <v>8257.11</v>
      </c>
      <c r="N26" s="5">
        <f t="shared" si="4"/>
        <v>26168.699999999997</v>
      </c>
    </row>
    <row r="27" spans="1:16" x14ac:dyDescent="0.35">
      <c r="A27" s="3" t="s">
        <v>34</v>
      </c>
      <c r="B27" s="5">
        <f>1616</f>
        <v>1616</v>
      </c>
      <c r="C27" s="5">
        <f>5444</f>
        <v>5444</v>
      </c>
      <c r="D27" s="5">
        <f>5452</f>
        <v>5452</v>
      </c>
      <c r="E27" s="5">
        <f>38160</f>
        <v>38160</v>
      </c>
      <c r="F27" s="5">
        <f>6163</f>
        <v>6163</v>
      </c>
      <c r="G27" s="5">
        <f>4652</f>
        <v>4652</v>
      </c>
      <c r="H27" s="5">
        <f>17614</f>
        <v>17614</v>
      </c>
      <c r="I27" s="5">
        <f>-25523</f>
        <v>-25523</v>
      </c>
      <c r="J27" s="5">
        <f>2092</f>
        <v>2092</v>
      </c>
      <c r="K27" s="5">
        <f>6418</f>
        <v>6418</v>
      </c>
      <c r="L27" s="5">
        <f>60762</f>
        <v>60762</v>
      </c>
      <c r="M27" s="5">
        <f>1440</f>
        <v>1440</v>
      </c>
      <c r="N27" s="5">
        <f t="shared" si="4"/>
        <v>124290</v>
      </c>
    </row>
    <row r="28" spans="1:16" x14ac:dyDescent="0.35">
      <c r="A28" s="3" t="s">
        <v>35</v>
      </c>
      <c r="B28" s="5">
        <f>298.25</f>
        <v>298.25</v>
      </c>
      <c r="C28" s="5">
        <f>934.67</f>
        <v>934.67</v>
      </c>
      <c r="D28" s="5">
        <f>988.62</f>
        <v>988.62</v>
      </c>
      <c r="E28" s="5">
        <f>615.82</f>
        <v>615.82000000000005</v>
      </c>
      <c r="F28" s="5">
        <f>592.98</f>
        <v>592.98</v>
      </c>
      <c r="G28" s="5">
        <f>143.31</f>
        <v>143.31</v>
      </c>
      <c r="H28" s="5">
        <f>528.93</f>
        <v>528.92999999999995</v>
      </c>
      <c r="I28" s="5">
        <f>173.75</f>
        <v>173.75</v>
      </c>
      <c r="J28" s="5">
        <f>199.32</f>
        <v>199.32</v>
      </c>
      <c r="K28" s="5">
        <f>0</f>
        <v>0</v>
      </c>
      <c r="L28" s="5">
        <f>0</f>
        <v>0</v>
      </c>
      <c r="M28" s="5">
        <f>0</f>
        <v>0</v>
      </c>
      <c r="N28" s="5">
        <f t="shared" si="4"/>
        <v>4475.6499999999996</v>
      </c>
    </row>
    <row r="29" spans="1:16" x14ac:dyDescent="0.35">
      <c r="A29" s="3" t="s">
        <v>36</v>
      </c>
      <c r="B29" s="5">
        <f>0</f>
        <v>0</v>
      </c>
      <c r="C29" s="5">
        <f>0</f>
        <v>0</v>
      </c>
      <c r="D29" s="5">
        <f>0</f>
        <v>0</v>
      </c>
      <c r="E29" s="5">
        <f>-144612.37</f>
        <v>-144612.37</v>
      </c>
      <c r="F29" s="5">
        <f>0</f>
        <v>0</v>
      </c>
      <c r="G29" s="5">
        <f>0</f>
        <v>0</v>
      </c>
      <c r="H29" s="5">
        <f>0</f>
        <v>0</v>
      </c>
      <c r="I29" s="5">
        <f>0</f>
        <v>0</v>
      </c>
      <c r="J29" s="5">
        <f>0</f>
        <v>0</v>
      </c>
      <c r="K29" s="5">
        <f>0</f>
        <v>0</v>
      </c>
      <c r="L29" s="5">
        <f>0</f>
        <v>0</v>
      </c>
      <c r="M29" s="5">
        <f>0</f>
        <v>0</v>
      </c>
      <c r="N29" s="5">
        <f t="shared" si="4"/>
        <v>-144612.37</v>
      </c>
      <c r="P29" t="s">
        <v>64</v>
      </c>
    </row>
    <row r="30" spans="1:16" x14ac:dyDescent="0.35">
      <c r="A30" s="3" t="s">
        <v>37</v>
      </c>
      <c r="B30" s="5">
        <f>0</f>
        <v>0</v>
      </c>
      <c r="C30" s="5">
        <f>0</f>
        <v>0</v>
      </c>
      <c r="D30" s="5">
        <f>0</f>
        <v>0</v>
      </c>
      <c r="E30" s="5">
        <f>0</f>
        <v>0</v>
      </c>
      <c r="F30" s="5">
        <f>0</f>
        <v>0</v>
      </c>
      <c r="G30" s="5">
        <f>0</f>
        <v>0</v>
      </c>
      <c r="H30" s="5">
        <f>0</f>
        <v>0</v>
      </c>
      <c r="I30" s="5">
        <f>0</f>
        <v>0</v>
      </c>
      <c r="J30" s="5">
        <f>0</f>
        <v>0</v>
      </c>
      <c r="K30" s="5">
        <f>0</f>
        <v>0</v>
      </c>
      <c r="L30" s="5">
        <f>0</f>
        <v>0</v>
      </c>
      <c r="M30" s="5">
        <f>0</f>
        <v>0</v>
      </c>
      <c r="N30" s="5">
        <f t="shared" si="4"/>
        <v>0</v>
      </c>
    </row>
    <row r="31" spans="1:16" x14ac:dyDescent="0.35">
      <c r="A31" s="3" t="s">
        <v>38</v>
      </c>
      <c r="B31" s="6">
        <f t="shared" ref="B31:M31" si="5">((((((B24)+(B25))+(B26))+(B27))+(B28))+(B29))+(B30)</f>
        <v>11609.77</v>
      </c>
      <c r="C31" s="6">
        <f t="shared" si="5"/>
        <v>24250.92</v>
      </c>
      <c r="D31" s="6">
        <f t="shared" si="5"/>
        <v>26771.57</v>
      </c>
      <c r="E31" s="6">
        <f t="shared" si="5"/>
        <v>-86428.85</v>
      </c>
      <c r="F31" s="6">
        <f t="shared" si="5"/>
        <v>30170.18</v>
      </c>
      <c r="G31" s="6">
        <f t="shared" si="5"/>
        <v>16944.98</v>
      </c>
      <c r="H31" s="6">
        <f t="shared" si="5"/>
        <v>52762.15</v>
      </c>
      <c r="I31" s="6">
        <f t="shared" si="5"/>
        <v>-51137.41</v>
      </c>
      <c r="J31" s="6">
        <f t="shared" si="5"/>
        <v>33104.67</v>
      </c>
      <c r="K31" s="6">
        <f t="shared" si="5"/>
        <v>42441.68</v>
      </c>
      <c r="L31" s="6">
        <f t="shared" si="5"/>
        <v>81525.05</v>
      </c>
      <c r="M31" s="6">
        <f t="shared" si="5"/>
        <v>32724.03</v>
      </c>
      <c r="N31" s="6">
        <f t="shared" si="4"/>
        <v>214738.74000000002</v>
      </c>
    </row>
    <row r="32" spans="1:16" x14ac:dyDescent="0.35">
      <c r="A32" s="3" t="s">
        <v>39</v>
      </c>
      <c r="B32" s="6">
        <f t="shared" ref="B32:M32" si="6">(B22)-(B31)</f>
        <v>9131.23</v>
      </c>
      <c r="C32" s="6">
        <f t="shared" si="6"/>
        <v>21577.08</v>
      </c>
      <c r="D32" s="6">
        <f t="shared" si="6"/>
        <v>18569.43</v>
      </c>
      <c r="E32" s="6">
        <f t="shared" si="6"/>
        <v>134757.01</v>
      </c>
      <c r="F32" s="6">
        <f t="shared" si="6"/>
        <v>15932.82</v>
      </c>
      <c r="G32" s="6">
        <f t="shared" si="6"/>
        <v>18631.02</v>
      </c>
      <c r="H32" s="6">
        <f t="shared" si="6"/>
        <v>64422.85</v>
      </c>
      <c r="I32" s="6">
        <f t="shared" si="6"/>
        <v>69993.7</v>
      </c>
      <c r="J32" s="6">
        <f t="shared" si="6"/>
        <v>2040.9100000000035</v>
      </c>
      <c r="K32" s="6">
        <f t="shared" si="6"/>
        <v>40759.01</v>
      </c>
      <c r="L32" s="6">
        <f t="shared" si="6"/>
        <v>-52732.05</v>
      </c>
      <c r="M32" s="6">
        <f t="shared" si="6"/>
        <v>12335.260000000002</v>
      </c>
      <c r="N32" s="6">
        <f t="shared" si="4"/>
        <v>355418.27000000008</v>
      </c>
    </row>
    <row r="33" spans="1:14" x14ac:dyDescent="0.35">
      <c r="A33" s="3" t="s">
        <v>40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35">
      <c r="A34" s="3" t="s">
        <v>41</v>
      </c>
      <c r="B34" s="5">
        <f>80</f>
        <v>80</v>
      </c>
      <c r="C34" s="5">
        <f>80</f>
        <v>80</v>
      </c>
      <c r="D34" s="5">
        <f>0</f>
        <v>0</v>
      </c>
      <c r="E34" s="5">
        <f>0</f>
        <v>0</v>
      </c>
      <c r="F34" s="5">
        <f>79.77</f>
        <v>79.77</v>
      </c>
      <c r="G34" s="5">
        <f>319</f>
        <v>319</v>
      </c>
      <c r="H34" s="5">
        <f>20</f>
        <v>20</v>
      </c>
      <c r="I34" s="5">
        <f>15</f>
        <v>15</v>
      </c>
      <c r="J34" s="5">
        <f>0</f>
        <v>0</v>
      </c>
      <c r="K34" s="5">
        <f>0</f>
        <v>0</v>
      </c>
      <c r="L34" s="5">
        <f>97.5</f>
        <v>97.5</v>
      </c>
      <c r="M34" s="5">
        <f>95</f>
        <v>95</v>
      </c>
      <c r="N34" s="5">
        <f t="shared" ref="N34:N52" si="7">(((((((((((B34)+(C34))+(D34))+(E34))+(F34))+(G34))+(H34))+(I34))+(J34))+(K34))+(L34))+(M34)</f>
        <v>786.27</v>
      </c>
    </row>
    <row r="35" spans="1:14" x14ac:dyDescent="0.35">
      <c r="A35" s="3" t="s">
        <v>42</v>
      </c>
      <c r="B35" s="5">
        <f>96.08</f>
        <v>96.08</v>
      </c>
      <c r="C35" s="5">
        <f>96.08</f>
        <v>96.08</v>
      </c>
      <c r="D35" s="5">
        <f>96.08</f>
        <v>96.08</v>
      </c>
      <c r="E35" s="5">
        <f>108.47</f>
        <v>108.47</v>
      </c>
      <c r="F35" s="5">
        <f>106.98</f>
        <v>106.98</v>
      </c>
      <c r="G35" s="5">
        <f>124.55</f>
        <v>124.55</v>
      </c>
      <c r="H35" s="5">
        <f>213.5</f>
        <v>213.5</v>
      </c>
      <c r="I35" s="5">
        <f>0</f>
        <v>0</v>
      </c>
      <c r="J35" s="5">
        <f>213.5</f>
        <v>213.5</v>
      </c>
      <c r="K35" s="5">
        <f>0</f>
        <v>0</v>
      </c>
      <c r="L35" s="5">
        <f>0</f>
        <v>0</v>
      </c>
      <c r="M35" s="5">
        <f>0</f>
        <v>0</v>
      </c>
      <c r="N35" s="5">
        <f t="shared" si="7"/>
        <v>1055.24</v>
      </c>
    </row>
    <row r="36" spans="1:14" x14ac:dyDescent="0.35">
      <c r="A36" s="3" t="s">
        <v>43</v>
      </c>
      <c r="B36" s="5">
        <f>0</f>
        <v>0</v>
      </c>
      <c r="C36" s="5">
        <f>5550</f>
        <v>5550</v>
      </c>
      <c r="D36" s="5">
        <f>0</f>
        <v>0</v>
      </c>
      <c r="E36" s="5">
        <f>0</f>
        <v>0</v>
      </c>
      <c r="F36" s="5">
        <f>0</f>
        <v>0</v>
      </c>
      <c r="G36" s="5">
        <f>0</f>
        <v>0</v>
      </c>
      <c r="H36" s="5">
        <f>0</f>
        <v>0</v>
      </c>
      <c r="I36" s="5">
        <f>0</f>
        <v>0</v>
      </c>
      <c r="J36" s="5">
        <f>0</f>
        <v>0</v>
      </c>
      <c r="K36" s="5">
        <f>0</f>
        <v>0</v>
      </c>
      <c r="L36" s="5">
        <f>0</f>
        <v>0</v>
      </c>
      <c r="M36" s="5">
        <f>0</f>
        <v>0</v>
      </c>
      <c r="N36" s="5">
        <f t="shared" si="7"/>
        <v>5550</v>
      </c>
    </row>
    <row r="37" spans="1:14" x14ac:dyDescent="0.35">
      <c r="A37" s="3" t="s">
        <v>44</v>
      </c>
      <c r="B37" s="5">
        <f>417.38</f>
        <v>417.38</v>
      </c>
      <c r="C37" s="5">
        <f>0</f>
        <v>0</v>
      </c>
      <c r="D37" s="5">
        <f>0</f>
        <v>0</v>
      </c>
      <c r="E37" s="5">
        <f>0</f>
        <v>0</v>
      </c>
      <c r="F37" s="5">
        <f>0</f>
        <v>0</v>
      </c>
      <c r="G37" s="5">
        <f>0</f>
        <v>0</v>
      </c>
      <c r="H37" s="5">
        <f>0</f>
        <v>0</v>
      </c>
      <c r="I37" s="5">
        <f>0</f>
        <v>0</v>
      </c>
      <c r="J37" s="5">
        <f>0</f>
        <v>0</v>
      </c>
      <c r="K37" s="5">
        <f>0</f>
        <v>0</v>
      </c>
      <c r="L37" s="5">
        <f>0</f>
        <v>0</v>
      </c>
      <c r="M37" s="5">
        <f>0</f>
        <v>0</v>
      </c>
      <c r="N37" s="5">
        <f t="shared" si="7"/>
        <v>417.38</v>
      </c>
    </row>
    <row r="38" spans="1:14" x14ac:dyDescent="0.35">
      <c r="A38" s="3" t="s">
        <v>45</v>
      </c>
      <c r="B38" s="5">
        <f>0</f>
        <v>0</v>
      </c>
      <c r="C38" s="5">
        <f>0</f>
        <v>0</v>
      </c>
      <c r="D38" s="5">
        <f>0</f>
        <v>0</v>
      </c>
      <c r="E38" s="5">
        <f>10330</f>
        <v>10330</v>
      </c>
      <c r="F38" s="5">
        <f>0</f>
        <v>0</v>
      </c>
      <c r="G38" s="5">
        <f>0</f>
        <v>0</v>
      </c>
      <c r="H38" s="5">
        <f>0</f>
        <v>0</v>
      </c>
      <c r="I38" s="5">
        <f>0</f>
        <v>0</v>
      </c>
      <c r="J38" s="5">
        <f>0</f>
        <v>0</v>
      </c>
      <c r="K38" s="5">
        <f>0</f>
        <v>0</v>
      </c>
      <c r="L38" s="5">
        <f>0</f>
        <v>0</v>
      </c>
      <c r="M38" s="5">
        <f>0</f>
        <v>0</v>
      </c>
      <c r="N38" s="5">
        <f t="shared" si="7"/>
        <v>10330</v>
      </c>
    </row>
    <row r="39" spans="1:14" x14ac:dyDescent="0.35">
      <c r="A39" s="3" t="s">
        <v>46</v>
      </c>
      <c r="B39" s="5">
        <f>0</f>
        <v>0</v>
      </c>
      <c r="C39" s="5">
        <f>0</f>
        <v>0</v>
      </c>
      <c r="D39" s="5">
        <f>0</f>
        <v>0</v>
      </c>
      <c r="E39" s="5">
        <f>0</f>
        <v>0</v>
      </c>
      <c r="F39" s="5">
        <f>0</f>
        <v>0</v>
      </c>
      <c r="G39" s="5">
        <f>0</f>
        <v>0</v>
      </c>
      <c r="H39" s="5">
        <f>0</f>
        <v>0</v>
      </c>
      <c r="I39" s="5">
        <f>364.96</f>
        <v>364.96</v>
      </c>
      <c r="J39" s="5">
        <f>0</f>
        <v>0</v>
      </c>
      <c r="K39" s="5">
        <f>0</f>
        <v>0</v>
      </c>
      <c r="L39" s="5">
        <f>0</f>
        <v>0</v>
      </c>
      <c r="M39" s="5">
        <f>0</f>
        <v>0</v>
      </c>
      <c r="N39" s="5">
        <f t="shared" si="7"/>
        <v>364.96</v>
      </c>
    </row>
    <row r="40" spans="1:14" x14ac:dyDescent="0.35">
      <c r="A40" s="3" t="s">
        <v>47</v>
      </c>
      <c r="B40" s="5">
        <f>0</f>
        <v>0</v>
      </c>
      <c r="C40" s="5">
        <f>0</f>
        <v>0</v>
      </c>
      <c r="D40" s="5">
        <f>0</f>
        <v>0</v>
      </c>
      <c r="E40" s="5">
        <f>0</f>
        <v>0</v>
      </c>
      <c r="F40" s="5">
        <f>0</f>
        <v>0</v>
      </c>
      <c r="G40" s="5">
        <f>0</f>
        <v>0</v>
      </c>
      <c r="H40" s="5">
        <f>0</f>
        <v>0</v>
      </c>
      <c r="I40" s="5">
        <f>82.98</f>
        <v>82.98</v>
      </c>
      <c r="J40" s="5">
        <f>661.84</f>
        <v>661.84</v>
      </c>
      <c r="K40" s="5">
        <f>50.66</f>
        <v>50.66</v>
      </c>
      <c r="L40" s="5">
        <f>338.72</f>
        <v>338.72</v>
      </c>
      <c r="M40" s="5">
        <f>783.88</f>
        <v>783.88</v>
      </c>
      <c r="N40" s="5">
        <f t="shared" si="7"/>
        <v>1918.08</v>
      </c>
    </row>
    <row r="41" spans="1:14" x14ac:dyDescent="0.35">
      <c r="A41" s="3" t="s">
        <v>48</v>
      </c>
      <c r="B41" s="5">
        <f>0</f>
        <v>0</v>
      </c>
      <c r="C41" s="5">
        <f>0</f>
        <v>0</v>
      </c>
      <c r="D41" s="5">
        <f>0</f>
        <v>0</v>
      </c>
      <c r="E41" s="5">
        <f>0</f>
        <v>0</v>
      </c>
      <c r="F41" s="5">
        <f>0</f>
        <v>0</v>
      </c>
      <c r="G41" s="5">
        <f>0</f>
        <v>0</v>
      </c>
      <c r="H41" s="5">
        <f>0</f>
        <v>0</v>
      </c>
      <c r="I41" s="5">
        <f>57.34</f>
        <v>57.34</v>
      </c>
      <c r="J41" s="5">
        <f>1057.2</f>
        <v>1057.2</v>
      </c>
      <c r="K41" s="5">
        <f>0</f>
        <v>0</v>
      </c>
      <c r="L41" s="5">
        <f>0</f>
        <v>0</v>
      </c>
      <c r="M41" s="5">
        <f>0</f>
        <v>0</v>
      </c>
      <c r="N41" s="5">
        <f t="shared" si="7"/>
        <v>1114.54</v>
      </c>
    </row>
    <row r="42" spans="1:14" x14ac:dyDescent="0.35">
      <c r="A42" s="3" t="s">
        <v>49</v>
      </c>
      <c r="B42" s="5">
        <f>0</f>
        <v>0</v>
      </c>
      <c r="C42" s="5">
        <f>0</f>
        <v>0</v>
      </c>
      <c r="D42" s="5">
        <f>0</f>
        <v>0</v>
      </c>
      <c r="E42" s="5">
        <f>0</f>
        <v>0</v>
      </c>
      <c r="F42" s="5">
        <f>0</f>
        <v>0</v>
      </c>
      <c r="G42" s="5">
        <f>0</f>
        <v>0</v>
      </c>
      <c r="H42" s="5">
        <f>0</f>
        <v>0</v>
      </c>
      <c r="I42" s="5">
        <f>592.33</f>
        <v>592.33000000000004</v>
      </c>
      <c r="J42" s="5">
        <f>-138.64</f>
        <v>-138.63999999999999</v>
      </c>
      <c r="K42" s="5">
        <f>0</f>
        <v>0</v>
      </c>
      <c r="L42" s="5">
        <f>0</f>
        <v>0</v>
      </c>
      <c r="M42" s="5">
        <f>0</f>
        <v>0</v>
      </c>
      <c r="N42" s="5">
        <f t="shared" si="7"/>
        <v>453.69000000000005</v>
      </c>
    </row>
    <row r="43" spans="1:14" x14ac:dyDescent="0.35">
      <c r="A43" s="3" t="s">
        <v>50</v>
      </c>
      <c r="B43" s="5">
        <f>0</f>
        <v>0</v>
      </c>
      <c r="C43" s="5">
        <f>0</f>
        <v>0</v>
      </c>
      <c r="D43" s="5">
        <f>0</f>
        <v>0</v>
      </c>
      <c r="E43" s="5">
        <f>0</f>
        <v>0</v>
      </c>
      <c r="F43" s="5">
        <f>0</f>
        <v>0</v>
      </c>
      <c r="G43" s="5">
        <f>0</f>
        <v>0</v>
      </c>
      <c r="H43" s="5">
        <f>0</f>
        <v>0</v>
      </c>
      <c r="I43" s="5">
        <f>1133.75</f>
        <v>1133.75</v>
      </c>
      <c r="J43" s="5">
        <f>1630.34</f>
        <v>1630.34</v>
      </c>
      <c r="K43" s="5">
        <f>0</f>
        <v>0</v>
      </c>
      <c r="L43" s="5">
        <f>0</f>
        <v>0</v>
      </c>
      <c r="M43" s="5">
        <f>0</f>
        <v>0</v>
      </c>
      <c r="N43" s="5">
        <f t="shared" si="7"/>
        <v>2764.09</v>
      </c>
    </row>
    <row r="44" spans="1:14" x14ac:dyDescent="0.35">
      <c r="A44" s="3" t="s">
        <v>51</v>
      </c>
      <c r="B44" s="5">
        <f>1120</f>
        <v>1120</v>
      </c>
      <c r="C44" s="5">
        <f>0</f>
        <v>0</v>
      </c>
      <c r="D44" s="5">
        <f>830</f>
        <v>830</v>
      </c>
      <c r="E44" s="5">
        <f>0</f>
        <v>0</v>
      </c>
      <c r="F44" s="5">
        <f>0</f>
        <v>0</v>
      </c>
      <c r="G44" s="5">
        <f>0</f>
        <v>0</v>
      </c>
      <c r="H44" s="5">
        <f>0</f>
        <v>0</v>
      </c>
      <c r="I44" s="5">
        <f>0</f>
        <v>0</v>
      </c>
      <c r="J44" s="5">
        <f>0</f>
        <v>0</v>
      </c>
      <c r="K44" s="5">
        <f>0</f>
        <v>0</v>
      </c>
      <c r="L44" s="5">
        <f>0</f>
        <v>0</v>
      </c>
      <c r="M44" s="5">
        <f>0</f>
        <v>0</v>
      </c>
      <c r="N44" s="5">
        <f t="shared" si="7"/>
        <v>1950</v>
      </c>
    </row>
    <row r="45" spans="1:14" x14ac:dyDescent="0.35">
      <c r="A45" s="3" t="s">
        <v>52</v>
      </c>
      <c r="B45" s="5">
        <f>0</f>
        <v>0</v>
      </c>
      <c r="C45" s="5">
        <f>0</f>
        <v>0</v>
      </c>
      <c r="D45" s="5">
        <f>0</f>
        <v>0</v>
      </c>
      <c r="E45" s="5">
        <f>0</f>
        <v>0</v>
      </c>
      <c r="F45" s="5">
        <f>0</f>
        <v>0</v>
      </c>
      <c r="G45" s="5">
        <f>0</f>
        <v>0</v>
      </c>
      <c r="H45" s="5">
        <f>0</f>
        <v>0</v>
      </c>
      <c r="I45" s="5">
        <f>0</f>
        <v>0</v>
      </c>
      <c r="J45" s="5">
        <f>0</f>
        <v>0</v>
      </c>
      <c r="K45" s="5">
        <f>0</f>
        <v>0</v>
      </c>
      <c r="L45" s="5">
        <f>0</f>
        <v>0</v>
      </c>
      <c r="M45" s="5">
        <f>0</f>
        <v>0</v>
      </c>
      <c r="N45" s="5">
        <f t="shared" si="7"/>
        <v>0</v>
      </c>
    </row>
    <row r="46" spans="1:14" x14ac:dyDescent="0.35">
      <c r="A46" s="3" t="s">
        <v>53</v>
      </c>
      <c r="B46" s="5">
        <f>0</f>
        <v>0</v>
      </c>
      <c r="C46" s="5">
        <f>0</f>
        <v>0</v>
      </c>
      <c r="D46" s="5">
        <f>0</f>
        <v>0</v>
      </c>
      <c r="E46" s="5">
        <f>0</f>
        <v>0</v>
      </c>
      <c r="F46" s="5">
        <f>0</f>
        <v>0</v>
      </c>
      <c r="G46" s="5">
        <f>0</f>
        <v>0</v>
      </c>
      <c r="H46" s="5">
        <f>0</f>
        <v>0</v>
      </c>
      <c r="I46" s="5">
        <f>0</f>
        <v>0</v>
      </c>
      <c r="J46" s="5">
        <f>0</f>
        <v>0</v>
      </c>
      <c r="K46" s="5">
        <f>0</f>
        <v>0</v>
      </c>
      <c r="L46" s="5">
        <f>4293.63</f>
        <v>4293.63</v>
      </c>
      <c r="M46" s="5">
        <f>73.66</f>
        <v>73.66</v>
      </c>
      <c r="N46" s="5">
        <f t="shared" si="7"/>
        <v>4367.29</v>
      </c>
    </row>
    <row r="47" spans="1:14" x14ac:dyDescent="0.35">
      <c r="A47" s="3" t="s">
        <v>54</v>
      </c>
      <c r="B47" s="6">
        <f t="shared" ref="B47:M47" si="8">(B45)+(B46)</f>
        <v>0</v>
      </c>
      <c r="C47" s="6">
        <f t="shared" si="8"/>
        <v>0</v>
      </c>
      <c r="D47" s="6">
        <f t="shared" si="8"/>
        <v>0</v>
      </c>
      <c r="E47" s="6">
        <f t="shared" si="8"/>
        <v>0</v>
      </c>
      <c r="F47" s="6">
        <f t="shared" si="8"/>
        <v>0</v>
      </c>
      <c r="G47" s="6">
        <f t="shared" si="8"/>
        <v>0</v>
      </c>
      <c r="H47" s="6">
        <f t="shared" si="8"/>
        <v>0</v>
      </c>
      <c r="I47" s="6">
        <f t="shared" si="8"/>
        <v>0</v>
      </c>
      <c r="J47" s="6">
        <f t="shared" si="8"/>
        <v>0</v>
      </c>
      <c r="K47" s="6">
        <f t="shared" si="8"/>
        <v>0</v>
      </c>
      <c r="L47" s="6">
        <f t="shared" si="8"/>
        <v>4293.63</v>
      </c>
      <c r="M47" s="6">
        <f t="shared" si="8"/>
        <v>73.66</v>
      </c>
      <c r="N47" s="6">
        <f t="shared" si="7"/>
        <v>4367.29</v>
      </c>
    </row>
    <row r="48" spans="1:14" x14ac:dyDescent="0.35">
      <c r="A48" s="3" t="s">
        <v>55</v>
      </c>
      <c r="B48" s="5">
        <f>0</f>
        <v>0</v>
      </c>
      <c r="C48" s="5">
        <f>0</f>
        <v>0</v>
      </c>
      <c r="D48" s="5">
        <f>0</f>
        <v>0</v>
      </c>
      <c r="E48" s="5">
        <f>0</f>
        <v>0</v>
      </c>
      <c r="F48" s="5">
        <f>155.55</f>
        <v>155.55000000000001</v>
      </c>
      <c r="G48" s="5">
        <f>8.73</f>
        <v>8.73</v>
      </c>
      <c r="H48" s="5">
        <f>498.15</f>
        <v>498.15</v>
      </c>
      <c r="I48" s="5">
        <f>328.57</f>
        <v>328.57</v>
      </c>
      <c r="J48" s="5">
        <f>146.1</f>
        <v>146.1</v>
      </c>
      <c r="K48" s="5">
        <f>482.42</f>
        <v>482.42</v>
      </c>
      <c r="L48" s="5">
        <f>367.97</f>
        <v>367.97</v>
      </c>
      <c r="M48" s="5">
        <f>232.3</f>
        <v>232.3</v>
      </c>
      <c r="N48" s="5">
        <f t="shared" si="7"/>
        <v>2219.79</v>
      </c>
    </row>
    <row r="49" spans="1:14" x14ac:dyDescent="0.35">
      <c r="A49" s="3" t="s">
        <v>56</v>
      </c>
      <c r="B49" s="5">
        <f>0</f>
        <v>0</v>
      </c>
      <c r="C49" s="5">
        <f>0</f>
        <v>0</v>
      </c>
      <c r="D49" s="5">
        <f>0</f>
        <v>0</v>
      </c>
      <c r="E49" s="5">
        <f>0</f>
        <v>0</v>
      </c>
      <c r="F49" s="5">
        <f>0</f>
        <v>0</v>
      </c>
      <c r="G49" s="5">
        <f>0</f>
        <v>0</v>
      </c>
      <c r="H49" s="5">
        <f>0</f>
        <v>0</v>
      </c>
      <c r="I49" s="5">
        <f>345.08</f>
        <v>345.08</v>
      </c>
      <c r="J49" s="5">
        <f>0</f>
        <v>0</v>
      </c>
      <c r="K49" s="5">
        <f>0</f>
        <v>0</v>
      </c>
      <c r="L49" s="5">
        <f>0</f>
        <v>0</v>
      </c>
      <c r="M49" s="5">
        <f>0</f>
        <v>0</v>
      </c>
      <c r="N49" s="5">
        <f t="shared" si="7"/>
        <v>345.08</v>
      </c>
    </row>
    <row r="50" spans="1:14" x14ac:dyDescent="0.35">
      <c r="A50" s="3" t="s">
        <v>57</v>
      </c>
      <c r="B50" s="6">
        <f t="shared" ref="B50:M50" si="9">(((((((((((((B34)+(B35))+(B36))+(B37))+(B38))+(B39))+(B40))+(B41))+(B42))+(B43))+(B44))+(B47))+(B48))+(B49)</f>
        <v>1713.46</v>
      </c>
      <c r="C50" s="6">
        <f t="shared" si="9"/>
        <v>5726.08</v>
      </c>
      <c r="D50" s="6">
        <f t="shared" si="9"/>
        <v>926.08</v>
      </c>
      <c r="E50" s="6">
        <f t="shared" si="9"/>
        <v>10438.469999999999</v>
      </c>
      <c r="F50" s="6">
        <f t="shared" si="9"/>
        <v>342.3</v>
      </c>
      <c r="G50" s="6">
        <f t="shared" si="9"/>
        <v>452.28000000000003</v>
      </c>
      <c r="H50" s="6">
        <f t="shared" si="9"/>
        <v>731.65</v>
      </c>
      <c r="I50" s="6">
        <f t="shared" si="9"/>
        <v>2920.01</v>
      </c>
      <c r="J50" s="6">
        <f t="shared" si="9"/>
        <v>3570.3399999999997</v>
      </c>
      <c r="K50" s="6">
        <f t="shared" si="9"/>
        <v>533.08000000000004</v>
      </c>
      <c r="L50" s="6">
        <f t="shared" si="9"/>
        <v>5097.8200000000006</v>
      </c>
      <c r="M50" s="6">
        <f t="shared" si="9"/>
        <v>1184.8399999999999</v>
      </c>
      <c r="N50" s="6">
        <f t="shared" si="7"/>
        <v>33636.410000000003</v>
      </c>
    </row>
    <row r="51" spans="1:14" x14ac:dyDescent="0.35">
      <c r="A51" s="3" t="s">
        <v>58</v>
      </c>
      <c r="B51" s="6">
        <f t="shared" ref="B51:M51" si="10">(B32)-(B50)</f>
        <v>7417.7699999999995</v>
      </c>
      <c r="C51" s="6">
        <f t="shared" si="10"/>
        <v>15851.000000000002</v>
      </c>
      <c r="D51" s="6">
        <f t="shared" si="10"/>
        <v>17643.349999999999</v>
      </c>
      <c r="E51" s="6">
        <f t="shared" si="10"/>
        <v>124318.54000000001</v>
      </c>
      <c r="F51" s="6">
        <f t="shared" si="10"/>
        <v>15590.52</v>
      </c>
      <c r="G51" s="6">
        <f t="shared" si="10"/>
        <v>18178.740000000002</v>
      </c>
      <c r="H51" s="6">
        <f t="shared" si="10"/>
        <v>63691.199999999997</v>
      </c>
      <c r="I51" s="6">
        <f t="shared" si="10"/>
        <v>67073.69</v>
      </c>
      <c r="J51" s="6">
        <f t="shared" si="10"/>
        <v>-1529.4299999999962</v>
      </c>
      <c r="K51" s="6">
        <f t="shared" si="10"/>
        <v>40225.93</v>
      </c>
      <c r="L51" s="6">
        <f t="shared" si="10"/>
        <v>-57829.87</v>
      </c>
      <c r="M51" s="6">
        <f t="shared" si="10"/>
        <v>11150.420000000002</v>
      </c>
      <c r="N51" s="6">
        <f t="shared" si="7"/>
        <v>321781.86</v>
      </c>
    </row>
    <row r="52" spans="1:14" x14ac:dyDescent="0.35">
      <c r="A52" s="3" t="s">
        <v>59</v>
      </c>
      <c r="B52" s="7">
        <f t="shared" ref="B52:M52" si="11">(B51)+(0)</f>
        <v>7417.7699999999995</v>
      </c>
      <c r="C52" s="7">
        <f t="shared" si="11"/>
        <v>15851.000000000002</v>
      </c>
      <c r="D52" s="7">
        <f t="shared" si="11"/>
        <v>17643.349999999999</v>
      </c>
      <c r="E52" s="7">
        <f t="shared" si="11"/>
        <v>124318.54000000001</v>
      </c>
      <c r="F52" s="7">
        <f t="shared" si="11"/>
        <v>15590.52</v>
      </c>
      <c r="G52" s="7">
        <f t="shared" si="11"/>
        <v>18178.740000000002</v>
      </c>
      <c r="H52" s="7">
        <f t="shared" si="11"/>
        <v>63691.199999999997</v>
      </c>
      <c r="I52" s="7">
        <f t="shared" si="11"/>
        <v>67073.69</v>
      </c>
      <c r="J52" s="7">
        <f t="shared" si="11"/>
        <v>-1529.4299999999962</v>
      </c>
      <c r="K52" s="7">
        <f t="shared" si="11"/>
        <v>40225.93</v>
      </c>
      <c r="L52" s="7">
        <f t="shared" si="11"/>
        <v>-57829.87</v>
      </c>
      <c r="M52" s="7">
        <f t="shared" si="11"/>
        <v>11150.420000000002</v>
      </c>
      <c r="N52" s="7">
        <f t="shared" si="7"/>
        <v>321781.86</v>
      </c>
    </row>
    <row r="53" spans="1:14" x14ac:dyDescent="0.3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6" spans="1:14" x14ac:dyDescent="0.3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Joseph Davis</cp:lastModifiedBy>
  <dcterms:created xsi:type="dcterms:W3CDTF">2025-08-08T21:06:16Z</dcterms:created>
  <dcterms:modified xsi:type="dcterms:W3CDTF">2025-08-08T21:08:33Z</dcterms:modified>
</cp:coreProperties>
</file>