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d49b3d6fd871ac/Desktop/Sugar DD/"/>
    </mc:Choice>
  </mc:AlternateContent>
  <xr:revisionPtr revIDLastSave="0" documentId="8_{64062036-30F8-4BBC-9B74-D5A78A15E54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  <c r="L37" i="1"/>
  <c r="K37" i="1"/>
  <c r="J37" i="1"/>
  <c r="I37" i="1"/>
  <c r="H37" i="1"/>
  <c r="G37" i="1"/>
  <c r="F37" i="1"/>
  <c r="E37" i="1"/>
  <c r="D37" i="1"/>
  <c r="C37" i="1"/>
  <c r="B37" i="1"/>
  <c r="N37" i="1" s="1"/>
  <c r="M36" i="1"/>
  <c r="L36" i="1"/>
  <c r="K36" i="1"/>
  <c r="J36" i="1"/>
  <c r="I36" i="1"/>
  <c r="H36" i="1"/>
  <c r="G36" i="1"/>
  <c r="F36" i="1"/>
  <c r="E36" i="1"/>
  <c r="D36" i="1"/>
  <c r="C36" i="1"/>
  <c r="B36" i="1"/>
  <c r="N36" i="1" s="1"/>
  <c r="M35" i="1"/>
  <c r="L35" i="1"/>
  <c r="K35" i="1"/>
  <c r="J35" i="1"/>
  <c r="I35" i="1"/>
  <c r="H35" i="1"/>
  <c r="G35" i="1"/>
  <c r="F35" i="1"/>
  <c r="E35" i="1"/>
  <c r="D35" i="1"/>
  <c r="C35" i="1"/>
  <c r="B35" i="1"/>
  <c r="N35" i="1" s="1"/>
  <c r="M34" i="1"/>
  <c r="L34" i="1"/>
  <c r="K34" i="1"/>
  <c r="J34" i="1"/>
  <c r="I34" i="1"/>
  <c r="H34" i="1"/>
  <c r="G34" i="1"/>
  <c r="F34" i="1"/>
  <c r="E34" i="1"/>
  <c r="D34" i="1"/>
  <c r="C34" i="1"/>
  <c r="B34" i="1"/>
  <c r="N34" i="1" s="1"/>
  <c r="L33" i="1"/>
  <c r="J33" i="1"/>
  <c r="M32" i="1"/>
  <c r="M33" i="1" s="1"/>
  <c r="L32" i="1"/>
  <c r="K32" i="1"/>
  <c r="K33" i="1" s="1"/>
  <c r="J32" i="1"/>
  <c r="I32" i="1"/>
  <c r="H32" i="1"/>
  <c r="G32" i="1"/>
  <c r="F32" i="1"/>
  <c r="E32" i="1"/>
  <c r="D32" i="1"/>
  <c r="C32" i="1"/>
  <c r="B32" i="1"/>
  <c r="N32" i="1" s="1"/>
  <c r="M31" i="1"/>
  <c r="L31" i="1"/>
  <c r="K31" i="1"/>
  <c r="J31" i="1"/>
  <c r="I31" i="1"/>
  <c r="H31" i="1"/>
  <c r="G31" i="1"/>
  <c r="F31" i="1"/>
  <c r="E31" i="1"/>
  <c r="D31" i="1"/>
  <c r="C31" i="1"/>
  <c r="B31" i="1"/>
  <c r="N31" i="1" s="1"/>
  <c r="M30" i="1"/>
  <c r="L30" i="1"/>
  <c r="K30" i="1"/>
  <c r="J30" i="1"/>
  <c r="I30" i="1"/>
  <c r="H30" i="1"/>
  <c r="G30" i="1"/>
  <c r="F30" i="1"/>
  <c r="E30" i="1"/>
  <c r="D30" i="1"/>
  <c r="C30" i="1"/>
  <c r="C33" i="1" s="1"/>
  <c r="B30" i="1"/>
  <c r="N30" i="1" s="1"/>
  <c r="M29" i="1"/>
  <c r="L29" i="1"/>
  <c r="K29" i="1"/>
  <c r="J29" i="1"/>
  <c r="I29" i="1"/>
  <c r="I33" i="1" s="1"/>
  <c r="H29" i="1"/>
  <c r="H33" i="1" s="1"/>
  <c r="G29" i="1"/>
  <c r="G33" i="1" s="1"/>
  <c r="F29" i="1"/>
  <c r="F33" i="1" s="1"/>
  <c r="E29" i="1"/>
  <c r="E33" i="1" s="1"/>
  <c r="D29" i="1"/>
  <c r="D33" i="1" s="1"/>
  <c r="C29" i="1"/>
  <c r="B29" i="1"/>
  <c r="B33" i="1" s="1"/>
  <c r="M28" i="1"/>
  <c r="L28" i="1"/>
  <c r="K28" i="1"/>
  <c r="J28" i="1"/>
  <c r="I28" i="1"/>
  <c r="H28" i="1"/>
  <c r="G28" i="1"/>
  <c r="F28" i="1"/>
  <c r="E28" i="1"/>
  <c r="D28" i="1"/>
  <c r="C28" i="1"/>
  <c r="B28" i="1"/>
  <c r="N28" i="1" s="1"/>
  <c r="M27" i="1"/>
  <c r="L27" i="1"/>
  <c r="K27" i="1"/>
  <c r="J27" i="1"/>
  <c r="I27" i="1"/>
  <c r="H27" i="1"/>
  <c r="G27" i="1"/>
  <c r="F27" i="1"/>
  <c r="E27" i="1"/>
  <c r="D27" i="1"/>
  <c r="C27" i="1"/>
  <c r="B27" i="1"/>
  <c r="N27" i="1" s="1"/>
  <c r="M26" i="1"/>
  <c r="L26" i="1"/>
  <c r="K26" i="1"/>
  <c r="J26" i="1"/>
  <c r="I26" i="1"/>
  <c r="H26" i="1"/>
  <c r="G26" i="1"/>
  <c r="G38" i="1" s="1"/>
  <c r="F26" i="1"/>
  <c r="E26" i="1"/>
  <c r="D26" i="1"/>
  <c r="C26" i="1"/>
  <c r="B26" i="1"/>
  <c r="N26" i="1" s="1"/>
  <c r="M25" i="1"/>
  <c r="L25" i="1"/>
  <c r="K25" i="1"/>
  <c r="J25" i="1"/>
  <c r="I25" i="1"/>
  <c r="H25" i="1"/>
  <c r="H38" i="1" s="1"/>
  <c r="G25" i="1"/>
  <c r="F25" i="1"/>
  <c r="E25" i="1"/>
  <c r="D25" i="1"/>
  <c r="C25" i="1"/>
  <c r="B25" i="1"/>
  <c r="N25" i="1" s="1"/>
  <c r="M24" i="1"/>
  <c r="L24" i="1"/>
  <c r="K24" i="1"/>
  <c r="J24" i="1"/>
  <c r="I24" i="1"/>
  <c r="H24" i="1"/>
  <c r="G24" i="1"/>
  <c r="F24" i="1"/>
  <c r="E24" i="1"/>
  <c r="D24" i="1"/>
  <c r="C24" i="1"/>
  <c r="B24" i="1"/>
  <c r="N24" i="1" s="1"/>
  <c r="M23" i="1"/>
  <c r="L23" i="1"/>
  <c r="K23" i="1"/>
  <c r="J23" i="1"/>
  <c r="I23" i="1"/>
  <c r="H23" i="1"/>
  <c r="G23" i="1"/>
  <c r="F23" i="1"/>
  <c r="E23" i="1"/>
  <c r="D23" i="1"/>
  <c r="C23" i="1"/>
  <c r="B23" i="1"/>
  <c r="N23" i="1" s="1"/>
  <c r="M22" i="1"/>
  <c r="L22" i="1"/>
  <c r="K22" i="1"/>
  <c r="J22" i="1"/>
  <c r="I22" i="1"/>
  <c r="I38" i="1" s="1"/>
  <c r="H22" i="1"/>
  <c r="G22" i="1"/>
  <c r="F22" i="1"/>
  <c r="E22" i="1"/>
  <c r="D22" i="1"/>
  <c r="C22" i="1"/>
  <c r="B22" i="1"/>
  <c r="N22" i="1" s="1"/>
  <c r="M21" i="1"/>
  <c r="L21" i="1"/>
  <c r="K21" i="1"/>
  <c r="J21" i="1"/>
  <c r="N21" i="1" s="1"/>
  <c r="I21" i="1"/>
  <c r="H21" i="1"/>
  <c r="G21" i="1"/>
  <c r="F21" i="1"/>
  <c r="E21" i="1"/>
  <c r="D21" i="1"/>
  <c r="C21" i="1"/>
  <c r="B21" i="1"/>
  <c r="M20" i="1"/>
  <c r="L20" i="1"/>
  <c r="K20" i="1"/>
  <c r="K38" i="1" s="1"/>
  <c r="J20" i="1"/>
  <c r="I20" i="1"/>
  <c r="H20" i="1"/>
  <c r="G20" i="1"/>
  <c r="F20" i="1"/>
  <c r="E20" i="1"/>
  <c r="D20" i="1"/>
  <c r="C20" i="1"/>
  <c r="B20" i="1"/>
  <c r="N20" i="1" s="1"/>
  <c r="N19" i="1"/>
  <c r="M19" i="1"/>
  <c r="L19" i="1"/>
  <c r="L38" i="1" s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N18" i="1" s="1"/>
  <c r="M17" i="1"/>
  <c r="M38" i="1" s="1"/>
  <c r="L17" i="1"/>
  <c r="K17" i="1"/>
  <c r="J17" i="1"/>
  <c r="I17" i="1"/>
  <c r="H17" i="1"/>
  <c r="G17" i="1"/>
  <c r="F17" i="1"/>
  <c r="F38" i="1" s="1"/>
  <c r="E17" i="1"/>
  <c r="E38" i="1" s="1"/>
  <c r="D17" i="1"/>
  <c r="C17" i="1"/>
  <c r="C38" i="1" s="1"/>
  <c r="B17" i="1"/>
  <c r="B38" i="1" s="1"/>
  <c r="M13" i="1"/>
  <c r="L13" i="1"/>
  <c r="K13" i="1"/>
  <c r="J13" i="1"/>
  <c r="I13" i="1"/>
  <c r="H13" i="1"/>
  <c r="G13" i="1"/>
  <c r="F13" i="1"/>
  <c r="E13" i="1"/>
  <c r="D13" i="1"/>
  <c r="C13" i="1"/>
  <c r="B13" i="1"/>
  <c r="N13" i="1" s="1"/>
  <c r="M12" i="1"/>
  <c r="L12" i="1"/>
  <c r="K12" i="1"/>
  <c r="J12" i="1"/>
  <c r="I12" i="1"/>
  <c r="H12" i="1"/>
  <c r="G12" i="1"/>
  <c r="F12" i="1"/>
  <c r="E12" i="1"/>
  <c r="D12" i="1"/>
  <c r="C12" i="1"/>
  <c r="B12" i="1"/>
  <c r="N12" i="1" s="1"/>
  <c r="M11" i="1"/>
  <c r="L11" i="1"/>
  <c r="K11" i="1"/>
  <c r="J11" i="1"/>
  <c r="I11" i="1"/>
  <c r="H11" i="1"/>
  <c r="G11" i="1"/>
  <c r="F11" i="1"/>
  <c r="E11" i="1"/>
  <c r="D11" i="1"/>
  <c r="C11" i="1"/>
  <c r="B11" i="1"/>
  <c r="N11" i="1" s="1"/>
  <c r="M10" i="1"/>
  <c r="L10" i="1"/>
  <c r="K10" i="1"/>
  <c r="J10" i="1"/>
  <c r="I10" i="1"/>
  <c r="H10" i="1"/>
  <c r="H14" i="1" s="1"/>
  <c r="H15" i="1" s="1"/>
  <c r="H39" i="1" s="1"/>
  <c r="H40" i="1" s="1"/>
  <c r="G10" i="1"/>
  <c r="F10" i="1"/>
  <c r="E10" i="1"/>
  <c r="D10" i="1"/>
  <c r="C10" i="1"/>
  <c r="B10" i="1"/>
  <c r="N10" i="1" s="1"/>
  <c r="K9" i="1"/>
  <c r="K14" i="1" s="1"/>
  <c r="K15" i="1" s="1"/>
  <c r="I9" i="1"/>
  <c r="I14" i="1" s="1"/>
  <c r="I15" i="1" s="1"/>
  <c r="H9" i="1"/>
  <c r="M8" i="1"/>
  <c r="L8" i="1"/>
  <c r="L9" i="1" s="1"/>
  <c r="L14" i="1" s="1"/>
  <c r="L15" i="1" s="1"/>
  <c r="L39" i="1" s="1"/>
  <c r="L40" i="1" s="1"/>
  <c r="K8" i="1"/>
  <c r="J8" i="1"/>
  <c r="J9" i="1" s="1"/>
  <c r="J14" i="1" s="1"/>
  <c r="J15" i="1" s="1"/>
  <c r="I8" i="1"/>
  <c r="H8" i="1"/>
  <c r="G8" i="1"/>
  <c r="F8" i="1"/>
  <c r="E8" i="1"/>
  <c r="D8" i="1"/>
  <c r="C8" i="1"/>
  <c r="B8" i="1"/>
  <c r="N8" i="1" s="1"/>
  <c r="M7" i="1"/>
  <c r="M9" i="1" s="1"/>
  <c r="M14" i="1" s="1"/>
  <c r="M15" i="1" s="1"/>
  <c r="M39" i="1" s="1"/>
  <c r="M40" i="1" s="1"/>
  <c r="L7" i="1"/>
  <c r="K7" i="1"/>
  <c r="J7" i="1"/>
  <c r="I7" i="1"/>
  <c r="H7" i="1"/>
  <c r="G7" i="1"/>
  <c r="G9" i="1" s="1"/>
  <c r="G14" i="1" s="1"/>
  <c r="G15" i="1" s="1"/>
  <c r="F7" i="1"/>
  <c r="F9" i="1" s="1"/>
  <c r="F14" i="1" s="1"/>
  <c r="F15" i="1" s="1"/>
  <c r="E7" i="1"/>
  <c r="E9" i="1" s="1"/>
  <c r="E14" i="1" s="1"/>
  <c r="E15" i="1" s="1"/>
  <c r="D7" i="1"/>
  <c r="D9" i="1" s="1"/>
  <c r="D14" i="1" s="1"/>
  <c r="D15" i="1" s="1"/>
  <c r="C7" i="1"/>
  <c r="C9" i="1" s="1"/>
  <c r="C14" i="1" s="1"/>
  <c r="C15" i="1" s="1"/>
  <c r="C39" i="1" s="1"/>
  <c r="C40" i="1" s="1"/>
  <c r="B7" i="1"/>
  <c r="B9" i="1" s="1"/>
  <c r="B14" i="1" l="1"/>
  <c r="N9" i="1"/>
  <c r="E39" i="1"/>
  <c r="E40" i="1" s="1"/>
  <c r="J39" i="1"/>
  <c r="J40" i="1" s="1"/>
  <c r="F39" i="1"/>
  <c r="F40" i="1" s="1"/>
  <c r="N33" i="1"/>
  <c r="I39" i="1"/>
  <c r="I40" i="1" s="1"/>
  <c r="K39" i="1"/>
  <c r="K40" i="1" s="1"/>
  <c r="G39" i="1"/>
  <c r="G40" i="1" s="1"/>
  <c r="D38" i="1"/>
  <c r="D39" i="1" s="1"/>
  <c r="D40" i="1" s="1"/>
  <c r="N7" i="1"/>
  <c r="N17" i="1"/>
  <c r="N29" i="1"/>
  <c r="J38" i="1"/>
  <c r="N38" i="1" l="1"/>
  <c r="B15" i="1"/>
  <c r="N14" i="1"/>
  <c r="N15" i="1" l="1"/>
  <c r="B39" i="1"/>
  <c r="B40" i="1" l="1"/>
  <c r="N40" i="1" s="1"/>
  <c r="N39" i="1"/>
</calcChain>
</file>

<file path=xl/sharedStrings.xml><?xml version="1.0" encoding="utf-8"?>
<sst xmlns="http://schemas.openxmlformats.org/spreadsheetml/2006/main" count="51" uniqueCount="51">
  <si>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</si>
  <si>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</si>
  <si>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</si>
  <si>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</si>
  <si>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</si>
  <si>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</si>
  <si>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</si>
  <si>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</si>
  <si>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</si>
  <si>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</si>
  <si>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</si>
  <si>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</si>
  <si>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Total</t>
  </si>
  <si>
    <t>Income</t>
  </si>
  <si>
    <t xml:space="preserve">   Ad Fund Fees</t>
  </si>
  <si>
    <t xml:space="preserve">      Local Store Marketing</t>
  </si>
  <si>
    <t xml:space="preserve">   Total Ad Fund Fees</t>
  </si>
  <si>
    <t xml:space="preserve">   Franchise Fee</t>
  </si>
  <si>
    <t xml:space="preserve">   Intercompany Redemption</t>
  </si>
  <si>
    <t xml:space="preserve">   Royalty Fees</t>
  </si>
  <si>
    <t xml:space="preserve">   Uncategorized Income</t>
  </si>
  <si>
    <t>Total Income</t>
  </si>
  <si>
    <t>Gross Profit</t>
  </si>
  <si>
    <t>Expenses</t>
  </si>
  <si>
    <t xml:space="preserve">   Accounting Fees</t>
  </si>
  <si>
    <t xml:space="preserve">   Advertising &amp; Marketing</t>
  </si>
  <si>
    <t xml:space="preserve">   Bad Debt</t>
  </si>
  <si>
    <t xml:space="preserve">   Bank Charges &amp; Fees</t>
  </si>
  <si>
    <t xml:space="preserve">   Consulting</t>
  </si>
  <si>
    <t xml:space="preserve">   Franchise Fees</t>
  </si>
  <si>
    <t xml:space="preserve">   Hotel</t>
  </si>
  <si>
    <t xml:space="preserve">   Legal &amp; Professional Services</t>
  </si>
  <si>
    <t xml:space="preserve">   Marketing</t>
  </si>
  <si>
    <t xml:space="preserve">   Meals &amp; Entertainment</t>
  </si>
  <si>
    <t xml:space="preserve">   Office Supplies &amp; Software</t>
  </si>
  <si>
    <t xml:space="preserve">   Other Business Expenses</t>
  </si>
  <si>
    <t xml:space="preserve">   Payroll Expense</t>
  </si>
  <si>
    <t xml:space="preserve">      Health Insurance</t>
  </si>
  <si>
    <t xml:space="preserve">      Payroll Tax Expense</t>
  </si>
  <si>
    <t xml:space="preserve">      Salary and Wages</t>
  </si>
  <si>
    <t xml:space="preserve">   Total Payroll Expense</t>
  </si>
  <si>
    <t xml:space="preserve">   QuickBooks Payments Fees</t>
  </si>
  <si>
    <t xml:space="preserve">   Referral Fee</t>
  </si>
  <si>
    <t xml:space="preserve">   Reimbursable Expenses</t>
  </si>
  <si>
    <t xml:space="preserve">   Travel</t>
  </si>
  <si>
    <t>Total Expenses</t>
  </si>
  <si>
    <t>Net Operating Income</t>
  </si>
  <si>
    <t>Net Income</t>
  </si>
  <si>
    <t>The Waxxpot Group Franchise, LLC</t>
  </si>
  <si>
    <t>Profit and Loss</t>
  </si>
  <si>
    <t>January - 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</si>
</sst>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4.5" x14ac:dyDescent="0.35"/>
  <cols>
    <col min="1" max="1" width="28.36328125" customWidth="1"/>
    <col min="2" max="3" width="11.1796875" customWidth="1"/>
    <col min="4" max="4" width="10.26953125" customWidth="1"/>
    <col min="5" max="12" width="11.1796875" customWidth="1"/>
    <col min="13" max="14" width="12" customWidth="1"/>
  </cols>
  <sheetData>
    <row r="1" spans="1:14" ht="18" x14ac:dyDescent="0.4">
      <c r="A1" s="10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8" x14ac:dyDescent="0.4">
      <c r="A2" s="10" t="s">
        <v>49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35">
      <c r="A3" s="11" t="s">
        <v>50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5" spans="1:14" x14ac:dyDescent="0.3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</row>
    <row r="6" spans="1:14" x14ac:dyDescent="0.35">
      <c r="A6" s="3" t="s">
        <v>13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5">
      <c r="A7" s="3" t="s">
        <v>14</v>
      </c>
      <c r="B7" s="5">
        <f>0</f>
        <v>0</v>
      </c>
      <c r="C7" s="5">
        <f>0</f>
        <v>0</v>
      </c>
      <c r="D7" s="5">
        <f>0</f>
        <v>0</v>
      </c>
      <c r="E7" s="5">
        <f>7897.85</f>
        <v>7897.85</v>
      </c>
      <c r="F7" s="5">
        <f>13496.02</f>
        <v>13496.02</v>
      </c>
      <c r="G7" s="5">
        <f>11217.89</f>
        <v>11217.89</v>
      </c>
      <c r="H7" s="5">
        <f>5675.93</f>
        <v>5675.93</v>
      </c>
      <c r="I7" s="5">
        <f>8094.65</f>
        <v>8094.65</v>
      </c>
      <c r="J7" s="5">
        <f>7200.8</f>
        <v>7200.8</v>
      </c>
      <c r="K7" s="5">
        <f>7570.55</f>
        <v>7570.55</v>
      </c>
      <c r="L7" s="5">
        <f>10023.98</f>
        <v>10023.98</v>
      </c>
      <c r="M7" s="5">
        <f>11748.81</f>
        <v>11748.81</v>
      </c>
      <c r="N7" s="5">
        <f t="shared" ref="N7:N15" si="0">(((((((((((B7)+(C7))+(D7))+(E7))+(F7))+(G7))+(H7))+(I7))+(J7))+(K7))+(L7))+(M7)</f>
        <v>82926.48000000001</v>
      </c>
    </row>
    <row r="8" spans="1:14" x14ac:dyDescent="0.35">
      <c r="A8" s="3" t="s">
        <v>15</v>
      </c>
      <c r="B8" s="5">
        <f>0</f>
        <v>0</v>
      </c>
      <c r="C8" s="5">
        <f>0</f>
        <v>0</v>
      </c>
      <c r="D8" s="5">
        <f>0</f>
        <v>0</v>
      </c>
      <c r="E8" s="5">
        <f>22589</f>
        <v>22589</v>
      </c>
      <c r="F8" s="5">
        <f>28822.22</f>
        <v>28822.22</v>
      </c>
      <c r="G8" s="5">
        <f>22967.74</f>
        <v>22967.74</v>
      </c>
      <c r="H8" s="5">
        <f>20914.59</f>
        <v>20914.59</v>
      </c>
      <c r="I8" s="5">
        <f>21142.02</f>
        <v>21142.02</v>
      </c>
      <c r="J8" s="5">
        <f>21691.5</f>
        <v>21691.5</v>
      </c>
      <c r="K8" s="5">
        <f>21871.35</f>
        <v>21871.35</v>
      </c>
      <c r="L8" s="5">
        <f>21061.89</f>
        <v>21061.89</v>
      </c>
      <c r="M8" s="5">
        <f>-181060.31</f>
        <v>-181060.31</v>
      </c>
      <c r="N8" s="5">
        <f t="shared" si="0"/>
        <v>0</v>
      </c>
    </row>
    <row r="9" spans="1:14" x14ac:dyDescent="0.35">
      <c r="A9" s="3" t="s">
        <v>16</v>
      </c>
      <c r="B9" s="6">
        <f t="shared" ref="B9:M9" si="1">(B7)+(B8)</f>
        <v>0</v>
      </c>
      <c r="C9" s="6">
        <f t="shared" si="1"/>
        <v>0</v>
      </c>
      <c r="D9" s="6">
        <f t="shared" si="1"/>
        <v>0</v>
      </c>
      <c r="E9" s="6">
        <f t="shared" si="1"/>
        <v>30486.85</v>
      </c>
      <c r="F9" s="6">
        <f t="shared" si="1"/>
        <v>42318.240000000005</v>
      </c>
      <c r="G9" s="6">
        <f t="shared" si="1"/>
        <v>34185.630000000005</v>
      </c>
      <c r="H9" s="6">
        <f t="shared" si="1"/>
        <v>26590.52</v>
      </c>
      <c r="I9" s="6">
        <f t="shared" si="1"/>
        <v>29236.67</v>
      </c>
      <c r="J9" s="6">
        <f t="shared" si="1"/>
        <v>28892.3</v>
      </c>
      <c r="K9" s="6">
        <f t="shared" si="1"/>
        <v>29441.899999999998</v>
      </c>
      <c r="L9" s="6">
        <f t="shared" si="1"/>
        <v>31085.87</v>
      </c>
      <c r="M9" s="6">
        <f t="shared" si="1"/>
        <v>-169311.5</v>
      </c>
      <c r="N9" s="6">
        <f t="shared" si="0"/>
        <v>82926.479999999952</v>
      </c>
    </row>
    <row r="10" spans="1:14" x14ac:dyDescent="0.35">
      <c r="A10" s="3" t="s">
        <v>17</v>
      </c>
      <c r="B10" s="5">
        <f>0</f>
        <v>0</v>
      </c>
      <c r="C10" s="5">
        <f>0</f>
        <v>0</v>
      </c>
      <c r="D10" s="5">
        <f>0</f>
        <v>0</v>
      </c>
      <c r="E10" s="5">
        <f>0</f>
        <v>0</v>
      </c>
      <c r="F10" s="5">
        <f>0</f>
        <v>0</v>
      </c>
      <c r="G10" s="5">
        <f>0</f>
        <v>0</v>
      </c>
      <c r="H10" s="5">
        <f>0</f>
        <v>0</v>
      </c>
      <c r="I10" s="5">
        <f>0</f>
        <v>0</v>
      </c>
      <c r="J10" s="5">
        <f>0</f>
        <v>0</v>
      </c>
      <c r="K10" s="5">
        <f>49500</f>
        <v>49500</v>
      </c>
      <c r="L10" s="5">
        <f>0</f>
        <v>0</v>
      </c>
      <c r="M10" s="5">
        <f>-9054.67</f>
        <v>-9054.67</v>
      </c>
      <c r="N10" s="5">
        <f t="shared" si="0"/>
        <v>40445.33</v>
      </c>
    </row>
    <row r="11" spans="1:14" x14ac:dyDescent="0.35">
      <c r="A11" s="3" t="s">
        <v>18</v>
      </c>
      <c r="B11" s="5">
        <f>0</f>
        <v>0</v>
      </c>
      <c r="C11" s="5">
        <f>0</f>
        <v>0</v>
      </c>
      <c r="D11" s="5">
        <f>0</f>
        <v>0</v>
      </c>
      <c r="E11" s="5">
        <f>0</f>
        <v>0</v>
      </c>
      <c r="F11" s="5">
        <f>0</f>
        <v>0</v>
      </c>
      <c r="G11" s="5">
        <f>0</f>
        <v>0</v>
      </c>
      <c r="H11" s="5">
        <f>0</f>
        <v>0</v>
      </c>
      <c r="I11" s="5">
        <f>0</f>
        <v>0</v>
      </c>
      <c r="J11" s="5">
        <f>0</f>
        <v>0</v>
      </c>
      <c r="K11" s="5">
        <f>400</f>
        <v>400</v>
      </c>
      <c r="L11" s="5">
        <f>0</f>
        <v>0</v>
      </c>
      <c r="M11" s="5">
        <f>-400</f>
        <v>-400</v>
      </c>
      <c r="N11" s="5">
        <f t="shared" si="0"/>
        <v>0</v>
      </c>
    </row>
    <row r="12" spans="1:14" x14ac:dyDescent="0.35">
      <c r="A12" s="3" t="s">
        <v>19</v>
      </c>
      <c r="B12" s="5">
        <f>11049.35</f>
        <v>11049.35</v>
      </c>
      <c r="C12" s="5">
        <f>14125.37</f>
        <v>14125.37</v>
      </c>
      <c r="D12" s="5">
        <f>16493.84</f>
        <v>16493.84</v>
      </c>
      <c r="E12" s="5">
        <f>21169.03</f>
        <v>21169.03</v>
      </c>
      <c r="F12" s="5">
        <f>39039.67</f>
        <v>39039.67</v>
      </c>
      <c r="G12" s="5">
        <f>32247.53</f>
        <v>32247.53</v>
      </c>
      <c r="H12" s="5">
        <f>15385.03</f>
        <v>15385.03</v>
      </c>
      <c r="I12" s="5">
        <f>21883.87</f>
        <v>21883.87</v>
      </c>
      <c r="J12" s="5">
        <f>19654.98</f>
        <v>19654.98</v>
      </c>
      <c r="K12" s="5">
        <f>20524.98</f>
        <v>20524.98</v>
      </c>
      <c r="L12" s="5">
        <f>28878.14</f>
        <v>28878.14</v>
      </c>
      <c r="M12" s="5">
        <f>31805.14</f>
        <v>31805.14</v>
      </c>
      <c r="N12" s="5">
        <f t="shared" si="0"/>
        <v>272256.93</v>
      </c>
    </row>
    <row r="13" spans="1:14" x14ac:dyDescent="0.35">
      <c r="A13" s="3" t="s">
        <v>20</v>
      </c>
      <c r="B13" s="5">
        <f>0</f>
        <v>0</v>
      </c>
      <c r="C13" s="5">
        <f>0</f>
        <v>0</v>
      </c>
      <c r="D13" s="5">
        <f>0</f>
        <v>0</v>
      </c>
      <c r="E13" s="5">
        <f>0</f>
        <v>0</v>
      </c>
      <c r="F13" s="5">
        <f>0</f>
        <v>0</v>
      </c>
      <c r="G13" s="5">
        <f>0</f>
        <v>0</v>
      </c>
      <c r="H13" s="5">
        <f>0</f>
        <v>0</v>
      </c>
      <c r="I13" s="5">
        <f>0</f>
        <v>0</v>
      </c>
      <c r="J13" s="5">
        <f>0</f>
        <v>0</v>
      </c>
      <c r="K13" s="5">
        <f>690.83</f>
        <v>690.83</v>
      </c>
      <c r="L13" s="5">
        <f>643.47</f>
        <v>643.47</v>
      </c>
      <c r="M13" s="5">
        <f>-1334.3</f>
        <v>-1334.3</v>
      </c>
      <c r="N13" s="5">
        <f t="shared" si="0"/>
        <v>0</v>
      </c>
    </row>
    <row r="14" spans="1:14" x14ac:dyDescent="0.35">
      <c r="A14" s="3" t="s">
        <v>21</v>
      </c>
      <c r="B14" s="6">
        <f t="shared" ref="B14:M14" si="2">((((B9)+(B10))+(B11))+(B12))+(B13)</f>
        <v>11049.35</v>
      </c>
      <c r="C14" s="6">
        <f t="shared" si="2"/>
        <v>14125.37</v>
      </c>
      <c r="D14" s="6">
        <f t="shared" si="2"/>
        <v>16493.84</v>
      </c>
      <c r="E14" s="6">
        <f t="shared" si="2"/>
        <v>51655.88</v>
      </c>
      <c r="F14" s="6">
        <f t="shared" si="2"/>
        <v>81357.91</v>
      </c>
      <c r="G14" s="6">
        <f t="shared" si="2"/>
        <v>66433.16</v>
      </c>
      <c r="H14" s="6">
        <f t="shared" si="2"/>
        <v>41975.55</v>
      </c>
      <c r="I14" s="6">
        <f t="shared" si="2"/>
        <v>51120.539999999994</v>
      </c>
      <c r="J14" s="6">
        <f t="shared" si="2"/>
        <v>48547.28</v>
      </c>
      <c r="K14" s="6">
        <f t="shared" si="2"/>
        <v>100557.70999999999</v>
      </c>
      <c r="L14" s="6">
        <f t="shared" si="2"/>
        <v>60607.479999999996</v>
      </c>
      <c r="M14" s="6">
        <f t="shared" si="2"/>
        <v>-148295.33000000002</v>
      </c>
      <c r="N14" s="6">
        <f t="shared" si="0"/>
        <v>395628.73999999993</v>
      </c>
    </row>
    <row r="15" spans="1:14" x14ac:dyDescent="0.35">
      <c r="A15" s="3" t="s">
        <v>22</v>
      </c>
      <c r="B15" s="6">
        <f t="shared" ref="B15:M15" si="3">(B14)-(0)</f>
        <v>11049.35</v>
      </c>
      <c r="C15" s="6">
        <f t="shared" si="3"/>
        <v>14125.37</v>
      </c>
      <c r="D15" s="6">
        <f t="shared" si="3"/>
        <v>16493.84</v>
      </c>
      <c r="E15" s="6">
        <f t="shared" si="3"/>
        <v>51655.88</v>
      </c>
      <c r="F15" s="6">
        <f t="shared" si="3"/>
        <v>81357.91</v>
      </c>
      <c r="G15" s="6">
        <f t="shared" si="3"/>
        <v>66433.16</v>
      </c>
      <c r="H15" s="6">
        <f t="shared" si="3"/>
        <v>41975.55</v>
      </c>
      <c r="I15" s="6">
        <f t="shared" si="3"/>
        <v>51120.539999999994</v>
      </c>
      <c r="J15" s="6">
        <f t="shared" si="3"/>
        <v>48547.28</v>
      </c>
      <c r="K15" s="6">
        <f t="shared" si="3"/>
        <v>100557.70999999999</v>
      </c>
      <c r="L15" s="6">
        <f t="shared" si="3"/>
        <v>60607.479999999996</v>
      </c>
      <c r="M15" s="6">
        <f t="shared" si="3"/>
        <v>-148295.33000000002</v>
      </c>
      <c r="N15" s="6">
        <f t="shared" si="0"/>
        <v>395628.73999999993</v>
      </c>
    </row>
    <row r="16" spans="1:14" x14ac:dyDescent="0.35">
      <c r="A16" s="3" t="s">
        <v>23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5">
      <c r="A17" s="3" t="s">
        <v>24</v>
      </c>
      <c r="B17" s="5">
        <f>0</f>
        <v>0</v>
      </c>
      <c r="C17" s="5">
        <f>0</f>
        <v>0</v>
      </c>
      <c r="D17" s="5">
        <f>0</f>
        <v>0</v>
      </c>
      <c r="E17" s="5">
        <f>0</f>
        <v>0</v>
      </c>
      <c r="F17" s="5">
        <f>8500</f>
        <v>8500</v>
      </c>
      <c r="G17" s="5">
        <f>0</f>
        <v>0</v>
      </c>
      <c r="H17" s="5">
        <f>0</f>
        <v>0</v>
      </c>
      <c r="I17" s="5">
        <f>0</f>
        <v>0</v>
      </c>
      <c r="J17" s="5">
        <f>0</f>
        <v>0</v>
      </c>
      <c r="K17" s="5">
        <f>0</f>
        <v>0</v>
      </c>
      <c r="L17" s="5">
        <f>0</f>
        <v>0</v>
      </c>
      <c r="M17" s="5">
        <f>0</f>
        <v>0</v>
      </c>
      <c r="N17" s="5">
        <f t="shared" ref="N17:N40" si="4">(((((((((((B17)+(C17))+(D17))+(E17))+(F17))+(G17))+(H17))+(I17))+(J17))+(K17))+(L17))+(M17)</f>
        <v>8500</v>
      </c>
    </row>
    <row r="18" spans="1:14" x14ac:dyDescent="0.35">
      <c r="A18" s="3" t="s">
        <v>25</v>
      </c>
      <c r="B18" s="5">
        <f>0</f>
        <v>0</v>
      </c>
      <c r="C18" s="5">
        <f>0</f>
        <v>0</v>
      </c>
      <c r="D18" s="5">
        <f>14149</f>
        <v>14149</v>
      </c>
      <c r="E18" s="5">
        <f>41157.46</f>
        <v>41157.46</v>
      </c>
      <c r="F18" s="5">
        <f>60051.72</f>
        <v>60051.72</v>
      </c>
      <c r="G18" s="5">
        <f>58163.12</f>
        <v>58163.12</v>
      </c>
      <c r="H18" s="5">
        <f>38348.76</f>
        <v>38348.76</v>
      </c>
      <c r="I18" s="5">
        <f>58663.54</f>
        <v>58663.54</v>
      </c>
      <c r="J18" s="5">
        <f>44992.39</f>
        <v>44992.39</v>
      </c>
      <c r="K18" s="5">
        <f>56184.03</f>
        <v>56184.03</v>
      </c>
      <c r="L18" s="5">
        <f>44343.24</f>
        <v>44343.24</v>
      </c>
      <c r="M18" s="5">
        <f>-174612.19</f>
        <v>-174612.19</v>
      </c>
      <c r="N18" s="5">
        <f t="shared" si="4"/>
        <v>241441.07</v>
      </c>
    </row>
    <row r="19" spans="1:14" x14ac:dyDescent="0.35">
      <c r="A19" s="3" t="s">
        <v>26</v>
      </c>
      <c r="B19" s="5">
        <f>0</f>
        <v>0</v>
      </c>
      <c r="C19" s="5">
        <f>0</f>
        <v>0</v>
      </c>
      <c r="D19" s="5">
        <f>0</f>
        <v>0</v>
      </c>
      <c r="E19" s="5">
        <f>0</f>
        <v>0</v>
      </c>
      <c r="F19" s="5">
        <f>0</f>
        <v>0</v>
      </c>
      <c r="G19" s="5">
        <f>0</f>
        <v>0</v>
      </c>
      <c r="H19" s="5">
        <f>0</f>
        <v>0</v>
      </c>
      <c r="I19" s="5">
        <f>0</f>
        <v>0</v>
      </c>
      <c r="J19" s="5">
        <f>0</f>
        <v>0</v>
      </c>
      <c r="K19" s="5">
        <f>0</f>
        <v>0</v>
      </c>
      <c r="L19" s="5">
        <f>0</f>
        <v>0</v>
      </c>
      <c r="M19" s="5">
        <f>65684.51</f>
        <v>65684.509999999995</v>
      </c>
      <c r="N19" s="5">
        <f t="shared" si="4"/>
        <v>65684.509999999995</v>
      </c>
    </row>
    <row r="20" spans="1:14" x14ac:dyDescent="0.35">
      <c r="A20" s="3" t="s">
        <v>27</v>
      </c>
      <c r="B20" s="5">
        <f>47.5</f>
        <v>47.5</v>
      </c>
      <c r="C20" s="5">
        <f>45</f>
        <v>45</v>
      </c>
      <c r="D20" s="5">
        <f>45</f>
        <v>45</v>
      </c>
      <c r="E20" s="5">
        <f>50</f>
        <v>50</v>
      </c>
      <c r="F20" s="5">
        <f>49.61</f>
        <v>49.61</v>
      </c>
      <c r="G20" s="5">
        <f>30</f>
        <v>30</v>
      </c>
      <c r="H20" s="5">
        <f>0</f>
        <v>0</v>
      </c>
      <c r="I20" s="5">
        <f>35</f>
        <v>35</v>
      </c>
      <c r="J20" s="5">
        <f>30</f>
        <v>30</v>
      </c>
      <c r="K20" s="5">
        <f>-0.48</f>
        <v>-0.48</v>
      </c>
      <c r="L20" s="5">
        <f>95.48</f>
        <v>95.48</v>
      </c>
      <c r="M20" s="5">
        <f>95</f>
        <v>95</v>
      </c>
      <c r="N20" s="5">
        <f t="shared" si="4"/>
        <v>522.11</v>
      </c>
    </row>
    <row r="21" spans="1:14" x14ac:dyDescent="0.35">
      <c r="A21" s="3" t="s">
        <v>28</v>
      </c>
      <c r="B21" s="5">
        <f>8106.38</f>
        <v>8106.38</v>
      </c>
      <c r="C21" s="5">
        <f>7158</f>
        <v>7158</v>
      </c>
      <c r="D21" s="5">
        <f>3877.8</f>
        <v>3877.8</v>
      </c>
      <c r="E21" s="5">
        <f>17027.04</f>
        <v>17027.04</v>
      </c>
      <c r="F21" s="5">
        <f>25917</f>
        <v>25917</v>
      </c>
      <c r="G21" s="5">
        <f>30595</f>
        <v>30595</v>
      </c>
      <c r="H21" s="5">
        <f>16446</f>
        <v>16446</v>
      </c>
      <c r="I21" s="5">
        <f>18929.41</f>
        <v>18929.41</v>
      </c>
      <c r="J21" s="5">
        <f>23155.06</f>
        <v>23155.06</v>
      </c>
      <c r="K21" s="5">
        <f>44476.66</f>
        <v>44476.66</v>
      </c>
      <c r="L21" s="5">
        <f>39975.75</f>
        <v>39975.75</v>
      </c>
      <c r="M21" s="5">
        <f>39149</f>
        <v>39149</v>
      </c>
      <c r="N21" s="5">
        <f t="shared" si="4"/>
        <v>274813.09999999998</v>
      </c>
    </row>
    <row r="22" spans="1:14" x14ac:dyDescent="0.35">
      <c r="A22" s="3" t="s">
        <v>29</v>
      </c>
      <c r="B22" s="5">
        <f>0</f>
        <v>0</v>
      </c>
      <c r="C22" s="5">
        <f>0</f>
        <v>0</v>
      </c>
      <c r="D22" s="5">
        <f>0</f>
        <v>0</v>
      </c>
      <c r="E22" s="5">
        <f>0</f>
        <v>0</v>
      </c>
      <c r="F22" s="5">
        <f>0</f>
        <v>0</v>
      </c>
      <c r="G22" s="5">
        <f>11000</f>
        <v>11000</v>
      </c>
      <c r="H22" s="5">
        <f>0</f>
        <v>0</v>
      </c>
      <c r="I22" s="5">
        <f>0</f>
        <v>0</v>
      </c>
      <c r="J22" s="5">
        <f>0</f>
        <v>0</v>
      </c>
      <c r="K22" s="5">
        <f>0</f>
        <v>0</v>
      </c>
      <c r="L22" s="5">
        <f>0</f>
        <v>0</v>
      </c>
      <c r="M22" s="5">
        <f>7279</f>
        <v>7279</v>
      </c>
      <c r="N22" s="5">
        <f t="shared" si="4"/>
        <v>18279</v>
      </c>
    </row>
    <row r="23" spans="1:14" x14ac:dyDescent="0.35">
      <c r="A23" s="3" t="s">
        <v>30</v>
      </c>
      <c r="B23" s="5">
        <f>0</f>
        <v>0</v>
      </c>
      <c r="C23" s="5">
        <f>0</f>
        <v>0</v>
      </c>
      <c r="D23" s="5">
        <f>0</f>
        <v>0</v>
      </c>
      <c r="E23" s="5">
        <f>249.85</f>
        <v>249.85</v>
      </c>
      <c r="F23" s="5">
        <f>0</f>
        <v>0</v>
      </c>
      <c r="G23" s="5">
        <f>0</f>
        <v>0</v>
      </c>
      <c r="H23" s="5">
        <f>0</f>
        <v>0</v>
      </c>
      <c r="I23" s="5">
        <f>0</f>
        <v>0</v>
      </c>
      <c r="J23" s="5">
        <f>0</f>
        <v>0</v>
      </c>
      <c r="K23" s="5">
        <f>419.16</f>
        <v>419.16</v>
      </c>
      <c r="L23" s="5">
        <f>0</f>
        <v>0</v>
      </c>
      <c r="M23" s="5">
        <f>489.12</f>
        <v>489.12</v>
      </c>
      <c r="N23" s="5">
        <f t="shared" si="4"/>
        <v>1158.1300000000001</v>
      </c>
    </row>
    <row r="24" spans="1:14" x14ac:dyDescent="0.35">
      <c r="A24" s="3" t="s">
        <v>31</v>
      </c>
      <c r="B24" s="5">
        <f>1000</f>
        <v>1000</v>
      </c>
      <c r="C24" s="5">
        <f>1000</f>
        <v>1000</v>
      </c>
      <c r="D24" s="5">
        <f>1000</f>
        <v>1000</v>
      </c>
      <c r="E24" s="5">
        <f>6027.5</f>
        <v>6027.5</v>
      </c>
      <c r="F24" s="5">
        <f>1000</f>
        <v>1000</v>
      </c>
      <c r="G24" s="5">
        <f>3193.19</f>
        <v>3193.19</v>
      </c>
      <c r="H24" s="5">
        <f>10714.13</f>
        <v>10714.13</v>
      </c>
      <c r="I24" s="5">
        <f>3850</f>
        <v>3850</v>
      </c>
      <c r="J24" s="5">
        <f>1102.5</f>
        <v>1102.5</v>
      </c>
      <c r="K24" s="5">
        <f>1000</f>
        <v>1000</v>
      </c>
      <c r="L24" s="5">
        <f>1000</f>
        <v>1000</v>
      </c>
      <c r="M24" s="5">
        <f>1000</f>
        <v>1000</v>
      </c>
      <c r="N24" s="5">
        <f t="shared" si="4"/>
        <v>31887.32</v>
      </c>
    </row>
    <row r="25" spans="1:14" x14ac:dyDescent="0.35">
      <c r="A25" s="3" t="s">
        <v>32</v>
      </c>
      <c r="B25" s="5">
        <f>179</f>
        <v>179</v>
      </c>
      <c r="C25" s="5">
        <f>179</f>
        <v>179</v>
      </c>
      <c r="D25" s="5">
        <f>3827.25</f>
        <v>3827.25</v>
      </c>
      <c r="E25" s="5">
        <f>2393.81</f>
        <v>2393.81</v>
      </c>
      <c r="F25" s="5">
        <f>12159.62</f>
        <v>12159.62</v>
      </c>
      <c r="G25" s="5">
        <f>7628.59</f>
        <v>7628.59</v>
      </c>
      <c r="H25" s="5">
        <f>5616.25</f>
        <v>5616.25</v>
      </c>
      <c r="I25" s="5">
        <f>7219.61</f>
        <v>7219.61</v>
      </c>
      <c r="J25" s="5">
        <f>9169.96</f>
        <v>9169.9599999999991</v>
      </c>
      <c r="K25" s="5">
        <f>24654.29</f>
        <v>24654.29</v>
      </c>
      <c r="L25" s="5">
        <f>6416.32</f>
        <v>6416.32</v>
      </c>
      <c r="M25" s="5">
        <f>30061.3</f>
        <v>30061.3</v>
      </c>
      <c r="N25" s="5">
        <f t="shared" si="4"/>
        <v>109505.00000000001</v>
      </c>
    </row>
    <row r="26" spans="1:14" x14ac:dyDescent="0.35">
      <c r="A26" s="3" t="s">
        <v>33</v>
      </c>
      <c r="B26" s="5">
        <f>0</f>
        <v>0</v>
      </c>
      <c r="C26" s="5">
        <f>0</f>
        <v>0</v>
      </c>
      <c r="D26" s="5">
        <f>0</f>
        <v>0</v>
      </c>
      <c r="E26" s="5">
        <f>0</f>
        <v>0</v>
      </c>
      <c r="F26" s="5">
        <f>0</f>
        <v>0</v>
      </c>
      <c r="G26" s="5">
        <f>0</f>
        <v>0</v>
      </c>
      <c r="H26" s="5">
        <f>0</f>
        <v>0</v>
      </c>
      <c r="I26" s="5">
        <f>28.32</f>
        <v>28.32</v>
      </c>
      <c r="J26" s="5">
        <f>274.41</f>
        <v>274.41000000000003</v>
      </c>
      <c r="K26" s="5">
        <f>429.36</f>
        <v>429.36</v>
      </c>
      <c r="L26" s="5">
        <f>74.94</f>
        <v>74.94</v>
      </c>
      <c r="M26" s="5">
        <f>60.23</f>
        <v>60.23</v>
      </c>
      <c r="N26" s="5">
        <f t="shared" si="4"/>
        <v>867.26</v>
      </c>
    </row>
    <row r="27" spans="1:14" x14ac:dyDescent="0.35">
      <c r="A27" s="3" t="s">
        <v>34</v>
      </c>
      <c r="B27" s="5">
        <f>293.08</f>
        <v>293.08</v>
      </c>
      <c r="C27" s="5">
        <f>293.08</f>
        <v>293.08</v>
      </c>
      <c r="D27" s="5">
        <f>96.08</f>
        <v>96.08</v>
      </c>
      <c r="E27" s="5">
        <f>96.08</f>
        <v>96.08</v>
      </c>
      <c r="F27" s="5">
        <f>104.05</f>
        <v>104.05</v>
      </c>
      <c r="G27" s="5">
        <f>106.75</f>
        <v>106.75</v>
      </c>
      <c r="H27" s="5">
        <f>106.75</f>
        <v>106.75</v>
      </c>
      <c r="I27" s="5">
        <f>302.5</f>
        <v>302.5</v>
      </c>
      <c r="J27" s="5">
        <f>1950.86</f>
        <v>1950.86</v>
      </c>
      <c r="K27" s="5">
        <f>1015.34</f>
        <v>1015.34</v>
      </c>
      <c r="L27" s="5">
        <f>394.41</f>
        <v>394.41</v>
      </c>
      <c r="M27" s="5">
        <f>380.95</f>
        <v>380.95</v>
      </c>
      <c r="N27" s="5">
        <f t="shared" si="4"/>
        <v>5139.9299999999994</v>
      </c>
    </row>
    <row r="28" spans="1:14" x14ac:dyDescent="0.35">
      <c r="A28" s="3" t="s">
        <v>35</v>
      </c>
      <c r="B28" s="5">
        <f>0</f>
        <v>0</v>
      </c>
      <c r="C28" s="5">
        <f>0</f>
        <v>0</v>
      </c>
      <c r="D28" s="5">
        <f>0</f>
        <v>0</v>
      </c>
      <c r="E28" s="5">
        <f>0</f>
        <v>0</v>
      </c>
      <c r="F28" s="5">
        <f>0</f>
        <v>0</v>
      </c>
      <c r="G28" s="5">
        <f>0</f>
        <v>0</v>
      </c>
      <c r="H28" s="5">
        <f>0</f>
        <v>0</v>
      </c>
      <c r="I28" s="5">
        <f>380.32</f>
        <v>380.32</v>
      </c>
      <c r="J28" s="5">
        <f>238.12</f>
        <v>238.12</v>
      </c>
      <c r="K28" s="5">
        <f>0</f>
        <v>0</v>
      </c>
      <c r="L28" s="5">
        <f>0</f>
        <v>0</v>
      </c>
      <c r="M28" s="5">
        <f>0</f>
        <v>0</v>
      </c>
      <c r="N28" s="5">
        <f t="shared" si="4"/>
        <v>618.44000000000005</v>
      </c>
    </row>
    <row r="29" spans="1:14" x14ac:dyDescent="0.35">
      <c r="A29" s="3" t="s">
        <v>36</v>
      </c>
      <c r="B29" s="5">
        <f>0</f>
        <v>0</v>
      </c>
      <c r="C29" s="5">
        <f>0</f>
        <v>0</v>
      </c>
      <c r="D29" s="5">
        <f>0</f>
        <v>0</v>
      </c>
      <c r="E29" s="5">
        <f>0</f>
        <v>0</v>
      </c>
      <c r="F29" s="5">
        <f>0</f>
        <v>0</v>
      </c>
      <c r="G29" s="5">
        <f>0</f>
        <v>0</v>
      </c>
      <c r="H29" s="5">
        <f>0</f>
        <v>0</v>
      </c>
      <c r="I29" s="5">
        <f>0</f>
        <v>0</v>
      </c>
      <c r="J29" s="5">
        <f>0</f>
        <v>0</v>
      </c>
      <c r="K29" s="5">
        <f>0</f>
        <v>0</v>
      </c>
      <c r="L29" s="5">
        <f>0</f>
        <v>0</v>
      </c>
      <c r="M29" s="5">
        <f>0</f>
        <v>0</v>
      </c>
      <c r="N29" s="5">
        <f t="shared" si="4"/>
        <v>0</v>
      </c>
    </row>
    <row r="30" spans="1:14" x14ac:dyDescent="0.35">
      <c r="A30" s="3" t="s">
        <v>37</v>
      </c>
      <c r="B30" s="5">
        <f>0</f>
        <v>0</v>
      </c>
      <c r="C30" s="5">
        <f>979.69</f>
        <v>979.69</v>
      </c>
      <c r="D30" s="5">
        <f>0</f>
        <v>0</v>
      </c>
      <c r="E30" s="5">
        <f>0</f>
        <v>0</v>
      </c>
      <c r="F30" s="5">
        <f>0</f>
        <v>0</v>
      </c>
      <c r="G30" s="5">
        <f>0</f>
        <v>0</v>
      </c>
      <c r="H30" s="5">
        <f>0</f>
        <v>0</v>
      </c>
      <c r="I30" s="5">
        <f>0</f>
        <v>0</v>
      </c>
      <c r="J30" s="5">
        <f>0</f>
        <v>0</v>
      </c>
      <c r="K30" s="5">
        <f>0</f>
        <v>0</v>
      </c>
      <c r="L30" s="5">
        <f>0</f>
        <v>0</v>
      </c>
      <c r="M30" s="5">
        <f>18290.7</f>
        <v>18290.7</v>
      </c>
      <c r="N30" s="5">
        <f t="shared" si="4"/>
        <v>19270.39</v>
      </c>
    </row>
    <row r="31" spans="1:14" x14ac:dyDescent="0.35">
      <c r="A31" s="3" t="s">
        <v>38</v>
      </c>
      <c r="B31" s="5">
        <f>1369.41</f>
        <v>1369.41</v>
      </c>
      <c r="C31" s="5">
        <f>1562.51</f>
        <v>1562.51</v>
      </c>
      <c r="D31" s="5">
        <f>0</f>
        <v>0</v>
      </c>
      <c r="E31" s="5">
        <f>0</f>
        <v>0</v>
      </c>
      <c r="F31" s="5">
        <f>0</f>
        <v>0</v>
      </c>
      <c r="G31" s="5">
        <f>0</f>
        <v>0</v>
      </c>
      <c r="H31" s="5">
        <f>0</f>
        <v>0</v>
      </c>
      <c r="I31" s="5">
        <f>0</f>
        <v>0</v>
      </c>
      <c r="J31" s="5">
        <f>0</f>
        <v>0</v>
      </c>
      <c r="K31" s="5">
        <f>0</f>
        <v>0</v>
      </c>
      <c r="L31" s="5">
        <f>0</f>
        <v>0</v>
      </c>
      <c r="M31" s="5">
        <f>11435.76</f>
        <v>11435.76</v>
      </c>
      <c r="N31" s="5">
        <f t="shared" si="4"/>
        <v>14367.68</v>
      </c>
    </row>
    <row r="32" spans="1:14" x14ac:dyDescent="0.35">
      <c r="A32" s="3" t="s">
        <v>39</v>
      </c>
      <c r="B32" s="5">
        <f>14423.07</f>
        <v>14423.07</v>
      </c>
      <c r="C32" s="5">
        <f>19230.76</f>
        <v>19230.759999999998</v>
      </c>
      <c r="D32" s="5">
        <f>0</f>
        <v>0</v>
      </c>
      <c r="E32" s="5">
        <f>0</f>
        <v>0</v>
      </c>
      <c r="F32" s="5">
        <f>0</f>
        <v>0</v>
      </c>
      <c r="G32" s="5">
        <f>0</f>
        <v>0</v>
      </c>
      <c r="H32" s="5">
        <f>0</f>
        <v>0</v>
      </c>
      <c r="I32" s="5">
        <f>0</f>
        <v>0</v>
      </c>
      <c r="J32" s="5">
        <f>0</f>
        <v>0</v>
      </c>
      <c r="K32" s="5">
        <f>0</f>
        <v>0</v>
      </c>
      <c r="L32" s="5">
        <f>0</f>
        <v>0</v>
      </c>
      <c r="M32" s="5">
        <f>187500</f>
        <v>187500</v>
      </c>
      <c r="N32" s="5">
        <f t="shared" si="4"/>
        <v>221153.83000000002</v>
      </c>
    </row>
    <row r="33" spans="1:14" x14ac:dyDescent="0.35">
      <c r="A33" s="3" t="s">
        <v>40</v>
      </c>
      <c r="B33" s="6">
        <f t="shared" ref="B33:M33" si="5">(((B29)+(B30))+(B31))+(B32)</f>
        <v>15792.48</v>
      </c>
      <c r="C33" s="6">
        <f t="shared" si="5"/>
        <v>21772.959999999999</v>
      </c>
      <c r="D33" s="6">
        <f t="shared" si="5"/>
        <v>0</v>
      </c>
      <c r="E33" s="6">
        <f t="shared" si="5"/>
        <v>0</v>
      </c>
      <c r="F33" s="6">
        <f t="shared" si="5"/>
        <v>0</v>
      </c>
      <c r="G33" s="6">
        <f t="shared" si="5"/>
        <v>0</v>
      </c>
      <c r="H33" s="6">
        <f t="shared" si="5"/>
        <v>0</v>
      </c>
      <c r="I33" s="6">
        <f t="shared" si="5"/>
        <v>0</v>
      </c>
      <c r="J33" s="6">
        <f t="shared" si="5"/>
        <v>0</v>
      </c>
      <c r="K33" s="6">
        <f t="shared" si="5"/>
        <v>0</v>
      </c>
      <c r="L33" s="6">
        <f t="shared" si="5"/>
        <v>0</v>
      </c>
      <c r="M33" s="6">
        <f t="shared" si="5"/>
        <v>217226.46</v>
      </c>
      <c r="N33" s="6">
        <f t="shared" si="4"/>
        <v>254791.9</v>
      </c>
    </row>
    <row r="34" spans="1:14" x14ac:dyDescent="0.35">
      <c r="A34" s="3" t="s">
        <v>41</v>
      </c>
      <c r="B34" s="5">
        <f>0</f>
        <v>0</v>
      </c>
      <c r="C34" s="5">
        <f>0</f>
        <v>0</v>
      </c>
      <c r="D34" s="5">
        <f>0</f>
        <v>0</v>
      </c>
      <c r="E34" s="5">
        <f>0</f>
        <v>0</v>
      </c>
      <c r="F34" s="5">
        <f>351.23</f>
        <v>351.23</v>
      </c>
      <c r="G34" s="5">
        <f>978.93</f>
        <v>978.93</v>
      </c>
      <c r="H34" s="5">
        <f>664.36</f>
        <v>664.36</v>
      </c>
      <c r="I34" s="5">
        <f>419.75</f>
        <v>419.75</v>
      </c>
      <c r="J34" s="5">
        <f>494.88</f>
        <v>494.88</v>
      </c>
      <c r="K34" s="5">
        <f>1201.82</f>
        <v>1201.82</v>
      </c>
      <c r="L34" s="5">
        <f>499.66</f>
        <v>499.66</v>
      </c>
      <c r="M34" s="5">
        <f>-282.86</f>
        <v>-282.86</v>
      </c>
      <c r="N34" s="5">
        <f t="shared" si="4"/>
        <v>4327.7700000000004</v>
      </c>
    </row>
    <row r="35" spans="1:14" x14ac:dyDescent="0.35">
      <c r="A35" s="3" t="s">
        <v>42</v>
      </c>
      <c r="B35" s="5">
        <f>0</f>
        <v>0</v>
      </c>
      <c r="C35" s="5">
        <f>0</f>
        <v>0</v>
      </c>
      <c r="D35" s="5">
        <f>0</f>
        <v>0</v>
      </c>
      <c r="E35" s="5">
        <f>0</f>
        <v>0</v>
      </c>
      <c r="F35" s="5">
        <f>0</f>
        <v>0</v>
      </c>
      <c r="G35" s="5">
        <f>0</f>
        <v>0</v>
      </c>
      <c r="H35" s="5">
        <f>0</f>
        <v>0</v>
      </c>
      <c r="I35" s="5">
        <f>0</f>
        <v>0</v>
      </c>
      <c r="J35" s="5">
        <f>0</f>
        <v>0</v>
      </c>
      <c r="K35" s="5">
        <f>0</f>
        <v>0</v>
      </c>
      <c r="L35" s="5">
        <f>0</f>
        <v>0</v>
      </c>
      <c r="M35" s="5">
        <f>7500</f>
        <v>7500</v>
      </c>
      <c r="N35" s="5">
        <f t="shared" si="4"/>
        <v>7500</v>
      </c>
    </row>
    <row r="36" spans="1:14" x14ac:dyDescent="0.35">
      <c r="A36" s="3" t="s">
        <v>43</v>
      </c>
      <c r="B36" s="5">
        <f>0</f>
        <v>0</v>
      </c>
      <c r="C36" s="5">
        <f>0</f>
        <v>0</v>
      </c>
      <c r="D36" s="5">
        <f>0</f>
        <v>0</v>
      </c>
      <c r="E36" s="5">
        <f>129</f>
        <v>129</v>
      </c>
      <c r="F36" s="5">
        <f>0</f>
        <v>0</v>
      </c>
      <c r="G36" s="5">
        <f>0</f>
        <v>0</v>
      </c>
      <c r="H36" s="5">
        <f>0</f>
        <v>0</v>
      </c>
      <c r="I36" s="5">
        <f>0</f>
        <v>0</v>
      </c>
      <c r="J36" s="5">
        <f>0</f>
        <v>0</v>
      </c>
      <c r="K36" s="5">
        <f>0</f>
        <v>0</v>
      </c>
      <c r="L36" s="5">
        <f>0</f>
        <v>0</v>
      </c>
      <c r="M36" s="5">
        <f>0</f>
        <v>0</v>
      </c>
      <c r="N36" s="5">
        <f t="shared" si="4"/>
        <v>129</v>
      </c>
    </row>
    <row r="37" spans="1:14" x14ac:dyDescent="0.35">
      <c r="A37" s="3" t="s">
        <v>44</v>
      </c>
      <c r="B37" s="5">
        <f>0</f>
        <v>0</v>
      </c>
      <c r="C37" s="5">
        <f>0</f>
        <v>0</v>
      </c>
      <c r="D37" s="5">
        <f>0</f>
        <v>0</v>
      </c>
      <c r="E37" s="5">
        <f>0</f>
        <v>0</v>
      </c>
      <c r="F37" s="5">
        <f>0</f>
        <v>0</v>
      </c>
      <c r="G37" s="5">
        <f>0</f>
        <v>0</v>
      </c>
      <c r="H37" s="5">
        <f>0</f>
        <v>0</v>
      </c>
      <c r="I37" s="5">
        <f>55.9</f>
        <v>55.9</v>
      </c>
      <c r="J37" s="5">
        <f>3333.97</f>
        <v>3333.97</v>
      </c>
      <c r="K37" s="5">
        <f>4912.79</f>
        <v>4912.79</v>
      </c>
      <c r="L37" s="5">
        <f>1197.56</f>
        <v>1197.56</v>
      </c>
      <c r="M37" s="5">
        <f>1674.01</f>
        <v>1674.01</v>
      </c>
      <c r="N37" s="5">
        <f t="shared" si="4"/>
        <v>11174.23</v>
      </c>
    </row>
    <row r="38" spans="1:14" x14ac:dyDescent="0.35">
      <c r="A38" s="3" t="s">
        <v>45</v>
      </c>
      <c r="B38" s="6">
        <f t="shared" ref="B38:M38" si="6">((((((((((((((((B17)+(B18))+(B19))+(B20))+(B21))+(B22))+(B23))+(B24))+(B25))+(B26))+(B27))+(B28))+(B33))+(B34))+(B35))+(B36))+(B37)</f>
        <v>25418.440000000002</v>
      </c>
      <c r="C38" s="6">
        <f t="shared" si="6"/>
        <v>30448.04</v>
      </c>
      <c r="D38" s="6">
        <f t="shared" si="6"/>
        <v>22995.13</v>
      </c>
      <c r="E38" s="6">
        <f t="shared" si="6"/>
        <v>67130.740000000005</v>
      </c>
      <c r="F38" s="6">
        <f t="shared" si="6"/>
        <v>108133.23</v>
      </c>
      <c r="G38" s="6">
        <f t="shared" si="6"/>
        <v>111695.57999999999</v>
      </c>
      <c r="H38" s="6">
        <f t="shared" si="6"/>
        <v>71896.25</v>
      </c>
      <c r="I38" s="6">
        <f t="shared" si="6"/>
        <v>89884.35</v>
      </c>
      <c r="J38" s="6">
        <f t="shared" si="6"/>
        <v>84742.150000000009</v>
      </c>
      <c r="K38" s="6">
        <f t="shared" si="6"/>
        <v>134292.97</v>
      </c>
      <c r="L38" s="6">
        <f t="shared" si="6"/>
        <v>93997.360000000015</v>
      </c>
      <c r="M38" s="6">
        <f t="shared" si="6"/>
        <v>195704.53</v>
      </c>
      <c r="N38" s="6">
        <f t="shared" si="4"/>
        <v>1036338.77</v>
      </c>
    </row>
    <row r="39" spans="1:14" x14ac:dyDescent="0.35">
      <c r="A39" s="3" t="s">
        <v>46</v>
      </c>
      <c r="B39" s="6">
        <f t="shared" ref="B39:M39" si="7">(B15)-(B38)</f>
        <v>-14369.090000000002</v>
      </c>
      <c r="C39" s="6">
        <f t="shared" si="7"/>
        <v>-16322.67</v>
      </c>
      <c r="D39" s="6">
        <f t="shared" si="7"/>
        <v>-6501.2900000000009</v>
      </c>
      <c r="E39" s="6">
        <f t="shared" si="7"/>
        <v>-15474.860000000008</v>
      </c>
      <c r="F39" s="6">
        <f t="shared" si="7"/>
        <v>-26775.319999999992</v>
      </c>
      <c r="G39" s="6">
        <f t="shared" si="7"/>
        <v>-45262.419999999984</v>
      </c>
      <c r="H39" s="6">
        <f t="shared" si="7"/>
        <v>-29920.699999999997</v>
      </c>
      <c r="I39" s="6">
        <f t="shared" si="7"/>
        <v>-38763.810000000012</v>
      </c>
      <c r="J39" s="6">
        <f t="shared" si="7"/>
        <v>-36194.87000000001</v>
      </c>
      <c r="K39" s="6">
        <f t="shared" si="7"/>
        <v>-33735.260000000009</v>
      </c>
      <c r="L39" s="6">
        <f t="shared" si="7"/>
        <v>-33389.880000000019</v>
      </c>
      <c r="M39" s="6">
        <f t="shared" si="7"/>
        <v>-343999.86</v>
      </c>
      <c r="N39" s="6">
        <f t="shared" si="4"/>
        <v>-640710.03</v>
      </c>
    </row>
    <row r="40" spans="1:14" x14ac:dyDescent="0.35">
      <c r="A40" s="3" t="s">
        <v>47</v>
      </c>
      <c r="B40" s="7">
        <f t="shared" ref="B40:M40" si="8">(B39)+(0)</f>
        <v>-14369.090000000002</v>
      </c>
      <c r="C40" s="7">
        <f t="shared" si="8"/>
        <v>-16322.67</v>
      </c>
      <c r="D40" s="7">
        <f t="shared" si="8"/>
        <v>-6501.2900000000009</v>
      </c>
      <c r="E40" s="7">
        <f t="shared" si="8"/>
        <v>-15474.860000000008</v>
      </c>
      <c r="F40" s="7">
        <f t="shared" si="8"/>
        <v>-26775.319999999992</v>
      </c>
      <c r="G40" s="7">
        <f t="shared" si="8"/>
        <v>-45262.419999999984</v>
      </c>
      <c r="H40" s="7">
        <f t="shared" si="8"/>
        <v>-29920.699999999997</v>
      </c>
      <c r="I40" s="7">
        <f t="shared" si="8"/>
        <v>-38763.810000000012</v>
      </c>
      <c r="J40" s="7">
        <f t="shared" si="8"/>
        <v>-36194.87000000001</v>
      </c>
      <c r="K40" s="7">
        <f t="shared" si="8"/>
        <v>-33735.260000000009</v>
      </c>
      <c r="L40" s="7">
        <f t="shared" si="8"/>
        <v>-33389.880000000019</v>
      </c>
      <c r="M40" s="7">
        <f t="shared" si="8"/>
        <v>-343999.86</v>
      </c>
      <c r="N40" s="7">
        <f t="shared" si="4"/>
        <v>-640710.03</v>
      </c>
    </row>
    <row r="41" spans="1:14" x14ac:dyDescent="0.3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4" spans="1:14" x14ac:dyDescent="0.3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Joseph Davis</cp:lastModifiedBy>
  <dcterms:created xsi:type="dcterms:W3CDTF">2025-08-08T21:18:25Z</dcterms:created>
  <dcterms:modified xsi:type="dcterms:W3CDTF">2025-08-08T21:18:49Z</dcterms:modified>
</cp:coreProperties>
</file>