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1840" yWindow="2850" windowWidth="18195" windowHeight="8985"/>
  </bookViews>
  <sheets>
    <sheet name="26" sheetId="1" r:id="rId1"/>
    <sheet name="26 (2)" sheetId="5" r:id="rId2"/>
    <sheet name="Hoja1" sheetId="6" r:id="rId3"/>
  </sheets>
  <definedNames>
    <definedName name="_xlnm.Print_Area" localSheetId="0">'26'!$A$1:$T$213</definedName>
    <definedName name="_xlnm.Print_Area" localSheetId="1">'26 (2)'!$A$1:$Y$37</definedName>
  </definedNames>
  <calcPr calcId="144525"/>
</workbook>
</file>

<file path=xl/calcChain.xml><?xml version="1.0" encoding="utf-8"?>
<calcChain xmlns="http://schemas.openxmlformats.org/spreadsheetml/2006/main">
  <c r="D190" i="1" l="1"/>
  <c r="C190" i="1"/>
  <c r="B190" i="1"/>
  <c r="J205" i="1" l="1"/>
  <c r="I205" i="1"/>
  <c r="T205" i="1"/>
  <c r="S205" i="1"/>
  <c r="R205" i="1"/>
  <c r="Q205" i="1"/>
  <c r="P205" i="1"/>
  <c r="O205" i="1"/>
  <c r="N205" i="1"/>
  <c r="M205" i="1"/>
  <c r="L205" i="1"/>
  <c r="K205" i="1"/>
  <c r="H205" i="1"/>
  <c r="G205" i="1"/>
  <c r="F205" i="1"/>
  <c r="E205" i="1"/>
  <c r="D205" i="1"/>
  <c r="C205" i="1"/>
  <c r="B205" i="1"/>
  <c r="R190" i="1"/>
  <c r="T190" i="1"/>
  <c r="S190" i="1"/>
  <c r="P192" i="1" l="1"/>
  <c r="P193" i="1"/>
  <c r="P194" i="1"/>
  <c r="P195" i="1"/>
  <c r="P196" i="1"/>
  <c r="P197" i="1"/>
  <c r="P198" i="1"/>
  <c r="P199" i="1"/>
  <c r="P200" i="1"/>
  <c r="P201" i="1"/>
  <c r="P202" i="1"/>
  <c r="P191" i="1"/>
  <c r="J190" i="1"/>
  <c r="J192" i="1"/>
  <c r="J193" i="1"/>
  <c r="J194" i="1"/>
  <c r="J195" i="1"/>
  <c r="J196" i="1"/>
  <c r="J197" i="1"/>
  <c r="J198" i="1"/>
  <c r="J199" i="1"/>
  <c r="J200" i="1"/>
  <c r="J201" i="1"/>
  <c r="J202" i="1"/>
  <c r="K190" i="1"/>
  <c r="I190" i="1"/>
  <c r="H190" i="1"/>
  <c r="F190" i="1"/>
  <c r="F192" i="1"/>
  <c r="F193" i="1"/>
  <c r="F194" i="1"/>
  <c r="F195" i="1"/>
  <c r="F196" i="1"/>
  <c r="F197" i="1"/>
  <c r="F198" i="1"/>
  <c r="F199" i="1"/>
  <c r="F200" i="1"/>
  <c r="F201" i="1"/>
  <c r="F202" i="1"/>
  <c r="F191" i="1"/>
  <c r="G190" i="1"/>
  <c r="E190" i="1"/>
  <c r="G47" i="6" l="1"/>
  <c r="J47" i="6" l="1"/>
  <c r="K47" i="6"/>
  <c r="K37" i="6" l="1"/>
  <c r="K38" i="6"/>
  <c r="K39" i="6"/>
  <c r="K40" i="6"/>
  <c r="K41" i="6"/>
  <c r="K42" i="6"/>
  <c r="K43" i="6"/>
  <c r="K44" i="6"/>
  <c r="K45" i="6"/>
  <c r="K46" i="6"/>
  <c r="K36" i="6"/>
  <c r="G37" i="6"/>
  <c r="F47" i="6" s="1"/>
  <c r="G38" i="6"/>
  <c r="G39" i="6"/>
  <c r="G40" i="6"/>
  <c r="G41" i="6"/>
  <c r="G42" i="6"/>
  <c r="G43" i="6"/>
  <c r="G44" i="6"/>
  <c r="G45" i="6"/>
  <c r="G46" i="6"/>
  <c r="G36" i="6"/>
  <c r="Q190" i="1" l="1"/>
  <c r="J191" i="1"/>
  <c r="L190" i="1" l="1"/>
  <c r="T223" i="1" l="1"/>
  <c r="R223" i="1"/>
  <c r="P223" i="1"/>
  <c r="O223" i="1"/>
  <c r="N223" i="1"/>
  <c r="M223" i="1"/>
  <c r="L223" i="1"/>
  <c r="J223" i="1"/>
  <c r="I223" i="1"/>
  <c r="H223" i="1"/>
  <c r="Z10" i="1" l="1"/>
  <c r="Z11" i="1"/>
  <c r="Z12" i="1"/>
  <c r="Z13" i="1"/>
  <c r="Z14" i="1"/>
  <c r="Z15" i="1"/>
  <c r="Z16" i="1"/>
  <c r="Z18" i="1"/>
  <c r="Z19" i="1"/>
  <c r="Z20" i="1"/>
  <c r="Z40" i="1"/>
  <c r="Z54" i="1"/>
  <c r="Z68" i="1"/>
  <c r="Z82" i="1"/>
  <c r="Z96" i="1"/>
  <c r="Z110" i="1"/>
  <c r="Z124" i="1"/>
  <c r="Z17" i="1"/>
  <c r="U17" i="1" l="1"/>
  <c r="V17" i="1" s="1"/>
  <c r="W17" i="1" s="1"/>
  <c r="U18" i="1"/>
  <c r="U19" i="1"/>
  <c r="U20" i="1"/>
  <c r="P190" i="1" l="1"/>
  <c r="N190" i="1"/>
  <c r="M190" i="1"/>
  <c r="AC192" i="1" l="1"/>
  <c r="AC191" i="1"/>
  <c r="AC193" i="1"/>
  <c r="AC194" i="1"/>
  <c r="AC195" i="1"/>
  <c r="AC196" i="1"/>
  <c r="AC197" i="1"/>
  <c r="AC198" i="1"/>
  <c r="AC199" i="1"/>
  <c r="V10" i="5" l="1"/>
  <c r="V11" i="5"/>
  <c r="V12" i="5"/>
  <c r="V13" i="5"/>
  <c r="V14" i="5"/>
  <c r="V15" i="5"/>
  <c r="V16" i="5"/>
  <c r="Y16" i="5" s="1"/>
  <c r="V17" i="5"/>
  <c r="Y17" i="5" s="1"/>
  <c r="V18" i="5"/>
  <c r="V19" i="5"/>
  <c r="V20" i="5"/>
  <c r="V21" i="5"/>
  <c r="V9" i="5"/>
  <c r="Y10" i="5"/>
  <c r="Y11" i="5"/>
  <c r="Y12" i="5"/>
  <c r="Y13" i="5"/>
  <c r="Y14" i="5"/>
  <c r="Y15" i="5"/>
  <c r="Y18" i="5"/>
  <c r="Y19" i="5"/>
  <c r="Y20" i="5"/>
  <c r="Y21" i="5"/>
  <c r="Y9" i="5"/>
  <c r="X10" i="5"/>
  <c r="X11" i="5"/>
  <c r="X12" i="5"/>
  <c r="X13" i="5"/>
  <c r="X14" i="5"/>
  <c r="X15" i="5"/>
  <c r="X16" i="5"/>
  <c r="X17" i="5"/>
  <c r="X18" i="5"/>
  <c r="X19" i="5"/>
  <c r="X20" i="5"/>
  <c r="X21" i="5"/>
  <c r="X9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O25" i="5"/>
  <c r="N25" i="5"/>
  <c r="M25" i="5"/>
  <c r="L25" i="5"/>
  <c r="K25" i="5"/>
  <c r="H28" i="5"/>
  <c r="G28" i="5"/>
  <c r="F28" i="5"/>
  <c r="E28" i="5"/>
  <c r="F25" i="5"/>
  <c r="E25" i="5"/>
  <c r="D25" i="5"/>
  <c r="C25" i="5"/>
  <c r="B25" i="5"/>
  <c r="U176" i="1"/>
  <c r="X178" i="1"/>
  <c r="X179" i="1"/>
  <c r="U180" i="1"/>
  <c r="X180" i="1"/>
  <c r="U181" i="1"/>
  <c r="X181" i="1"/>
  <c r="U182" i="1"/>
  <c r="U183" i="1"/>
  <c r="U184" i="1"/>
  <c r="U185" i="1"/>
  <c r="U186" i="1"/>
  <c r="U187" i="1"/>
  <c r="U188" i="1"/>
  <c r="U189" i="1"/>
  <c r="U190" i="1"/>
  <c r="X191" i="1"/>
  <c r="U193" i="1"/>
  <c r="U196" i="1"/>
  <c r="U198" i="1"/>
  <c r="T216" i="1" l="1"/>
  <c r="T217" i="1" s="1"/>
  <c r="T215" i="1"/>
  <c r="U10" i="5" l="1"/>
  <c r="U11" i="5"/>
  <c r="U12" i="5"/>
  <c r="U13" i="5"/>
  <c r="U14" i="5"/>
  <c r="U15" i="5"/>
  <c r="U16" i="5"/>
  <c r="U17" i="5"/>
  <c r="U18" i="5"/>
  <c r="U19" i="5"/>
  <c r="U20" i="5"/>
  <c r="U9" i="5"/>
  <c r="U21" i="5"/>
  <c r="H25" i="5"/>
  <c r="I25" i="5" l="1"/>
  <c r="I217" i="1"/>
  <c r="H217" i="1"/>
  <c r="F217" i="1"/>
  <c r="T164" i="1" l="1"/>
  <c r="U167" i="1" l="1"/>
  <c r="Q166" i="1" l="1"/>
  <c r="Q167" i="1"/>
  <c r="Q168" i="1"/>
  <c r="Q169" i="1"/>
  <c r="Q170" i="1"/>
  <c r="Q171" i="1"/>
  <c r="Q172" i="1"/>
  <c r="Q173" i="1"/>
  <c r="Q174" i="1"/>
  <c r="Q175" i="1"/>
  <c r="Q176" i="1"/>
  <c r="Q165" i="1"/>
  <c r="X165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E164" i="1"/>
  <c r="C177" i="1"/>
  <c r="G164" i="1" l="1"/>
  <c r="Q164" i="1"/>
  <c r="Z190" i="1" l="1"/>
  <c r="Q179" i="1"/>
  <c r="Q180" i="1"/>
  <c r="Q181" i="1"/>
  <c r="Q182" i="1"/>
  <c r="Q183" i="1"/>
  <c r="Q184" i="1"/>
  <c r="Q185" i="1"/>
  <c r="Q186" i="1"/>
  <c r="Q187" i="1"/>
  <c r="Q188" i="1"/>
  <c r="Q189" i="1"/>
  <c r="Q178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223" i="1" l="1"/>
  <c r="Q223" i="1"/>
  <c r="Q177" i="1"/>
  <c r="G177" i="1"/>
  <c r="O190" i="1" l="1"/>
  <c r="R177" i="1" l="1"/>
  <c r="T177" i="1"/>
  <c r="B164" i="1" l="1"/>
  <c r="B25" i="1" s="1"/>
  <c r="X139" i="1" l="1"/>
  <c r="U154" i="1"/>
  <c r="U160" i="1" l="1"/>
  <c r="U162" i="1"/>
  <c r="U155" i="1"/>
  <c r="U156" i="1"/>
  <c r="U157" i="1"/>
  <c r="U158" i="1"/>
  <c r="U159" i="1"/>
  <c r="U161" i="1"/>
  <c r="U163" i="1"/>
  <c r="U170" i="1"/>
  <c r="U173" i="1"/>
  <c r="T26" i="1" l="1"/>
  <c r="R26" i="1"/>
  <c r="P177" i="1" l="1"/>
  <c r="O177" i="1"/>
  <c r="O26" i="1" s="1"/>
  <c r="N177" i="1"/>
  <c r="M177" i="1"/>
  <c r="L177" i="1"/>
  <c r="J177" i="1"/>
  <c r="I177" i="1"/>
  <c r="H177" i="1"/>
  <c r="F177" i="1"/>
  <c r="F26" i="1" s="1"/>
  <c r="E177" i="1"/>
  <c r="E26" i="1" s="1"/>
  <c r="D177" i="1"/>
  <c r="D26" i="1" s="1"/>
  <c r="C26" i="1"/>
  <c r="B177" i="1"/>
  <c r="B26" i="1" s="1"/>
  <c r="P26" i="1" l="1"/>
  <c r="N26" i="1"/>
  <c r="M26" i="1"/>
  <c r="L26" i="1"/>
  <c r="J26" i="1"/>
  <c r="I26" i="1"/>
  <c r="H26" i="1"/>
  <c r="K188" i="1"/>
  <c r="S188" i="1" l="1"/>
  <c r="Z188" i="1" l="1"/>
  <c r="K189" i="1"/>
  <c r="K178" i="1"/>
  <c r="S189" i="1" l="1"/>
  <c r="Z189" i="1" s="1"/>
  <c r="X166" i="1"/>
  <c r="K187" i="1" l="1"/>
  <c r="S187" i="1" l="1"/>
  <c r="K186" i="1"/>
  <c r="Z187" i="1" l="1"/>
  <c r="S186" i="1"/>
  <c r="Z186" i="1" s="1"/>
  <c r="K185" i="1"/>
  <c r="S185" i="1" l="1"/>
  <c r="Z185" i="1" s="1"/>
  <c r="K184" i="1"/>
  <c r="S184" i="1" l="1"/>
  <c r="Z184" i="1" s="1"/>
  <c r="X154" i="1"/>
  <c r="X153" i="1"/>
  <c r="K183" i="1" l="1"/>
  <c r="K182" i="1"/>
  <c r="S182" i="1" l="1"/>
  <c r="Z182" i="1" s="1"/>
  <c r="S183" i="1"/>
  <c r="Z183" i="1" s="1"/>
  <c r="Q163" i="1"/>
  <c r="Q162" i="1"/>
  <c r="Q161" i="1"/>
  <c r="Q160" i="1"/>
  <c r="Q159" i="1"/>
  <c r="Q158" i="1"/>
  <c r="Q157" i="1"/>
  <c r="Q156" i="1"/>
  <c r="Q155" i="1"/>
  <c r="Q154" i="1"/>
  <c r="Q153" i="1"/>
  <c r="Q152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S165" i="1" s="1"/>
  <c r="J164" i="1"/>
  <c r="C164" i="1"/>
  <c r="D164" i="1"/>
  <c r="F164" i="1"/>
  <c r="Z165" i="1" l="1"/>
  <c r="K181" i="1"/>
  <c r="V165" i="1" l="1"/>
  <c r="S181" i="1"/>
  <c r="Z181" i="1" s="1"/>
  <c r="Z214" i="1"/>
  <c r="Z213" i="1"/>
  <c r="Z212" i="1"/>
  <c r="Z211" i="1"/>
  <c r="Z210" i="1"/>
  <c r="Z209" i="1"/>
  <c r="Z208" i="1"/>
  <c r="Z207" i="1"/>
  <c r="K180" i="1" l="1"/>
  <c r="S180" i="1" l="1"/>
  <c r="Z180" i="1" s="1"/>
  <c r="K179" i="1"/>
  <c r="K223" i="1" s="1"/>
  <c r="G26" i="1" l="1"/>
  <c r="K177" i="1"/>
  <c r="S179" i="1"/>
  <c r="V179" i="1" l="1"/>
  <c r="Z179" i="1"/>
  <c r="K26" i="1"/>
  <c r="S178" i="1"/>
  <c r="E55" i="1"/>
  <c r="V178" i="1" l="1"/>
  <c r="S223" i="1"/>
  <c r="Z178" i="1"/>
  <c r="S177" i="1"/>
  <c r="Z177" i="1" s="1"/>
  <c r="Q26" i="1"/>
  <c r="X168" i="1"/>
  <c r="X167" i="1"/>
  <c r="U177" i="1" l="1"/>
  <c r="V177" i="1"/>
  <c r="S26" i="1"/>
  <c r="Z26" i="1" s="1"/>
  <c r="AD164" i="1" l="1"/>
  <c r="L164" i="1" l="1"/>
  <c r="N164" i="1"/>
  <c r="O164" i="1"/>
  <c r="P164" i="1"/>
  <c r="P25" i="1" l="1"/>
  <c r="O25" i="1"/>
  <c r="N25" i="1"/>
  <c r="L25" i="1"/>
  <c r="X155" i="1"/>
  <c r="X152" i="1"/>
  <c r="AL148" i="1" l="1"/>
  <c r="AL147" i="1"/>
  <c r="AL146" i="1"/>
  <c r="AL149" i="1"/>
  <c r="AL145" i="1"/>
  <c r="AL144" i="1"/>
  <c r="AL143" i="1"/>
  <c r="AL142" i="1"/>
  <c r="AL141" i="1"/>
  <c r="X141" i="1" l="1"/>
  <c r="X140" i="1"/>
  <c r="C25" i="1" l="1"/>
  <c r="D25" i="1"/>
  <c r="E25" i="1"/>
  <c r="F25" i="1"/>
  <c r="H164" i="1"/>
  <c r="I164" i="1"/>
  <c r="J25" i="1"/>
  <c r="R164" i="1"/>
  <c r="S170" i="1"/>
  <c r="Z170" i="1" s="1"/>
  <c r="S169" i="1"/>
  <c r="Z169" i="1" s="1"/>
  <c r="S168" i="1"/>
  <c r="Z168" i="1" s="1"/>
  <c r="S166" i="1"/>
  <c r="Z166" i="1" s="1"/>
  <c r="G163" i="1"/>
  <c r="G162" i="1"/>
  <c r="G161" i="1"/>
  <c r="G160" i="1"/>
  <c r="G159" i="1"/>
  <c r="G158" i="1"/>
  <c r="G157" i="1"/>
  <c r="G156" i="1"/>
  <c r="G155" i="1"/>
  <c r="G154" i="1"/>
  <c r="G153" i="1"/>
  <c r="G152" i="1"/>
  <c r="T151" i="1"/>
  <c r="R151" i="1"/>
  <c r="R24" i="1" s="1"/>
  <c r="P151" i="1"/>
  <c r="P24" i="1" s="1"/>
  <c r="O151" i="1"/>
  <c r="O24" i="1" s="1"/>
  <c r="N151" i="1"/>
  <c r="N24" i="1" s="1"/>
  <c r="M151" i="1"/>
  <c r="M24" i="1" s="1"/>
  <c r="L151" i="1"/>
  <c r="L24" i="1" s="1"/>
  <c r="J151" i="1"/>
  <c r="J24" i="1" s="1"/>
  <c r="I151" i="1"/>
  <c r="I24" i="1" s="1"/>
  <c r="H151" i="1"/>
  <c r="H24" i="1" s="1"/>
  <c r="F151" i="1"/>
  <c r="F24" i="1" s="1"/>
  <c r="E151" i="1"/>
  <c r="E24" i="1" s="1"/>
  <c r="D151" i="1"/>
  <c r="D24" i="1" s="1"/>
  <c r="C151" i="1"/>
  <c r="C24" i="1" s="1"/>
  <c r="B151" i="1"/>
  <c r="B24" i="1" s="1"/>
  <c r="V166" i="1" l="1"/>
  <c r="T25" i="1"/>
  <c r="R25" i="1"/>
  <c r="I25" i="1"/>
  <c r="H25" i="1"/>
  <c r="G25" i="1"/>
  <c r="Y211" i="1"/>
  <c r="V170" i="1"/>
  <c r="V168" i="1"/>
  <c r="Y210" i="1"/>
  <c r="V169" i="1"/>
  <c r="AB164" i="1"/>
  <c r="S167" i="1"/>
  <c r="Z167" i="1" s="1"/>
  <c r="S171" i="1"/>
  <c r="T24" i="1"/>
  <c r="K164" i="1"/>
  <c r="G151" i="1"/>
  <c r="G24" i="1" s="1"/>
  <c r="S154" i="1"/>
  <c r="Z154" i="1" s="1"/>
  <c r="S158" i="1"/>
  <c r="Z158" i="1" s="1"/>
  <c r="S174" i="1"/>
  <c r="Z174" i="1" s="1"/>
  <c r="S172" i="1"/>
  <c r="Z172" i="1" s="1"/>
  <c r="S176" i="1"/>
  <c r="S162" i="1"/>
  <c r="Z162" i="1" s="1"/>
  <c r="S173" i="1"/>
  <c r="Z173" i="1" s="1"/>
  <c r="S175" i="1"/>
  <c r="Z175" i="1" s="1"/>
  <c r="S153" i="1"/>
  <c r="Z153" i="1" s="1"/>
  <c r="S157" i="1"/>
  <c r="Z157" i="1" s="1"/>
  <c r="S152" i="1"/>
  <c r="Z152" i="1" s="1"/>
  <c r="S156" i="1"/>
  <c r="Z156" i="1" s="1"/>
  <c r="S160" i="1"/>
  <c r="Z160" i="1" s="1"/>
  <c r="K151" i="1"/>
  <c r="K24" i="1" s="1"/>
  <c r="S161" i="1"/>
  <c r="Z161" i="1" s="1"/>
  <c r="S155" i="1"/>
  <c r="Z155" i="1" s="1"/>
  <c r="S159" i="1"/>
  <c r="Z159" i="1" s="1"/>
  <c r="S163" i="1"/>
  <c r="Z163" i="1" s="1"/>
  <c r="Q151" i="1"/>
  <c r="Q24" i="1" s="1"/>
  <c r="U24" i="1" s="1"/>
  <c r="T111" i="1"/>
  <c r="V111" i="1"/>
  <c r="T83" i="1"/>
  <c r="V83" i="1"/>
  <c r="T69" i="1"/>
  <c r="T55" i="1"/>
  <c r="V55" i="1"/>
  <c r="T41" i="1"/>
  <c r="T27" i="1"/>
  <c r="V176" i="1" l="1"/>
  <c r="Z176" i="1"/>
  <c r="Y212" i="1"/>
  <c r="Z171" i="1"/>
  <c r="S164" i="1"/>
  <c r="K25" i="1"/>
  <c r="Y213" i="1"/>
  <c r="Y214" i="1"/>
  <c r="Y208" i="1"/>
  <c r="V167" i="1"/>
  <c r="V175" i="1"/>
  <c r="V172" i="1"/>
  <c r="Y209" i="1"/>
  <c r="V173" i="1"/>
  <c r="V174" i="1"/>
  <c r="V171" i="1"/>
  <c r="S151" i="1"/>
  <c r="AB140" i="1"/>
  <c r="U164" i="1" l="1"/>
  <c r="Z164" i="1"/>
  <c r="S24" i="1"/>
  <c r="Z24" i="1" s="1"/>
  <c r="Z151" i="1"/>
  <c r="AB151" i="1" s="1"/>
  <c r="X59" i="1"/>
  <c r="X58" i="1"/>
  <c r="X57" i="1"/>
  <c r="X56" i="1"/>
  <c r="X31" i="1"/>
  <c r="X30" i="1"/>
  <c r="X29" i="1"/>
  <c r="X28" i="1"/>
  <c r="X45" i="1"/>
  <c r="X44" i="1"/>
  <c r="X43" i="1"/>
  <c r="X42" i="1"/>
  <c r="X73" i="1"/>
  <c r="X72" i="1"/>
  <c r="X71" i="1"/>
  <c r="X70" i="1"/>
  <c r="X87" i="1" l="1"/>
  <c r="X86" i="1"/>
  <c r="X85" i="1"/>
  <c r="X84" i="1"/>
  <c r="X101" i="1"/>
  <c r="X100" i="1"/>
  <c r="X99" i="1"/>
  <c r="X98" i="1"/>
  <c r="AH87" i="1" l="1"/>
  <c r="T17" i="1" l="1"/>
  <c r="T16" i="1"/>
  <c r="T15" i="1"/>
  <c r="AJ60" i="1"/>
  <c r="AJ55" i="1" s="1"/>
  <c r="AM55" i="1"/>
  <c r="AN55" i="1" s="1"/>
  <c r="AJ43" i="1"/>
  <c r="AJ41" i="1" s="1"/>
  <c r="AM41" i="1"/>
  <c r="AN41" i="1" s="1"/>
  <c r="AJ36" i="1"/>
  <c r="AJ27" i="1" s="1"/>
  <c r="AM27" i="1"/>
  <c r="AN27" i="1" l="1"/>
  <c r="T21" i="1"/>
  <c r="T19" i="1"/>
  <c r="T18" i="1"/>
  <c r="AJ91" i="1" l="1"/>
  <c r="AJ93" i="1"/>
  <c r="AL111" i="1"/>
  <c r="AM82" i="1"/>
  <c r="AL110" i="1" s="1"/>
  <c r="AM83" i="1"/>
  <c r="AJ82" i="1"/>
  <c r="AJ110" i="1" s="1"/>
  <c r="AM69" i="1"/>
  <c r="AJ83" i="1" l="1"/>
  <c r="AN83" i="1" s="1"/>
  <c r="AJ76" i="1"/>
  <c r="AJ75" i="1"/>
  <c r="AJ73" i="1"/>
  <c r="AJ72" i="1"/>
  <c r="W122" i="1"/>
  <c r="AJ121" i="1"/>
  <c r="AJ114" i="1"/>
  <c r="AH75" i="1"/>
  <c r="AK83" i="1" l="1"/>
  <c r="AJ111" i="1"/>
  <c r="AM111" i="1" s="1"/>
  <c r="AJ69" i="1"/>
  <c r="AN69" i="1" s="1"/>
  <c r="AK111" i="1" l="1"/>
  <c r="G66" i="1" l="1"/>
  <c r="G65" i="1"/>
  <c r="G64" i="1"/>
  <c r="G63" i="1"/>
  <c r="G62" i="1"/>
  <c r="G61" i="1"/>
  <c r="G60" i="1"/>
  <c r="G59" i="1"/>
  <c r="G58" i="1"/>
  <c r="G57" i="1"/>
  <c r="G56" i="1"/>
  <c r="G42" i="1"/>
  <c r="T97" i="1"/>
  <c r="T125" i="1"/>
  <c r="R125" i="1"/>
  <c r="R111" i="1"/>
  <c r="R97" i="1"/>
  <c r="R83" i="1"/>
  <c r="R69" i="1"/>
  <c r="R55" i="1"/>
  <c r="R41" i="1"/>
  <c r="R27" i="1"/>
  <c r="Q108" i="1"/>
  <c r="Q107" i="1"/>
  <c r="Q106" i="1"/>
  <c r="Q105" i="1"/>
  <c r="Q104" i="1"/>
  <c r="Q103" i="1"/>
  <c r="Q102" i="1"/>
  <c r="Q99" i="1"/>
  <c r="Q67" i="1"/>
  <c r="Q59" i="1"/>
  <c r="Q57" i="1"/>
  <c r="Q56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09" i="1"/>
  <c r="Q101" i="1"/>
  <c r="Q100" i="1"/>
  <c r="Q98" i="1"/>
  <c r="Q95" i="1"/>
  <c r="Q94" i="1"/>
  <c r="Q93" i="1"/>
  <c r="Q92" i="1"/>
  <c r="Q91" i="1"/>
  <c r="Q90" i="1"/>
  <c r="Q89" i="1"/>
  <c r="Q88" i="1"/>
  <c r="Q87" i="1"/>
  <c r="Q86" i="1"/>
  <c r="Q85" i="1"/>
  <c r="Q84" i="1"/>
  <c r="Q81" i="1"/>
  <c r="Q80" i="1"/>
  <c r="Q79" i="1"/>
  <c r="Q78" i="1"/>
  <c r="Q77" i="1"/>
  <c r="Q76" i="1"/>
  <c r="Q75" i="1"/>
  <c r="Q74" i="1"/>
  <c r="Q73" i="1"/>
  <c r="Q72" i="1"/>
  <c r="Q71" i="1"/>
  <c r="Q70" i="1"/>
  <c r="Q66" i="1"/>
  <c r="Q65" i="1"/>
  <c r="Q64" i="1"/>
  <c r="Q63" i="1"/>
  <c r="Q62" i="1"/>
  <c r="Q61" i="1"/>
  <c r="Q60" i="1"/>
  <c r="Q58" i="1"/>
  <c r="Q53" i="1"/>
  <c r="Q52" i="1"/>
  <c r="Q51" i="1"/>
  <c r="Q50" i="1"/>
  <c r="Q49" i="1"/>
  <c r="Q48" i="1"/>
  <c r="Q47" i="1"/>
  <c r="Q46" i="1"/>
  <c r="Q45" i="1"/>
  <c r="Q44" i="1"/>
  <c r="Q43" i="1"/>
  <c r="Q42" i="1"/>
  <c r="Q38" i="1"/>
  <c r="Q36" i="1"/>
  <c r="Q35" i="1"/>
  <c r="Q34" i="1"/>
  <c r="Q33" i="1"/>
  <c r="Q32" i="1"/>
  <c r="Q31" i="1"/>
  <c r="Q30" i="1"/>
  <c r="Q29" i="1"/>
  <c r="Q28" i="1"/>
  <c r="P125" i="1"/>
  <c r="O125" i="1"/>
  <c r="N125" i="1"/>
  <c r="M125" i="1"/>
  <c r="L125" i="1"/>
  <c r="P111" i="1"/>
  <c r="O111" i="1"/>
  <c r="N111" i="1"/>
  <c r="M111" i="1"/>
  <c r="L111" i="1"/>
  <c r="P97" i="1"/>
  <c r="O97" i="1"/>
  <c r="N97" i="1"/>
  <c r="M97" i="1"/>
  <c r="L97" i="1"/>
  <c r="P83" i="1"/>
  <c r="O83" i="1"/>
  <c r="N83" i="1"/>
  <c r="M83" i="1"/>
  <c r="L83" i="1"/>
  <c r="P69" i="1"/>
  <c r="O69" i="1"/>
  <c r="N69" i="1"/>
  <c r="M69" i="1"/>
  <c r="L69" i="1"/>
  <c r="P55" i="1"/>
  <c r="O55" i="1"/>
  <c r="N55" i="1"/>
  <c r="M55" i="1"/>
  <c r="L55" i="1"/>
  <c r="P41" i="1"/>
  <c r="O41" i="1"/>
  <c r="N41" i="1"/>
  <c r="M41" i="1"/>
  <c r="L41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5" i="1"/>
  <c r="K94" i="1"/>
  <c r="K93" i="1"/>
  <c r="K92" i="1"/>
  <c r="K91" i="1"/>
  <c r="K90" i="1"/>
  <c r="K89" i="1"/>
  <c r="K88" i="1"/>
  <c r="K87" i="1"/>
  <c r="K86" i="1"/>
  <c r="K85" i="1"/>
  <c r="K84" i="1"/>
  <c r="K81" i="1"/>
  <c r="K80" i="1"/>
  <c r="K79" i="1"/>
  <c r="K78" i="1"/>
  <c r="K77" i="1"/>
  <c r="K76" i="1"/>
  <c r="K75" i="1"/>
  <c r="K74" i="1"/>
  <c r="K73" i="1"/>
  <c r="K72" i="1"/>
  <c r="K71" i="1"/>
  <c r="K70" i="1"/>
  <c r="K67" i="1"/>
  <c r="K66" i="1"/>
  <c r="K65" i="1"/>
  <c r="K64" i="1"/>
  <c r="K63" i="1"/>
  <c r="K62" i="1"/>
  <c r="K61" i="1"/>
  <c r="K60" i="1"/>
  <c r="K59" i="1"/>
  <c r="K58" i="1"/>
  <c r="K57" i="1"/>
  <c r="K56" i="1"/>
  <c r="K53" i="1"/>
  <c r="K52" i="1"/>
  <c r="K51" i="1"/>
  <c r="K50" i="1"/>
  <c r="K49" i="1"/>
  <c r="K48" i="1"/>
  <c r="K47" i="1"/>
  <c r="K46" i="1"/>
  <c r="K45" i="1"/>
  <c r="K44" i="1"/>
  <c r="K43" i="1"/>
  <c r="K42" i="1"/>
  <c r="K39" i="1"/>
  <c r="K38" i="1"/>
  <c r="K37" i="1"/>
  <c r="K36" i="1"/>
  <c r="K35" i="1"/>
  <c r="K34" i="1"/>
  <c r="K33" i="1"/>
  <c r="K32" i="1"/>
  <c r="K31" i="1"/>
  <c r="K30" i="1"/>
  <c r="K29" i="1"/>
  <c r="K28" i="1"/>
  <c r="J138" i="1"/>
  <c r="I138" i="1"/>
  <c r="H138" i="1"/>
  <c r="J125" i="1"/>
  <c r="I125" i="1"/>
  <c r="H125" i="1"/>
  <c r="J111" i="1"/>
  <c r="I111" i="1"/>
  <c r="H111" i="1"/>
  <c r="J97" i="1"/>
  <c r="I97" i="1"/>
  <c r="H97" i="1"/>
  <c r="J83" i="1"/>
  <c r="I83" i="1"/>
  <c r="H83" i="1"/>
  <c r="J69" i="1"/>
  <c r="I69" i="1"/>
  <c r="H69" i="1"/>
  <c r="J55" i="1"/>
  <c r="I55" i="1"/>
  <c r="H55" i="1"/>
  <c r="J41" i="1"/>
  <c r="I41" i="1"/>
  <c r="H41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5" i="1"/>
  <c r="G94" i="1"/>
  <c r="G93" i="1"/>
  <c r="G92" i="1"/>
  <c r="G91" i="1"/>
  <c r="G90" i="1"/>
  <c r="G89" i="1"/>
  <c r="G88" i="1"/>
  <c r="G87" i="1"/>
  <c r="G86" i="1"/>
  <c r="G85" i="1"/>
  <c r="G84" i="1"/>
  <c r="G81" i="1"/>
  <c r="G80" i="1"/>
  <c r="G79" i="1"/>
  <c r="G78" i="1"/>
  <c r="G77" i="1"/>
  <c r="G76" i="1"/>
  <c r="G75" i="1"/>
  <c r="G74" i="1"/>
  <c r="G73" i="1"/>
  <c r="G72" i="1"/>
  <c r="G71" i="1"/>
  <c r="G70" i="1"/>
  <c r="G67" i="1"/>
  <c r="G53" i="1"/>
  <c r="G52" i="1"/>
  <c r="G51" i="1"/>
  <c r="G50" i="1"/>
  <c r="G49" i="1"/>
  <c r="G48" i="1"/>
  <c r="G47" i="1"/>
  <c r="G46" i="1"/>
  <c r="G45" i="1"/>
  <c r="G44" i="1"/>
  <c r="G43" i="1"/>
  <c r="F125" i="1"/>
  <c r="E125" i="1"/>
  <c r="D125" i="1"/>
  <c r="C125" i="1"/>
  <c r="B125" i="1"/>
  <c r="F111" i="1"/>
  <c r="E111" i="1"/>
  <c r="D111" i="1"/>
  <c r="C111" i="1"/>
  <c r="B111" i="1"/>
  <c r="F97" i="1"/>
  <c r="E97" i="1"/>
  <c r="D97" i="1"/>
  <c r="C97" i="1"/>
  <c r="B97" i="1"/>
  <c r="F83" i="1"/>
  <c r="E83" i="1"/>
  <c r="D83" i="1"/>
  <c r="C83" i="1"/>
  <c r="B83" i="1"/>
  <c r="F69" i="1"/>
  <c r="E69" i="1"/>
  <c r="D69" i="1"/>
  <c r="C69" i="1"/>
  <c r="B69" i="1"/>
  <c r="F55" i="1"/>
  <c r="D55" i="1"/>
  <c r="C55" i="1"/>
  <c r="B55" i="1"/>
  <c r="F41" i="1"/>
  <c r="E41" i="1"/>
  <c r="D41" i="1"/>
  <c r="C41" i="1"/>
  <c r="B41" i="1"/>
  <c r="Q39" i="1"/>
  <c r="Q37" i="1"/>
  <c r="P27" i="1"/>
  <c r="O27" i="1"/>
  <c r="N27" i="1"/>
  <c r="M27" i="1"/>
  <c r="L27" i="1"/>
  <c r="G39" i="1"/>
  <c r="G38" i="1"/>
  <c r="G37" i="1"/>
  <c r="G36" i="1"/>
  <c r="G35" i="1"/>
  <c r="G34" i="1"/>
  <c r="G33" i="1"/>
  <c r="G32" i="1"/>
  <c r="G31" i="1"/>
  <c r="G30" i="1"/>
  <c r="G29" i="1"/>
  <c r="G28" i="1"/>
  <c r="J27" i="1"/>
  <c r="I27" i="1"/>
  <c r="H27" i="1"/>
  <c r="F27" i="1"/>
  <c r="E27" i="1"/>
  <c r="D27" i="1"/>
  <c r="C27" i="1"/>
  <c r="B27" i="1"/>
  <c r="S46" i="1" l="1"/>
  <c r="Z46" i="1" s="1"/>
  <c r="S44" i="1"/>
  <c r="Z44" i="1" s="1"/>
  <c r="S43" i="1"/>
  <c r="Z43" i="1" s="1"/>
  <c r="S45" i="1"/>
  <c r="Z45" i="1" s="1"/>
  <c r="Q55" i="1"/>
  <c r="G27" i="1"/>
  <c r="K41" i="1"/>
  <c r="K111" i="1"/>
  <c r="S28" i="1"/>
  <c r="Z28" i="1" s="1"/>
  <c r="S30" i="1"/>
  <c r="Z30" i="1" s="1"/>
  <c r="S32" i="1"/>
  <c r="Z32" i="1" s="1"/>
  <c r="S34" i="1"/>
  <c r="Z34" i="1" s="1"/>
  <c r="S36" i="1"/>
  <c r="Z36" i="1" s="1"/>
  <c r="S38" i="1"/>
  <c r="Z38" i="1" s="1"/>
  <c r="G41" i="1"/>
  <c r="K27" i="1"/>
  <c r="S29" i="1"/>
  <c r="Z29" i="1" s="1"/>
  <c r="S31" i="1"/>
  <c r="Z31" i="1" s="1"/>
  <c r="S33" i="1"/>
  <c r="Z33" i="1" s="1"/>
  <c r="S35" i="1"/>
  <c r="Z35" i="1" s="1"/>
  <c r="G83" i="1"/>
  <c r="G111" i="1"/>
  <c r="Q83" i="1"/>
  <c r="K55" i="1"/>
  <c r="K83" i="1"/>
  <c r="K97" i="1"/>
  <c r="Q125" i="1"/>
  <c r="S42" i="1"/>
  <c r="Z42" i="1" s="1"/>
  <c r="G55" i="1"/>
  <c r="S60" i="1"/>
  <c r="Z60" i="1" s="1"/>
  <c r="S62" i="1"/>
  <c r="Z62" i="1" s="1"/>
  <c r="S64" i="1"/>
  <c r="Z64" i="1" s="1"/>
  <c r="S66" i="1"/>
  <c r="Z66" i="1" s="1"/>
  <c r="G97" i="1"/>
  <c r="S101" i="1"/>
  <c r="Z101" i="1" s="1"/>
  <c r="S112" i="1"/>
  <c r="Z112" i="1" s="1"/>
  <c r="S114" i="1"/>
  <c r="Z114" i="1" s="1"/>
  <c r="S116" i="1"/>
  <c r="Z116" i="1" s="1"/>
  <c r="S118" i="1"/>
  <c r="Z118" i="1" s="1"/>
  <c r="S120" i="1"/>
  <c r="Z120" i="1" s="1"/>
  <c r="S122" i="1"/>
  <c r="Z122" i="1" s="1"/>
  <c r="S48" i="1"/>
  <c r="Z48" i="1" s="1"/>
  <c r="S52" i="1"/>
  <c r="Z52" i="1" s="1"/>
  <c r="S71" i="1"/>
  <c r="Z71" i="1" s="1"/>
  <c r="S75" i="1"/>
  <c r="Z75" i="1" s="1"/>
  <c r="S79" i="1"/>
  <c r="Z79" i="1" s="1"/>
  <c r="S90" i="1"/>
  <c r="Z90" i="1" s="1"/>
  <c r="Q27" i="1"/>
  <c r="G69" i="1"/>
  <c r="K69" i="1"/>
  <c r="K125" i="1"/>
  <c r="S47" i="1"/>
  <c r="Z47" i="1" s="1"/>
  <c r="S49" i="1"/>
  <c r="Z49" i="1" s="1"/>
  <c r="S51" i="1"/>
  <c r="Z51" i="1" s="1"/>
  <c r="S53" i="1"/>
  <c r="Z53" i="1" s="1"/>
  <c r="S58" i="1"/>
  <c r="Z58" i="1" s="1"/>
  <c r="S61" i="1"/>
  <c r="Z61" i="1" s="1"/>
  <c r="S63" i="1"/>
  <c r="Z63" i="1" s="1"/>
  <c r="S65" i="1"/>
  <c r="Z65" i="1" s="1"/>
  <c r="S70" i="1"/>
  <c r="Z70" i="1" s="1"/>
  <c r="S72" i="1"/>
  <c r="Z72" i="1" s="1"/>
  <c r="S74" i="1"/>
  <c r="Z74" i="1" s="1"/>
  <c r="S76" i="1"/>
  <c r="Z76" i="1" s="1"/>
  <c r="S78" i="1"/>
  <c r="Z78" i="1" s="1"/>
  <c r="S80" i="1"/>
  <c r="Z80" i="1" s="1"/>
  <c r="S85" i="1"/>
  <c r="Z85" i="1" s="1"/>
  <c r="S87" i="1"/>
  <c r="Z87" i="1" s="1"/>
  <c r="S89" i="1"/>
  <c r="Z89" i="1" s="1"/>
  <c r="S91" i="1"/>
  <c r="Z91" i="1" s="1"/>
  <c r="S93" i="1"/>
  <c r="Z93" i="1" s="1"/>
  <c r="S95" i="1"/>
  <c r="Z95" i="1" s="1"/>
  <c r="S100" i="1"/>
  <c r="Z100" i="1" s="1"/>
  <c r="S109" i="1"/>
  <c r="Z109" i="1" s="1"/>
  <c r="S113" i="1"/>
  <c r="Z113" i="1" s="1"/>
  <c r="S115" i="1"/>
  <c r="Z115" i="1" s="1"/>
  <c r="S117" i="1"/>
  <c r="Z117" i="1" s="1"/>
  <c r="S119" i="1"/>
  <c r="Z119" i="1" s="1"/>
  <c r="S121" i="1"/>
  <c r="Z121" i="1" s="1"/>
  <c r="S123" i="1"/>
  <c r="Z123" i="1" s="1"/>
  <c r="S126" i="1"/>
  <c r="Z126" i="1" s="1"/>
  <c r="S128" i="1"/>
  <c r="Z128" i="1" s="1"/>
  <c r="S130" i="1"/>
  <c r="Z130" i="1" s="1"/>
  <c r="S132" i="1"/>
  <c r="Z132" i="1" s="1"/>
  <c r="S134" i="1"/>
  <c r="Z134" i="1" s="1"/>
  <c r="S136" i="1"/>
  <c r="Z136" i="1" s="1"/>
  <c r="S56" i="1"/>
  <c r="Z56" i="1" s="1"/>
  <c r="S59" i="1"/>
  <c r="Z59" i="1" s="1"/>
  <c r="S99" i="1"/>
  <c r="Z99" i="1" s="1"/>
  <c r="S103" i="1"/>
  <c r="Z103" i="1" s="1"/>
  <c r="S105" i="1"/>
  <c r="Z105" i="1" s="1"/>
  <c r="S107" i="1"/>
  <c r="Z107" i="1" s="1"/>
  <c r="S50" i="1"/>
  <c r="Z50" i="1" s="1"/>
  <c r="S73" i="1"/>
  <c r="Z73" i="1" s="1"/>
  <c r="S77" i="1"/>
  <c r="Z77" i="1" s="1"/>
  <c r="S81" i="1"/>
  <c r="Z81" i="1" s="1"/>
  <c r="S84" i="1"/>
  <c r="Z84" i="1" s="1"/>
  <c r="S86" i="1"/>
  <c r="Z86" i="1" s="1"/>
  <c r="S88" i="1"/>
  <c r="Z88" i="1" s="1"/>
  <c r="S92" i="1"/>
  <c r="Z92" i="1" s="1"/>
  <c r="S94" i="1"/>
  <c r="Z94" i="1" s="1"/>
  <c r="S98" i="1"/>
  <c r="Z98" i="1" s="1"/>
  <c r="S127" i="1"/>
  <c r="Z127" i="1" s="1"/>
  <c r="S129" i="1"/>
  <c r="Z129" i="1" s="1"/>
  <c r="S131" i="1"/>
  <c r="Z131" i="1" s="1"/>
  <c r="S133" i="1"/>
  <c r="Z133" i="1" s="1"/>
  <c r="S135" i="1"/>
  <c r="Z135" i="1" s="1"/>
  <c r="S137" i="1"/>
  <c r="Z137" i="1" s="1"/>
  <c r="S57" i="1"/>
  <c r="Z57" i="1" s="1"/>
  <c r="S67" i="1"/>
  <c r="Z67" i="1" s="1"/>
  <c r="S102" i="1"/>
  <c r="Z102" i="1" s="1"/>
  <c r="S104" i="1"/>
  <c r="Z104" i="1" s="1"/>
  <c r="S106" i="1"/>
  <c r="Z106" i="1" s="1"/>
  <c r="S108" i="1"/>
  <c r="Z108" i="1" s="1"/>
  <c r="S37" i="1"/>
  <c r="Z37" i="1" s="1"/>
  <c r="S39" i="1"/>
  <c r="Z39" i="1" s="1"/>
  <c r="G125" i="1"/>
  <c r="G22" i="1" s="1"/>
  <c r="Q41" i="1"/>
  <c r="Q69" i="1"/>
  <c r="Q111" i="1"/>
  <c r="Q97" i="1"/>
  <c r="X129" i="1"/>
  <c r="X128" i="1"/>
  <c r="X127" i="1"/>
  <c r="X126" i="1"/>
  <c r="X142" i="1"/>
  <c r="S69" i="1" l="1"/>
  <c r="Z69" i="1" s="1"/>
  <c r="S27" i="1"/>
  <c r="Z27" i="1" s="1"/>
  <c r="S111" i="1"/>
  <c r="Z111" i="1" s="1"/>
  <c r="S55" i="1"/>
  <c r="Z55" i="1" s="1"/>
  <c r="S83" i="1"/>
  <c r="Z83" i="1" s="1"/>
  <c r="S41" i="1"/>
  <c r="Z41" i="1" s="1"/>
  <c r="S125" i="1"/>
  <c r="Z125" i="1" s="1"/>
  <c r="S97" i="1"/>
  <c r="Z97" i="1" s="1"/>
  <c r="K149" i="1"/>
  <c r="Q148" i="1"/>
  <c r="Q149" i="1"/>
  <c r="Q150" i="1"/>
  <c r="G149" i="1"/>
  <c r="S149" i="1" l="1"/>
  <c r="Z149" i="1" s="1"/>
  <c r="K148" i="1" l="1"/>
  <c r="G148" i="1"/>
  <c r="S148" i="1" l="1"/>
  <c r="Z148" i="1" s="1"/>
  <c r="X115" i="1"/>
  <c r="X114" i="1"/>
  <c r="X113" i="1"/>
  <c r="X112" i="1"/>
  <c r="Q147" i="1" l="1"/>
  <c r="K147" i="1"/>
  <c r="G147" i="1"/>
  <c r="S147" i="1" l="1"/>
  <c r="Z147" i="1" s="1"/>
  <c r="G139" i="1"/>
  <c r="Q146" i="1" l="1"/>
  <c r="K146" i="1"/>
  <c r="G146" i="1"/>
  <c r="S146" i="1" l="1"/>
  <c r="Z146" i="1" s="1"/>
  <c r="Q145" i="1"/>
  <c r="K145" i="1"/>
  <c r="G145" i="1"/>
  <c r="S145" i="1" l="1"/>
  <c r="Z145" i="1" s="1"/>
  <c r="Q144" i="1"/>
  <c r="Q143" i="1"/>
  <c r="Q142" i="1"/>
  <c r="Q141" i="1"/>
  <c r="Q140" i="1"/>
  <c r="Q139" i="1"/>
  <c r="K144" i="1"/>
  <c r="K150" i="1" l="1"/>
  <c r="G144" i="1"/>
  <c r="S144" i="1" s="1"/>
  <c r="Z144" i="1" s="1"/>
  <c r="G143" i="1"/>
  <c r="G142" i="1"/>
  <c r="G141" i="1"/>
  <c r="G150" i="1"/>
  <c r="T138" i="1"/>
  <c r="R138" i="1"/>
  <c r="P138" i="1"/>
  <c r="O138" i="1"/>
  <c r="N138" i="1"/>
  <c r="M138" i="1"/>
  <c r="L138" i="1"/>
  <c r="F138" i="1"/>
  <c r="E138" i="1"/>
  <c r="D138" i="1"/>
  <c r="C138" i="1"/>
  <c r="B138" i="1"/>
  <c r="S150" i="1" l="1"/>
  <c r="Z150" i="1" s="1"/>
  <c r="K143" i="1"/>
  <c r="S143" i="1" s="1"/>
  <c r="Z143" i="1" s="1"/>
  <c r="K142" i="1" l="1"/>
  <c r="S142" i="1" s="1"/>
  <c r="Z142" i="1" s="1"/>
  <c r="K141" i="1" l="1"/>
  <c r="S141" i="1" s="1"/>
  <c r="Z141" i="1" s="1"/>
  <c r="K140" i="1"/>
  <c r="G140" i="1"/>
  <c r="Q138" i="1"/>
  <c r="K139" i="1"/>
  <c r="K138" i="1" l="1"/>
  <c r="K23" i="1" s="1"/>
  <c r="S140" i="1"/>
  <c r="Z140" i="1" s="1"/>
  <c r="Q23" i="1"/>
  <c r="U23" i="1" s="1"/>
  <c r="T23" i="1"/>
  <c r="R23" i="1"/>
  <c r="P23" i="1"/>
  <c r="O23" i="1"/>
  <c r="N23" i="1"/>
  <c r="M23" i="1"/>
  <c r="L23" i="1"/>
  <c r="J23" i="1"/>
  <c r="I23" i="1"/>
  <c r="H23" i="1"/>
  <c r="E23" i="1"/>
  <c r="D23" i="1"/>
  <c r="C23" i="1"/>
  <c r="B23" i="1"/>
  <c r="T22" i="1" l="1"/>
  <c r="F22" i="1"/>
  <c r="B22" i="1"/>
  <c r="H22" i="1"/>
  <c r="L22" i="1"/>
  <c r="Q22" i="1"/>
  <c r="U22" i="1" s="1"/>
  <c r="C22" i="1"/>
  <c r="P22" i="1"/>
  <c r="O22" i="1"/>
  <c r="N22" i="1"/>
  <c r="M22" i="1"/>
  <c r="J22" i="1"/>
  <c r="I22" i="1"/>
  <c r="E22" i="1"/>
  <c r="D22" i="1"/>
  <c r="K22" i="1" l="1"/>
  <c r="R22" i="1"/>
  <c r="S22" i="1" l="1"/>
  <c r="Z22" i="1" s="1"/>
  <c r="B21" i="1" l="1"/>
  <c r="C21" i="1"/>
  <c r="D21" i="1"/>
  <c r="E21" i="1"/>
  <c r="F21" i="1"/>
  <c r="H21" i="1"/>
  <c r="I21" i="1"/>
  <c r="J21" i="1"/>
  <c r="L21" i="1"/>
  <c r="M21" i="1"/>
  <c r="N21" i="1"/>
  <c r="O21" i="1"/>
  <c r="P21" i="1"/>
  <c r="R21" i="1"/>
  <c r="S21" i="1"/>
  <c r="Z21" i="1" s="1"/>
  <c r="K21" i="1"/>
  <c r="Q21" i="1" l="1"/>
  <c r="U21" i="1" s="1"/>
  <c r="G21" i="1"/>
  <c r="F23" i="1" l="1"/>
  <c r="G138" i="1" l="1"/>
  <c r="S139" i="1"/>
  <c r="Z139" i="1" s="1"/>
  <c r="G23" i="1" l="1"/>
  <c r="S138" i="1"/>
  <c r="Z138" i="1" s="1"/>
  <c r="S23" i="1" l="1"/>
  <c r="Z23" i="1" s="1"/>
  <c r="Y207" i="1" l="1"/>
  <c r="M164" i="1"/>
  <c r="M25" i="1" l="1"/>
  <c r="Q25" i="1"/>
  <c r="S25" i="1" l="1"/>
  <c r="Z25" i="1" s="1"/>
  <c r="V164" i="1"/>
</calcChain>
</file>

<file path=xl/sharedStrings.xml><?xml version="1.0" encoding="utf-8"?>
<sst xmlns="http://schemas.openxmlformats.org/spreadsheetml/2006/main" count="368" uniqueCount="118">
  <si>
    <t xml:space="preserve">  EXPORTACIONES </t>
  </si>
  <si>
    <t xml:space="preserve">              (En millones de $us)</t>
  </si>
  <si>
    <t>MINERALES</t>
  </si>
  <si>
    <t>HIDROCARBUROS</t>
  </si>
  <si>
    <t>NO TRADICIONALES</t>
  </si>
  <si>
    <t xml:space="preserve">OTROS </t>
  </si>
  <si>
    <t>Periódo</t>
  </si>
  <si>
    <t>Estaño</t>
  </si>
  <si>
    <t>Zinc</t>
  </si>
  <si>
    <t>Plata</t>
  </si>
  <si>
    <t>Oro</t>
  </si>
  <si>
    <t>Otros</t>
  </si>
  <si>
    <t>Total</t>
  </si>
  <si>
    <t xml:space="preserve">Gas </t>
  </si>
  <si>
    <t>Petróleo</t>
  </si>
  <si>
    <r>
      <t>Soya</t>
    </r>
    <r>
      <rPr>
        <b/>
        <vertAlign val="superscript"/>
        <sz val="14"/>
        <color indexed="8"/>
        <rFont val="Arial"/>
        <family val="2"/>
      </rPr>
      <t>(1)</t>
    </r>
  </si>
  <si>
    <t>Madera</t>
  </si>
  <si>
    <t>Castaña</t>
  </si>
  <si>
    <t>Joyeria</t>
  </si>
  <si>
    <r>
      <t>BIENES</t>
    </r>
    <r>
      <rPr>
        <b/>
        <vertAlign val="superscript"/>
        <sz val="14"/>
        <color indexed="8"/>
        <rFont val="Arial"/>
        <family val="2"/>
      </rPr>
      <t>(2)</t>
    </r>
  </si>
  <si>
    <t>CIF</t>
  </si>
  <si>
    <t>Natural</t>
  </si>
  <si>
    <t>1998</t>
  </si>
  <si>
    <t xml:space="preserve">          ENE</t>
  </si>
  <si>
    <t xml:space="preserve">          FEB</t>
  </si>
  <si>
    <t xml:space="preserve">          MAR</t>
  </si>
  <si>
    <t xml:space="preserve">          ABR</t>
  </si>
  <si>
    <t xml:space="preserve">          MAY </t>
  </si>
  <si>
    <t xml:space="preserve">          JUN</t>
  </si>
  <si>
    <t xml:space="preserve">          JUL</t>
  </si>
  <si>
    <t xml:space="preserve">          AGO</t>
  </si>
  <si>
    <t xml:space="preserve">          SEP</t>
  </si>
  <si>
    <t xml:space="preserve">          OCT</t>
  </si>
  <si>
    <t xml:space="preserve">          NOV</t>
  </si>
  <si>
    <t>1999</t>
  </si>
  <si>
    <t>2000</t>
  </si>
  <si>
    <t>2001</t>
  </si>
  <si>
    <t>2002</t>
  </si>
  <si>
    <t xml:space="preserve">          DIC</t>
  </si>
  <si>
    <t xml:space="preserve">          MAY</t>
  </si>
  <si>
    <t>FUENTE</t>
  </si>
  <si>
    <t>ELABORACIÓN</t>
  </si>
  <si>
    <t>2003</t>
  </si>
  <si>
    <t>2004</t>
  </si>
  <si>
    <t>JUN</t>
  </si>
  <si>
    <t>AGO</t>
  </si>
  <si>
    <r>
      <t xml:space="preserve">         T   O   T   A   L</t>
    </r>
    <r>
      <rPr>
        <b/>
        <vertAlign val="superscript"/>
        <sz val="14"/>
        <color indexed="8"/>
        <rFont val="Arial"/>
        <family val="2"/>
      </rPr>
      <t xml:space="preserve"> </t>
    </r>
    <r>
      <rPr>
        <vertAlign val="superscript"/>
        <sz val="14"/>
        <color indexed="8"/>
        <rFont val="Arial"/>
        <family val="2"/>
      </rPr>
      <t>(3)</t>
    </r>
  </si>
  <si>
    <t>T1</t>
  </si>
  <si>
    <t>T2</t>
  </si>
  <si>
    <t>T3</t>
  </si>
  <si>
    <t>T4</t>
  </si>
  <si>
    <t>DIC</t>
  </si>
  <si>
    <r>
      <t>2009</t>
    </r>
    <r>
      <rPr>
        <vertAlign val="superscript"/>
        <sz val="14"/>
        <rFont val="Arial"/>
        <family val="2"/>
      </rPr>
      <t>p</t>
    </r>
  </si>
  <si>
    <t>MENSUAL  ACUMULADA</t>
  </si>
  <si>
    <t>Importaciones CIF</t>
  </si>
  <si>
    <t>Exportaciones FOB</t>
  </si>
  <si>
    <t>2009</t>
  </si>
  <si>
    <t>MARZO</t>
  </si>
  <si>
    <t>ABRIL</t>
  </si>
  <si>
    <t>JUNIO</t>
  </si>
  <si>
    <t>JULIO</t>
  </si>
  <si>
    <t>OCT</t>
  </si>
  <si>
    <t>MZO</t>
  </si>
  <si>
    <t>SIN ALQILER AVIONES</t>
  </si>
  <si>
    <t>CON ALQUILER AVIONES</t>
  </si>
  <si>
    <t>Y</t>
  </si>
  <si>
    <t>X</t>
  </si>
  <si>
    <t>NOV</t>
  </si>
  <si>
    <r>
      <t>2013</t>
    </r>
    <r>
      <rPr>
        <vertAlign val="superscript"/>
        <sz val="14"/>
        <color indexed="8"/>
        <rFont val="Arial"/>
        <family val="2"/>
      </rPr>
      <t>p</t>
    </r>
  </si>
  <si>
    <t>Y =a+xb</t>
  </si>
  <si>
    <t>2010</t>
  </si>
  <si>
    <t>2007</t>
  </si>
  <si>
    <t>2008</t>
  </si>
  <si>
    <r>
      <t xml:space="preserve">FOB </t>
    </r>
    <r>
      <rPr>
        <b/>
        <vertAlign val="superscript"/>
        <sz val="14"/>
        <color indexed="8"/>
        <rFont val="Arial"/>
        <family val="2"/>
      </rPr>
      <t>4</t>
    </r>
  </si>
  <si>
    <t xml:space="preserve">   (4) Excluye gastos de realización de minerales y otros ajustes</t>
  </si>
  <si>
    <r>
      <t>2014</t>
    </r>
    <r>
      <rPr>
        <vertAlign val="superscript"/>
        <sz val="14"/>
        <color indexed="8"/>
        <rFont val="Arial"/>
        <family val="2"/>
      </rPr>
      <t>p</t>
    </r>
  </si>
  <si>
    <t>2011</t>
  </si>
  <si>
    <t>2012</t>
  </si>
  <si>
    <r>
      <t>2015</t>
    </r>
    <r>
      <rPr>
        <vertAlign val="superscript"/>
        <sz val="14"/>
        <color indexed="8"/>
        <rFont val="Arial"/>
        <family val="2"/>
      </rPr>
      <t>p</t>
    </r>
  </si>
  <si>
    <t>FEB</t>
  </si>
  <si>
    <t>2014p</t>
  </si>
  <si>
    <t>MAR</t>
  </si>
  <si>
    <t>CUADRO N° 25</t>
  </si>
  <si>
    <t>:  INSTITUTO NACIONAL DE ESTADISTICA - ADUANA NACIONAL</t>
  </si>
  <si>
    <t>: BANCO CENTRAL DE BOLIVIA - ASESORÍA DE POLÍTICA ECONÓMICA - SECTOR EXTERNO</t>
  </si>
  <si>
    <t xml:space="preserve">   (1) Incluye soya en grano, torta, harina y aceite. Excluye exportaciones de estos productos bajo el sistema RITEX</t>
  </si>
  <si>
    <t xml:space="preserve">   (2) Incluye reexportaciones, bienes para transformación (RITEX), reparación de bienes y combustibles</t>
  </si>
  <si>
    <t xml:space="preserve">   (p) Cifras preliminares</t>
  </si>
  <si>
    <t xml:space="preserve">   (3) Las cifras del periodo vigente se actualizan mensualmente y no coinciden con las cifras del cuadro de Balanza de Pagos debido a que este se actualiza trimestralmente</t>
  </si>
  <si>
    <t>TOTAL</t>
  </si>
  <si>
    <t>Soya</t>
  </si>
  <si>
    <t>JUL</t>
  </si>
  <si>
    <t>Otros tradicionales</t>
  </si>
  <si>
    <t>Otros no tradicionales</t>
  </si>
  <si>
    <t>SEP</t>
  </si>
  <si>
    <t>EXPORT CIF</t>
  </si>
  <si>
    <t>EXPORT FOB</t>
  </si>
  <si>
    <t>IMPORT CIF</t>
  </si>
  <si>
    <t>IMPORT CIF AJUST</t>
  </si>
  <si>
    <t>MILLONES DE $US</t>
  </si>
  <si>
    <r>
      <t>Sep 2015</t>
    </r>
    <r>
      <rPr>
        <vertAlign val="superscript"/>
        <sz val="14"/>
        <color indexed="8"/>
        <rFont val="Arial"/>
        <family val="2"/>
      </rPr>
      <t>p</t>
    </r>
  </si>
  <si>
    <t>PETRÓLEO</t>
  </si>
  <si>
    <t>COMMODITIES NO TRADICIONALES</t>
  </si>
  <si>
    <t xml:space="preserve">ene 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</si>
  <si>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</si>
  <si>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</si>
  <si>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</si>
  <si>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</si>
  <si>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</si>
  <si>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</si>
  <si>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</si>
  <si>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</si>
  <si>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</si>
  <si>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</si>
  <si>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</si>
  <si>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Var %</t>
  </si>
  <si>
    <t>Variación% DIC 2015/2014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</si>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</sst>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.0"/>
    <numFmt numFmtId="165" formatCode="#,##0.0000"/>
    <numFmt numFmtId="166" formatCode="0.0"/>
    <numFmt numFmtId="167" formatCode="0.0000000"/>
    <numFmt numFmtId="168" formatCode="#,##0.000"/>
    <numFmt numFmtId="169" formatCode="#,##0.0000000"/>
    <numFmt numFmtId="170" formatCode="#,##0.00000"/>
    <numFmt numFmtId="171" formatCode="0.0%"/>
  </numFmts>
  <fonts count="32" x14ac:knownFonts="1">
    <font>
      <sz val="10"/>
      <name val="Arial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20"/>
      <color indexed="8"/>
      <name val="Times New Roman"/>
      <family val="1"/>
    </font>
    <font>
      <sz val="20"/>
      <name val="Times New Roman"/>
      <family val="1"/>
    </font>
    <font>
      <sz val="12"/>
      <name val="Times New Roman"/>
      <family val="1"/>
    </font>
    <font>
      <sz val="15"/>
      <color indexed="8"/>
      <name val="Times New Roman"/>
      <family val="1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4"/>
      <name val="Courier"/>
      <family val="3"/>
    </font>
    <font>
      <b/>
      <vertAlign val="superscript"/>
      <sz val="14"/>
      <color indexed="8"/>
      <name val="Arial"/>
      <family val="2"/>
    </font>
    <font>
      <sz val="12"/>
      <color indexed="8"/>
      <name val="Arial"/>
      <family val="2"/>
    </font>
    <font>
      <sz val="16"/>
      <color indexed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4"/>
      <color indexed="8"/>
      <name val="Arial"/>
      <family val="2"/>
    </font>
    <font>
      <vertAlign val="superscript"/>
      <sz val="14"/>
      <color indexed="8"/>
      <name val="Arial"/>
      <family val="2"/>
    </font>
    <font>
      <sz val="14"/>
      <name val="Arial"/>
      <family val="2"/>
    </font>
    <font>
      <b/>
      <sz val="18"/>
      <color indexed="8"/>
      <name val="Times New Roman"/>
      <family val="1"/>
    </font>
    <font>
      <vertAlign val="superscript"/>
      <sz val="14"/>
      <name val="Arial"/>
      <family val="2"/>
    </font>
    <font>
      <sz val="16"/>
      <color theme="1"/>
      <name val="Calibri"/>
      <family val="2"/>
      <scheme val="minor"/>
    </font>
    <font>
      <i/>
      <sz val="10"/>
      <name val="Arial"/>
      <family val="2"/>
    </font>
    <font>
      <sz val="18"/>
      <name val="Arial"/>
      <family val="2"/>
    </font>
    <font>
      <b/>
      <sz val="26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18"/>
      <name val="Arial"/>
      <family val="2"/>
    </font>
    <font>
      <b/>
      <sz val="12"/>
      <name val="Arial"/>
      <family val="2"/>
    </font>
    <font>
      <sz val="1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167" fontId="17" fillId="0" borderId="0" applyFont="0" applyFill="0" applyBorder="0" applyAlignment="0" applyProtection="0"/>
  </cellStyleXfs>
  <cellXfs count="21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3" fillId="0" borderId="0" xfId="0" applyFont="1" applyFill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Continuous" vertical="center"/>
    </xf>
    <xf numFmtId="0" fontId="8" fillId="0" borderId="2" xfId="0" applyFont="1" applyFill="1" applyBorder="1" applyAlignment="1">
      <alignment horizontal="centerContinuous" vertical="center"/>
    </xf>
    <xf numFmtId="0" fontId="8" fillId="0" borderId="2" xfId="0" applyFont="1" applyFill="1" applyBorder="1" applyAlignment="1" applyProtection="1">
      <alignment horizontal="centerContinuous" vertical="center"/>
    </xf>
    <xf numFmtId="3" fontId="8" fillId="0" borderId="3" xfId="0" applyNumberFormat="1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 applyProtection="1">
      <alignment horizontal="center" vertical="center"/>
    </xf>
    <xf numFmtId="3" fontId="9" fillId="0" borderId="5" xfId="0" applyNumberFormat="1" applyFont="1" applyFill="1" applyBorder="1" applyAlignment="1" applyProtection="1">
      <alignment horizontal="center" vertical="center"/>
    </xf>
    <xf numFmtId="0" fontId="8" fillId="0" borderId="6" xfId="0" applyFont="1" applyFill="1" applyBorder="1" applyAlignment="1" applyProtection="1">
      <alignment horizontal="center" vertical="center"/>
    </xf>
    <xf numFmtId="0" fontId="9" fillId="0" borderId="4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9" fillId="0" borderId="7" xfId="0" applyFont="1" applyFill="1" applyBorder="1" applyAlignment="1" applyProtection="1">
      <alignment horizontal="center" vertical="center"/>
    </xf>
    <xf numFmtId="0" fontId="8" fillId="0" borderId="8" xfId="0" applyFont="1" applyFill="1" applyBorder="1" applyAlignment="1" applyProtection="1">
      <alignment horizontal="center" vertical="center"/>
    </xf>
    <xf numFmtId="0" fontId="8" fillId="0" borderId="9" xfId="0" applyFont="1" applyFill="1" applyBorder="1" applyAlignment="1" applyProtection="1">
      <alignment horizontal="center" vertical="center"/>
    </xf>
    <xf numFmtId="0" fontId="9" fillId="0" borderId="8" xfId="0" applyFont="1" applyFill="1" applyBorder="1" applyAlignment="1" applyProtection="1">
      <alignment horizontal="center" vertical="center"/>
    </xf>
    <xf numFmtId="0" fontId="9" fillId="0" borderId="9" xfId="0" applyFont="1" applyFill="1" applyBorder="1" applyAlignment="1" applyProtection="1">
      <alignment horizontal="center" vertical="center"/>
    </xf>
    <xf numFmtId="3" fontId="8" fillId="0" borderId="10" xfId="0" applyNumberFormat="1" applyFont="1" applyFill="1" applyBorder="1" applyAlignment="1" applyProtection="1">
      <alignment horizontal="center" vertical="center"/>
    </xf>
    <xf numFmtId="0" fontId="8" fillId="0" borderId="11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164" fontId="13" fillId="0" borderId="4" xfId="0" applyNumberFormat="1" applyFont="1" applyFill="1" applyBorder="1" applyAlignment="1" applyProtection="1">
      <alignment horizontal="right" vertical="center"/>
    </xf>
    <xf numFmtId="164" fontId="13" fillId="0" borderId="0" xfId="0" applyNumberFormat="1" applyFont="1" applyFill="1" applyBorder="1" applyAlignment="1" applyProtection="1">
      <alignment horizontal="right" vertical="center"/>
    </xf>
    <xf numFmtId="164" fontId="13" fillId="0" borderId="12" xfId="0" applyNumberFormat="1" applyFont="1" applyFill="1" applyBorder="1" applyAlignment="1" applyProtection="1">
      <alignment horizontal="right" vertical="center"/>
    </xf>
    <xf numFmtId="164" fontId="13" fillId="0" borderId="7" xfId="0" applyNumberFormat="1" applyFont="1" applyFill="1" applyBorder="1" applyAlignment="1" applyProtection="1">
      <alignment horizontal="right" vertical="center"/>
    </xf>
    <xf numFmtId="164" fontId="13" fillId="0" borderId="5" xfId="0" applyNumberFormat="1" applyFont="1" applyFill="1" applyBorder="1" applyAlignment="1" applyProtection="1">
      <alignment horizontal="right" vertical="center"/>
    </xf>
    <xf numFmtId="164" fontId="13" fillId="0" borderId="0" xfId="0" applyNumberFormat="1" applyFont="1" applyFill="1" applyBorder="1" applyAlignment="1">
      <alignment horizontal="right" vertical="center"/>
    </xf>
    <xf numFmtId="0" fontId="12" fillId="0" borderId="0" xfId="0" applyFont="1" applyFill="1" applyBorder="1" applyAlignment="1" applyProtection="1">
      <alignment horizontal="left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 applyProtection="1">
      <alignment horizontal="left"/>
    </xf>
    <xf numFmtId="0" fontId="1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0" xfId="0" applyBorder="1"/>
    <xf numFmtId="164" fontId="15" fillId="0" borderId="0" xfId="0" applyNumberFormat="1" applyFont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/>
    </xf>
    <xf numFmtId="165" fontId="13" fillId="0" borderId="0" xfId="0" applyNumberFormat="1" applyFont="1" applyFill="1" applyBorder="1" applyAlignment="1" applyProtection="1">
      <alignment horizontal="right" vertical="center"/>
    </xf>
    <xf numFmtId="1" fontId="12" fillId="0" borderId="0" xfId="0" applyNumberFormat="1" applyFont="1" applyFill="1" applyBorder="1" applyAlignment="1">
      <alignment horizontal="center" vertical="center"/>
    </xf>
    <xf numFmtId="164" fontId="16" fillId="0" borderId="4" xfId="0" applyNumberFormat="1" applyFont="1" applyFill="1" applyBorder="1" applyAlignment="1" applyProtection="1">
      <alignment horizontal="right" vertical="center"/>
    </xf>
    <xf numFmtId="164" fontId="16" fillId="0" borderId="0" xfId="0" applyNumberFormat="1" applyFont="1" applyFill="1" applyBorder="1" applyAlignment="1" applyProtection="1">
      <alignment horizontal="right" vertical="center"/>
    </xf>
    <xf numFmtId="164" fontId="16" fillId="0" borderId="12" xfId="0" applyNumberFormat="1" applyFont="1" applyFill="1" applyBorder="1" applyAlignment="1" applyProtection="1">
      <alignment horizontal="right" vertical="center"/>
    </xf>
    <xf numFmtId="164" fontId="16" fillId="0" borderId="5" xfId="0" applyNumberFormat="1" applyFont="1" applyFill="1" applyBorder="1" applyAlignment="1" applyProtection="1">
      <alignment horizontal="right" vertical="center"/>
    </xf>
    <xf numFmtId="164" fontId="16" fillId="0" borderId="7" xfId="0" applyNumberFormat="1" applyFont="1" applyFill="1" applyBorder="1" applyAlignment="1" applyProtection="1">
      <alignment horizontal="right" vertical="center"/>
    </xf>
    <xf numFmtId="164" fontId="15" fillId="0" borderId="14" xfId="0" applyNumberFormat="1" applyFont="1" applyFill="1" applyBorder="1" applyAlignment="1" applyProtection="1">
      <alignment horizontal="right" vertical="center"/>
    </xf>
    <xf numFmtId="164" fontId="15" fillId="0" borderId="13" xfId="0" applyNumberFormat="1" applyFont="1" applyFill="1" applyBorder="1" applyAlignment="1" applyProtection="1">
      <alignment horizontal="center" vertical="center"/>
    </xf>
    <xf numFmtId="164" fontId="15" fillId="0" borderId="14" xfId="0" applyNumberFormat="1" applyFont="1" applyFill="1" applyBorder="1" applyAlignment="1" applyProtection="1">
      <alignment horizontal="center" vertical="center"/>
    </xf>
    <xf numFmtId="164" fontId="15" fillId="0" borderId="14" xfId="0" applyNumberFormat="1" applyFont="1" applyFill="1" applyBorder="1" applyAlignment="1" applyProtection="1">
      <alignment vertical="center"/>
    </xf>
    <xf numFmtId="164" fontId="15" fillId="0" borderId="17" xfId="0" applyNumberFormat="1" applyFont="1" applyFill="1" applyBorder="1" applyAlignment="1" applyProtection="1">
      <alignment vertical="center"/>
    </xf>
    <xf numFmtId="164" fontId="15" fillId="0" borderId="16" xfId="0" applyNumberFormat="1" applyFont="1" applyFill="1" applyBorder="1" applyAlignment="1" applyProtection="1">
      <alignment horizontal="center" vertical="center"/>
    </xf>
    <xf numFmtId="164" fontId="15" fillId="0" borderId="15" xfId="0" applyNumberFormat="1" applyFont="1" applyFill="1" applyBorder="1" applyAlignment="1" applyProtection="1">
      <alignment horizontal="center" vertical="center"/>
    </xf>
    <xf numFmtId="164" fontId="18" fillId="2" borderId="0" xfId="1" applyNumberFormat="1" applyFont="1" applyFill="1" applyBorder="1"/>
    <xf numFmtId="164" fontId="12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49" fontId="19" fillId="0" borderId="4" xfId="0" applyNumberFormat="1" applyFont="1" applyFill="1" applyBorder="1" applyAlignment="1" applyProtection="1">
      <alignment horizontal="left" vertical="center"/>
    </xf>
    <xf numFmtId="0" fontId="21" fillId="0" borderId="0" xfId="0" applyFont="1"/>
    <xf numFmtId="0" fontId="19" fillId="0" borderId="5" xfId="0" applyFont="1" applyFill="1" applyBorder="1" applyAlignment="1" applyProtection="1">
      <alignment vertical="center"/>
    </xf>
    <xf numFmtId="0" fontId="19" fillId="0" borderId="5" xfId="0" applyFont="1" applyFill="1" applyBorder="1" applyAlignment="1" applyProtection="1">
      <alignment horizontal="right" vertical="center"/>
    </xf>
    <xf numFmtId="17" fontId="19" fillId="0" borderId="0" xfId="0" applyNumberFormat="1" applyFont="1" applyFill="1" applyBorder="1" applyAlignment="1" applyProtection="1">
      <alignment horizontal="left" vertical="center"/>
    </xf>
    <xf numFmtId="0" fontId="19" fillId="0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166" fontId="12" fillId="0" borderId="0" xfId="0" applyNumberFormat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Continuous" vertical="center"/>
    </xf>
    <xf numFmtId="0" fontId="6" fillId="0" borderId="0" xfId="0" applyFont="1" applyFill="1" applyBorder="1" applyAlignment="1">
      <alignment horizontal="center" vertical="center"/>
    </xf>
    <xf numFmtId="0" fontId="19" fillId="0" borderId="5" xfId="0" applyFont="1" applyFill="1" applyBorder="1" applyAlignment="1" applyProtection="1">
      <alignment horizontal="left"/>
    </xf>
    <xf numFmtId="164" fontId="13" fillId="0" borderId="0" xfId="0" applyNumberFormat="1" applyFont="1" applyFill="1" applyBorder="1" applyAlignment="1" applyProtection="1">
      <alignment horizontal="right"/>
    </xf>
    <xf numFmtId="164" fontId="13" fillId="0" borderId="4" xfId="0" applyNumberFormat="1" applyFont="1" applyFill="1" applyBorder="1" applyAlignment="1" applyProtection="1">
      <alignment horizontal="right"/>
    </xf>
    <xf numFmtId="164" fontId="13" fillId="0" borderId="12" xfId="0" applyNumberFormat="1" applyFont="1" applyFill="1" applyBorder="1" applyAlignment="1" applyProtection="1">
      <alignment horizontal="right"/>
    </xf>
    <xf numFmtId="164" fontId="13" fillId="0" borderId="5" xfId="0" applyNumberFormat="1" applyFont="1" applyFill="1" applyBorder="1" applyAlignment="1" applyProtection="1">
      <alignment horizontal="right"/>
    </xf>
    <xf numFmtId="164" fontId="13" fillId="0" borderId="7" xfId="0" applyNumberFormat="1" applyFont="1" applyFill="1" applyBorder="1" applyAlignment="1" applyProtection="1">
      <alignment horizontal="right"/>
    </xf>
    <xf numFmtId="4" fontId="13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/>
    <xf numFmtId="168" fontId="13" fillId="0" borderId="0" xfId="0" applyNumberFormat="1" applyFont="1" applyFill="1" applyBorder="1" applyAlignment="1" applyProtection="1">
      <alignment horizontal="right" vertical="center"/>
    </xf>
    <xf numFmtId="49" fontId="19" fillId="0" borderId="5" xfId="0" applyNumberFormat="1" applyFont="1" applyFill="1" applyBorder="1" applyAlignment="1" applyProtection="1">
      <alignment horizontal="left" vertical="center"/>
    </xf>
    <xf numFmtId="1" fontId="19" fillId="0" borderId="5" xfId="0" applyNumberFormat="1" applyFont="1" applyFill="1" applyBorder="1" applyAlignment="1" applyProtection="1">
      <alignment horizontal="left" vertical="center"/>
    </xf>
    <xf numFmtId="1" fontId="21" fillId="0" borderId="5" xfId="0" applyNumberFormat="1" applyFont="1" applyFill="1" applyBorder="1" applyAlignment="1" applyProtection="1">
      <alignment horizontal="left" vertical="center"/>
    </xf>
    <xf numFmtId="0" fontId="19" fillId="0" borderId="16" xfId="0" applyFont="1" applyFill="1" applyBorder="1" applyAlignment="1" applyProtection="1">
      <alignment vertical="center"/>
    </xf>
    <xf numFmtId="164" fontId="15" fillId="0" borderId="0" xfId="0" applyNumberFormat="1" applyFont="1"/>
    <xf numFmtId="166" fontId="15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17" fontId="16" fillId="0" borderId="0" xfId="0" applyNumberFormat="1" applyFont="1" applyAlignment="1">
      <alignment horizontal="right"/>
    </xf>
    <xf numFmtId="164" fontId="16" fillId="3" borderId="0" xfId="0" applyNumberFormat="1" applyFont="1" applyFill="1"/>
    <xf numFmtId="3" fontId="13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/>
    <xf numFmtId="3" fontId="9" fillId="0" borderId="0" xfId="0" applyNumberFormat="1" applyFont="1" applyFill="1" applyBorder="1" applyAlignment="1" applyProtection="1">
      <alignment horizontal="center" vertical="center"/>
    </xf>
    <xf numFmtId="3" fontId="12" fillId="0" borderId="0" xfId="0" applyNumberFormat="1" applyFont="1" applyFill="1" applyBorder="1" applyAlignment="1">
      <alignment horizontal="center" vertical="center"/>
    </xf>
    <xf numFmtId="3" fontId="18" fillId="2" borderId="0" xfId="1" applyNumberFormat="1" applyFont="1" applyFill="1" applyBorder="1"/>
    <xf numFmtId="164" fontId="0" fillId="0" borderId="0" xfId="0" applyNumberFormat="1"/>
    <xf numFmtId="0" fontId="0" fillId="0" borderId="0" xfId="0" applyFill="1" applyBorder="1" applyAlignment="1"/>
    <xf numFmtId="0" fontId="25" fillId="0" borderId="0" xfId="0" applyFont="1" applyFill="1" applyBorder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 vertical="center"/>
    </xf>
    <xf numFmtId="0" fontId="16" fillId="0" borderId="0" xfId="0" applyFont="1" applyBorder="1"/>
    <xf numFmtId="0" fontId="0" fillId="0" borderId="0" xfId="0" applyAlignment="1">
      <alignment horizontal="center"/>
    </xf>
    <xf numFmtId="0" fontId="25" fillId="0" borderId="0" xfId="0" applyFont="1" applyFill="1" applyBorder="1" applyAlignment="1">
      <alignment horizontal="centerContinuous"/>
    </xf>
    <xf numFmtId="164" fontId="18" fillId="0" borderId="0" xfId="1" applyNumberFormat="1" applyFont="1" applyFill="1" applyBorder="1"/>
    <xf numFmtId="0" fontId="0" fillId="0" borderId="0" xfId="0" applyFill="1"/>
    <xf numFmtId="4" fontId="12" fillId="0" borderId="0" xfId="0" applyNumberFormat="1" applyFont="1" applyFill="1" applyBorder="1" applyAlignment="1">
      <alignment horizontal="center" vertical="center"/>
    </xf>
    <xf numFmtId="1" fontId="19" fillId="0" borderId="5" xfId="0" applyNumberFormat="1" applyFont="1" applyFill="1" applyBorder="1" applyAlignment="1" applyProtection="1">
      <alignment horizontal="left"/>
    </xf>
    <xf numFmtId="164" fontId="13" fillId="0" borderId="0" xfId="0" applyNumberFormat="1" applyFont="1" applyFill="1" applyBorder="1" applyAlignment="1" applyProtection="1">
      <alignment horizontal="left"/>
    </xf>
    <xf numFmtId="164" fontId="12" fillId="0" borderId="0" xfId="0" applyNumberFormat="1" applyFont="1" applyFill="1" applyBorder="1" applyAlignment="1">
      <alignment horizontal="left"/>
    </xf>
    <xf numFmtId="3" fontId="13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169" fontId="0" fillId="0" borderId="0" xfId="0" applyNumberFormat="1"/>
    <xf numFmtId="164" fontId="12" fillId="0" borderId="0" xfId="0" applyNumberFormat="1" applyFont="1" applyFill="1" applyBorder="1" applyAlignment="1" applyProtection="1">
      <alignment horizontal="right"/>
    </xf>
    <xf numFmtId="164" fontId="26" fillId="2" borderId="0" xfId="1" applyNumberFormat="1" applyFont="1" applyFill="1" applyBorder="1"/>
    <xf numFmtId="3" fontId="26" fillId="2" borderId="0" xfId="1" applyNumberFormat="1" applyFont="1" applyFill="1" applyBorder="1"/>
    <xf numFmtId="0" fontId="26" fillId="0" borderId="0" xfId="0" applyFont="1"/>
    <xf numFmtId="164" fontId="26" fillId="0" borderId="0" xfId="0" applyNumberFormat="1" applyFont="1" applyFill="1" applyBorder="1" applyAlignment="1" applyProtection="1">
      <alignment horizontal="right" vertical="center"/>
    </xf>
    <xf numFmtId="168" fontId="26" fillId="0" borderId="0" xfId="0" applyNumberFormat="1" applyFont="1"/>
    <xf numFmtId="170" fontId="16" fillId="0" borderId="0" xfId="0" applyNumberFormat="1" applyFont="1" applyFill="1" applyBorder="1" applyAlignment="1" applyProtection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22" fillId="0" borderId="0" xfId="0" applyFont="1" applyFill="1" applyAlignment="1" applyProtection="1">
      <alignment horizontal="center" vertical="center"/>
    </xf>
    <xf numFmtId="0" fontId="10" fillId="0" borderId="0" xfId="0" applyFont="1" applyBorder="1" applyAlignment="1">
      <alignment vertical="center"/>
    </xf>
    <xf numFmtId="0" fontId="8" fillId="0" borderId="0" xfId="0" applyFont="1" applyFill="1" applyBorder="1" applyAlignment="1" applyProtection="1">
      <alignment horizontal="center" vertical="center"/>
    </xf>
    <xf numFmtId="164" fontId="16" fillId="0" borderId="0" xfId="0" applyNumberFormat="1" applyFont="1"/>
    <xf numFmtId="0" fontId="28" fillId="0" borderId="0" xfId="0" applyFont="1" applyFill="1" applyAlignment="1" applyProtection="1">
      <alignment horizontal="left" vertical="center"/>
    </xf>
    <xf numFmtId="164" fontId="19" fillId="0" borderId="0" xfId="0" applyNumberFormat="1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 applyProtection="1">
      <alignment horizontal="center" vertical="center"/>
    </xf>
    <xf numFmtId="0" fontId="16" fillId="0" borderId="0" xfId="0" applyFont="1" applyFill="1" applyBorder="1" applyAlignment="1"/>
    <xf numFmtId="164" fontId="16" fillId="0" borderId="21" xfId="0" applyNumberFormat="1" applyFont="1" applyFill="1" applyBorder="1" applyAlignment="1" applyProtection="1">
      <alignment horizontal="right" vertical="center"/>
    </xf>
    <xf numFmtId="164" fontId="16" fillId="0" borderId="18" xfId="0" applyNumberFormat="1" applyFont="1" applyFill="1" applyBorder="1" applyAlignment="1" applyProtection="1">
      <alignment horizontal="right" vertical="center"/>
    </xf>
    <xf numFmtId="164" fontId="16" fillId="0" borderId="22" xfId="0" applyNumberFormat="1" applyFont="1" applyFill="1" applyBorder="1" applyAlignment="1" applyProtection="1">
      <alignment horizontal="right" vertical="center"/>
    </xf>
    <xf numFmtId="164" fontId="16" fillId="0" borderId="20" xfId="0" applyNumberFormat="1" applyFont="1" applyFill="1" applyBorder="1" applyAlignment="1" applyProtection="1">
      <alignment horizontal="right" vertical="center"/>
    </xf>
    <xf numFmtId="164" fontId="16" fillId="0" borderId="0" xfId="0" applyNumberFormat="1" applyFont="1" applyFill="1" applyBorder="1" applyAlignment="1" applyProtection="1">
      <alignment horizontal="right"/>
    </xf>
    <xf numFmtId="164" fontId="16" fillId="0" borderId="4" xfId="0" applyNumberFormat="1" applyFont="1" applyFill="1" applyBorder="1" applyAlignment="1" applyProtection="1">
      <alignment horizontal="right"/>
    </xf>
    <xf numFmtId="164" fontId="16" fillId="0" borderId="12" xfId="0" applyNumberFormat="1" applyFont="1" applyFill="1" applyBorder="1" applyAlignment="1" applyProtection="1">
      <alignment horizontal="right"/>
    </xf>
    <xf numFmtId="164" fontId="16" fillId="0" borderId="5" xfId="0" applyNumberFormat="1" applyFont="1" applyFill="1" applyBorder="1" applyAlignment="1" applyProtection="1">
      <alignment horizontal="right"/>
    </xf>
    <xf numFmtId="164" fontId="16" fillId="0" borderId="0" xfId="0" applyNumberFormat="1" applyFont="1" applyAlignment="1"/>
    <xf numFmtId="0" fontId="0" fillId="0" borderId="0" xfId="0" applyAlignment="1"/>
    <xf numFmtId="3" fontId="13" fillId="0" borderId="0" xfId="0" applyNumberFormat="1" applyFont="1" applyFill="1" applyBorder="1" applyAlignment="1" applyProtection="1">
      <alignment horizontal="right"/>
    </xf>
    <xf numFmtId="166" fontId="15" fillId="0" borderId="0" xfId="0" applyNumberFormat="1" applyFont="1" applyAlignment="1"/>
    <xf numFmtId="164" fontId="15" fillId="0" borderId="0" xfId="0" applyNumberFormat="1" applyFont="1" applyAlignment="1"/>
    <xf numFmtId="0" fontId="0" fillId="0" borderId="0" xfId="0" applyBorder="1" applyAlignment="1"/>
    <xf numFmtId="0" fontId="19" fillId="0" borderId="5" xfId="0" applyFont="1" applyFill="1" applyBorder="1" applyAlignment="1" applyProtection="1">
      <alignment horizontal="right"/>
    </xf>
    <xf numFmtId="166" fontId="16" fillId="0" borderId="0" xfId="0" applyNumberFormat="1" applyFont="1" applyFill="1" applyBorder="1" applyAlignment="1" applyProtection="1">
      <alignment horizontal="right" vertical="center"/>
    </xf>
    <xf numFmtId="0" fontId="29" fillId="2" borderId="0" xfId="0" applyFont="1" applyFill="1" applyAlignment="1">
      <alignment horizontal="center" vertical="center" wrapText="1"/>
    </xf>
    <xf numFmtId="164" fontId="29" fillId="2" borderId="0" xfId="0" applyNumberFormat="1" applyFont="1" applyFill="1" applyBorder="1" applyAlignment="1" applyProtection="1">
      <alignment horizontal="center" vertical="center" wrapText="1"/>
    </xf>
    <xf numFmtId="164" fontId="26" fillId="2" borderId="0" xfId="0" applyNumberFormat="1" applyFont="1" applyFill="1" applyBorder="1" applyAlignment="1" applyProtection="1">
      <alignment horizontal="right" vertical="center"/>
    </xf>
    <xf numFmtId="168" fontId="16" fillId="0" borderId="0" xfId="0" applyNumberFormat="1" applyFont="1" applyFill="1" applyBorder="1" applyAlignment="1" applyProtection="1">
      <alignment horizontal="right" vertical="center"/>
    </xf>
    <xf numFmtId="164" fontId="16" fillId="0" borderId="21" xfId="0" quotePrefix="1" applyNumberFormat="1" applyFont="1" applyFill="1" applyBorder="1" applyAlignment="1" applyProtection="1">
      <alignment horizontal="center" vertical="center"/>
    </xf>
    <xf numFmtId="164" fontId="16" fillId="0" borderId="0" xfId="0" applyNumberFormat="1" applyFont="1" applyAlignment="1">
      <alignment horizontal="right"/>
    </xf>
    <xf numFmtId="4" fontId="16" fillId="0" borderId="7" xfId="0" applyNumberFormat="1" applyFont="1" applyFill="1" applyBorder="1" applyAlignment="1" applyProtection="1">
      <alignment horizontal="right"/>
    </xf>
    <xf numFmtId="4" fontId="16" fillId="0" borderId="7" xfId="0" applyNumberFormat="1" applyFont="1" applyFill="1" applyBorder="1" applyAlignment="1" applyProtection="1">
      <alignment horizontal="right" vertical="center"/>
    </xf>
    <xf numFmtId="4" fontId="13" fillId="0" borderId="7" xfId="0" applyNumberFormat="1" applyFont="1" applyFill="1" applyBorder="1" applyAlignment="1" applyProtection="1">
      <alignment horizontal="right"/>
    </xf>
    <xf numFmtId="0" fontId="7" fillId="0" borderId="0" xfId="0" applyFont="1" applyFill="1" applyAlignment="1">
      <alignment horizontal="center" vertical="center"/>
    </xf>
    <xf numFmtId="0" fontId="27" fillId="0" borderId="0" xfId="0" applyFont="1" applyFill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 applyProtection="1">
      <alignment horizontal="right" vertical="center" wrapText="1"/>
    </xf>
    <xf numFmtId="164" fontId="6" fillId="0" borderId="0" xfId="0" applyNumberFormat="1" applyFont="1" applyFill="1" applyAlignment="1">
      <alignment horizontal="center" vertical="center"/>
    </xf>
    <xf numFmtId="0" fontId="7" fillId="0" borderId="9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right" vertical="center"/>
    </xf>
    <xf numFmtId="0" fontId="15" fillId="0" borderId="0" xfId="0" applyFont="1"/>
    <xf numFmtId="0" fontId="8" fillId="2" borderId="0" xfId="0" applyFont="1" applyFill="1" applyBorder="1" applyAlignment="1" applyProtection="1">
      <alignment horizontal="center" vertical="center"/>
    </xf>
    <xf numFmtId="164" fontId="15" fillId="2" borderId="0" xfId="0" applyNumberFormat="1" applyFont="1" applyFill="1" applyBorder="1" applyAlignment="1" applyProtection="1">
      <alignment horizontal="right" vertical="center"/>
    </xf>
    <xf numFmtId="164" fontId="15" fillId="2" borderId="0" xfId="0" applyNumberFormat="1" applyFont="1" applyFill="1" applyBorder="1" applyAlignment="1" applyProtection="1">
      <alignment horizontal="right"/>
    </xf>
    <xf numFmtId="0" fontId="15" fillId="2" borderId="0" xfId="0" applyFont="1" applyFill="1" applyBorder="1"/>
    <xf numFmtId="0" fontId="0" fillId="2" borderId="0" xfId="0" applyFill="1" applyBorder="1"/>
    <xf numFmtId="4" fontId="15" fillId="2" borderId="0" xfId="0" applyNumberFormat="1" applyFont="1" applyFill="1" applyBorder="1" applyAlignment="1" applyProtection="1">
      <alignment horizontal="right" vertical="center"/>
    </xf>
    <xf numFmtId="4" fontId="15" fillId="2" borderId="0" xfId="0" applyNumberFormat="1" applyFont="1" applyFill="1" applyBorder="1" applyAlignment="1" applyProtection="1">
      <alignment horizontal="right"/>
    </xf>
    <xf numFmtId="17" fontId="12" fillId="2" borderId="0" xfId="0" applyNumberFormat="1" applyFont="1" applyFill="1" applyBorder="1" applyAlignment="1" applyProtection="1">
      <alignment horizontal="right" vertical="center"/>
    </xf>
    <xf numFmtId="0" fontId="30" fillId="2" borderId="0" xfId="0" applyFont="1" applyFill="1" applyBorder="1" applyAlignment="1">
      <alignment horizontal="center" vertical="center" wrapText="1"/>
    </xf>
    <xf numFmtId="4" fontId="16" fillId="0" borderId="0" xfId="0" applyNumberFormat="1" applyFont="1"/>
    <xf numFmtId="164" fontId="21" fillId="0" borderId="0" xfId="0" applyNumberFormat="1" applyFont="1" applyAlignment="1"/>
    <xf numFmtId="164" fontId="16" fillId="0" borderId="7" xfId="0" applyNumberFormat="1" applyFont="1" applyFill="1" applyBorder="1" applyAlignment="1" applyProtection="1">
      <alignment horizontal="right"/>
    </xf>
    <xf numFmtId="164" fontId="26" fillId="0" borderId="0" xfId="0" applyNumberFormat="1" applyFont="1"/>
    <xf numFmtId="164" fontId="26" fillId="0" borderId="0" xfId="0" applyNumberFormat="1" applyFont="1" applyAlignment="1"/>
    <xf numFmtId="3" fontId="31" fillId="0" borderId="0" xfId="0" applyNumberFormat="1" applyFont="1" applyFill="1" applyBorder="1" applyAlignment="1">
      <alignment horizontal="center" vertical="center"/>
    </xf>
    <xf numFmtId="166" fontId="26" fillId="0" borderId="0" xfId="0" applyNumberFormat="1" applyFont="1"/>
    <xf numFmtId="49" fontId="19" fillId="2" borderId="4" xfId="0" applyNumberFormat="1" applyFont="1" applyFill="1" applyBorder="1" applyAlignment="1" applyProtection="1">
      <alignment horizontal="left" vertical="center"/>
    </xf>
    <xf numFmtId="164" fontId="13" fillId="2" borderId="4" xfId="0" applyNumberFormat="1" applyFont="1" applyFill="1" applyBorder="1" applyAlignment="1" applyProtection="1">
      <alignment horizontal="right" vertical="center"/>
    </xf>
    <xf numFmtId="164" fontId="13" fillId="2" borderId="0" xfId="0" applyNumberFormat="1" applyFont="1" applyFill="1" applyBorder="1" applyAlignment="1" applyProtection="1">
      <alignment horizontal="right" vertical="center"/>
    </xf>
    <xf numFmtId="164" fontId="13" fillId="2" borderId="7" xfId="0" applyNumberFormat="1" applyFont="1" applyFill="1" applyBorder="1" applyAlignment="1" applyProtection="1">
      <alignment horizontal="right" vertical="center"/>
    </xf>
    <xf numFmtId="4" fontId="13" fillId="2" borderId="0" xfId="0" applyNumberFormat="1" applyFont="1" applyFill="1" applyBorder="1" applyAlignment="1" applyProtection="1">
      <alignment horizontal="right" vertical="center"/>
    </xf>
    <xf numFmtId="0" fontId="0" fillId="2" borderId="0" xfId="0" applyFill="1"/>
    <xf numFmtId="166" fontId="26" fillId="2" borderId="0" xfId="0" applyNumberFormat="1" applyFont="1" applyFill="1"/>
    <xf numFmtId="164" fontId="15" fillId="2" borderId="0" xfId="0" applyNumberFormat="1" applyFont="1" applyFill="1" applyBorder="1"/>
    <xf numFmtId="171" fontId="15" fillId="2" borderId="0" xfId="0" applyNumberFormat="1" applyFont="1" applyFill="1" applyBorder="1" applyAlignment="1" applyProtection="1">
      <alignment horizontal="right" vertical="center"/>
    </xf>
    <xf numFmtId="0" fontId="15" fillId="2" borderId="23" xfId="0" applyFont="1" applyFill="1" applyBorder="1"/>
    <xf numFmtId="0" fontId="30" fillId="2" borderId="24" xfId="0" applyFont="1" applyFill="1" applyBorder="1" applyAlignment="1">
      <alignment horizontal="center" vertical="center" wrapText="1"/>
    </xf>
    <xf numFmtId="0" fontId="30" fillId="2" borderId="25" xfId="0" applyFont="1" applyFill="1" applyBorder="1" applyAlignment="1">
      <alignment horizontal="center" vertical="center" wrapText="1"/>
    </xf>
    <xf numFmtId="17" fontId="12" fillId="2" borderId="26" xfId="0" applyNumberFormat="1" applyFont="1" applyFill="1" applyBorder="1" applyAlignment="1" applyProtection="1">
      <alignment horizontal="left" vertical="center"/>
    </xf>
    <xf numFmtId="17" fontId="12" fillId="2" borderId="27" xfId="0" applyNumberFormat="1" applyFont="1" applyFill="1" applyBorder="1" applyAlignment="1" applyProtection="1">
      <alignment horizontal="left" vertical="center"/>
    </xf>
    <xf numFmtId="164" fontId="15" fillId="2" borderId="14" xfId="0" applyNumberFormat="1" applyFont="1" applyFill="1" applyBorder="1" applyAlignment="1" applyProtection="1">
      <alignment horizontal="right" vertical="center"/>
    </xf>
    <xf numFmtId="171" fontId="15" fillId="2" borderId="14" xfId="0" applyNumberFormat="1" applyFont="1" applyFill="1" applyBorder="1" applyAlignment="1" applyProtection="1">
      <alignment horizontal="right" vertical="center"/>
    </xf>
    <xf numFmtId="0" fontId="15" fillId="2" borderId="27" xfId="0" applyFont="1" applyFill="1" applyBorder="1"/>
    <xf numFmtId="0" fontId="8" fillId="2" borderId="14" xfId="0" applyFont="1" applyFill="1" applyBorder="1" applyAlignment="1" applyProtection="1">
      <alignment horizontal="center" vertical="center"/>
    </xf>
    <xf numFmtId="0" fontId="0" fillId="2" borderId="24" xfId="0" applyFill="1" applyBorder="1"/>
    <xf numFmtId="0" fontId="0" fillId="2" borderId="14" xfId="0" applyFill="1" applyBorder="1"/>
    <xf numFmtId="0" fontId="0" fillId="2" borderId="15" xfId="0" applyFill="1" applyBorder="1"/>
    <xf numFmtId="166" fontId="15" fillId="2" borderId="0" xfId="0" applyNumberFormat="1" applyFont="1" applyFill="1" applyBorder="1"/>
    <xf numFmtId="171" fontId="15" fillId="2" borderId="7" xfId="0" applyNumberFormat="1" applyFont="1" applyFill="1" applyBorder="1"/>
    <xf numFmtId="166" fontId="15" fillId="2" borderId="14" xfId="0" applyNumberFormat="1" applyFont="1" applyFill="1" applyBorder="1"/>
    <xf numFmtId="171" fontId="15" fillId="2" borderId="15" xfId="0" applyNumberFormat="1" applyFont="1" applyFill="1" applyBorder="1"/>
    <xf numFmtId="164" fontId="30" fillId="2" borderId="14" xfId="0" applyNumberFormat="1" applyFont="1" applyFill="1" applyBorder="1" applyAlignment="1" applyProtection="1">
      <alignment horizontal="right"/>
    </xf>
    <xf numFmtId="166" fontId="30" fillId="2" borderId="14" xfId="0" applyNumberFormat="1" applyFont="1" applyFill="1" applyBorder="1"/>
    <xf numFmtId="0" fontId="9" fillId="0" borderId="18" xfId="0" applyFont="1" applyFill="1" applyBorder="1" applyAlignment="1" applyProtection="1">
      <alignment vertical="center"/>
    </xf>
    <xf numFmtId="0" fontId="10" fillId="0" borderId="19" xfId="0" applyFont="1" applyBorder="1" applyAlignment="1">
      <alignment vertical="center"/>
    </xf>
    <xf numFmtId="0" fontId="27" fillId="0" borderId="0" xfId="0" applyFont="1" applyFill="1" applyAlignment="1" applyProtection="1">
      <alignment horizontal="center" vertical="center"/>
    </xf>
    <xf numFmtId="0" fontId="24" fillId="0" borderId="0" xfId="0" applyFont="1" applyAlignment="1"/>
    <xf numFmtId="0" fontId="7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</cellXfs>
  <cellStyles count="2">
    <cellStyle name="Millares_Cuadros balanza de pagos (2rev abr04)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B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3"/>
            <c:bubble3D val="0"/>
            <c:spPr>
              <a:solidFill>
                <a:srgbClr val="FFC000"/>
              </a:solidFill>
            </c:spPr>
          </c:dPt>
          <c:dLbls>
            <c:dLbl>
              <c:idx val="1"/>
              <c:layout>
                <c:manualLayout>
                  <c:x val="-0.10502480353865809"/>
                  <c:y val="6.354801353134921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7.2541308036732338E-2"/>
                  <c:y val="-0.3624779022597669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9.8769893296901376E-2"/>
                  <c:y val="-0.1445203896033390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0.14503932671614744"/>
                  <c:y val="0.1352694495168428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sz="2000" b="1"/>
                </a:pPr>
                <a:endParaRPr lang="es-BO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'26'!$B$216:$H$216</c:f>
              <c:strCache>
                <c:ptCount val="7"/>
                <c:pt idx="0">
                  <c:v>Zinc</c:v>
                </c:pt>
                <c:pt idx="1">
                  <c:v>Plata</c:v>
                </c:pt>
                <c:pt idx="2">
                  <c:v>Oro</c:v>
                </c:pt>
                <c:pt idx="3">
                  <c:v>Gas </c:v>
                </c:pt>
                <c:pt idx="4">
                  <c:v>Otros tradicionales</c:v>
                </c:pt>
                <c:pt idx="5">
                  <c:v>Soya</c:v>
                </c:pt>
                <c:pt idx="6">
                  <c:v>Otros no tradicionales</c:v>
                </c:pt>
              </c:strCache>
            </c:strRef>
          </c:cat>
          <c:val>
            <c:numRef>
              <c:f>'26'!$B$217:$H$217</c:f>
              <c:numCache>
                <c:formatCode>#,##0.0</c:formatCode>
                <c:ptCount val="7"/>
                <c:pt idx="0">
                  <c:v>591.85545083000011</c:v>
                </c:pt>
                <c:pt idx="1">
                  <c:v>451.32399503999994</c:v>
                </c:pt>
                <c:pt idx="2">
                  <c:v>506.84613250000001</c:v>
                </c:pt>
                <c:pt idx="3">
                  <c:v>2723.9807184900001</c:v>
                </c:pt>
                <c:pt idx="4">
                  <c:v>527.41889973000025</c:v>
                </c:pt>
                <c:pt idx="5">
                  <c:v>530.70810817000006</c:v>
                </c:pt>
                <c:pt idx="6">
                  <c:v>848.11234030000003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B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3"/>
            <c:bubble3D val="0"/>
            <c:spPr>
              <a:solidFill>
                <a:srgbClr val="FFC000"/>
              </a:solidFill>
            </c:spPr>
          </c:dPt>
          <c:dLbls>
            <c:dLbl>
              <c:idx val="1"/>
              <c:layout>
                <c:manualLayout>
                  <c:x val="-0.10502480353865809"/>
                  <c:y val="6.354801353134921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7.2541308036732338E-2"/>
                  <c:y val="-0.3624779022597669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9.8769893296901376E-2"/>
                  <c:y val="-0.1445203896033390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0.11405539517938663"/>
                  <c:y val="4.8804822348845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0.14503932671614744"/>
                  <c:y val="0.1352694495168428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sz="2000" b="1"/>
                </a:pPr>
                <a:endParaRPr lang="es-BO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'26 (2)'!$B$24:$H$24</c:f>
              <c:strCache>
                <c:ptCount val="7"/>
                <c:pt idx="0">
                  <c:v>Zinc</c:v>
                </c:pt>
                <c:pt idx="1">
                  <c:v>Plata</c:v>
                </c:pt>
                <c:pt idx="2">
                  <c:v>Oro</c:v>
                </c:pt>
                <c:pt idx="3">
                  <c:v>Gas </c:v>
                </c:pt>
                <c:pt idx="4">
                  <c:v>Otros tradicionales</c:v>
                </c:pt>
                <c:pt idx="5">
                  <c:v>Soya</c:v>
                </c:pt>
                <c:pt idx="6">
                  <c:v>Otros no tradicionales</c:v>
                </c:pt>
              </c:strCache>
            </c:strRef>
          </c:cat>
          <c:val>
            <c:numRef>
              <c:f>'26 (2)'!$B$25:$H$25</c:f>
              <c:numCache>
                <c:formatCode>#,##0.0</c:formatCode>
                <c:ptCount val="7"/>
                <c:pt idx="0">
                  <c:v>659.87139785000011</c:v>
                </c:pt>
                <c:pt idx="1">
                  <c:v>505.24427311999995</c:v>
                </c:pt>
                <c:pt idx="2">
                  <c:v>572.38206115000003</c:v>
                </c:pt>
                <c:pt idx="3">
                  <c:v>3015.8821678400004</c:v>
                </c:pt>
                <c:pt idx="4">
                  <c:v>845.99041494000016</c:v>
                </c:pt>
                <c:pt idx="5">
                  <c:v>530.70810817000006</c:v>
                </c:pt>
                <c:pt idx="6">
                  <c:v>965.78622676999998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B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Participación de minerales e hidrocarburos en</a:t>
            </a:r>
          </a:p>
          <a:p>
            <a:pPr>
              <a:defRPr sz="2800"/>
            </a:pPr>
            <a:r>
              <a:rPr lang="en-US" sz="2800"/>
              <a:t> las exportaciones totales</a:t>
            </a:r>
          </a:p>
          <a:p>
            <a:pPr>
              <a:defRPr sz="2800"/>
            </a:pPr>
            <a:r>
              <a:rPr lang="en-US" sz="2600" b="0"/>
              <a:t>(En porcentaje)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1399848109299882E-2"/>
          <c:y val="0.16937202547903649"/>
          <c:w val="0.92742748402716368"/>
          <c:h val="0.65625201365112162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'26 (2)'!$V$8</c:f>
              <c:strCache>
                <c:ptCount val="1"/>
                <c:pt idx="0">
                  <c:v>MINERALES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75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lumMod val="75000"/>
                  </a:schemeClr>
                </a:gs>
              </a:gsLst>
              <a:lin ang="0" scaled="1"/>
              <a:tileRect/>
            </a:gradFill>
          </c:spPr>
          <c:invertIfNegative val="0"/>
          <c:val>
            <c:numRef>
              <c:f>'26 (2)'!$V$9:$V$21</c:f>
              <c:numCache>
                <c:formatCode>#,##0.0</c:formatCode>
                <c:ptCount val="13"/>
                <c:pt idx="0">
                  <c:v>20.587403768168002</c:v>
                </c:pt>
                <c:pt idx="1">
                  <c:v>18.616430247739</c:v>
                </c:pt>
                <c:pt idx="2">
                  <c:v>16.82577522407464</c:v>
                </c:pt>
                <c:pt idx="3">
                  <c:v>22.638394784336153</c:v>
                </c:pt>
                <c:pt idx="4">
                  <c:v>25.75240986950929</c:v>
                </c:pt>
                <c:pt idx="5">
                  <c:v>23.948213741034223</c:v>
                </c:pt>
                <c:pt idx="6">
                  <c:v>30.078381690195776</c:v>
                </c:pt>
                <c:pt idx="7">
                  <c:v>30.312025424961046</c:v>
                </c:pt>
                <c:pt idx="8">
                  <c:v>33.126258901148944</c:v>
                </c:pt>
                <c:pt idx="9">
                  <c:v>28.196235201051046</c:v>
                </c:pt>
                <c:pt idx="10">
                  <c:v>21.836629583112785</c:v>
                </c:pt>
                <c:pt idx="11">
                  <c:v>27.380248293417935</c:v>
                </c:pt>
                <c:pt idx="12">
                  <c:v>28.10037987579399</c:v>
                </c:pt>
              </c:numCache>
            </c:numRef>
          </c:val>
        </c:ser>
        <c:ser>
          <c:idx val="2"/>
          <c:order val="2"/>
          <c:tx>
            <c:strRef>
              <c:f>'26 (2)'!$W$8</c:f>
              <c:strCache>
                <c:ptCount val="1"/>
                <c:pt idx="0">
                  <c:v>PETRÓLEO</c:v>
                </c:pt>
              </c:strCache>
            </c:strRef>
          </c:tx>
          <c:spPr>
            <a:gradFill>
              <a:gsLst>
                <a:gs pos="0">
                  <a:schemeClr val="accent3">
                    <a:lumMod val="75000"/>
                  </a:schemeClr>
                </a:gs>
                <a:gs pos="50000">
                  <a:schemeClr val="accent3">
                    <a:alpha val="64000"/>
                  </a:schemeClr>
                </a:gs>
                <a:gs pos="100000">
                  <a:schemeClr val="accent3">
                    <a:lumMod val="75000"/>
                  </a:schemeClr>
                </a:gs>
              </a:gsLst>
              <a:lin ang="0" scaled="1"/>
            </a:gradFill>
          </c:spPr>
          <c:invertIfNegative val="0"/>
          <c:val>
            <c:numRef>
              <c:f>'26 (2)'!$W$9:$W$21</c:f>
              <c:numCache>
                <c:formatCode>#,##0.0</c:formatCode>
                <c:ptCount val="13"/>
                <c:pt idx="0">
                  <c:v>5.7150212045089521</c:v>
                </c:pt>
                <c:pt idx="1">
                  <c:v>7.6151880327681623</c:v>
                </c:pt>
                <c:pt idx="2">
                  <c:v>10.640902676430018</c:v>
                </c:pt>
                <c:pt idx="3">
                  <c:v>8.116264297128529</c:v>
                </c:pt>
                <c:pt idx="4">
                  <c:v>5.497104315285477</c:v>
                </c:pt>
                <c:pt idx="5">
                  <c:v>4.5946599537293569</c:v>
                </c:pt>
                <c:pt idx="6">
                  <c:v>2.546576023151895</c:v>
                </c:pt>
                <c:pt idx="7">
                  <c:v>2.6466354072200224</c:v>
                </c:pt>
                <c:pt idx="8">
                  <c:v>2.4693955996727843</c:v>
                </c:pt>
                <c:pt idx="9">
                  <c:v>3.272663166067233</c:v>
                </c:pt>
                <c:pt idx="10">
                  <c:v>4.1342884571051179</c:v>
                </c:pt>
                <c:pt idx="11">
                  <c:v>4.483678382626147</c:v>
                </c:pt>
                <c:pt idx="12">
                  <c:v>2.2805024207530851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181212672"/>
        <c:axId val="181214208"/>
      </c:barChart>
      <c:lineChart>
        <c:grouping val="standard"/>
        <c:varyColors val="0"/>
        <c:ser>
          <c:idx val="0"/>
          <c:order val="0"/>
          <c:tx>
            <c:strRef>
              <c:f>'26 (2)'!$U$8</c:f>
              <c:strCache>
                <c:ptCount val="1"/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sz="2000" b="1"/>
                </a:pPr>
                <a:endParaRPr lang="es-B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'26 (2)'!$A$9:$A$21</c:f>
              <c:strCache>
                <c:ptCount val="1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2014p</c:v>
                </c:pt>
                <c:pt idx="12">
                  <c:v>Sep 2015p</c:v>
                </c:pt>
              </c:strCache>
            </c:strRef>
          </c:cat>
          <c:val>
            <c:numRef>
              <c:f>'26 (2)'!$U$9:$U$21</c:f>
              <c:numCache>
                <c:formatCode>#,##0.0</c:formatCode>
                <c:ptCount val="13"/>
                <c:pt idx="0">
                  <c:v>26.302424972676953</c:v>
                </c:pt>
                <c:pt idx="1">
                  <c:v>26.231618280507163</c:v>
                </c:pt>
                <c:pt idx="2">
                  <c:v>27.466677900504656</c:v>
                </c:pt>
                <c:pt idx="3">
                  <c:v>30.754659081464681</c:v>
                </c:pt>
                <c:pt idx="4">
                  <c:v>31.249514184794766</c:v>
                </c:pt>
                <c:pt idx="5">
                  <c:v>28.542873694763578</c:v>
                </c:pt>
                <c:pt idx="6">
                  <c:v>32.624957713347669</c:v>
                </c:pt>
                <c:pt idx="7">
                  <c:v>32.958660832181067</c:v>
                </c:pt>
                <c:pt idx="8">
                  <c:v>35.59565450082173</c:v>
                </c:pt>
                <c:pt idx="9">
                  <c:v>31.468898367118278</c:v>
                </c:pt>
                <c:pt idx="10">
                  <c:v>25.970918040217903</c:v>
                </c:pt>
                <c:pt idx="11">
                  <c:v>31.86392667604408</c:v>
                </c:pt>
                <c:pt idx="12">
                  <c:v>30.380882296547075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12672"/>
        <c:axId val="181214208"/>
      </c:lineChart>
      <c:catAx>
        <c:axId val="18121267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s-BO"/>
          </a:p>
        </c:txPr>
        <c:crossAx val="181214208"/>
        <c:crosses val="autoZero"/>
        <c:auto val="1"/>
        <c:lblAlgn val="ctr"/>
        <c:lblOffset val="100"/>
        <c:noMultiLvlLbl val="0"/>
      </c:catAx>
      <c:valAx>
        <c:axId val="181214208"/>
        <c:scaling>
          <c:orientation val="minMax"/>
        </c:scaling>
        <c:delete val="0"/>
        <c:axPos val="l"/>
        <c:numFmt formatCode="#,##0.0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s-BO"/>
          </a:p>
        </c:txPr>
        <c:crossAx val="18121267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448844216700811"/>
          <c:y val="0.94616177177316074"/>
          <c:w val="0.37117290139388831"/>
          <c:h val="5.0491202395310894E-2"/>
        </c:manualLayout>
      </c:layout>
      <c:overlay val="0"/>
      <c:txPr>
        <a:bodyPr/>
        <a:lstStyle/>
        <a:p>
          <a:pPr>
            <a:defRPr sz="2000"/>
          </a:pPr>
          <a:endParaRPr lang="es-BO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B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Hoja1!$F$4</c:f>
              <c:strCache>
                <c:ptCount val="1"/>
                <c:pt idx="0">
                  <c:v>EXPORT FOB</c:v>
                </c:pt>
              </c:strCache>
            </c:strRef>
          </c:tx>
          <c:marker>
            <c:symbol val="none"/>
          </c:marker>
          <c:cat>
            <c:numRef>
              <c:f>Hoja1!$D$6:$D$26</c:f>
              <c:numCache>
                <c:formatCode>mmm\-yy</c:formatCode>
                <c:ptCount val="21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</c:numCache>
            </c:numRef>
          </c:cat>
          <c:val>
            <c:numRef>
              <c:f>Hoja1!$F$6:$F$26</c:f>
              <c:numCache>
                <c:formatCode>#,##0.00</c:formatCode>
                <c:ptCount val="21"/>
                <c:pt idx="0">
                  <c:v>963.58940584438005</c:v>
                </c:pt>
                <c:pt idx="1">
                  <c:v>978.131495208204</c:v>
                </c:pt>
                <c:pt idx="2">
                  <c:v>1087.1084436636743</c:v>
                </c:pt>
                <c:pt idx="3">
                  <c:v>1004.053197609417</c:v>
                </c:pt>
                <c:pt idx="4">
                  <c:v>1156.3392055868771</c:v>
                </c:pt>
                <c:pt idx="5">
                  <c:v>1125.3188015132098</c:v>
                </c:pt>
                <c:pt idx="6">
                  <c:v>1144.9038528492611</c:v>
                </c:pt>
                <c:pt idx="7">
                  <c:v>1082.3621973350771</c:v>
                </c:pt>
                <c:pt idx="8">
                  <c:v>1043.0165541270703</c:v>
                </c:pt>
                <c:pt idx="9">
                  <c:v>961.01280572736596</c:v>
                </c:pt>
                <c:pt idx="10">
                  <c:v>874.09553146745191</c:v>
                </c:pt>
                <c:pt idx="11">
                  <c:v>880.90709792853795</c:v>
                </c:pt>
                <c:pt idx="12" formatCode="#,##0.0">
                  <c:v>749.31418487115195</c:v>
                </c:pt>
                <c:pt idx="13" formatCode="#,##0.0">
                  <c:v>672.11925339967195</c:v>
                </c:pt>
                <c:pt idx="14" formatCode="#,##0.0">
                  <c:v>761.84074015454314</c:v>
                </c:pt>
                <c:pt idx="15" formatCode="#,##0.0">
                  <c:v>723.70072473794312</c:v>
                </c:pt>
                <c:pt idx="16" formatCode="#,##0.0">
                  <c:v>746.33806083263994</c:v>
                </c:pt>
                <c:pt idx="17" formatCode="#,##0.0">
                  <c:v>724.60450408332815</c:v>
                </c:pt>
                <c:pt idx="18" formatCode="#,##0.0">
                  <c:v>720.46277747974511</c:v>
                </c:pt>
                <c:pt idx="19" formatCode="#,##0.0">
                  <c:v>678.18495602006408</c:v>
                </c:pt>
                <c:pt idx="20" formatCode="#,##0.0">
                  <c:v>689.98961249749493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Hoja1!$I$4</c:f>
              <c:strCache>
                <c:ptCount val="1"/>
                <c:pt idx="0">
                  <c:v>IMPORT CIF AJUST</c:v>
                </c:pt>
              </c:strCache>
            </c:strRef>
          </c:tx>
          <c:marker>
            <c:symbol val="none"/>
          </c:marker>
          <c:cat>
            <c:numRef>
              <c:f>Hoja1!$D$6:$D$26</c:f>
              <c:numCache>
                <c:formatCode>mmm\-yy</c:formatCode>
                <c:ptCount val="21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</c:numCache>
            </c:numRef>
          </c:cat>
          <c:val>
            <c:numRef>
              <c:f>Hoja1!$I$6:$I$26</c:f>
              <c:numCache>
                <c:formatCode>General</c:formatCode>
                <c:ptCount val="21"/>
                <c:pt idx="0">
                  <c:v>835.49468854000008</c:v>
                </c:pt>
                <c:pt idx="1">
                  <c:v>821.46100799999999</c:v>
                </c:pt>
                <c:pt idx="2">
                  <c:v>742.47475999999995</c:v>
                </c:pt>
                <c:pt idx="3">
                  <c:v>808.22040500000003</c:v>
                </c:pt>
                <c:pt idx="4">
                  <c:v>790.65981999999997</c:v>
                </c:pt>
                <c:pt idx="5">
                  <c:v>778.21337499999993</c:v>
                </c:pt>
                <c:pt idx="6">
                  <c:v>971.81162400000005</c:v>
                </c:pt>
                <c:pt idx="7">
                  <c:v>943.08821599999999</c:v>
                </c:pt>
                <c:pt idx="8">
                  <c:v>946.17259719999993</c:v>
                </c:pt>
                <c:pt idx="9">
                  <c:v>1060.3720479999999</c:v>
                </c:pt>
                <c:pt idx="10">
                  <c:v>877.45703120000007</c:v>
                </c:pt>
                <c:pt idx="11">
                  <c:v>942.39521793999995</c:v>
                </c:pt>
                <c:pt idx="12">
                  <c:v>748.45481800000005</c:v>
                </c:pt>
                <c:pt idx="13">
                  <c:v>775.46554300000003</c:v>
                </c:pt>
                <c:pt idx="14">
                  <c:v>839.72802899999999</c:v>
                </c:pt>
                <c:pt idx="15">
                  <c:v>753.41344400000003</c:v>
                </c:pt>
                <c:pt idx="16">
                  <c:v>759.00999993999994</c:v>
                </c:pt>
                <c:pt idx="17">
                  <c:v>744.46291799999995</c:v>
                </c:pt>
                <c:pt idx="18">
                  <c:v>854.19577100000015</c:v>
                </c:pt>
                <c:pt idx="19">
                  <c:v>741.65842294000004</c:v>
                </c:pt>
                <c:pt idx="20">
                  <c:v>793.88822100000004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807360"/>
        <c:axId val="181813248"/>
      </c:lineChart>
      <c:dateAx>
        <c:axId val="18180736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81813248"/>
        <c:crosses val="autoZero"/>
        <c:auto val="1"/>
        <c:lblOffset val="100"/>
        <c:baseTimeUnit val="months"/>
      </c:dateAx>
      <c:valAx>
        <c:axId val="181813248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81807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1025848</xdr:colOff>
      <xdr:row>214</xdr:row>
      <xdr:rowOff>55012</xdr:rowOff>
    </xdr:from>
    <xdr:to>
      <xdr:col>29</xdr:col>
      <xdr:colOff>632455</xdr:colOff>
      <xdr:row>233</xdr:row>
      <xdr:rowOff>150345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800711</xdr:colOff>
      <xdr:row>26</xdr:row>
      <xdr:rowOff>55010</xdr:rowOff>
    </xdr:from>
    <xdr:to>
      <xdr:col>21</xdr:col>
      <xdr:colOff>1186635</xdr:colOff>
      <xdr:row>46</xdr:row>
      <xdr:rowOff>29117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381001</xdr:colOff>
      <xdr:row>5</xdr:row>
      <xdr:rowOff>256309</xdr:rowOff>
    </xdr:from>
    <xdr:to>
      <xdr:col>37</xdr:col>
      <xdr:colOff>1679865</xdr:colOff>
      <xdr:row>23</xdr:row>
      <xdr:rowOff>155864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21166</xdr:colOff>
      <xdr:row>3</xdr:row>
      <xdr:rowOff>401106</xdr:rowOff>
    </xdr:from>
    <xdr:to>
      <xdr:col>22</xdr:col>
      <xdr:colOff>285749</xdr:colOff>
      <xdr:row>21</xdr:row>
      <xdr:rowOff>74083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1"/>
  <sheetViews>
    <sheetView tabSelected="1" view="pageBreakPreview" zoomScale="55" zoomScaleNormal="55" zoomScaleSheetLayoutView="55" workbookViewId="0">
      <pane ySplit="19" topLeftCell="A20" activePane="bottomLeft" state="frozen"/>
      <selection pane="bottomLeft"/>
    </sheetView>
  </sheetViews>
  <sheetFormatPr baseColWidth="10" defaultRowHeight="23.25" x14ac:dyDescent="0.35"/>
  <cols>
    <col min="1" max="1" width="23" style="66" customWidth="1"/>
    <col min="2" max="6" width="15.7109375" customWidth="1"/>
    <col min="7" max="7" width="16" customWidth="1"/>
    <col min="8" max="19" width="15.7109375" customWidth="1"/>
    <col min="20" max="21" width="19.7109375" customWidth="1"/>
    <col min="22" max="22" width="14.5703125" bestFit="1" customWidth="1"/>
    <col min="23" max="23" width="23.5703125" bestFit="1" customWidth="1"/>
    <col min="24" max="24" width="15.5703125" style="97" customWidth="1"/>
    <col min="25" max="25" width="13.5703125" bestFit="1" customWidth="1"/>
    <col min="26" max="26" width="15.5703125" style="120" bestFit="1" customWidth="1"/>
    <col min="30" max="30" width="12.140625" bestFit="1" customWidth="1"/>
    <col min="33" max="34" width="11.42578125" customWidth="1"/>
    <col min="35" max="35" width="22.5703125" customWidth="1"/>
    <col min="36" max="36" width="24.85546875" bestFit="1" customWidth="1"/>
    <col min="37" max="37" width="27" bestFit="1" customWidth="1"/>
    <col min="38" max="38" width="29.140625" bestFit="1" customWidth="1"/>
    <col min="39" max="39" width="12.28515625" customWidth="1"/>
    <col min="40" max="40" width="11.42578125" customWidth="1"/>
  </cols>
  <sheetData>
    <row r="1" spans="1:26" ht="25.5" x14ac:dyDescent="0.35">
      <c r="A1" s="129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6" x14ac:dyDescent="0.3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6" ht="33" x14ac:dyDescent="0.35">
      <c r="A3" s="212" t="s">
        <v>0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125"/>
      <c r="V3" s="6"/>
    </row>
    <row r="4" spans="1:26" ht="26.25" x14ac:dyDescent="0.35">
      <c r="A4" s="72"/>
      <c r="B4" s="3"/>
      <c r="C4" s="4"/>
      <c r="D4" s="4"/>
      <c r="E4" s="4"/>
      <c r="F4" s="7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7"/>
      <c r="S4" s="7"/>
      <c r="T4" s="7"/>
      <c r="U4" s="7"/>
      <c r="V4" s="6"/>
    </row>
    <row r="5" spans="1:26" x14ac:dyDescent="0.35">
      <c r="A5" s="62"/>
      <c r="B5" s="8"/>
      <c r="C5" s="8"/>
      <c r="D5" s="8"/>
      <c r="E5" s="8"/>
      <c r="F5" s="76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4"/>
      <c r="T5" s="165" t="s">
        <v>1</v>
      </c>
      <c r="U5" s="124"/>
      <c r="V5" s="8"/>
    </row>
    <row r="6" spans="1:26" x14ac:dyDescent="0.35">
      <c r="A6" s="63"/>
      <c r="B6" s="10" t="s">
        <v>2</v>
      </c>
      <c r="C6" s="11"/>
      <c r="D6" s="11"/>
      <c r="E6" s="11"/>
      <c r="F6" s="11"/>
      <c r="G6" s="11"/>
      <c r="H6" s="10" t="s">
        <v>3</v>
      </c>
      <c r="I6" s="12"/>
      <c r="J6" s="11"/>
      <c r="K6" s="11"/>
      <c r="L6" s="10" t="s">
        <v>4</v>
      </c>
      <c r="M6" s="11"/>
      <c r="N6" s="11"/>
      <c r="O6" s="11"/>
      <c r="P6" s="11"/>
      <c r="Q6" s="11"/>
      <c r="R6" s="13"/>
      <c r="S6" s="210" t="s">
        <v>46</v>
      </c>
      <c r="T6" s="211"/>
      <c r="U6" s="126"/>
      <c r="V6" s="14"/>
    </row>
    <row r="7" spans="1:26" x14ac:dyDescent="0.35">
      <c r="A7" s="19"/>
      <c r="B7" s="9"/>
      <c r="C7" s="15"/>
      <c r="D7" s="15"/>
      <c r="E7" s="15"/>
      <c r="F7" s="15"/>
      <c r="G7" s="16"/>
      <c r="H7" s="9"/>
      <c r="I7" s="16"/>
      <c r="J7" s="15"/>
      <c r="K7" s="16"/>
      <c r="L7" s="9"/>
      <c r="M7" s="15"/>
      <c r="N7" s="15"/>
      <c r="O7" s="15"/>
      <c r="P7" s="15"/>
      <c r="Q7" s="16"/>
      <c r="R7" s="17" t="s">
        <v>5</v>
      </c>
      <c r="S7" s="16"/>
      <c r="T7" s="18"/>
      <c r="U7" s="127"/>
      <c r="V7" s="14"/>
    </row>
    <row r="8" spans="1:26" ht="42" customHeight="1" x14ac:dyDescent="0.35">
      <c r="A8" s="19" t="s">
        <v>6</v>
      </c>
      <c r="B8" s="19" t="s">
        <v>7</v>
      </c>
      <c r="C8" s="20" t="s">
        <v>8</v>
      </c>
      <c r="D8" s="20" t="s">
        <v>9</v>
      </c>
      <c r="E8" s="20" t="s">
        <v>10</v>
      </c>
      <c r="F8" s="20" t="s">
        <v>11</v>
      </c>
      <c r="G8" s="20" t="s">
        <v>12</v>
      </c>
      <c r="H8" s="19" t="s">
        <v>13</v>
      </c>
      <c r="I8" s="20" t="s">
        <v>14</v>
      </c>
      <c r="J8" s="20" t="s">
        <v>11</v>
      </c>
      <c r="K8" s="20" t="s">
        <v>12</v>
      </c>
      <c r="L8" s="19" t="s">
        <v>15</v>
      </c>
      <c r="M8" s="20" t="s">
        <v>16</v>
      </c>
      <c r="N8" s="20" t="s">
        <v>17</v>
      </c>
      <c r="O8" s="20" t="s">
        <v>18</v>
      </c>
      <c r="P8" s="20" t="s">
        <v>11</v>
      </c>
      <c r="Q8" s="20" t="s">
        <v>12</v>
      </c>
      <c r="R8" s="17" t="s">
        <v>19</v>
      </c>
      <c r="S8" s="20" t="s">
        <v>20</v>
      </c>
      <c r="T8" s="21" t="s">
        <v>73</v>
      </c>
      <c r="U8" s="20"/>
      <c r="V8" s="14"/>
    </row>
    <row r="9" spans="1:26" x14ac:dyDescent="0.35">
      <c r="A9" s="64"/>
      <c r="B9" s="22"/>
      <c r="C9" s="23"/>
      <c r="D9" s="23"/>
      <c r="E9" s="23"/>
      <c r="F9" s="23"/>
      <c r="G9" s="23"/>
      <c r="H9" s="24" t="s">
        <v>21</v>
      </c>
      <c r="I9" s="25"/>
      <c r="J9" s="25"/>
      <c r="K9" s="25"/>
      <c r="L9" s="22"/>
      <c r="M9" s="23"/>
      <c r="N9" s="23"/>
      <c r="O9" s="23"/>
      <c r="P9" s="23"/>
      <c r="Q9" s="23"/>
      <c r="R9" s="26"/>
      <c r="S9" s="23"/>
      <c r="T9" s="27"/>
      <c r="U9" s="127"/>
      <c r="V9" s="14"/>
    </row>
    <row r="10" spans="1:26" hidden="1" x14ac:dyDescent="0.35">
      <c r="A10" s="65" t="s">
        <v>22</v>
      </c>
      <c r="B10" s="30">
        <v>64.077308810000005</v>
      </c>
      <c r="C10" s="31">
        <v>156.13801136000001</v>
      </c>
      <c r="D10" s="31">
        <v>73.90324798348145</v>
      </c>
      <c r="E10" s="31">
        <v>111.74806731700001</v>
      </c>
      <c r="F10" s="31">
        <v>29.725000000000001</v>
      </c>
      <c r="G10" s="32">
        <v>435.59163547048149</v>
      </c>
      <c r="H10" s="30">
        <v>57.365000000000002</v>
      </c>
      <c r="I10" s="31">
        <v>30.181999999999999</v>
      </c>
      <c r="J10" s="31">
        <v>0.14699999999999999</v>
      </c>
      <c r="K10" s="32">
        <v>87.694000000000003</v>
      </c>
      <c r="L10" s="31">
        <v>215.10625850000002</v>
      </c>
      <c r="M10" s="31">
        <v>51.394860675000004</v>
      </c>
      <c r="N10" s="31">
        <v>31.02265847</v>
      </c>
      <c r="O10" s="31">
        <v>3.7047544299999999</v>
      </c>
      <c r="P10" s="31">
        <v>206.57543766699999</v>
      </c>
      <c r="Q10" s="31">
        <v>507.80396974200005</v>
      </c>
      <c r="R10" s="30">
        <v>165.74191249000003</v>
      </c>
      <c r="S10" s="30">
        <v>1196.8315177024815</v>
      </c>
      <c r="T10" s="33">
        <v>1104.0281842455447</v>
      </c>
      <c r="U10" s="31"/>
      <c r="V10" s="28"/>
      <c r="Z10" s="182">
        <f t="shared" ref="Z10:Z16" si="0">H10/S10*100</f>
        <v>4.7930723039548395</v>
      </c>
    </row>
    <row r="11" spans="1:26" hidden="1" x14ac:dyDescent="0.35">
      <c r="A11" s="65" t="s">
        <v>34</v>
      </c>
      <c r="B11" s="30">
        <v>69.2</v>
      </c>
      <c r="C11" s="31">
        <v>153.99280358999999</v>
      </c>
      <c r="D11" s="31">
        <v>67.706739522999996</v>
      </c>
      <c r="E11" s="31">
        <v>89.073560880000002</v>
      </c>
      <c r="F11" s="31">
        <v>20.807880990000001</v>
      </c>
      <c r="G11" s="32">
        <v>400.780984983</v>
      </c>
      <c r="H11" s="30">
        <v>35.700000000000003</v>
      </c>
      <c r="I11" s="31">
        <v>26.1</v>
      </c>
      <c r="J11" s="31">
        <v>3</v>
      </c>
      <c r="K11" s="32">
        <v>64.8</v>
      </c>
      <c r="L11" s="31">
        <v>251.8</v>
      </c>
      <c r="M11" s="31">
        <v>31.96</v>
      </c>
      <c r="N11" s="31">
        <v>32.700000000000003</v>
      </c>
      <c r="O11" s="31">
        <v>16.059999999999999</v>
      </c>
      <c r="P11" s="31">
        <v>189</v>
      </c>
      <c r="Q11" s="31">
        <v>521.52</v>
      </c>
      <c r="R11" s="30">
        <v>151.78397799000001</v>
      </c>
      <c r="S11" s="30">
        <v>1138.884962973</v>
      </c>
      <c r="T11" s="33">
        <v>1051.059100777208</v>
      </c>
      <c r="U11" s="31"/>
      <c r="V11" s="28"/>
      <c r="Z11" s="182">
        <f t="shared" si="0"/>
        <v>3.1346449519192006</v>
      </c>
    </row>
    <row r="12" spans="1:26" hidden="1" x14ac:dyDescent="0.35">
      <c r="A12" s="65" t="s">
        <v>35</v>
      </c>
      <c r="B12" s="30">
        <v>76.03</v>
      </c>
      <c r="C12" s="31">
        <v>170.6</v>
      </c>
      <c r="D12" s="31">
        <v>74.03</v>
      </c>
      <c r="E12" s="31">
        <v>88</v>
      </c>
      <c r="F12" s="31">
        <v>16.399999999999999</v>
      </c>
      <c r="G12" s="32">
        <v>425.06</v>
      </c>
      <c r="H12" s="30">
        <v>121.8</v>
      </c>
      <c r="I12" s="31">
        <v>36.299999999999997</v>
      </c>
      <c r="J12" s="31">
        <v>7.8</v>
      </c>
      <c r="K12" s="32">
        <v>165.9</v>
      </c>
      <c r="L12" s="31">
        <v>229.8</v>
      </c>
      <c r="M12" s="31">
        <v>28.2</v>
      </c>
      <c r="N12" s="31">
        <v>33.700000000000003</v>
      </c>
      <c r="O12" s="31">
        <v>31.1</v>
      </c>
      <c r="P12" s="31">
        <v>223.7</v>
      </c>
      <c r="Q12" s="31">
        <v>546.5</v>
      </c>
      <c r="R12" s="30">
        <v>207.45725071999999</v>
      </c>
      <c r="S12" s="30">
        <v>1344.9172507200001</v>
      </c>
      <c r="T12" s="33">
        <v>1246.0856498051003</v>
      </c>
      <c r="U12" s="31"/>
      <c r="V12" s="28"/>
      <c r="Z12" s="182">
        <f t="shared" si="0"/>
        <v>9.0563192594038409</v>
      </c>
    </row>
    <row r="13" spans="1:26" hidden="1" x14ac:dyDescent="0.35">
      <c r="A13" s="65" t="s">
        <v>36</v>
      </c>
      <c r="B13" s="30">
        <v>55.965715619999997</v>
      </c>
      <c r="C13" s="31">
        <v>120.62138437</v>
      </c>
      <c r="D13" s="31">
        <v>52.743368330000003</v>
      </c>
      <c r="E13" s="31">
        <v>86.160101120000007</v>
      </c>
      <c r="F13" s="31">
        <v>19.043879030000099</v>
      </c>
      <c r="G13" s="32">
        <v>334.53444847000014</v>
      </c>
      <c r="H13" s="30">
        <v>236.89377345</v>
      </c>
      <c r="I13" s="31">
        <v>47.33793764</v>
      </c>
      <c r="J13" s="31">
        <v>5.08932699</v>
      </c>
      <c r="K13" s="32">
        <v>289.32103807999999</v>
      </c>
      <c r="L13" s="31">
        <v>221.637742987</v>
      </c>
      <c r="M13" s="31">
        <v>24.286624389999997</v>
      </c>
      <c r="N13" s="31">
        <v>26.561503080000001</v>
      </c>
      <c r="O13" s="31">
        <v>27.670887519999997</v>
      </c>
      <c r="P13" s="31">
        <v>200.57119104776999</v>
      </c>
      <c r="Q13" s="31">
        <v>500.72794902476994</v>
      </c>
      <c r="R13" s="34">
        <v>231.487414742</v>
      </c>
      <c r="S13" s="30">
        <v>1356.0708503167702</v>
      </c>
      <c r="T13" s="33">
        <v>1284.7681750864899</v>
      </c>
      <c r="U13" s="31"/>
      <c r="V13" s="28"/>
      <c r="Z13" s="182">
        <f t="shared" si="0"/>
        <v>17.469129536606658</v>
      </c>
    </row>
    <row r="14" spans="1:26" hidden="1" x14ac:dyDescent="0.35">
      <c r="A14" s="65" t="s">
        <v>37</v>
      </c>
      <c r="B14" s="30">
        <v>57.795539650000002</v>
      </c>
      <c r="C14" s="31">
        <v>111.93364215000001</v>
      </c>
      <c r="D14" s="31">
        <v>68.471805149999994</v>
      </c>
      <c r="E14" s="31">
        <v>89.651705735522583</v>
      </c>
      <c r="F14" s="31">
        <v>19.785238299999961</v>
      </c>
      <c r="G14" s="32">
        <v>347.63793098552253</v>
      </c>
      <c r="H14" s="30">
        <v>265.56700510000002</v>
      </c>
      <c r="I14" s="31">
        <v>62.33735385</v>
      </c>
      <c r="J14" s="31">
        <v>2.94038866</v>
      </c>
      <c r="K14" s="32">
        <v>330.84474761000001</v>
      </c>
      <c r="L14" s="31">
        <v>243.83146550999999</v>
      </c>
      <c r="M14" s="31">
        <v>23.733298939999997</v>
      </c>
      <c r="N14" s="31">
        <v>27.31207904</v>
      </c>
      <c r="O14" s="31">
        <v>41.456019670000003</v>
      </c>
      <c r="P14" s="31">
        <v>177.265955975</v>
      </c>
      <c r="Q14" s="31">
        <v>513.59881913499999</v>
      </c>
      <c r="R14" s="34">
        <v>180.57876182636747</v>
      </c>
      <c r="S14" s="30">
        <v>1372.6602595568902</v>
      </c>
      <c r="T14" s="33">
        <v>1298.7315138088773</v>
      </c>
      <c r="U14" s="31"/>
      <c r="V14" s="28"/>
      <c r="Z14" s="182">
        <f t="shared" si="0"/>
        <v>19.34688523624396</v>
      </c>
    </row>
    <row r="15" spans="1:26" ht="20.25" hidden="1" customHeight="1" x14ac:dyDescent="0.35">
      <c r="A15" s="65" t="s">
        <v>42</v>
      </c>
      <c r="B15" s="30">
        <v>73.286402910000007</v>
      </c>
      <c r="C15" s="31">
        <v>124.17614291999999</v>
      </c>
      <c r="D15" s="31">
        <v>75.856719260000006</v>
      </c>
      <c r="E15" s="31">
        <v>71.841166619999996</v>
      </c>
      <c r="F15" s="31">
        <v>23.235527169999976</v>
      </c>
      <c r="G15" s="32">
        <v>368.39595888000008</v>
      </c>
      <c r="H15" s="30">
        <v>389.56204966000001</v>
      </c>
      <c r="I15" s="31">
        <v>95.815830320000018</v>
      </c>
      <c r="J15" s="31">
        <v>3.8724871100000002</v>
      </c>
      <c r="K15" s="32">
        <v>489.25036709</v>
      </c>
      <c r="L15" s="31">
        <v>296.59554114000002</v>
      </c>
      <c r="M15" s="31">
        <v>15.94538163</v>
      </c>
      <c r="N15" s="31">
        <v>37.673732490000006</v>
      </c>
      <c r="O15" s="31">
        <v>41.511796960000005</v>
      </c>
      <c r="P15" s="31">
        <v>233.56528221000005</v>
      </c>
      <c r="Q15" s="31">
        <v>625.29173443000002</v>
      </c>
      <c r="R15" s="34">
        <v>193.62317867999997</v>
      </c>
      <c r="S15" s="30">
        <v>1676.5612390799997</v>
      </c>
      <c r="T15" s="33">
        <f>+T27</f>
        <v>1597.3791845124642</v>
      </c>
      <c r="U15" s="31"/>
      <c r="V15" s="28"/>
      <c r="W15" s="31"/>
      <c r="X15" s="83"/>
      <c r="Z15" s="182">
        <f t="shared" si="0"/>
        <v>23.235778126050992</v>
      </c>
    </row>
    <row r="16" spans="1:26" ht="20.25" hidden="1" customHeight="1" x14ac:dyDescent="0.35">
      <c r="A16" s="65" t="s">
        <v>43</v>
      </c>
      <c r="B16" s="30">
        <v>145.35187492</v>
      </c>
      <c r="C16" s="31">
        <v>151.42896296000001</v>
      </c>
      <c r="D16" s="31">
        <v>91.224077390000005</v>
      </c>
      <c r="E16" s="31">
        <v>33.692179969999998</v>
      </c>
      <c r="F16" s="31">
        <v>34.154560689999968</v>
      </c>
      <c r="G16" s="31">
        <v>455.85165592999999</v>
      </c>
      <c r="H16" s="30">
        <v>619.72023345000014</v>
      </c>
      <c r="I16" s="31">
        <v>172.49830555</v>
      </c>
      <c r="J16" s="31">
        <v>3.0900819200000003</v>
      </c>
      <c r="K16" s="31">
        <v>795.30862092000007</v>
      </c>
      <c r="L16" s="30">
        <v>366.02223144000004</v>
      </c>
      <c r="M16" s="31">
        <v>22.222654850000001</v>
      </c>
      <c r="N16" s="31">
        <v>51.592155590000004</v>
      </c>
      <c r="O16" s="31">
        <v>44.536465499999998</v>
      </c>
      <c r="P16" s="31">
        <v>348.43108198999994</v>
      </c>
      <c r="Q16" s="31">
        <v>832.80458937000003</v>
      </c>
      <c r="R16" s="30">
        <v>181.22287185999997</v>
      </c>
      <c r="S16" s="30">
        <v>2265.1877380800001</v>
      </c>
      <c r="T16" s="33">
        <f>+T41</f>
        <v>2165.8374754813422</v>
      </c>
      <c r="U16" s="31"/>
      <c r="V16" s="28"/>
      <c r="W16" s="31"/>
      <c r="X16" s="83"/>
      <c r="Z16" s="182">
        <f t="shared" si="0"/>
        <v>27.358449060618806</v>
      </c>
    </row>
    <row r="17" spans="1:40" s="188" customFormat="1" ht="20.25" hidden="1" customHeight="1" x14ac:dyDescent="0.35">
      <c r="A17" s="183">
        <v>2005</v>
      </c>
      <c r="B17" s="184">
        <v>124.89754918000003</v>
      </c>
      <c r="C17" s="185">
        <v>200.78183851</v>
      </c>
      <c r="D17" s="185">
        <v>92.585627509999995</v>
      </c>
      <c r="E17" s="185">
        <v>77.772941540000005</v>
      </c>
      <c r="F17" s="185">
        <v>48.788607830000018</v>
      </c>
      <c r="G17" s="185">
        <v>544.82656457000007</v>
      </c>
      <c r="H17" s="184">
        <v>1086.5033162900002</v>
      </c>
      <c r="I17" s="185">
        <v>313.70272995999994</v>
      </c>
      <c r="J17" s="185">
        <v>2.5856927400000003</v>
      </c>
      <c r="K17" s="185">
        <v>1402.7917389900001</v>
      </c>
      <c r="L17" s="184">
        <v>258.90572237999999</v>
      </c>
      <c r="M17" s="185">
        <v>26.192867019999998</v>
      </c>
      <c r="N17" s="185">
        <v>65.943096880000013</v>
      </c>
      <c r="O17" s="185">
        <v>49.281954720000009</v>
      </c>
      <c r="P17" s="185">
        <v>339.91515686000002</v>
      </c>
      <c r="Q17" s="185">
        <v>740.23879785999998</v>
      </c>
      <c r="R17" s="184">
        <v>260.22671720999995</v>
      </c>
      <c r="S17" s="184">
        <v>2948.0838186299998</v>
      </c>
      <c r="T17" s="186">
        <f>+T55</f>
        <v>2826.7175148945171</v>
      </c>
      <c r="U17" s="185">
        <f>Q17</f>
        <v>740.23879785999998</v>
      </c>
      <c r="V17" s="185">
        <f>U17/T17*100</f>
        <v>26.187222244866692</v>
      </c>
      <c r="W17" s="185">
        <f>100-V17</f>
        <v>73.812777755133311</v>
      </c>
      <c r="X17" s="187"/>
      <c r="Z17" s="189">
        <f>H17/S17*100</f>
        <v>36.854559881370932</v>
      </c>
    </row>
    <row r="18" spans="1:40" ht="20.25" hidden="1" customHeight="1" x14ac:dyDescent="0.35">
      <c r="A18" s="65">
        <v>2006</v>
      </c>
      <c r="B18" s="30">
        <v>140.62113136000002</v>
      </c>
      <c r="C18" s="31">
        <v>525.64776408</v>
      </c>
      <c r="D18" s="31">
        <v>169.89296565000001</v>
      </c>
      <c r="E18" s="31">
        <v>121.87636415999999</v>
      </c>
      <c r="F18" s="31">
        <v>70.407205140000002</v>
      </c>
      <c r="G18" s="31">
        <v>1028.44543039</v>
      </c>
      <c r="H18" s="30">
        <v>1667.76216563</v>
      </c>
      <c r="I18" s="31">
        <v>343.47362156000003</v>
      </c>
      <c r="J18" s="31">
        <v>2.7807671799999998</v>
      </c>
      <c r="K18" s="31">
        <v>2014.01655437</v>
      </c>
      <c r="L18" s="30">
        <v>224.19210164999998</v>
      </c>
      <c r="M18" s="31">
        <v>38.578295349999998</v>
      </c>
      <c r="N18" s="31">
        <v>65.234683880000006</v>
      </c>
      <c r="O18" s="31">
        <v>51.166919470000003</v>
      </c>
      <c r="P18" s="31">
        <v>422.45717182999994</v>
      </c>
      <c r="Q18" s="31">
        <v>801.62917218000007</v>
      </c>
      <c r="R18" s="30">
        <v>387.82649613000007</v>
      </c>
      <c r="S18" s="30">
        <v>4231.9176530700006</v>
      </c>
      <c r="T18" s="33">
        <f>+T69</f>
        <v>3951.5456579421366</v>
      </c>
      <c r="U18" s="31">
        <f t="shared" ref="U18:U24" si="1">Q18+R18</f>
        <v>1189.4556683100002</v>
      </c>
      <c r="V18" s="31"/>
      <c r="W18" s="31"/>
      <c r="X18" s="83"/>
      <c r="Z18" s="182">
        <f t="shared" ref="Z18:Z81" si="2">H18/S18*100</f>
        <v>39.409135582308394</v>
      </c>
    </row>
    <row r="19" spans="1:40" ht="20.25" hidden="1" customHeight="1" x14ac:dyDescent="0.35">
      <c r="A19" s="65" t="s">
        <v>71</v>
      </c>
      <c r="B19" s="30">
        <v>213.21772246</v>
      </c>
      <c r="C19" s="31">
        <v>696.54424182999992</v>
      </c>
      <c r="D19" s="31">
        <v>226.55223491000004</v>
      </c>
      <c r="E19" s="31">
        <v>122.90265362000001</v>
      </c>
      <c r="F19" s="31">
        <v>128.25927938000001</v>
      </c>
      <c r="G19" s="31">
        <v>1387.4761322000002</v>
      </c>
      <c r="H19" s="30">
        <v>1971.2384951300003</v>
      </c>
      <c r="I19" s="31">
        <v>268.79218025</v>
      </c>
      <c r="J19" s="31">
        <v>1.9497561299999999</v>
      </c>
      <c r="K19" s="31">
        <v>2241.98043151</v>
      </c>
      <c r="L19" s="30">
        <v>283.63305825000003</v>
      </c>
      <c r="M19" s="31">
        <v>66.628315850000007</v>
      </c>
      <c r="N19" s="31">
        <v>70.656735929999996</v>
      </c>
      <c r="O19" s="31">
        <v>53.449067550000002</v>
      </c>
      <c r="P19" s="31">
        <v>485.63490796999997</v>
      </c>
      <c r="Q19" s="31">
        <v>960.00208555000006</v>
      </c>
      <c r="R19" s="30">
        <v>300.24627233999996</v>
      </c>
      <c r="S19" s="30">
        <v>4889.7049216000005</v>
      </c>
      <c r="T19" s="33">
        <f>+T83</f>
        <v>4504.1568578655215</v>
      </c>
      <c r="U19" s="31">
        <f t="shared" si="1"/>
        <v>1260.2483578900001</v>
      </c>
      <c r="V19" s="31"/>
      <c r="W19" s="31"/>
      <c r="X19" s="83"/>
      <c r="Z19" s="182">
        <f t="shared" si="2"/>
        <v>40.314058347818978</v>
      </c>
    </row>
    <row r="20" spans="1:40" ht="20.25" customHeight="1" x14ac:dyDescent="0.35">
      <c r="A20" s="86" t="s">
        <v>72</v>
      </c>
      <c r="B20" s="31">
        <v>281.69603253000002</v>
      </c>
      <c r="C20" s="31">
        <v>740.7525028099999</v>
      </c>
      <c r="D20" s="31">
        <v>525.61261610000008</v>
      </c>
      <c r="E20" s="31">
        <v>142.20571472</v>
      </c>
      <c r="F20" s="31">
        <v>242.03146294999993</v>
      </c>
      <c r="G20" s="31">
        <v>1932.2983291099997</v>
      </c>
      <c r="H20" s="30">
        <v>3159.0860222500005</v>
      </c>
      <c r="I20" s="31">
        <v>324.29147179999995</v>
      </c>
      <c r="J20" s="31">
        <v>3.2454422999999997</v>
      </c>
      <c r="K20" s="32">
        <v>3486.6229363499997</v>
      </c>
      <c r="L20" s="31">
        <v>339.62040360000003</v>
      </c>
      <c r="M20" s="31">
        <v>72.252723230000001</v>
      </c>
      <c r="N20" s="31">
        <v>83.530059080000001</v>
      </c>
      <c r="O20" s="31">
        <v>23.745836360000006</v>
      </c>
      <c r="P20" s="31">
        <v>692.45627637999985</v>
      </c>
      <c r="Q20" s="31">
        <v>1211.6052986500001</v>
      </c>
      <c r="R20" s="34">
        <v>427.48153803000002</v>
      </c>
      <c r="S20" s="31">
        <v>7058.0081021399992</v>
      </c>
      <c r="T20" s="33">
        <v>6525.1351274461076</v>
      </c>
      <c r="U20" s="31">
        <f t="shared" si="1"/>
        <v>1639.08683668</v>
      </c>
      <c r="V20" s="31"/>
      <c r="W20" s="31"/>
      <c r="X20" s="83"/>
      <c r="Z20" s="182">
        <f t="shared" si="2"/>
        <v>44.758889144547183</v>
      </c>
    </row>
    <row r="21" spans="1:40" ht="20.25" customHeight="1" x14ac:dyDescent="0.35">
      <c r="A21" s="86" t="s">
        <v>56</v>
      </c>
      <c r="B21" s="31">
        <f t="shared" ref="B21:S21" si="3">+B111</f>
        <v>233.53729878999997</v>
      </c>
      <c r="C21" s="31">
        <f t="shared" si="3"/>
        <v>689.63514475000011</v>
      </c>
      <c r="D21" s="31">
        <f t="shared" si="3"/>
        <v>610.59743793999996</v>
      </c>
      <c r="E21" s="31">
        <f t="shared" si="3"/>
        <v>116.45217231000001</v>
      </c>
      <c r="F21" s="31">
        <f t="shared" si="3"/>
        <v>195.89858804000008</v>
      </c>
      <c r="G21" s="31">
        <f t="shared" si="3"/>
        <v>1846.1206418300001</v>
      </c>
      <c r="H21" s="30">
        <f t="shared" si="3"/>
        <v>1967.5741105699999</v>
      </c>
      <c r="I21" s="31">
        <f t="shared" si="3"/>
        <v>139.71549261999999</v>
      </c>
      <c r="J21" s="31">
        <f t="shared" si="3"/>
        <v>2.9267450100000003</v>
      </c>
      <c r="K21" s="31">
        <f t="shared" si="3"/>
        <v>2110.2163482000001</v>
      </c>
      <c r="L21" s="30">
        <f t="shared" si="3"/>
        <v>487.92073609000005</v>
      </c>
      <c r="M21" s="31">
        <f t="shared" si="3"/>
        <v>63.707234370000016</v>
      </c>
      <c r="N21" s="31">
        <f t="shared" si="3"/>
        <v>64.243353200000001</v>
      </c>
      <c r="O21" s="31">
        <f t="shared" si="3"/>
        <v>2.1008386600000013</v>
      </c>
      <c r="P21" s="31">
        <f t="shared" si="3"/>
        <v>575.67942004000008</v>
      </c>
      <c r="Q21" s="31">
        <f t="shared" si="3"/>
        <v>1193.6515823600002</v>
      </c>
      <c r="R21" s="30">
        <f t="shared" si="3"/>
        <v>336.41714846000002</v>
      </c>
      <c r="S21" s="30">
        <f t="shared" si="3"/>
        <v>5486.4057208499999</v>
      </c>
      <c r="T21" s="33">
        <f>+T111</f>
        <v>4960.3579093277149</v>
      </c>
      <c r="U21" s="31">
        <f t="shared" si="1"/>
        <v>1530.0687308200004</v>
      </c>
      <c r="V21" s="31"/>
      <c r="W21" s="31"/>
      <c r="X21" s="83"/>
      <c r="Y21" s="31"/>
      <c r="Z21" s="182">
        <f t="shared" si="2"/>
        <v>35.862716151170218</v>
      </c>
      <c r="AJ21" s="31"/>
    </row>
    <row r="22" spans="1:40" ht="20.25" customHeight="1" x14ac:dyDescent="0.35">
      <c r="A22" s="86" t="s">
        <v>70</v>
      </c>
      <c r="B22" s="31">
        <f>+B125</f>
        <v>350.28381181000003</v>
      </c>
      <c r="C22" s="31">
        <f t="shared" ref="C22:T22" si="4">+C125</f>
        <v>892.48420972000008</v>
      </c>
      <c r="D22" s="31">
        <f t="shared" si="4"/>
        <v>799.59421985999995</v>
      </c>
      <c r="E22" s="31">
        <f t="shared" si="4"/>
        <v>95.280486170000003</v>
      </c>
      <c r="F22" s="31">
        <f t="shared" si="4"/>
        <v>257.86632319999995</v>
      </c>
      <c r="G22" s="31">
        <f>+G125</f>
        <v>2395.5090507599998</v>
      </c>
      <c r="H22" s="30">
        <f t="shared" si="4"/>
        <v>2797.7741385500003</v>
      </c>
      <c r="I22" s="31">
        <f t="shared" si="4"/>
        <v>186.64410745999999</v>
      </c>
      <c r="J22" s="31">
        <f t="shared" si="4"/>
        <v>2.8329944199999999</v>
      </c>
      <c r="K22" s="31">
        <f t="shared" si="4"/>
        <v>2987.2512404299996</v>
      </c>
      <c r="L22" s="30">
        <f t="shared" si="4"/>
        <v>519.36356956000009</v>
      </c>
      <c r="M22" s="31">
        <f t="shared" si="4"/>
        <v>70.303490960000019</v>
      </c>
      <c r="N22" s="31">
        <f t="shared" si="4"/>
        <v>91.80550691000002</v>
      </c>
      <c r="O22" s="31">
        <f t="shared" si="4"/>
        <v>17.620433670000001</v>
      </c>
      <c r="P22" s="31">
        <f t="shared" si="4"/>
        <v>698.19344376000004</v>
      </c>
      <c r="Q22" s="31">
        <f t="shared" si="4"/>
        <v>1397.2864448600001</v>
      </c>
      <c r="R22" s="30">
        <f t="shared" si="4"/>
        <v>272.08091820999999</v>
      </c>
      <c r="S22" s="30">
        <f t="shared" si="4"/>
        <v>7052.1276542599999</v>
      </c>
      <c r="T22" s="33">
        <f t="shared" si="4"/>
        <v>6401.8927027469836</v>
      </c>
      <c r="U22" s="31">
        <f t="shared" si="1"/>
        <v>1669.36736307</v>
      </c>
      <c r="V22" s="31"/>
      <c r="W22" s="31"/>
      <c r="X22" s="83"/>
      <c r="Y22" s="31"/>
      <c r="Z22" s="182">
        <f t="shared" si="2"/>
        <v>39.672766514087989</v>
      </c>
      <c r="AJ22" s="31"/>
    </row>
    <row r="23" spans="1:40" ht="20.25" customHeight="1" x14ac:dyDescent="0.35">
      <c r="A23" s="86" t="s">
        <v>76</v>
      </c>
      <c r="B23" s="31">
        <f>+B138</f>
        <v>453.81043895000005</v>
      </c>
      <c r="C23" s="31">
        <f t="shared" ref="C23:T23" si="5">+C138</f>
        <v>946.45387802999994</v>
      </c>
      <c r="D23" s="31">
        <f t="shared" si="5"/>
        <v>1379.8174863500003</v>
      </c>
      <c r="E23" s="31">
        <f t="shared" si="5"/>
        <v>272.59578724999994</v>
      </c>
      <c r="F23" s="31">
        <f t="shared" si="5"/>
        <v>376.37079085000005</v>
      </c>
      <c r="G23" s="31">
        <f t="shared" si="5"/>
        <v>3429.0483814300001</v>
      </c>
      <c r="H23" s="30">
        <f t="shared" si="5"/>
        <v>3884.8835933099999</v>
      </c>
      <c r="I23" s="31">
        <f t="shared" si="5"/>
        <v>227.56172473000004</v>
      </c>
      <c r="J23" s="31">
        <f t="shared" si="5"/>
        <v>2.0403324899999999</v>
      </c>
      <c r="K23" s="32">
        <f t="shared" si="5"/>
        <v>4114.4856505299995</v>
      </c>
      <c r="L23" s="31">
        <f t="shared" si="5"/>
        <v>628.26941968999995</v>
      </c>
      <c r="M23" s="31">
        <f t="shared" si="5"/>
        <v>59.942625810000017</v>
      </c>
      <c r="N23" s="31">
        <f t="shared" si="5"/>
        <v>135.43965101999999</v>
      </c>
      <c r="O23" s="31">
        <f t="shared" si="5"/>
        <v>23.098794579999996</v>
      </c>
      <c r="P23" s="31">
        <f t="shared" si="5"/>
        <v>566.75649862</v>
      </c>
      <c r="Q23" s="31">
        <f t="shared" si="5"/>
        <v>1413.5069897200001</v>
      </c>
      <c r="R23" s="30">
        <f t="shared" si="5"/>
        <v>258.23921774999997</v>
      </c>
      <c r="S23" s="30">
        <f t="shared" si="5"/>
        <v>9215.2802394299997</v>
      </c>
      <c r="T23" s="33">
        <f t="shared" si="5"/>
        <v>8358.2201978310368</v>
      </c>
      <c r="U23" s="31">
        <f t="shared" si="1"/>
        <v>1671.7462074700002</v>
      </c>
      <c r="V23" s="31"/>
      <c r="W23" s="31"/>
      <c r="X23" s="83"/>
      <c r="Y23" s="31"/>
      <c r="Z23" s="182">
        <f t="shared" si="2"/>
        <v>42.15697724185862</v>
      </c>
      <c r="AJ23" s="31"/>
    </row>
    <row r="24" spans="1:40" ht="20.25" customHeight="1" x14ac:dyDescent="0.35">
      <c r="A24" s="86" t="s">
        <v>77</v>
      </c>
      <c r="B24" s="30">
        <f>+B151</f>
        <v>348.23423162999995</v>
      </c>
      <c r="C24" s="31">
        <f t="shared" ref="C24:T24" si="6">+C151</f>
        <v>739.43820572000016</v>
      </c>
      <c r="D24" s="31">
        <f t="shared" si="6"/>
        <v>1198.2009155700002</v>
      </c>
      <c r="E24" s="31">
        <f t="shared" si="6"/>
        <v>1095.1746974600001</v>
      </c>
      <c r="F24" s="31">
        <f t="shared" si="6"/>
        <v>363.35443097000001</v>
      </c>
      <c r="G24" s="32">
        <f t="shared" si="6"/>
        <v>3744.40248135</v>
      </c>
      <c r="H24" s="30">
        <f t="shared" si="6"/>
        <v>5478.5228182600003</v>
      </c>
      <c r="I24" s="31">
        <f t="shared" si="6"/>
        <v>392.42939130999997</v>
      </c>
      <c r="J24" s="31">
        <f t="shared" si="6"/>
        <v>0.73072727999999998</v>
      </c>
      <c r="K24" s="32">
        <f t="shared" si="6"/>
        <v>5871.6829368500012</v>
      </c>
      <c r="L24" s="30">
        <f t="shared" si="6"/>
        <v>976.88048624999999</v>
      </c>
      <c r="M24" s="31">
        <f t="shared" si="6"/>
        <v>52.983847500000032</v>
      </c>
      <c r="N24" s="31">
        <f t="shared" si="6"/>
        <v>139.17933593999999</v>
      </c>
      <c r="O24" s="31">
        <f t="shared" si="6"/>
        <v>22.166925450000004</v>
      </c>
      <c r="P24" s="31">
        <f t="shared" si="6"/>
        <v>847.67905463</v>
      </c>
      <c r="Q24" s="32">
        <f t="shared" si="6"/>
        <v>2038.8896497699998</v>
      </c>
      <c r="R24" s="34">
        <f t="shared" si="6"/>
        <v>336.15788389999949</v>
      </c>
      <c r="S24" s="30">
        <f t="shared" si="6"/>
        <v>11991.13295187</v>
      </c>
      <c r="T24" s="33">
        <f t="shared" si="6"/>
        <v>11253.955144150596</v>
      </c>
      <c r="U24" s="31">
        <f t="shared" si="1"/>
        <v>2375.0475336699992</v>
      </c>
      <c r="V24" s="31"/>
      <c r="W24" s="31"/>
      <c r="X24" s="83"/>
      <c r="Y24" s="31"/>
      <c r="Z24" s="182">
        <f t="shared" si="2"/>
        <v>45.688116712988595</v>
      </c>
      <c r="AJ24" s="31"/>
    </row>
    <row r="25" spans="1:40" hidden="1" x14ac:dyDescent="0.35">
      <c r="A25" s="86" t="s">
        <v>68</v>
      </c>
      <c r="B25" s="30">
        <f>+B164</f>
        <v>370.14793777</v>
      </c>
      <c r="C25" s="31">
        <f t="shared" ref="C25:T25" si="7">+C164</f>
        <v>762.37473477999993</v>
      </c>
      <c r="D25" s="31">
        <f t="shared" si="7"/>
        <v>1007.68045893</v>
      </c>
      <c r="E25" s="31">
        <f t="shared" si="7"/>
        <v>561.36869841000009</v>
      </c>
      <c r="F25" s="31">
        <f t="shared" si="7"/>
        <v>375.30855820000005</v>
      </c>
      <c r="G25" s="31">
        <f t="shared" si="7"/>
        <v>3076.88038809</v>
      </c>
      <c r="H25" s="30">
        <f t="shared" si="7"/>
        <v>6113.44797062</v>
      </c>
      <c r="I25" s="31">
        <f t="shared" si="7"/>
        <v>511.48356891999998</v>
      </c>
      <c r="J25" s="31">
        <f t="shared" si="7"/>
        <v>1.2514152300000001</v>
      </c>
      <c r="K25" s="31">
        <f t="shared" si="7"/>
        <v>6626.1829547699999</v>
      </c>
      <c r="L25" s="30">
        <f t="shared" si="7"/>
        <v>1211.0515279899998</v>
      </c>
      <c r="M25" s="31">
        <f t="shared" si="7"/>
        <v>49.323945479999999</v>
      </c>
      <c r="N25" s="31">
        <f t="shared" si="7"/>
        <v>122.805768</v>
      </c>
      <c r="O25" s="31">
        <f t="shared" si="7"/>
        <v>73.141681820000002</v>
      </c>
      <c r="P25" s="31">
        <f t="shared" si="7"/>
        <v>925.61944397999991</v>
      </c>
      <c r="Q25" s="31">
        <f t="shared" si="7"/>
        <v>2381.94236727</v>
      </c>
      <c r="R25" s="34">
        <f t="shared" si="7"/>
        <v>286.73792186000003</v>
      </c>
      <c r="S25" s="31">
        <f t="shared" si="7"/>
        <v>12371.743631989997</v>
      </c>
      <c r="T25" s="33">
        <f t="shared" si="7"/>
        <v>11697.703275731641</v>
      </c>
      <c r="U25" s="31"/>
      <c r="V25" s="28"/>
      <c r="W25" s="31"/>
      <c r="X25" s="96"/>
      <c r="Y25" s="31"/>
      <c r="Z25" s="182">
        <f t="shared" si="2"/>
        <v>49.414602763124435</v>
      </c>
      <c r="AJ25" s="31"/>
      <c r="AL25" s="43"/>
    </row>
    <row r="26" spans="1:40" hidden="1" x14ac:dyDescent="0.35">
      <c r="A26" s="86" t="s">
        <v>80</v>
      </c>
      <c r="B26" s="30">
        <f>B177</f>
        <v>365.49448917999996</v>
      </c>
      <c r="C26" s="31">
        <f t="shared" ref="C26:T26" si="8">C177</f>
        <v>984.4846166599998</v>
      </c>
      <c r="D26" s="31">
        <f t="shared" si="8"/>
        <v>832.83947757999988</v>
      </c>
      <c r="E26" s="31">
        <f t="shared" si="8"/>
        <v>1384.2543387499998</v>
      </c>
      <c r="F26" s="31">
        <f t="shared" si="8"/>
        <v>361.75929254999994</v>
      </c>
      <c r="G26" s="31">
        <f t="shared" si="8"/>
        <v>3928.8322147199997</v>
      </c>
      <c r="H26" s="30">
        <f t="shared" si="8"/>
        <v>6012.2387144199993</v>
      </c>
      <c r="I26" s="31">
        <f t="shared" si="8"/>
        <v>584.12939060999997</v>
      </c>
      <c r="J26" s="31">
        <f t="shared" si="8"/>
        <v>0.55388302</v>
      </c>
      <c r="K26" s="31">
        <f t="shared" si="8"/>
        <v>6596.9219880500013</v>
      </c>
      <c r="L26" s="30">
        <f t="shared" si="8"/>
        <v>1083.1837963799999</v>
      </c>
      <c r="M26" s="31">
        <f t="shared" si="8"/>
        <v>51.509219390000005</v>
      </c>
      <c r="N26" s="31">
        <f t="shared" si="8"/>
        <v>171.29345806000001</v>
      </c>
      <c r="O26" s="31">
        <f t="shared" si="8"/>
        <v>41.238615480000007</v>
      </c>
      <c r="P26" s="31">
        <f t="shared" si="8"/>
        <v>858.13833667000006</v>
      </c>
      <c r="Q26" s="31">
        <f t="shared" si="8"/>
        <v>2205.3634259799996</v>
      </c>
      <c r="R26" s="34">
        <f t="shared" si="8"/>
        <v>296.78804961999992</v>
      </c>
      <c r="S26" s="31">
        <f t="shared" si="8"/>
        <v>13027.905678369998</v>
      </c>
      <c r="T26" s="33">
        <f t="shared" si="8"/>
        <v>12300.838588860526</v>
      </c>
      <c r="U26" s="31"/>
      <c r="V26" s="28"/>
      <c r="W26" s="31"/>
      <c r="X26" s="96"/>
      <c r="Y26" s="31"/>
      <c r="Z26" s="182">
        <f t="shared" si="2"/>
        <v>46.148927255452989</v>
      </c>
      <c r="AJ26" s="31"/>
      <c r="AL26" s="43"/>
    </row>
    <row r="27" spans="1:40" s="115" customFormat="1" ht="55.5" hidden="1" customHeight="1" x14ac:dyDescent="0.35">
      <c r="A27" s="111">
        <v>2003</v>
      </c>
      <c r="B27" s="79">
        <f t="shared" ref="B27:P27" si="9">SUM(B28:B39)</f>
        <v>73.286402910000007</v>
      </c>
      <c r="C27" s="78">
        <f t="shared" si="9"/>
        <v>124.17614291999999</v>
      </c>
      <c r="D27" s="78">
        <f t="shared" si="9"/>
        <v>75.856719260000006</v>
      </c>
      <c r="E27" s="78">
        <f t="shared" si="9"/>
        <v>71.841166619999996</v>
      </c>
      <c r="F27" s="78">
        <f t="shared" si="9"/>
        <v>23.235527169999976</v>
      </c>
      <c r="G27" s="80">
        <f t="shared" si="9"/>
        <v>368.39595888000008</v>
      </c>
      <c r="H27" s="79">
        <f t="shared" si="9"/>
        <v>389.56204966000001</v>
      </c>
      <c r="I27" s="78">
        <f t="shared" si="9"/>
        <v>95.815830320000018</v>
      </c>
      <c r="J27" s="78">
        <f t="shared" si="9"/>
        <v>3.8724871100000002</v>
      </c>
      <c r="K27" s="80">
        <f t="shared" si="9"/>
        <v>489.25036709</v>
      </c>
      <c r="L27" s="79">
        <f t="shared" si="9"/>
        <v>296.59554114000002</v>
      </c>
      <c r="M27" s="78">
        <f t="shared" si="9"/>
        <v>15.94538163</v>
      </c>
      <c r="N27" s="78">
        <f t="shared" si="9"/>
        <v>37.673732490000006</v>
      </c>
      <c r="O27" s="78">
        <f t="shared" si="9"/>
        <v>41.511796960000005</v>
      </c>
      <c r="P27" s="78">
        <f t="shared" si="9"/>
        <v>233.56528221000005</v>
      </c>
      <c r="Q27" s="80">
        <f>SUM(Q28:Q39)</f>
        <v>625.29173443000002</v>
      </c>
      <c r="R27" s="81">
        <f t="shared" ref="R27:T27" si="10">SUM(R28:R39)</f>
        <v>193.62317867999997</v>
      </c>
      <c r="S27" s="79">
        <f t="shared" si="10"/>
        <v>1676.5612390799997</v>
      </c>
      <c r="T27" s="82">
        <f t="shared" si="10"/>
        <v>1597.3791845124642</v>
      </c>
      <c r="U27" s="112"/>
      <c r="V27" s="113"/>
      <c r="W27" s="112"/>
      <c r="X27" s="114"/>
      <c r="Y27" s="112"/>
      <c r="Z27" s="182">
        <f t="shared" si="2"/>
        <v>23.235778126050992</v>
      </c>
      <c r="AJ27" s="112">
        <f t="shared" ref="AJ27" si="11">SUM(AJ28:AJ39)</f>
        <v>1593.8791845124642</v>
      </c>
      <c r="AM27" s="112">
        <f t="shared" ref="AM27" si="12">SUM(AM28:AM39)</f>
        <v>1597.3791845124642</v>
      </c>
      <c r="AN27" s="112">
        <f>+AJ27-AM27</f>
        <v>-3.5</v>
      </c>
    </row>
    <row r="28" spans="1:40" ht="20.25" hidden="1" customHeight="1" x14ac:dyDescent="0.35">
      <c r="A28" s="67" t="s">
        <v>23</v>
      </c>
      <c r="B28" s="30">
        <v>4.9655917199999999</v>
      </c>
      <c r="C28" s="31">
        <v>7.68495434</v>
      </c>
      <c r="D28" s="31">
        <v>6.4853366599999998</v>
      </c>
      <c r="E28" s="31">
        <v>7.7223530499999997</v>
      </c>
      <c r="F28" s="31">
        <v>1.7265594100000001</v>
      </c>
      <c r="G28" s="50">
        <f t="shared" ref="G28:G39" si="13">SUM(B28:F28)</f>
        <v>28.584795179999997</v>
      </c>
      <c r="H28" s="30">
        <v>25.593584410000002</v>
      </c>
      <c r="I28" s="31">
        <v>7.45844167</v>
      </c>
      <c r="J28" s="31">
        <v>0.39092022999999998</v>
      </c>
      <c r="K28" s="50">
        <f t="shared" ref="K28" si="14">SUM(H28:J28)</f>
        <v>33.442946310000004</v>
      </c>
      <c r="L28" s="30">
        <v>22.994701430000003</v>
      </c>
      <c r="M28" s="31">
        <v>1.32957759</v>
      </c>
      <c r="N28" s="31">
        <v>1.2816332800000001</v>
      </c>
      <c r="O28" s="31">
        <v>1.8918405400000002</v>
      </c>
      <c r="P28" s="35">
        <v>15.62150637000002</v>
      </c>
      <c r="Q28" s="50">
        <f t="shared" ref="Q28:Q36" si="15">SUM(L28:P28)</f>
        <v>43.119259210000024</v>
      </c>
      <c r="R28" s="51">
        <v>15.641664920000002</v>
      </c>
      <c r="S28" s="48">
        <f t="shared" ref="S28:S39" si="16">+R28+Q28+K28+G28</f>
        <v>120.78866562000003</v>
      </c>
      <c r="T28" s="33">
        <v>115.24726882844801</v>
      </c>
      <c r="U28" s="31"/>
      <c r="V28" s="28"/>
      <c r="W28" s="31" t="s">
        <v>47</v>
      </c>
      <c r="X28" s="96">
        <f>SUM(T28:T30)</f>
        <v>334.81849761507505</v>
      </c>
      <c r="Y28" s="31"/>
      <c r="Z28" s="182">
        <f t="shared" si="2"/>
        <v>21.188730149993685</v>
      </c>
      <c r="AJ28" s="31">
        <v>115.24726882844801</v>
      </c>
      <c r="AM28" s="31">
        <v>115.24726882844801</v>
      </c>
    </row>
    <row r="29" spans="1:40" ht="20.25" hidden="1" customHeight="1" x14ac:dyDescent="0.35">
      <c r="A29" s="67" t="s">
        <v>24</v>
      </c>
      <c r="B29" s="30">
        <v>5.6054120800000007</v>
      </c>
      <c r="C29" s="31">
        <v>12.46851646</v>
      </c>
      <c r="D29" s="31">
        <v>8.5375732000000006</v>
      </c>
      <c r="E29" s="31">
        <v>6.9533006100000003</v>
      </c>
      <c r="F29" s="31">
        <v>1.9298511900000008</v>
      </c>
      <c r="G29" s="50">
        <f t="shared" si="13"/>
        <v>35.494653540000002</v>
      </c>
      <c r="H29" s="30">
        <v>21.990352909999999</v>
      </c>
      <c r="I29" s="31">
        <v>8.8744556899999996</v>
      </c>
      <c r="J29" s="31">
        <v>0.44075165000000005</v>
      </c>
      <c r="K29" s="50">
        <f t="shared" ref="K29:K31" si="17">SUM(H29:J29)</f>
        <v>31.305560249999996</v>
      </c>
      <c r="L29" s="30">
        <v>15.485186660000004</v>
      </c>
      <c r="M29" s="31">
        <v>1.3126863999999998</v>
      </c>
      <c r="N29" s="31">
        <v>0.80206354000000013</v>
      </c>
      <c r="O29" s="31">
        <v>2.4432379300000004</v>
      </c>
      <c r="P29" s="35">
        <v>16.14924323000001</v>
      </c>
      <c r="Q29" s="50">
        <f t="shared" si="15"/>
        <v>36.192417760000012</v>
      </c>
      <c r="R29" s="34">
        <v>24.199384119999987</v>
      </c>
      <c r="S29" s="48">
        <f t="shared" si="16"/>
        <v>127.19201567</v>
      </c>
      <c r="T29" s="33">
        <v>119.05447985105201</v>
      </c>
      <c r="U29" s="31"/>
      <c r="V29" s="28"/>
      <c r="W29" s="31" t="s">
        <v>48</v>
      </c>
      <c r="X29" s="96">
        <f>SUM(T31:T33)</f>
        <v>393.96062597036996</v>
      </c>
      <c r="Y29" s="31"/>
      <c r="Z29" s="182">
        <f t="shared" si="2"/>
        <v>17.28909852883692</v>
      </c>
      <c r="AJ29" s="31">
        <v>119.05447985105201</v>
      </c>
      <c r="AM29" s="31">
        <v>119.05447985105201</v>
      </c>
    </row>
    <row r="30" spans="1:40" ht="20.25" hidden="1" customHeight="1" x14ac:dyDescent="0.35">
      <c r="A30" s="67" t="s">
        <v>25</v>
      </c>
      <c r="B30" s="30">
        <v>6.1947089799999997</v>
      </c>
      <c r="C30" s="31">
        <v>4.7346086500000002</v>
      </c>
      <c r="D30" s="31">
        <v>3.9646425700000001</v>
      </c>
      <c r="E30" s="31">
        <v>6.2145219999999997</v>
      </c>
      <c r="F30" s="31">
        <v>1.1191149299999985</v>
      </c>
      <c r="G30" s="50">
        <f t="shared" si="13"/>
        <v>22.227597129999999</v>
      </c>
      <c r="H30" s="30">
        <v>24.864545709999998</v>
      </c>
      <c r="I30" s="31">
        <v>8.4901388499999992</v>
      </c>
      <c r="J30" s="31">
        <v>0.2632314</v>
      </c>
      <c r="K30" s="50">
        <f t="shared" si="17"/>
        <v>33.617915959999998</v>
      </c>
      <c r="L30" s="30">
        <v>12.470698530000002</v>
      </c>
      <c r="M30" s="31">
        <v>0.85942326999999996</v>
      </c>
      <c r="N30" s="31">
        <v>2.0601701000000001</v>
      </c>
      <c r="O30" s="31">
        <v>2.8229144900000001</v>
      </c>
      <c r="P30" s="35">
        <v>18.036807500000009</v>
      </c>
      <c r="Q30" s="50">
        <f t="shared" si="15"/>
        <v>36.250013890000012</v>
      </c>
      <c r="R30" s="34">
        <v>11.924435310000002</v>
      </c>
      <c r="S30" s="48">
        <f t="shared" si="16"/>
        <v>104.01996229</v>
      </c>
      <c r="T30" s="33">
        <v>100.51674893557502</v>
      </c>
      <c r="U30" s="31"/>
      <c r="V30" s="28"/>
      <c r="W30" s="31" t="s">
        <v>49</v>
      </c>
      <c r="X30" s="96">
        <f>SUM(T34:T36)</f>
        <v>438.20483265344308</v>
      </c>
      <c r="Y30" s="31"/>
      <c r="Z30" s="182">
        <f t="shared" si="2"/>
        <v>23.903628844509168</v>
      </c>
      <c r="AJ30" s="31">
        <v>100.51674893557502</v>
      </c>
      <c r="AM30" s="31">
        <v>100.51674893557502</v>
      </c>
    </row>
    <row r="31" spans="1:40" ht="20.25" hidden="1" customHeight="1" x14ac:dyDescent="0.35">
      <c r="A31" s="67" t="s">
        <v>26</v>
      </c>
      <c r="B31" s="30">
        <v>6.9602229199999996</v>
      </c>
      <c r="C31" s="31">
        <v>16.393985019999999</v>
      </c>
      <c r="D31" s="31">
        <v>7.5882771800000004</v>
      </c>
      <c r="E31" s="31">
        <v>6.3098298700000006</v>
      </c>
      <c r="F31" s="31">
        <v>1.1095497999999964</v>
      </c>
      <c r="G31" s="50">
        <f t="shared" si="13"/>
        <v>38.361864789999998</v>
      </c>
      <c r="H31" s="30">
        <v>29.522623299999999</v>
      </c>
      <c r="I31" s="31">
        <v>6.70159767</v>
      </c>
      <c r="J31" s="31">
        <v>0.43123169</v>
      </c>
      <c r="K31" s="50">
        <f t="shared" si="17"/>
        <v>36.655452659999995</v>
      </c>
      <c r="L31" s="30">
        <v>9.3196841100000007</v>
      </c>
      <c r="M31" s="31">
        <v>1.0586899699999999</v>
      </c>
      <c r="N31" s="31">
        <v>3.202788</v>
      </c>
      <c r="O31" s="31">
        <v>1.8149409599999999</v>
      </c>
      <c r="P31" s="35">
        <v>16.516746959999985</v>
      </c>
      <c r="Q31" s="50">
        <f t="shared" si="15"/>
        <v>31.912849999999985</v>
      </c>
      <c r="R31" s="34">
        <v>11.041439859999999</v>
      </c>
      <c r="S31" s="48">
        <f t="shared" si="16"/>
        <v>117.97160730999997</v>
      </c>
      <c r="T31" s="33">
        <v>108.49385838386397</v>
      </c>
      <c r="U31" s="31"/>
      <c r="V31" s="28"/>
      <c r="W31" s="31" t="s">
        <v>50</v>
      </c>
      <c r="X31" s="96">
        <f>+T37+T38+T39</f>
        <v>430.39522827357609</v>
      </c>
      <c r="Y31" s="31"/>
      <c r="Z31" s="182">
        <f t="shared" si="2"/>
        <v>25.025193750579245</v>
      </c>
      <c r="AJ31" s="31">
        <v>108.49385838386397</v>
      </c>
      <c r="AM31" s="31">
        <v>108.49385838386397</v>
      </c>
    </row>
    <row r="32" spans="1:40" ht="20.25" hidden="1" customHeight="1" x14ac:dyDescent="0.35">
      <c r="A32" s="67" t="s">
        <v>27</v>
      </c>
      <c r="B32" s="30">
        <v>6.2321070900000004</v>
      </c>
      <c r="C32" s="31">
        <v>8.9105794399999994</v>
      </c>
      <c r="D32" s="31">
        <v>5.7425037300000001</v>
      </c>
      <c r="E32" s="31">
        <v>7.3647813900000001</v>
      </c>
      <c r="F32" s="31">
        <v>2.0954816099999967</v>
      </c>
      <c r="G32" s="50">
        <f t="shared" si="13"/>
        <v>30.345453259999996</v>
      </c>
      <c r="H32" s="30">
        <v>32.05257426</v>
      </c>
      <c r="I32" s="31">
        <v>7.0746213200000003</v>
      </c>
      <c r="J32" s="31">
        <v>0.25553648000000001</v>
      </c>
      <c r="K32" s="50">
        <f t="shared" ref="K32:K39" si="18">SUM(H32:J32)</f>
        <v>39.382732060000002</v>
      </c>
      <c r="L32" s="30">
        <v>30.983536639999997</v>
      </c>
      <c r="M32" s="31">
        <v>0.89093035999999992</v>
      </c>
      <c r="N32" s="31">
        <v>2.76598188</v>
      </c>
      <c r="O32" s="31">
        <v>2.75816645</v>
      </c>
      <c r="P32" s="35">
        <v>17.206081650000023</v>
      </c>
      <c r="Q32" s="50">
        <f t="shared" si="15"/>
        <v>54.604696980000014</v>
      </c>
      <c r="R32" s="34">
        <v>15.539359409999999</v>
      </c>
      <c r="S32" s="48">
        <f t="shared" si="16"/>
        <v>139.87224171000003</v>
      </c>
      <c r="T32" s="33">
        <v>134.01463211203799</v>
      </c>
      <c r="U32" s="31"/>
      <c r="V32" s="28"/>
      <c r="W32" s="31"/>
      <c r="X32" s="96"/>
      <c r="Y32" s="31"/>
      <c r="Z32" s="182">
        <f t="shared" si="2"/>
        <v>22.915607749002305</v>
      </c>
      <c r="AJ32" s="31">
        <v>134.01463211203799</v>
      </c>
      <c r="AM32" s="31">
        <v>134.01463211203799</v>
      </c>
    </row>
    <row r="33" spans="1:40" ht="20.25" hidden="1" customHeight="1" x14ac:dyDescent="0.35">
      <c r="A33" s="67" t="s">
        <v>28</v>
      </c>
      <c r="B33" s="30">
        <v>6.2714780000000001</v>
      </c>
      <c r="C33" s="31">
        <v>9.5367244400000004</v>
      </c>
      <c r="D33" s="31">
        <v>7.9880576199999993</v>
      </c>
      <c r="E33" s="31">
        <v>6.3686032300000006</v>
      </c>
      <c r="F33" s="31">
        <v>1.8191648399999991</v>
      </c>
      <c r="G33" s="50">
        <f t="shared" si="13"/>
        <v>31.984028130000002</v>
      </c>
      <c r="H33" s="30">
        <v>34.617466190000002</v>
      </c>
      <c r="I33" s="31">
        <v>13.518257150000002</v>
      </c>
      <c r="J33" s="31">
        <v>0.42066670999999994</v>
      </c>
      <c r="K33" s="50">
        <f t="shared" si="18"/>
        <v>48.556390050000005</v>
      </c>
      <c r="L33" s="30">
        <v>32.030119590000005</v>
      </c>
      <c r="M33" s="31">
        <v>0.79916313999999999</v>
      </c>
      <c r="N33" s="31">
        <v>3.5768775000000002</v>
      </c>
      <c r="O33" s="31">
        <v>3.2819609000000001</v>
      </c>
      <c r="P33" s="35">
        <v>17.84473491</v>
      </c>
      <c r="Q33" s="50">
        <f t="shared" si="15"/>
        <v>57.532856040000006</v>
      </c>
      <c r="R33" s="34">
        <v>20.25695601</v>
      </c>
      <c r="S33" s="48">
        <f t="shared" si="16"/>
        <v>158.33023023000001</v>
      </c>
      <c r="T33" s="33">
        <v>151.45213547446801</v>
      </c>
      <c r="U33" s="31"/>
      <c r="V33" s="28"/>
      <c r="W33" s="31"/>
      <c r="X33" s="96"/>
      <c r="Y33" s="31"/>
      <c r="Z33" s="182">
        <f t="shared" si="2"/>
        <v>21.864091361272315</v>
      </c>
      <c r="AJ33" s="31">
        <v>151.45213547446801</v>
      </c>
      <c r="AM33" s="31">
        <v>151.45213547446801</v>
      </c>
    </row>
    <row r="34" spans="1:40" hidden="1" x14ac:dyDescent="0.35">
      <c r="A34" s="67" t="s">
        <v>29</v>
      </c>
      <c r="B34" s="30">
        <v>6.1548347799999998</v>
      </c>
      <c r="C34" s="31">
        <v>10.06042044</v>
      </c>
      <c r="D34" s="31">
        <v>5.8890971800000003</v>
      </c>
      <c r="E34" s="31">
        <v>6.9983913499999995</v>
      </c>
      <c r="F34" s="31">
        <v>1.7053710899999999</v>
      </c>
      <c r="G34" s="50">
        <f t="shared" si="13"/>
        <v>30.808114839999998</v>
      </c>
      <c r="H34" s="30">
        <v>35.207806720000001</v>
      </c>
      <c r="I34" s="31">
        <v>7.1141002400000009</v>
      </c>
      <c r="J34" s="31">
        <v>0.28971858999999994</v>
      </c>
      <c r="K34" s="50">
        <f t="shared" ref="K34:K38" si="19">SUM(H34:J34)</f>
        <v>42.611625549999999</v>
      </c>
      <c r="L34" s="30">
        <v>34.046112700000002</v>
      </c>
      <c r="M34" s="31">
        <v>0.94817229000000014</v>
      </c>
      <c r="N34" s="31">
        <v>4.4059001599999998</v>
      </c>
      <c r="O34" s="31">
        <v>1.8536318700000001</v>
      </c>
      <c r="P34" s="35">
        <v>18.100647209999984</v>
      </c>
      <c r="Q34" s="50">
        <f t="shared" si="15"/>
        <v>59.354464229999991</v>
      </c>
      <c r="R34" s="34">
        <v>17.596415739999998</v>
      </c>
      <c r="S34" s="48">
        <f t="shared" si="16"/>
        <v>150.37062035999998</v>
      </c>
      <c r="T34" s="33">
        <v>144.09784519130798</v>
      </c>
      <c r="U34" s="31"/>
      <c r="V34" s="28"/>
      <c r="W34" s="31"/>
      <c r="X34" s="96"/>
      <c r="Y34" s="31"/>
      <c r="Z34" s="182">
        <f t="shared" si="2"/>
        <v>23.414019730522849</v>
      </c>
      <c r="AJ34" s="31">
        <v>144.09784519130798</v>
      </c>
      <c r="AM34" s="31">
        <v>144.09784519130798</v>
      </c>
    </row>
    <row r="35" spans="1:40" hidden="1" x14ac:dyDescent="0.35">
      <c r="A35" s="67" t="s">
        <v>30</v>
      </c>
      <c r="B35" s="30">
        <v>7.3926998400000006</v>
      </c>
      <c r="C35" s="31">
        <v>6.49426389</v>
      </c>
      <c r="D35" s="31">
        <v>4.6789655500000009</v>
      </c>
      <c r="E35" s="31">
        <v>6.18759003</v>
      </c>
      <c r="F35" s="31">
        <v>2.272124619999996</v>
      </c>
      <c r="G35" s="50">
        <f t="shared" si="13"/>
        <v>27.025643929999998</v>
      </c>
      <c r="H35" s="30">
        <v>33.335475870000003</v>
      </c>
      <c r="I35" s="31">
        <v>4.5637406200000008</v>
      </c>
      <c r="J35" s="31">
        <v>0.41216184999999994</v>
      </c>
      <c r="K35" s="50">
        <f t="shared" si="19"/>
        <v>38.311378339999997</v>
      </c>
      <c r="L35" s="30">
        <v>31.513044190000002</v>
      </c>
      <c r="M35" s="31">
        <v>1.5094332799999999</v>
      </c>
      <c r="N35" s="31">
        <v>4.0958848400000001</v>
      </c>
      <c r="O35" s="31">
        <v>3.5014056</v>
      </c>
      <c r="P35" s="35">
        <v>21.394332810000002</v>
      </c>
      <c r="Q35" s="50">
        <f t="shared" si="15"/>
        <v>62.014100720000009</v>
      </c>
      <c r="R35" s="34">
        <v>19.601300459999997</v>
      </c>
      <c r="S35" s="48">
        <f t="shared" si="16"/>
        <v>146.95242345</v>
      </c>
      <c r="T35" s="33">
        <v>142.38886685398302</v>
      </c>
      <c r="U35" s="31"/>
      <c r="V35" s="28"/>
      <c r="W35" s="31"/>
      <c r="X35" s="96"/>
      <c r="Y35" s="31"/>
      <c r="Z35" s="182">
        <f t="shared" si="2"/>
        <v>22.684536319567584</v>
      </c>
      <c r="AJ35" s="31">
        <v>142.38886685398302</v>
      </c>
      <c r="AM35" s="31">
        <v>142.38886685398302</v>
      </c>
    </row>
    <row r="36" spans="1:40" hidden="1" x14ac:dyDescent="0.35">
      <c r="A36" s="67" t="s">
        <v>31</v>
      </c>
      <c r="B36" s="30">
        <v>6.1702865399999993</v>
      </c>
      <c r="C36" s="31">
        <v>6.0808753600000012</v>
      </c>
      <c r="D36" s="31">
        <v>4.1192930600000004</v>
      </c>
      <c r="E36" s="31">
        <v>7.2176204500000001</v>
      </c>
      <c r="F36" s="31">
        <v>1.7261788099999968</v>
      </c>
      <c r="G36" s="50">
        <f t="shared" si="13"/>
        <v>25.314254219999999</v>
      </c>
      <c r="H36" s="30">
        <v>31.054552840000003</v>
      </c>
      <c r="I36" s="31">
        <v>14.928473210000002</v>
      </c>
      <c r="J36" s="31">
        <v>0.27934932000000001</v>
      </c>
      <c r="K36" s="50">
        <f t="shared" si="19"/>
        <v>46.262375370000008</v>
      </c>
      <c r="L36" s="30">
        <v>28.961464239999998</v>
      </c>
      <c r="M36" s="31">
        <v>1.6184847400000002</v>
      </c>
      <c r="N36" s="31">
        <v>5.7976502400000003</v>
      </c>
      <c r="O36" s="31">
        <v>5.9057044699999999</v>
      </c>
      <c r="P36" s="35">
        <v>23.52955252000001</v>
      </c>
      <c r="Q36" s="50">
        <f t="shared" si="15"/>
        <v>65.812856210000007</v>
      </c>
      <c r="R36" s="34">
        <v>18.395800399999999</v>
      </c>
      <c r="S36" s="48">
        <f t="shared" si="16"/>
        <v>155.78528620000003</v>
      </c>
      <c r="T36" s="33">
        <v>151.71812060815202</v>
      </c>
      <c r="U36" s="31"/>
      <c r="V36" s="28"/>
      <c r="W36" s="31"/>
      <c r="X36" s="96"/>
      <c r="Y36" s="31"/>
      <c r="Z36" s="182">
        <f t="shared" si="2"/>
        <v>19.934201488150553</v>
      </c>
      <c r="AJ36" s="31">
        <f>151.718120608152-3.5</f>
        <v>148.21812060815199</v>
      </c>
      <c r="AM36" s="31">
        <v>151.71812060815202</v>
      </c>
    </row>
    <row r="37" spans="1:40" hidden="1" x14ac:dyDescent="0.35">
      <c r="A37" s="67" t="s">
        <v>32</v>
      </c>
      <c r="B37" s="30">
        <v>6.1345726300000001</v>
      </c>
      <c r="C37" s="31">
        <v>11.647418569999999</v>
      </c>
      <c r="D37" s="31">
        <v>4.754467560000001</v>
      </c>
      <c r="E37" s="31">
        <v>5.1294970400000004</v>
      </c>
      <c r="F37" s="31">
        <v>1.9002767799999951</v>
      </c>
      <c r="G37" s="50">
        <f t="shared" si="13"/>
        <v>29.566232579999998</v>
      </c>
      <c r="H37" s="30">
        <v>38.856674730000002</v>
      </c>
      <c r="I37" s="31">
        <v>5.9034743399999998</v>
      </c>
      <c r="J37" s="31">
        <v>0.19381036000000001</v>
      </c>
      <c r="K37" s="50">
        <f t="shared" si="19"/>
        <v>44.953959430000005</v>
      </c>
      <c r="L37" s="30">
        <v>25.446725619999999</v>
      </c>
      <c r="M37" s="31">
        <v>1.3840240000000001</v>
      </c>
      <c r="N37" s="31">
        <v>2.2124476800000004</v>
      </c>
      <c r="O37" s="31">
        <v>7.6554614600000006</v>
      </c>
      <c r="P37" s="35">
        <v>18.775659359999999</v>
      </c>
      <c r="Q37" s="50">
        <f t="shared" ref="Q37:Q39" si="20">SUM(L37:P37)</f>
        <v>55.47431812</v>
      </c>
      <c r="R37" s="34">
        <v>11.065296029999999</v>
      </c>
      <c r="S37" s="48">
        <f t="shared" si="16"/>
        <v>141.05980615999999</v>
      </c>
      <c r="T37" s="33">
        <v>134.47493430781898</v>
      </c>
      <c r="U37" s="31"/>
      <c r="V37" s="28"/>
      <c r="W37" s="31"/>
      <c r="X37" s="96"/>
      <c r="Y37" s="31"/>
      <c r="Z37" s="182">
        <f t="shared" si="2"/>
        <v>27.546241404816634</v>
      </c>
      <c r="AJ37" s="31">
        <v>134.47493430781898</v>
      </c>
      <c r="AM37" s="31">
        <v>134.47493430781898</v>
      </c>
    </row>
    <row r="38" spans="1:40" hidden="1" x14ac:dyDescent="0.35">
      <c r="A38" s="67" t="s">
        <v>33</v>
      </c>
      <c r="B38" s="30">
        <v>6.2300320100000004</v>
      </c>
      <c r="C38" s="31">
        <v>14.5454735</v>
      </c>
      <c r="D38" s="31">
        <v>7.5242906700000001</v>
      </c>
      <c r="E38" s="31">
        <v>2.5765621399999996</v>
      </c>
      <c r="F38" s="31">
        <v>3.5820549600000007</v>
      </c>
      <c r="G38" s="50">
        <f t="shared" si="13"/>
        <v>34.458413280000002</v>
      </c>
      <c r="H38" s="30">
        <v>43.173613240000002</v>
      </c>
      <c r="I38" s="31">
        <v>9.1238730500000003</v>
      </c>
      <c r="J38" s="31">
        <v>0.26628280999999998</v>
      </c>
      <c r="K38" s="50">
        <f t="shared" si="19"/>
        <v>52.563769100000002</v>
      </c>
      <c r="L38" s="30">
        <v>24.330756110000003</v>
      </c>
      <c r="M38" s="31">
        <v>1.91967701</v>
      </c>
      <c r="N38" s="31">
        <v>5.4008063000000002</v>
      </c>
      <c r="O38" s="31">
        <v>5.3383549199999996</v>
      </c>
      <c r="P38" s="35">
        <v>27.68342513999999</v>
      </c>
      <c r="Q38" s="50">
        <f>SUM(L38:P38)</f>
        <v>64.673019479999994</v>
      </c>
      <c r="R38" s="34">
        <v>14.542362429999999</v>
      </c>
      <c r="S38" s="48">
        <f t="shared" si="16"/>
        <v>166.23756428999999</v>
      </c>
      <c r="T38" s="33">
        <v>157.37297717202</v>
      </c>
      <c r="U38" s="31"/>
      <c r="V38" s="28"/>
      <c r="W38" s="31"/>
      <c r="X38" s="96"/>
      <c r="Y38" s="31"/>
      <c r="Z38" s="182">
        <f t="shared" si="2"/>
        <v>25.9710333367758</v>
      </c>
      <c r="AJ38" s="31">
        <v>157.37297717202</v>
      </c>
      <c r="AM38" s="31">
        <v>157.37297717202</v>
      </c>
    </row>
    <row r="39" spans="1:40" hidden="1" x14ac:dyDescent="0.35">
      <c r="A39" s="67" t="s">
        <v>38</v>
      </c>
      <c r="B39" s="30">
        <v>4.9744563199999998</v>
      </c>
      <c r="C39" s="31">
        <v>15.618322810000002</v>
      </c>
      <c r="D39" s="31">
        <v>8.5842142799999994</v>
      </c>
      <c r="E39" s="31">
        <v>2.7981154600000004</v>
      </c>
      <c r="F39" s="31">
        <v>2.249799129999996</v>
      </c>
      <c r="G39" s="50">
        <f t="shared" si="13"/>
        <v>34.224907999999999</v>
      </c>
      <c r="H39" s="30">
        <v>39.29277948</v>
      </c>
      <c r="I39" s="31">
        <v>2.0646565100000003</v>
      </c>
      <c r="J39" s="31">
        <v>0.22882601999999999</v>
      </c>
      <c r="K39" s="50">
        <f t="shared" si="18"/>
        <v>41.586262009999999</v>
      </c>
      <c r="L39" s="30">
        <v>29.013511319999999</v>
      </c>
      <c r="M39" s="31">
        <v>2.3151195800000002</v>
      </c>
      <c r="N39" s="31">
        <v>2.0715289699999997</v>
      </c>
      <c r="O39" s="31">
        <v>2.2441773700000005</v>
      </c>
      <c r="P39" s="35">
        <v>22.706544550000011</v>
      </c>
      <c r="Q39" s="50">
        <f t="shared" si="20"/>
        <v>58.350881790000017</v>
      </c>
      <c r="R39" s="34">
        <v>13.818763990000001</v>
      </c>
      <c r="S39" s="48">
        <f t="shared" si="16"/>
        <v>147.98081579000001</v>
      </c>
      <c r="T39" s="33">
        <v>138.54731679373705</v>
      </c>
      <c r="U39" s="31"/>
      <c r="V39" s="28"/>
      <c r="W39" s="31"/>
      <c r="X39" s="96"/>
      <c r="Y39" s="31"/>
      <c r="Z39" s="182">
        <f t="shared" si="2"/>
        <v>26.5526171552943</v>
      </c>
      <c r="AJ39" s="31">
        <v>138.54731679373705</v>
      </c>
      <c r="AM39" s="31">
        <v>138.54731679373705</v>
      </c>
    </row>
    <row r="40" spans="1:40" hidden="1" x14ac:dyDescent="0.35">
      <c r="A40" s="67"/>
      <c r="B40" s="30"/>
      <c r="C40" s="31"/>
      <c r="D40" s="31"/>
      <c r="E40" s="31"/>
      <c r="F40" s="31"/>
      <c r="G40" s="32"/>
      <c r="H40" s="30"/>
      <c r="I40" s="31"/>
      <c r="J40" s="31"/>
      <c r="K40" s="32"/>
      <c r="L40" s="30"/>
      <c r="M40" s="31"/>
      <c r="N40" s="31"/>
      <c r="O40" s="31"/>
      <c r="P40" s="31"/>
      <c r="Q40" s="32"/>
      <c r="R40" s="34"/>
      <c r="S40" s="30"/>
      <c r="T40" s="33"/>
      <c r="U40" s="31"/>
      <c r="V40" s="28"/>
      <c r="W40" s="31"/>
      <c r="X40" s="96"/>
      <c r="Y40" s="31"/>
      <c r="Z40" s="182" t="e">
        <f t="shared" si="2"/>
        <v>#DIV/0!</v>
      </c>
      <c r="AJ40" s="31"/>
    </row>
    <row r="41" spans="1:40" hidden="1" x14ac:dyDescent="0.35">
      <c r="A41" s="87">
        <v>2004</v>
      </c>
      <c r="B41" s="30">
        <f t="shared" ref="B41:P41" si="21">SUM(B42:B53)</f>
        <v>145.35187492</v>
      </c>
      <c r="C41" s="31">
        <f t="shared" si="21"/>
        <v>151.42896296000001</v>
      </c>
      <c r="D41" s="31">
        <f t="shared" si="21"/>
        <v>91.224077390000005</v>
      </c>
      <c r="E41" s="31">
        <f t="shared" si="21"/>
        <v>33.692179969999998</v>
      </c>
      <c r="F41" s="31">
        <f t="shared" si="21"/>
        <v>34.154560689999968</v>
      </c>
      <c r="G41" s="32">
        <f t="shared" si="21"/>
        <v>455.85165592999999</v>
      </c>
      <c r="H41" s="30">
        <f t="shared" si="21"/>
        <v>619.72023345000014</v>
      </c>
      <c r="I41" s="31">
        <f t="shared" si="21"/>
        <v>172.49830555</v>
      </c>
      <c r="J41" s="31">
        <f t="shared" si="21"/>
        <v>3.0900819200000003</v>
      </c>
      <c r="K41" s="32">
        <f t="shared" si="21"/>
        <v>795.30862092000007</v>
      </c>
      <c r="L41" s="30">
        <f t="shared" si="21"/>
        <v>366.02223144000004</v>
      </c>
      <c r="M41" s="31">
        <f t="shared" si="21"/>
        <v>22.222654850000001</v>
      </c>
      <c r="N41" s="31">
        <f t="shared" si="21"/>
        <v>51.592155590000004</v>
      </c>
      <c r="O41" s="31">
        <f t="shared" si="21"/>
        <v>44.536465499999998</v>
      </c>
      <c r="P41" s="31">
        <f t="shared" si="21"/>
        <v>348.43108198999994</v>
      </c>
      <c r="Q41" s="32">
        <f>SUM(Q42:Q53)</f>
        <v>832.80458937000003</v>
      </c>
      <c r="R41" s="34">
        <f t="shared" ref="R41:T41" si="22">SUM(R42:R53)</f>
        <v>181.22287185999997</v>
      </c>
      <c r="S41" s="30">
        <f t="shared" si="22"/>
        <v>2265.1877380800001</v>
      </c>
      <c r="T41" s="33">
        <f t="shared" si="22"/>
        <v>2165.8374754813422</v>
      </c>
      <c r="U41" s="31"/>
      <c r="V41" s="110"/>
      <c r="W41" s="31"/>
      <c r="X41" s="96"/>
      <c r="Y41" s="31"/>
      <c r="Z41" s="182">
        <f t="shared" si="2"/>
        <v>27.358449060618806</v>
      </c>
      <c r="AJ41" s="31">
        <f t="shared" ref="AJ41" si="23">SUM(AJ42:AJ53)</f>
        <v>2159.0796754813423</v>
      </c>
      <c r="AM41" s="31">
        <f t="shared" ref="AM41" si="24">SUM(AM42:AM53)</f>
        <v>2165.8374754813422</v>
      </c>
      <c r="AN41" s="31">
        <f>+T41-AM41</f>
        <v>0</v>
      </c>
    </row>
    <row r="42" spans="1:40" hidden="1" x14ac:dyDescent="0.35">
      <c r="A42" s="67" t="s">
        <v>23</v>
      </c>
      <c r="B42" s="30">
        <v>12.667405599999999</v>
      </c>
      <c r="C42" s="31">
        <v>10.298939960000002</v>
      </c>
      <c r="D42" s="31">
        <v>12.321091430000003</v>
      </c>
      <c r="E42" s="31">
        <v>2.9699032900000004</v>
      </c>
      <c r="F42" s="31">
        <v>3.6135486200000031</v>
      </c>
      <c r="G42" s="50">
        <f>SUM(B42:F42)</f>
        <v>41.870888900000004</v>
      </c>
      <c r="H42" s="30">
        <v>36.282139479999998</v>
      </c>
      <c r="I42" s="31">
        <v>11.22297427</v>
      </c>
      <c r="J42" s="31">
        <v>0.28520294000000002</v>
      </c>
      <c r="K42" s="50">
        <f t="shared" ref="K42" si="25">SUM(H42:J42)</f>
        <v>47.790316689999997</v>
      </c>
      <c r="L42" s="30">
        <v>43.652364000000006</v>
      </c>
      <c r="M42" s="31">
        <v>1.4641029399999996</v>
      </c>
      <c r="N42" s="31">
        <v>0.76442392000000015</v>
      </c>
      <c r="O42" s="31">
        <v>2.4734741800000002</v>
      </c>
      <c r="P42" s="31">
        <v>19.589833630000001</v>
      </c>
      <c r="Q42" s="50">
        <f t="shared" ref="Q42:Q50" si="26">SUM(L42:P42)</f>
        <v>67.944198670000006</v>
      </c>
      <c r="R42" s="34">
        <v>12.004662099999999</v>
      </c>
      <c r="S42" s="48">
        <f>+R42+Q42+K42+G42</f>
        <v>169.61006636000002</v>
      </c>
      <c r="T42" s="33">
        <v>160.47038697623199</v>
      </c>
      <c r="U42" s="31"/>
      <c r="V42" s="28"/>
      <c r="W42" s="31" t="s">
        <v>47</v>
      </c>
      <c r="X42" s="96">
        <f>SUM(T42:T44)</f>
        <v>460.96996835849893</v>
      </c>
      <c r="Y42" s="31"/>
      <c r="Z42" s="182">
        <f t="shared" si="2"/>
        <v>21.391501258534142</v>
      </c>
      <c r="AJ42" s="31">
        <v>160.47038697623199</v>
      </c>
      <c r="AM42" s="31">
        <v>160.47038697623199</v>
      </c>
    </row>
    <row r="43" spans="1:40" hidden="1" x14ac:dyDescent="0.35">
      <c r="A43" s="67" t="s">
        <v>24</v>
      </c>
      <c r="B43" s="30">
        <v>9.2618994400000005</v>
      </c>
      <c r="C43" s="31">
        <v>13.540180510000001</v>
      </c>
      <c r="D43" s="31">
        <v>5.3416664100000002</v>
      </c>
      <c r="E43" s="31">
        <v>2.6980577800000001</v>
      </c>
      <c r="F43" s="31">
        <v>1.5575897199999957</v>
      </c>
      <c r="G43" s="50">
        <f t="shared" ref="G43:G53" si="27">SUM(B43:F43)</f>
        <v>32.399393859999996</v>
      </c>
      <c r="H43" s="30">
        <v>41.574057010000004</v>
      </c>
      <c r="I43" s="31">
        <v>2.0825448900000003</v>
      </c>
      <c r="J43" s="31">
        <v>0.17325800000000002</v>
      </c>
      <c r="K43" s="50">
        <f t="shared" ref="K43:K45" si="28">SUM(H43:J43)</f>
        <v>43.829859900000002</v>
      </c>
      <c r="L43" s="30">
        <v>27.044867619999998</v>
      </c>
      <c r="M43" s="31">
        <v>1.6569525500000002</v>
      </c>
      <c r="N43" s="31">
        <v>0.87842799999999999</v>
      </c>
      <c r="O43" s="31">
        <v>2.58054848</v>
      </c>
      <c r="P43" s="31">
        <v>25.732190989999999</v>
      </c>
      <c r="Q43" s="50">
        <f t="shared" si="26"/>
        <v>57.892987639999994</v>
      </c>
      <c r="R43" s="34">
        <v>14.993216230000007</v>
      </c>
      <c r="S43" s="48">
        <f>+R43+Q43+K43+G43</f>
        <v>149.11545763000001</v>
      </c>
      <c r="T43" s="33">
        <v>141.43163974066701</v>
      </c>
      <c r="U43" s="31"/>
      <c r="V43" s="28"/>
      <c r="W43" s="31" t="s">
        <v>48</v>
      </c>
      <c r="X43" s="96">
        <f>SUM(T45:T47)</f>
        <v>540.42929490518804</v>
      </c>
      <c r="Y43" s="31"/>
      <c r="Z43" s="182">
        <f t="shared" si="2"/>
        <v>27.880447587907121</v>
      </c>
      <c r="AJ43" s="31">
        <f>141.431639740667-6.7578</f>
        <v>134.67383974066701</v>
      </c>
      <c r="AM43" s="31">
        <v>141.43163974066701</v>
      </c>
    </row>
    <row r="44" spans="1:40" hidden="1" x14ac:dyDescent="0.35">
      <c r="A44" s="67" t="s">
        <v>25</v>
      </c>
      <c r="B44" s="30">
        <v>14.86188551</v>
      </c>
      <c r="C44" s="31">
        <v>14.375247000000002</v>
      </c>
      <c r="D44" s="31">
        <v>7.4017252400000011</v>
      </c>
      <c r="E44" s="31">
        <v>2.7122301900000001</v>
      </c>
      <c r="F44" s="31">
        <v>2.0639782900000014</v>
      </c>
      <c r="G44" s="50">
        <f t="shared" si="27"/>
        <v>41.415066230000001</v>
      </c>
      <c r="H44" s="30">
        <v>45.812768179999999</v>
      </c>
      <c r="I44" s="31">
        <v>10.88059262</v>
      </c>
      <c r="J44" s="31">
        <v>0.35505701000000001</v>
      </c>
      <c r="K44" s="50">
        <f t="shared" si="28"/>
        <v>57.048417810000004</v>
      </c>
      <c r="L44" s="30">
        <v>21.787468460000003</v>
      </c>
      <c r="M44" s="31">
        <v>1.7112740899999999</v>
      </c>
      <c r="N44" s="31">
        <v>3.0049039999999998</v>
      </c>
      <c r="O44" s="31">
        <v>4.6170945899999998</v>
      </c>
      <c r="P44" s="31">
        <v>29.672656329999977</v>
      </c>
      <c r="Q44" s="50">
        <f t="shared" si="26"/>
        <v>60.793397469999981</v>
      </c>
      <c r="R44" s="34">
        <v>8.7084684499999998</v>
      </c>
      <c r="S44" s="48">
        <f>+R44+Q44+K44+G44</f>
        <v>167.96534996</v>
      </c>
      <c r="T44" s="33">
        <v>159.06794164159996</v>
      </c>
      <c r="U44" s="31"/>
      <c r="V44" s="28"/>
      <c r="W44" s="31" t="s">
        <v>49</v>
      </c>
      <c r="X44" s="96">
        <f>SUM(T48:T50)</f>
        <v>599.39475957340903</v>
      </c>
      <c r="Y44" s="31"/>
      <c r="Z44" s="182">
        <f t="shared" si="2"/>
        <v>27.275130371180754</v>
      </c>
      <c r="AJ44" s="31">
        <v>159.06794164159996</v>
      </c>
      <c r="AM44" s="31">
        <v>159.06794164159996</v>
      </c>
    </row>
    <row r="45" spans="1:40" hidden="1" x14ac:dyDescent="0.35">
      <c r="A45" s="67" t="s">
        <v>26</v>
      </c>
      <c r="B45" s="30">
        <v>11.793947150000001</v>
      </c>
      <c r="C45" s="31">
        <v>14.635809349999999</v>
      </c>
      <c r="D45" s="31">
        <v>6.2703982600000003</v>
      </c>
      <c r="E45" s="31">
        <v>2.9155553300000001</v>
      </c>
      <c r="F45" s="31">
        <v>2.420190209999987</v>
      </c>
      <c r="G45" s="50">
        <f t="shared" si="27"/>
        <v>38.035900299999994</v>
      </c>
      <c r="H45" s="30">
        <v>44.288683229999997</v>
      </c>
      <c r="I45" s="31">
        <v>2.2123632799999999</v>
      </c>
      <c r="J45" s="31">
        <v>0.36537461000000004</v>
      </c>
      <c r="K45" s="50">
        <f t="shared" si="28"/>
        <v>46.866421119999998</v>
      </c>
      <c r="L45" s="30">
        <v>25.942914230000003</v>
      </c>
      <c r="M45" s="31">
        <v>1.2754716800000001</v>
      </c>
      <c r="N45" s="31">
        <v>3.7209504000000004</v>
      </c>
      <c r="O45" s="31">
        <v>1.9949725399999998</v>
      </c>
      <c r="P45" s="31">
        <v>27.37551624999999</v>
      </c>
      <c r="Q45" s="50">
        <f t="shared" si="26"/>
        <v>60.309825099999991</v>
      </c>
      <c r="R45" s="34">
        <v>10.156587719999999</v>
      </c>
      <c r="S45" s="48">
        <f>+R45+Q45+K45+G45</f>
        <v>155.36873423999998</v>
      </c>
      <c r="T45" s="33">
        <v>146.74404755826498</v>
      </c>
      <c r="U45" s="31"/>
      <c r="V45" s="28"/>
      <c r="W45" s="31" t="s">
        <v>50</v>
      </c>
      <c r="X45" s="96">
        <f>+T51+T52+T53</f>
        <v>565.04345264424592</v>
      </c>
      <c r="Y45" s="31"/>
      <c r="Z45" s="182">
        <f t="shared" si="2"/>
        <v>28.505531339134631</v>
      </c>
      <c r="AJ45" s="31">
        <v>146.74404755826498</v>
      </c>
      <c r="AM45" s="31">
        <v>146.74404755826498</v>
      </c>
    </row>
    <row r="46" spans="1:40" hidden="1" x14ac:dyDescent="0.35">
      <c r="A46" s="67" t="s">
        <v>39</v>
      </c>
      <c r="B46" s="30">
        <v>13.000025800000001</v>
      </c>
      <c r="C46" s="31">
        <v>10.09442651</v>
      </c>
      <c r="D46" s="31">
        <v>11.76711003</v>
      </c>
      <c r="E46" s="31">
        <v>2.9177325000000001</v>
      </c>
      <c r="F46" s="31">
        <v>3.2020390400000025</v>
      </c>
      <c r="G46" s="50">
        <f t="shared" si="27"/>
        <v>40.981333880000001</v>
      </c>
      <c r="H46" s="30">
        <v>48.019374859999999</v>
      </c>
      <c r="I46" s="31">
        <v>21.602237360000004</v>
      </c>
      <c r="J46" s="31">
        <v>0.19044170000000002</v>
      </c>
      <c r="K46" s="50">
        <f t="shared" ref="K46:K53" si="29">SUM(H46:J46)</f>
        <v>69.812053919999997</v>
      </c>
      <c r="L46" s="30">
        <v>41.459415500000006</v>
      </c>
      <c r="M46" s="31">
        <v>1.8080766599999998</v>
      </c>
      <c r="N46" s="31">
        <v>5.7027679100000004</v>
      </c>
      <c r="O46" s="31">
        <v>2.6269893999999994</v>
      </c>
      <c r="P46" s="31">
        <v>23.32582025</v>
      </c>
      <c r="Q46" s="50">
        <f t="shared" si="26"/>
        <v>74.923069720000001</v>
      </c>
      <c r="R46" s="34">
        <v>12.430518129999998</v>
      </c>
      <c r="S46" s="48">
        <f>+R46+Q46+K46+G46</f>
        <v>198.14697564999997</v>
      </c>
      <c r="T46" s="33">
        <v>189.34599146224701</v>
      </c>
      <c r="U46" s="31"/>
      <c r="V46" s="28"/>
      <c r="W46" s="31"/>
      <c r="X46" s="96"/>
      <c r="Y46" s="31"/>
      <c r="Z46" s="182">
        <f t="shared" si="2"/>
        <v>24.234220432826479</v>
      </c>
      <c r="AJ46" s="31">
        <v>189.34599146224701</v>
      </c>
      <c r="AM46" s="31">
        <v>189.34599146224701</v>
      </c>
    </row>
    <row r="47" spans="1:40" hidden="1" x14ac:dyDescent="0.35">
      <c r="A47" s="67" t="s">
        <v>28</v>
      </c>
      <c r="B47" s="30">
        <v>12.434411410000003</v>
      </c>
      <c r="C47" s="31">
        <v>11.236705680000002</v>
      </c>
      <c r="D47" s="31">
        <v>4.8615540799999994</v>
      </c>
      <c r="E47" s="31">
        <v>3.1525062299999997</v>
      </c>
      <c r="F47" s="31">
        <v>3.8019948900000031</v>
      </c>
      <c r="G47" s="50">
        <f t="shared" si="27"/>
        <v>35.487172290000004</v>
      </c>
      <c r="H47" s="30">
        <v>52.533558630000002</v>
      </c>
      <c r="I47" s="31">
        <v>22.70248831</v>
      </c>
      <c r="J47" s="31">
        <v>0.15959513</v>
      </c>
      <c r="K47" s="50">
        <f t="shared" si="29"/>
        <v>75.395642069999994</v>
      </c>
      <c r="L47" s="30">
        <v>47.656801710000003</v>
      </c>
      <c r="M47" s="31">
        <v>1.4856320000000001</v>
      </c>
      <c r="N47" s="31">
        <v>4.9694774399999995</v>
      </c>
      <c r="O47" s="31">
        <v>3.3373779800000003</v>
      </c>
      <c r="P47" s="31">
        <v>21.508164510000007</v>
      </c>
      <c r="Q47" s="50">
        <f t="shared" si="26"/>
        <v>78.957453640000011</v>
      </c>
      <c r="R47" s="34">
        <v>21.333831229999998</v>
      </c>
      <c r="S47" s="48">
        <f t="shared" ref="S47:S53" si="30">+R47+Q47+K47+G47</f>
        <v>211.17409923000002</v>
      </c>
      <c r="T47" s="33">
        <v>204.33925588467599</v>
      </c>
      <c r="U47" s="31"/>
      <c r="V47" s="28"/>
      <c r="W47" s="31"/>
      <c r="X47" s="96"/>
      <c r="Y47" s="31"/>
      <c r="Z47" s="182">
        <f t="shared" si="2"/>
        <v>24.876894856685592</v>
      </c>
      <c r="AJ47" s="31">
        <v>204.33925588467599</v>
      </c>
      <c r="AM47" s="31">
        <v>204.33925588467599</v>
      </c>
    </row>
    <row r="48" spans="1:40" hidden="1" x14ac:dyDescent="0.35">
      <c r="A48" s="67" t="s">
        <v>29</v>
      </c>
      <c r="B48" s="30">
        <v>10.174334300000002</v>
      </c>
      <c r="C48" s="31">
        <v>11.96455362</v>
      </c>
      <c r="D48" s="31">
        <v>6.9368366000000004</v>
      </c>
      <c r="E48" s="31">
        <v>2.7314942600000003</v>
      </c>
      <c r="F48" s="31">
        <v>2.8917419899999963</v>
      </c>
      <c r="G48" s="50">
        <f t="shared" si="27"/>
        <v>34.698960769999999</v>
      </c>
      <c r="H48" s="30">
        <v>57.947304890000005</v>
      </c>
      <c r="I48" s="31">
        <v>18.851905910000003</v>
      </c>
      <c r="J48" s="31">
        <v>0.40924804999999997</v>
      </c>
      <c r="K48" s="50">
        <f t="shared" ref="K48:K52" si="31">SUM(H48:J48)</f>
        <v>77.208458850000014</v>
      </c>
      <c r="L48" s="30">
        <v>33.341485129999995</v>
      </c>
      <c r="M48" s="31">
        <v>1.9375489099999998</v>
      </c>
      <c r="N48" s="31">
        <v>6.1635458499999993</v>
      </c>
      <c r="O48" s="31">
        <v>2.3289600199999998</v>
      </c>
      <c r="P48" s="31">
        <v>26.880389370000017</v>
      </c>
      <c r="Q48" s="50">
        <f t="shared" si="26"/>
        <v>70.651929280000004</v>
      </c>
      <c r="R48" s="34">
        <v>14.93236155</v>
      </c>
      <c r="S48" s="48">
        <f t="shared" si="30"/>
        <v>197.49171045000003</v>
      </c>
      <c r="T48" s="33">
        <v>189.73412581016402</v>
      </c>
      <c r="U48" s="31"/>
      <c r="V48" s="28"/>
      <c r="W48" s="31"/>
      <c r="X48" s="96"/>
      <c r="Y48" s="31"/>
      <c r="Z48" s="182">
        <f t="shared" si="2"/>
        <v>29.341639078401123</v>
      </c>
      <c r="AJ48" s="31">
        <v>189.73412581016402</v>
      </c>
      <c r="AM48" s="31">
        <v>189.73412581016402</v>
      </c>
    </row>
    <row r="49" spans="1:40" hidden="1" x14ac:dyDescent="0.35">
      <c r="A49" s="67" t="s">
        <v>30</v>
      </c>
      <c r="B49" s="30">
        <v>12.684459409999999</v>
      </c>
      <c r="C49" s="31">
        <v>12.676426659999999</v>
      </c>
      <c r="D49" s="31">
        <v>5.9863862100000018</v>
      </c>
      <c r="E49" s="31">
        <v>2.8827651700000003</v>
      </c>
      <c r="F49" s="31">
        <v>2.8683103399999865</v>
      </c>
      <c r="G49" s="50">
        <f t="shared" si="27"/>
        <v>37.098347789999991</v>
      </c>
      <c r="H49" s="30">
        <v>60.501345000000001</v>
      </c>
      <c r="I49" s="31">
        <v>6.4132030600000007</v>
      </c>
      <c r="J49" s="31">
        <v>0.26273899000000001</v>
      </c>
      <c r="K49" s="50">
        <f t="shared" si="31"/>
        <v>67.177287050000004</v>
      </c>
      <c r="L49" s="30">
        <v>35.678966619999997</v>
      </c>
      <c r="M49" s="31">
        <v>1.63728433</v>
      </c>
      <c r="N49" s="31">
        <v>7.3279311000000007</v>
      </c>
      <c r="O49" s="31">
        <v>3.4199029299999997</v>
      </c>
      <c r="P49" s="31">
        <v>34.203865610000015</v>
      </c>
      <c r="Q49" s="50">
        <f t="shared" si="26"/>
        <v>82.267950590000012</v>
      </c>
      <c r="R49" s="34">
        <v>17.709152799999998</v>
      </c>
      <c r="S49" s="48">
        <f t="shared" si="30"/>
        <v>204.25273823000001</v>
      </c>
      <c r="T49" s="33">
        <v>196.46100630114199</v>
      </c>
      <c r="U49" s="31"/>
      <c r="V49" s="28"/>
      <c r="W49" s="31"/>
      <c r="X49" s="96"/>
      <c r="Y49" s="31"/>
      <c r="Z49" s="182">
        <f t="shared" si="2"/>
        <v>29.62082443755153</v>
      </c>
      <c r="AJ49" s="31">
        <v>196.46100630114199</v>
      </c>
      <c r="AM49" s="31">
        <v>196.46100630114199</v>
      </c>
    </row>
    <row r="50" spans="1:40" hidden="1" x14ac:dyDescent="0.35">
      <c r="A50" s="67" t="s">
        <v>31</v>
      </c>
      <c r="B50" s="30">
        <v>9.5956582099999999</v>
      </c>
      <c r="C50" s="31">
        <v>10.457805189999997</v>
      </c>
      <c r="D50" s="31">
        <v>6.9930863200000015</v>
      </c>
      <c r="E50" s="31">
        <v>1.7786115200000001</v>
      </c>
      <c r="F50" s="31">
        <v>3.5115896800000002</v>
      </c>
      <c r="G50" s="50">
        <f t="shared" si="27"/>
        <v>32.33675092</v>
      </c>
      <c r="H50" s="30">
        <v>58.858304769999997</v>
      </c>
      <c r="I50" s="31">
        <v>34.709928799999993</v>
      </c>
      <c r="J50" s="31">
        <v>0.17422509</v>
      </c>
      <c r="K50" s="50">
        <f t="shared" si="31"/>
        <v>93.742458659999983</v>
      </c>
      <c r="L50" s="30">
        <v>25.062168110000002</v>
      </c>
      <c r="M50" s="31">
        <v>1.6454189699999999</v>
      </c>
      <c r="N50" s="31">
        <v>9.5106418999999995</v>
      </c>
      <c r="O50" s="31">
        <v>6.18990185</v>
      </c>
      <c r="P50" s="31">
        <v>37.767575579999985</v>
      </c>
      <c r="Q50" s="50">
        <f t="shared" si="26"/>
        <v>80.175706409999989</v>
      </c>
      <c r="R50" s="34">
        <v>14.06972307</v>
      </c>
      <c r="S50" s="48">
        <f t="shared" si="30"/>
        <v>220.32463905999998</v>
      </c>
      <c r="T50" s="33">
        <v>213.199627462103</v>
      </c>
      <c r="U50" s="31"/>
      <c r="V50" s="28"/>
      <c r="W50" s="31"/>
      <c r="X50" s="96"/>
      <c r="Y50" s="31"/>
      <c r="Z50" s="182">
        <f t="shared" si="2"/>
        <v>26.714354336907093</v>
      </c>
      <c r="AJ50" s="31">
        <v>213.199627462103</v>
      </c>
      <c r="AM50" s="31">
        <v>213.199627462103</v>
      </c>
    </row>
    <row r="51" spans="1:40" hidden="1" x14ac:dyDescent="0.35">
      <c r="A51" s="67" t="s">
        <v>32</v>
      </c>
      <c r="B51" s="30">
        <v>12.28215849</v>
      </c>
      <c r="C51" s="31">
        <v>9.6068032100000007</v>
      </c>
      <c r="D51" s="31">
        <v>5.2492277700000001</v>
      </c>
      <c r="E51" s="31">
        <v>2.8765303000000002</v>
      </c>
      <c r="F51" s="31">
        <v>1.9296982499999977</v>
      </c>
      <c r="G51" s="50">
        <f t="shared" si="27"/>
        <v>31.944418020000001</v>
      </c>
      <c r="H51" s="30">
        <v>61.587695070000002</v>
      </c>
      <c r="I51" s="31">
        <v>17.084597329999998</v>
      </c>
      <c r="J51" s="31">
        <v>0.26129940999999995</v>
      </c>
      <c r="K51" s="50">
        <f t="shared" si="31"/>
        <v>78.93359181000001</v>
      </c>
      <c r="L51" s="30">
        <v>14.294606820000002</v>
      </c>
      <c r="M51" s="31">
        <v>2.6772976699999997</v>
      </c>
      <c r="N51" s="31">
        <v>4.5494373299999999</v>
      </c>
      <c r="O51" s="31">
        <v>5.9296102499999996</v>
      </c>
      <c r="P51" s="31">
        <v>33.482199590000008</v>
      </c>
      <c r="Q51" s="50">
        <f t="shared" ref="Q51:Q53" si="32">SUM(L51:P51)</f>
        <v>60.933151660000007</v>
      </c>
      <c r="R51" s="34">
        <v>19.290539119999998</v>
      </c>
      <c r="S51" s="48">
        <f t="shared" si="30"/>
        <v>191.10170061000002</v>
      </c>
      <c r="T51" s="33">
        <v>184.96644011227701</v>
      </c>
      <c r="U51" s="31"/>
      <c r="V51" s="28"/>
      <c r="W51" s="31"/>
      <c r="X51" s="96"/>
      <c r="Y51" s="31"/>
      <c r="Z51" s="182">
        <f t="shared" si="2"/>
        <v>32.227706437677419</v>
      </c>
      <c r="AJ51" s="31">
        <v>184.96644011227701</v>
      </c>
      <c r="AM51" s="31">
        <v>184.96644011227701</v>
      </c>
    </row>
    <row r="52" spans="1:40" hidden="1" x14ac:dyDescent="0.35">
      <c r="A52" s="67" t="s">
        <v>33</v>
      </c>
      <c r="B52" s="30">
        <v>15.270886820000001</v>
      </c>
      <c r="C52" s="31">
        <v>15.634622069999999</v>
      </c>
      <c r="D52" s="31">
        <v>7.8419313499999994</v>
      </c>
      <c r="E52" s="31">
        <v>1.9191847900000001</v>
      </c>
      <c r="F52" s="31">
        <v>3.6991288099999906</v>
      </c>
      <c r="G52" s="50">
        <f t="shared" si="27"/>
        <v>44.365753839999996</v>
      </c>
      <c r="H52" s="30">
        <v>56.379766179999997</v>
      </c>
      <c r="I52" s="31">
        <v>0.68719341999999994</v>
      </c>
      <c r="J52" s="31">
        <v>0.29695193000000003</v>
      </c>
      <c r="K52" s="50">
        <f t="shared" si="31"/>
        <v>57.363911529999996</v>
      </c>
      <c r="L52" s="30">
        <v>19.234828239999999</v>
      </c>
      <c r="M52" s="31">
        <v>1.8508845800000002</v>
      </c>
      <c r="N52" s="31">
        <v>2.9897574000000002</v>
      </c>
      <c r="O52" s="31">
        <v>5.3374285599999993</v>
      </c>
      <c r="P52" s="31">
        <v>34.865056639999999</v>
      </c>
      <c r="Q52" s="50">
        <f>SUM(L52:P52)</f>
        <v>64.277955419999998</v>
      </c>
      <c r="R52" s="34">
        <v>16.310959349999997</v>
      </c>
      <c r="S52" s="48">
        <f t="shared" si="30"/>
        <v>182.31858013999999</v>
      </c>
      <c r="T52" s="33">
        <v>172.60579458413898</v>
      </c>
      <c r="U52" s="31"/>
      <c r="V52" s="28"/>
      <c r="W52" s="31"/>
      <c r="X52" s="96"/>
      <c r="Y52" s="31"/>
      <c r="Z52" s="182">
        <f t="shared" si="2"/>
        <v>30.923763303063645</v>
      </c>
      <c r="AJ52" s="31">
        <v>172.60579458413898</v>
      </c>
      <c r="AM52" s="31">
        <v>172.60579458413898</v>
      </c>
    </row>
    <row r="53" spans="1:40" hidden="1" x14ac:dyDescent="0.35">
      <c r="A53" s="67" t="s">
        <v>38</v>
      </c>
      <c r="B53" s="30">
        <v>11.324802779999999</v>
      </c>
      <c r="C53" s="31">
        <v>16.907443199999999</v>
      </c>
      <c r="D53" s="31">
        <v>10.253063689999999</v>
      </c>
      <c r="E53" s="31">
        <v>4.13760861</v>
      </c>
      <c r="F53" s="31">
        <v>2.594750850000004</v>
      </c>
      <c r="G53" s="50">
        <f t="shared" si="27"/>
        <v>45.217669130000004</v>
      </c>
      <c r="H53" s="30">
        <v>55.935236149999994</v>
      </c>
      <c r="I53" s="31">
        <v>24.048276299999998</v>
      </c>
      <c r="J53" s="31">
        <v>0.15668906000000002</v>
      </c>
      <c r="K53" s="50">
        <f t="shared" si="29"/>
        <v>80.140201509999997</v>
      </c>
      <c r="L53" s="30">
        <v>30.866345000000003</v>
      </c>
      <c r="M53" s="31">
        <v>3.0727104700000001</v>
      </c>
      <c r="N53" s="31">
        <v>2.0098903399999997</v>
      </c>
      <c r="O53" s="31">
        <v>3.7002047200000003</v>
      </c>
      <c r="P53" s="31">
        <v>34.02781324</v>
      </c>
      <c r="Q53" s="50">
        <f t="shared" si="32"/>
        <v>73.67696377</v>
      </c>
      <c r="R53" s="34">
        <v>19.28285211</v>
      </c>
      <c r="S53" s="48">
        <f t="shared" si="30"/>
        <v>218.31768652</v>
      </c>
      <c r="T53" s="33">
        <v>207.47121794782998</v>
      </c>
      <c r="U53" s="31"/>
      <c r="V53" s="28"/>
      <c r="W53" s="31"/>
      <c r="X53" s="96"/>
      <c r="Y53" s="31"/>
      <c r="Z53" s="182">
        <f t="shared" si="2"/>
        <v>25.621028255480248</v>
      </c>
      <c r="AJ53" s="31">
        <v>207.47121794782998</v>
      </c>
      <c r="AM53" s="31">
        <v>207.47121794782998</v>
      </c>
    </row>
    <row r="54" spans="1:40" hidden="1" x14ac:dyDescent="0.35">
      <c r="A54" s="67"/>
      <c r="B54" s="30"/>
      <c r="C54" s="31"/>
      <c r="D54" s="31"/>
      <c r="E54" s="31"/>
      <c r="F54" s="31"/>
      <c r="G54" s="32"/>
      <c r="H54" s="30"/>
      <c r="I54" s="31"/>
      <c r="J54" s="31"/>
      <c r="K54" s="32"/>
      <c r="L54" s="30"/>
      <c r="M54" s="31"/>
      <c r="N54" s="31"/>
      <c r="O54" s="31"/>
      <c r="P54" s="31"/>
      <c r="Q54" s="32"/>
      <c r="R54" s="34"/>
      <c r="S54" s="30"/>
      <c r="T54" s="33"/>
      <c r="U54" s="31"/>
      <c r="V54" s="28"/>
      <c r="W54" s="31"/>
      <c r="X54" s="96"/>
      <c r="Y54" s="31"/>
      <c r="Z54" s="182" t="e">
        <f t="shared" si="2"/>
        <v>#DIV/0!</v>
      </c>
      <c r="AJ54" s="31"/>
    </row>
    <row r="55" spans="1:40" hidden="1" x14ac:dyDescent="0.35">
      <c r="A55" s="87">
        <v>2005</v>
      </c>
      <c r="B55" s="30">
        <f t="shared" ref="B55:P55" si="33">SUM(B56:B67)</f>
        <v>124.89754918000003</v>
      </c>
      <c r="C55" s="31">
        <f t="shared" si="33"/>
        <v>200.78183851</v>
      </c>
      <c r="D55" s="31">
        <f t="shared" si="33"/>
        <v>92.585627509999995</v>
      </c>
      <c r="E55" s="31">
        <f>SUM(E56:E67)</f>
        <v>77.772941540000005</v>
      </c>
      <c r="F55" s="31">
        <f t="shared" si="33"/>
        <v>48.788607830000018</v>
      </c>
      <c r="G55" s="32">
        <f t="shared" si="33"/>
        <v>544.82656457000007</v>
      </c>
      <c r="H55" s="30">
        <f t="shared" si="33"/>
        <v>1086.5033162900002</v>
      </c>
      <c r="I55" s="31">
        <f t="shared" si="33"/>
        <v>313.70272995999994</v>
      </c>
      <c r="J55" s="31">
        <f t="shared" si="33"/>
        <v>2.5856927400000003</v>
      </c>
      <c r="K55" s="32">
        <f t="shared" si="33"/>
        <v>1402.7917389900001</v>
      </c>
      <c r="L55" s="30">
        <f t="shared" si="33"/>
        <v>258.90572237999999</v>
      </c>
      <c r="M55" s="31">
        <f t="shared" si="33"/>
        <v>26.192867019999998</v>
      </c>
      <c r="N55" s="31">
        <f t="shared" si="33"/>
        <v>65.943096880000013</v>
      </c>
      <c r="O55" s="31">
        <f t="shared" si="33"/>
        <v>49.281954720000009</v>
      </c>
      <c r="P55" s="31">
        <f t="shared" si="33"/>
        <v>339.91515686000002</v>
      </c>
      <c r="Q55" s="32">
        <f>SUM(Q56:Q67)</f>
        <v>740.23879785999998</v>
      </c>
      <c r="R55" s="34">
        <f t="shared" ref="R55:T55" si="34">SUM(R56:R67)</f>
        <v>260.22671720999995</v>
      </c>
      <c r="S55" s="30">
        <f t="shared" si="34"/>
        <v>2948.0838186299998</v>
      </c>
      <c r="T55" s="33">
        <f t="shared" si="34"/>
        <v>2826.7175148945171</v>
      </c>
      <c r="U55" s="31"/>
      <c r="V55" s="74">
        <f>2826.7-2.5</f>
        <v>2824.2</v>
      </c>
      <c r="Y55" s="31"/>
      <c r="Z55" s="182">
        <f t="shared" si="2"/>
        <v>36.854559881370932</v>
      </c>
      <c r="AJ55" s="31">
        <f t="shared" ref="AJ55" si="35">SUM(AJ56:AJ67)</f>
        <v>2824.250224894517</v>
      </c>
      <c r="AM55" s="31">
        <f t="shared" ref="AM55" si="36">SUM(AM56:AM67)</f>
        <v>2826.7175148945171</v>
      </c>
      <c r="AN55" s="31">
        <f>+T55-AM55</f>
        <v>0</v>
      </c>
    </row>
    <row r="56" spans="1:40" hidden="1" x14ac:dyDescent="0.35">
      <c r="A56" s="67" t="s">
        <v>23</v>
      </c>
      <c r="B56" s="30">
        <v>9.5676973000000007</v>
      </c>
      <c r="C56" s="31">
        <v>14.767584980000002</v>
      </c>
      <c r="D56" s="31">
        <v>5.7879829300000001</v>
      </c>
      <c r="E56" s="31">
        <v>4.0024641399999998</v>
      </c>
      <c r="F56" s="31">
        <v>2.1421931900000075</v>
      </c>
      <c r="G56" s="50">
        <f t="shared" ref="G56:G66" si="37">SUM(B56:F56)</f>
        <v>36.267922540000008</v>
      </c>
      <c r="H56" s="30">
        <v>65.553808079999996</v>
      </c>
      <c r="I56" s="31">
        <v>16.93648409</v>
      </c>
      <c r="J56" s="31">
        <v>0.26630590999999998</v>
      </c>
      <c r="K56" s="50">
        <f t="shared" ref="K56" si="38">SUM(H56:J56)</f>
        <v>82.756598080000003</v>
      </c>
      <c r="L56" s="30">
        <v>23.681637559999999</v>
      </c>
      <c r="M56" s="31">
        <v>1.2406263099999999</v>
      </c>
      <c r="N56" s="31">
        <v>0.65152919999999992</v>
      </c>
      <c r="O56" s="31">
        <v>2.6769782599999998</v>
      </c>
      <c r="P56" s="31">
        <v>23.709377239999977</v>
      </c>
      <c r="Q56" s="50">
        <f t="shared" ref="Q56:Q64" si="39">SUM(L56:P56)</f>
        <v>51.960148569999973</v>
      </c>
      <c r="R56" s="34">
        <v>11.88373348</v>
      </c>
      <c r="S56" s="48">
        <f t="shared" ref="S56:S67" si="40">+R56+Q56+K56+G56</f>
        <v>182.86840266999999</v>
      </c>
      <c r="T56" s="33">
        <v>174.47855482195595</v>
      </c>
      <c r="U56" s="31"/>
      <c r="V56" s="28"/>
      <c r="W56" s="31" t="s">
        <v>47</v>
      </c>
      <c r="X56" s="96">
        <f>SUM(T56:T58)</f>
        <v>553.07882290651094</v>
      </c>
      <c r="Y56" s="31"/>
      <c r="Z56" s="182">
        <f t="shared" si="2"/>
        <v>35.847531406667805</v>
      </c>
      <c r="AJ56" s="31">
        <v>174.47855482195595</v>
      </c>
      <c r="AM56" s="31">
        <v>174.47855482195595</v>
      </c>
    </row>
    <row r="57" spans="1:40" hidden="1" x14ac:dyDescent="0.35">
      <c r="A57" s="67" t="s">
        <v>24</v>
      </c>
      <c r="B57" s="30">
        <v>9.4288550099999995</v>
      </c>
      <c r="C57" s="31">
        <v>12.2986006</v>
      </c>
      <c r="D57" s="31">
        <v>5.3519450800000001</v>
      </c>
      <c r="E57" s="31">
        <v>2.4533056900000001</v>
      </c>
      <c r="F57" s="31">
        <v>1.9255434700000009</v>
      </c>
      <c r="G57" s="50">
        <f t="shared" si="37"/>
        <v>31.458249850000001</v>
      </c>
      <c r="H57" s="30">
        <v>63.595404620000004</v>
      </c>
      <c r="I57" s="31">
        <v>21.094775519999999</v>
      </c>
      <c r="J57" s="31">
        <v>0.29899575</v>
      </c>
      <c r="K57" s="50">
        <f t="shared" ref="K57:K59" si="41">SUM(H57:J57)</f>
        <v>84.989175889999999</v>
      </c>
      <c r="L57" s="30">
        <v>26.90403654</v>
      </c>
      <c r="M57" s="31">
        <v>1.5864420899999996</v>
      </c>
      <c r="N57" s="31">
        <v>1.0249788</v>
      </c>
      <c r="O57" s="31">
        <v>2.5418971200000002</v>
      </c>
      <c r="P57" s="31">
        <v>20.921615240000008</v>
      </c>
      <c r="Q57" s="50">
        <f t="shared" si="39"/>
        <v>52.978969790000008</v>
      </c>
      <c r="R57" s="34">
        <v>13.69731779</v>
      </c>
      <c r="S57" s="48">
        <f t="shared" si="40"/>
        <v>183.12371332000004</v>
      </c>
      <c r="T57" s="33">
        <v>175.98718028873</v>
      </c>
      <c r="U57" s="31"/>
      <c r="V57" s="28"/>
      <c r="W57" s="31" t="s">
        <v>48</v>
      </c>
      <c r="X57" s="96">
        <f>SUM(T59:T61)</f>
        <v>700.68112707479997</v>
      </c>
      <c r="Y57" s="31"/>
      <c r="Z57" s="182">
        <f t="shared" si="2"/>
        <v>34.728110012093325</v>
      </c>
      <c r="AJ57" s="31">
        <v>175.98718028873</v>
      </c>
      <c r="AM57" s="31">
        <v>175.98718028873</v>
      </c>
    </row>
    <row r="58" spans="1:40" hidden="1" x14ac:dyDescent="0.35">
      <c r="A58" s="67" t="s">
        <v>25</v>
      </c>
      <c r="B58" s="30">
        <v>12.939042199999999</v>
      </c>
      <c r="C58" s="31">
        <v>17.369881750000001</v>
      </c>
      <c r="D58" s="31">
        <v>11.026101199999999</v>
      </c>
      <c r="E58" s="31">
        <v>5.0340660599999998</v>
      </c>
      <c r="F58" s="31">
        <v>3.7632450199999994</v>
      </c>
      <c r="G58" s="50">
        <f t="shared" si="37"/>
        <v>50.13233623</v>
      </c>
      <c r="H58" s="30">
        <v>76.450653730000013</v>
      </c>
      <c r="I58" s="31">
        <v>17.01515843</v>
      </c>
      <c r="J58" s="31">
        <v>0.20849883</v>
      </c>
      <c r="K58" s="50">
        <f t="shared" si="41"/>
        <v>93.674310990000009</v>
      </c>
      <c r="L58" s="30">
        <v>14.3639163</v>
      </c>
      <c r="M58" s="31">
        <v>1.8096550500000004</v>
      </c>
      <c r="N58" s="31">
        <v>3.5235458</v>
      </c>
      <c r="O58" s="31">
        <v>4.0717081100000003</v>
      </c>
      <c r="P58" s="31">
        <v>25.419480930000013</v>
      </c>
      <c r="Q58" s="50">
        <f t="shared" si="39"/>
        <v>49.188306190000013</v>
      </c>
      <c r="R58" s="34">
        <v>21.061389889999994</v>
      </c>
      <c r="S58" s="48">
        <f t="shared" si="40"/>
        <v>214.05634330000001</v>
      </c>
      <c r="T58" s="33">
        <v>202.61308779582501</v>
      </c>
      <c r="U58" s="31"/>
      <c r="V58" s="28"/>
      <c r="W58" s="31" t="s">
        <v>49</v>
      </c>
      <c r="X58" s="96">
        <f>SUM(T62:T64)</f>
        <v>761.44620188671104</v>
      </c>
      <c r="Y58" s="31"/>
      <c r="Z58" s="182">
        <f t="shared" si="2"/>
        <v>35.715201218239258</v>
      </c>
      <c r="AJ58" s="31">
        <v>202.61308779582501</v>
      </c>
      <c r="AM58" s="31">
        <v>202.61308779582501</v>
      </c>
    </row>
    <row r="59" spans="1:40" hidden="1" x14ac:dyDescent="0.35">
      <c r="A59" s="67" t="s">
        <v>26</v>
      </c>
      <c r="B59" s="30">
        <v>12.316880509999999</v>
      </c>
      <c r="C59" s="31">
        <v>19.479514050000002</v>
      </c>
      <c r="D59" s="31">
        <v>6.3310604899999996</v>
      </c>
      <c r="E59" s="31">
        <v>4.0917436</v>
      </c>
      <c r="F59" s="31">
        <v>2.9556532300000029</v>
      </c>
      <c r="G59" s="50">
        <f t="shared" si="37"/>
        <v>45.174851880000006</v>
      </c>
      <c r="H59" s="30">
        <v>82.305499060000017</v>
      </c>
      <c r="I59" s="31">
        <v>23.159053920000002</v>
      </c>
      <c r="J59" s="31">
        <v>0.30213781000000001</v>
      </c>
      <c r="K59" s="50">
        <f t="shared" si="41"/>
        <v>105.76669079000003</v>
      </c>
      <c r="L59" s="30">
        <v>20.873698900000001</v>
      </c>
      <c r="M59" s="31">
        <v>1.7088963800000001</v>
      </c>
      <c r="N59" s="31">
        <v>5.8140460000000003</v>
      </c>
      <c r="O59" s="31">
        <v>3.8271813999999997</v>
      </c>
      <c r="P59" s="31">
        <v>21.126176919999992</v>
      </c>
      <c r="Q59" s="50">
        <f t="shared" si="39"/>
        <v>53.34999959999999</v>
      </c>
      <c r="R59" s="34">
        <v>26.479864429999996</v>
      </c>
      <c r="S59" s="48">
        <f t="shared" si="40"/>
        <v>230.7714067</v>
      </c>
      <c r="T59" s="33">
        <v>220.140392834945</v>
      </c>
      <c r="U59" s="31"/>
      <c r="V59" s="28"/>
      <c r="W59" s="31" t="s">
        <v>50</v>
      </c>
      <c r="X59" s="96">
        <f>+T65+T66+T67</f>
        <v>811.51136302649502</v>
      </c>
      <c r="Y59" s="31"/>
      <c r="Z59" s="182">
        <f t="shared" si="2"/>
        <v>35.665379969276771</v>
      </c>
      <c r="AJ59" s="31">
        <v>220.140392834945</v>
      </c>
      <c r="AM59" s="31">
        <v>220.140392834945</v>
      </c>
    </row>
    <row r="60" spans="1:40" hidden="1" x14ac:dyDescent="0.35">
      <c r="A60" s="67" t="s">
        <v>39</v>
      </c>
      <c r="B60" s="30">
        <v>13.41588348</v>
      </c>
      <c r="C60" s="31">
        <v>16.923472719999999</v>
      </c>
      <c r="D60" s="31">
        <v>9.4474317600000006</v>
      </c>
      <c r="E60" s="31">
        <v>2.83370151</v>
      </c>
      <c r="F60" s="31">
        <v>3.0202791100000042</v>
      </c>
      <c r="G60" s="50">
        <f t="shared" si="37"/>
        <v>45.64076858</v>
      </c>
      <c r="H60" s="30">
        <v>81.977761390000012</v>
      </c>
      <c r="I60" s="31">
        <v>39.175923329999996</v>
      </c>
      <c r="J60" s="31">
        <v>0.19164888000000002</v>
      </c>
      <c r="K60" s="50">
        <f t="shared" ref="K60:K67" si="42">SUM(H60:J60)</f>
        <v>121.3453336</v>
      </c>
      <c r="L60" s="30">
        <v>35.961213759999993</v>
      </c>
      <c r="M60" s="31">
        <v>1.5515302200000003</v>
      </c>
      <c r="N60" s="31">
        <v>6.9925794999999997</v>
      </c>
      <c r="O60" s="31">
        <v>2.6348765600000004</v>
      </c>
      <c r="P60" s="31">
        <v>22.431180229999995</v>
      </c>
      <c r="Q60" s="50">
        <f t="shared" si="39"/>
        <v>69.571380269999992</v>
      </c>
      <c r="R60" s="34">
        <v>46.63361579999998</v>
      </c>
      <c r="S60" s="48">
        <f t="shared" si="40"/>
        <v>283.19109824999998</v>
      </c>
      <c r="T60" s="33">
        <v>272.49488006683396</v>
      </c>
      <c r="U60" s="31"/>
      <c r="V60" s="28"/>
      <c r="W60" s="31"/>
      <c r="X60" s="96"/>
      <c r="Y60" s="31"/>
      <c r="Z60" s="182">
        <f t="shared" si="2"/>
        <v>28.947859553703331</v>
      </c>
      <c r="AJ60" s="31">
        <f>272.494880066834-2.46729</f>
        <v>270.02759006683402</v>
      </c>
      <c r="AM60" s="31">
        <v>272.49488006683396</v>
      </c>
    </row>
    <row r="61" spans="1:40" hidden="1" x14ac:dyDescent="0.35">
      <c r="A61" s="67" t="s">
        <v>28</v>
      </c>
      <c r="B61" s="30">
        <v>12.80128625</v>
      </c>
      <c r="C61" s="31">
        <v>12.636286230000001</v>
      </c>
      <c r="D61" s="31">
        <v>5.7816210799999999</v>
      </c>
      <c r="E61" s="31">
        <v>5.2769053000000001</v>
      </c>
      <c r="F61" s="31">
        <v>3.8061910400000016</v>
      </c>
      <c r="G61" s="50">
        <f t="shared" si="37"/>
        <v>40.302289900000005</v>
      </c>
      <c r="H61" s="30">
        <v>74.428824919999997</v>
      </c>
      <c r="I61" s="31">
        <v>22.473374679999999</v>
      </c>
      <c r="J61" s="31">
        <v>2.6450200000000004E-2</v>
      </c>
      <c r="K61" s="50">
        <f t="shared" si="42"/>
        <v>96.928649799999988</v>
      </c>
      <c r="L61" s="30">
        <v>20.807003849999997</v>
      </c>
      <c r="M61" s="31">
        <v>2.1356407900000001</v>
      </c>
      <c r="N61" s="31">
        <v>8.3297551500000004</v>
      </c>
      <c r="O61" s="31">
        <v>2.7329276000000005</v>
      </c>
      <c r="P61" s="31">
        <v>23.289226860000007</v>
      </c>
      <c r="Q61" s="50">
        <f t="shared" si="39"/>
        <v>57.294554250000004</v>
      </c>
      <c r="R61" s="34">
        <v>21.315007449999996</v>
      </c>
      <c r="S61" s="48">
        <f t="shared" si="40"/>
        <v>215.84050139999999</v>
      </c>
      <c r="T61" s="33">
        <v>208.04585417302098</v>
      </c>
      <c r="U61" s="31"/>
      <c r="V61" s="28"/>
      <c r="W61" s="31"/>
      <c r="X61" s="96"/>
      <c r="Y61" s="31"/>
      <c r="Z61" s="182">
        <f t="shared" si="2"/>
        <v>34.48325241890862</v>
      </c>
      <c r="AJ61" s="31">
        <v>208.04585417302098</v>
      </c>
      <c r="AM61" s="31">
        <v>208.04585417302098</v>
      </c>
    </row>
    <row r="62" spans="1:40" hidden="1" x14ac:dyDescent="0.35">
      <c r="A62" s="67" t="s">
        <v>29</v>
      </c>
      <c r="B62" s="30">
        <v>10.955912310000002</v>
      </c>
      <c r="C62" s="31">
        <v>17.107189850000001</v>
      </c>
      <c r="D62" s="31">
        <v>9.5986782700000024</v>
      </c>
      <c r="E62" s="31">
        <v>3.2067321600000001</v>
      </c>
      <c r="F62" s="31">
        <v>4.0679254699999987</v>
      </c>
      <c r="G62" s="50">
        <f t="shared" si="37"/>
        <v>44.936438060000008</v>
      </c>
      <c r="H62" s="30">
        <v>91.852469180000014</v>
      </c>
      <c r="I62" s="31">
        <v>20.794093310000001</v>
      </c>
      <c r="J62" s="31">
        <v>0.19284085000000001</v>
      </c>
      <c r="K62" s="50">
        <f t="shared" ref="K62:K66" si="43">SUM(H62:J62)</f>
        <v>112.83940334</v>
      </c>
      <c r="L62" s="30">
        <v>31.530796629999998</v>
      </c>
      <c r="M62" s="31">
        <v>1.9323861000000002</v>
      </c>
      <c r="N62" s="31">
        <v>11.798961010000003</v>
      </c>
      <c r="O62" s="31">
        <v>4.2026047500000008</v>
      </c>
      <c r="P62" s="31">
        <v>30.8576756</v>
      </c>
      <c r="Q62" s="50">
        <f t="shared" si="39"/>
        <v>80.322424089999998</v>
      </c>
      <c r="R62" s="34">
        <v>21.174599959999998</v>
      </c>
      <c r="S62" s="48">
        <f t="shared" si="40"/>
        <v>259.27286544999998</v>
      </c>
      <c r="T62" s="33">
        <v>248.33179565078504</v>
      </c>
      <c r="U62" s="31"/>
      <c r="V62" s="28"/>
      <c r="W62" s="31"/>
      <c r="X62" s="96"/>
      <c r="Y62" s="31"/>
      <c r="Z62" s="182">
        <f t="shared" si="2"/>
        <v>35.42695029831939</v>
      </c>
      <c r="AJ62" s="31">
        <v>248.33179565078504</v>
      </c>
      <c r="AM62" s="31">
        <v>248.33179565078504</v>
      </c>
    </row>
    <row r="63" spans="1:40" hidden="1" x14ac:dyDescent="0.35">
      <c r="A63" s="67" t="s">
        <v>30</v>
      </c>
      <c r="B63" s="30">
        <v>10.21003419</v>
      </c>
      <c r="C63" s="31">
        <v>16.322584299999999</v>
      </c>
      <c r="D63" s="31">
        <v>7.0714718799999998</v>
      </c>
      <c r="E63" s="31">
        <v>8.8472055300000001</v>
      </c>
      <c r="F63" s="31">
        <v>4.9137557400000063</v>
      </c>
      <c r="G63" s="50">
        <f t="shared" si="37"/>
        <v>47.365051639999997</v>
      </c>
      <c r="H63" s="30">
        <v>101.47887175000001</v>
      </c>
      <c r="I63" s="31">
        <v>37.757457450000004</v>
      </c>
      <c r="J63" s="31">
        <v>0.33828783000000007</v>
      </c>
      <c r="K63" s="50">
        <f t="shared" si="43"/>
        <v>139.57461703000001</v>
      </c>
      <c r="L63" s="30">
        <v>24.121193820000002</v>
      </c>
      <c r="M63" s="31">
        <v>2.3605249299999995</v>
      </c>
      <c r="N63" s="31">
        <v>7.4603922999999996</v>
      </c>
      <c r="O63" s="31">
        <v>6.4821908300000004</v>
      </c>
      <c r="P63" s="31">
        <v>33.389039290000028</v>
      </c>
      <c r="Q63" s="50">
        <f t="shared" si="39"/>
        <v>73.813341170000029</v>
      </c>
      <c r="R63" s="34">
        <v>28.928211450000006</v>
      </c>
      <c r="S63" s="48">
        <f t="shared" si="40"/>
        <v>289.68122129000005</v>
      </c>
      <c r="T63" s="33">
        <v>279.89316929197003</v>
      </c>
      <c r="U63" s="31"/>
      <c r="V63" s="28"/>
      <c r="W63" s="31"/>
      <c r="X63" s="96"/>
      <c r="Y63" s="31"/>
      <c r="Z63" s="182">
        <f t="shared" si="2"/>
        <v>35.031222009523859</v>
      </c>
      <c r="AJ63" s="31">
        <v>279.89316929197003</v>
      </c>
      <c r="AM63" s="31">
        <v>279.89316929197003</v>
      </c>
    </row>
    <row r="64" spans="1:40" hidden="1" x14ac:dyDescent="0.35">
      <c r="A64" s="67" t="s">
        <v>31</v>
      </c>
      <c r="B64" s="30">
        <v>9.2795444200000006</v>
      </c>
      <c r="C64" s="31">
        <v>18.484423979999999</v>
      </c>
      <c r="D64" s="31">
        <v>8.7469485700000007</v>
      </c>
      <c r="E64" s="31">
        <v>9.2049041599999999</v>
      </c>
      <c r="F64" s="31">
        <v>6.4166867200000013</v>
      </c>
      <c r="G64" s="50">
        <f t="shared" si="37"/>
        <v>52.132507849999996</v>
      </c>
      <c r="H64" s="30">
        <v>102.63006315000001</v>
      </c>
      <c r="I64" s="31">
        <v>6.7492754000000001</v>
      </c>
      <c r="J64" s="31">
        <v>0.35027522999999994</v>
      </c>
      <c r="K64" s="50">
        <f t="shared" si="43"/>
        <v>109.72961378000001</v>
      </c>
      <c r="L64" s="30">
        <v>15.799258409999998</v>
      </c>
      <c r="M64" s="31">
        <v>2.8797279900000001</v>
      </c>
      <c r="N64" s="31">
        <v>7.2513835000000002</v>
      </c>
      <c r="O64" s="31">
        <v>7.7773031900000014</v>
      </c>
      <c r="P64" s="31">
        <v>36.379926910000009</v>
      </c>
      <c r="Q64" s="50">
        <f t="shared" si="39"/>
        <v>70.087600000000009</v>
      </c>
      <c r="R64" s="34">
        <v>12.773065920000001</v>
      </c>
      <c r="S64" s="48">
        <f t="shared" si="40"/>
        <v>244.72278754999999</v>
      </c>
      <c r="T64" s="33">
        <v>233.221236943956</v>
      </c>
      <c r="U64" s="31"/>
      <c r="V64" s="28"/>
      <c r="W64" s="31"/>
      <c r="X64" s="96"/>
      <c r="Y64" s="31"/>
      <c r="Z64" s="182">
        <f t="shared" si="2"/>
        <v>41.937272853690175</v>
      </c>
      <c r="AJ64" s="31">
        <v>233.221236943956</v>
      </c>
      <c r="AM64" s="31">
        <v>233.221236943956</v>
      </c>
    </row>
    <row r="65" spans="1:40" hidden="1" x14ac:dyDescent="0.35">
      <c r="A65" s="67" t="s">
        <v>32</v>
      </c>
      <c r="B65" s="30">
        <v>9.5792489300000021</v>
      </c>
      <c r="C65" s="31">
        <v>18.27918824</v>
      </c>
      <c r="D65" s="31">
        <v>8.4726821099999992</v>
      </c>
      <c r="E65" s="31">
        <v>8.6777426199999983</v>
      </c>
      <c r="F65" s="31">
        <v>5.8225864999999999</v>
      </c>
      <c r="G65" s="50">
        <f t="shared" si="37"/>
        <v>50.831448399999999</v>
      </c>
      <c r="H65" s="30">
        <v>116.04908348000001</v>
      </c>
      <c r="I65" s="31">
        <v>48.599705569999998</v>
      </c>
      <c r="J65" s="31">
        <v>0.29507726000000001</v>
      </c>
      <c r="K65" s="50">
        <f t="shared" si="43"/>
        <v>164.94386631</v>
      </c>
      <c r="L65" s="30">
        <v>13.66766176</v>
      </c>
      <c r="M65" s="31">
        <v>2.65686263</v>
      </c>
      <c r="N65" s="31">
        <v>5.4231200099999999</v>
      </c>
      <c r="O65" s="31">
        <v>4.6617098099999996</v>
      </c>
      <c r="P65" s="31">
        <v>36.250837270000012</v>
      </c>
      <c r="Q65" s="50">
        <f t="shared" ref="Q65" si="44">SUM(L65:P65)</f>
        <v>62.660191480000009</v>
      </c>
      <c r="R65" s="34">
        <v>19.089900660000005</v>
      </c>
      <c r="S65" s="48">
        <f t="shared" si="40"/>
        <v>297.52540685000002</v>
      </c>
      <c r="T65" s="33">
        <v>286.14702832549801</v>
      </c>
      <c r="U65" s="31"/>
      <c r="V65" s="28"/>
      <c r="W65" s="31"/>
      <c r="X65" s="96"/>
      <c r="Y65" s="31"/>
      <c r="Z65" s="182">
        <f t="shared" si="2"/>
        <v>39.004764234641357</v>
      </c>
      <c r="AJ65" s="31">
        <v>286.14702832549801</v>
      </c>
      <c r="AM65" s="31">
        <v>286.14702832549801</v>
      </c>
    </row>
    <row r="66" spans="1:40" hidden="1" x14ac:dyDescent="0.35">
      <c r="A66" s="67" t="s">
        <v>33</v>
      </c>
      <c r="B66" s="30">
        <v>6.1372038700000004</v>
      </c>
      <c r="C66" s="31">
        <v>16.253293890000002</v>
      </c>
      <c r="D66" s="31">
        <v>8.0464678700000007</v>
      </c>
      <c r="E66" s="31">
        <v>10.300569769999999</v>
      </c>
      <c r="F66" s="31">
        <v>5.4799601399999958</v>
      </c>
      <c r="G66" s="50">
        <f t="shared" si="37"/>
        <v>46.217495539999994</v>
      </c>
      <c r="H66" s="30">
        <v>116.30155187000001</v>
      </c>
      <c r="I66" s="31">
        <v>37.484437409999998</v>
      </c>
      <c r="J66" s="31">
        <v>5.8340280000000001E-2</v>
      </c>
      <c r="K66" s="50">
        <f t="shared" si="43"/>
        <v>153.84432956000003</v>
      </c>
      <c r="L66" s="30">
        <v>10.561663639999999</v>
      </c>
      <c r="M66" s="31">
        <v>3.3287198500000001</v>
      </c>
      <c r="N66" s="31">
        <v>3.2073127300000004</v>
      </c>
      <c r="O66" s="31">
        <v>3.8966378999999995</v>
      </c>
      <c r="P66" s="31">
        <v>33.880655499999996</v>
      </c>
      <c r="Q66" s="50">
        <f>SUM(L66:P66)</f>
        <v>54.874989619999994</v>
      </c>
      <c r="R66" s="34">
        <v>19.749308830000004</v>
      </c>
      <c r="S66" s="48">
        <f t="shared" si="40"/>
        <v>274.68612355000005</v>
      </c>
      <c r="T66" s="33">
        <v>264.59610277617304</v>
      </c>
      <c r="U66" s="31"/>
      <c r="V66" s="28"/>
      <c r="W66" s="31"/>
      <c r="X66" s="96"/>
      <c r="Y66" s="31"/>
      <c r="Z66" s="182">
        <f t="shared" si="2"/>
        <v>42.339798737168493</v>
      </c>
      <c r="AJ66" s="31">
        <v>264.59610277617304</v>
      </c>
      <c r="AM66" s="31">
        <v>264.59610277617304</v>
      </c>
    </row>
    <row r="67" spans="1:40" hidden="1" x14ac:dyDescent="0.35">
      <c r="A67" s="67" t="s">
        <v>38</v>
      </c>
      <c r="B67" s="30">
        <v>8.2659607099999999</v>
      </c>
      <c r="C67" s="31">
        <v>20.859817920000001</v>
      </c>
      <c r="D67" s="31">
        <v>6.9232362699999994</v>
      </c>
      <c r="E67" s="31">
        <v>13.843601000000001</v>
      </c>
      <c r="F67" s="31">
        <v>4.4745881999999995</v>
      </c>
      <c r="G67" s="50">
        <f t="shared" ref="G67" si="45">SUM(B67:F67)</f>
        <v>54.367204099999995</v>
      </c>
      <c r="H67" s="30">
        <v>113.87932506</v>
      </c>
      <c r="I67" s="31">
        <v>22.462990850000001</v>
      </c>
      <c r="J67" s="31">
        <v>5.6833910000000001E-2</v>
      </c>
      <c r="K67" s="50">
        <f t="shared" si="42"/>
        <v>136.39914981999999</v>
      </c>
      <c r="L67" s="30">
        <v>20.633641210000004</v>
      </c>
      <c r="M67" s="31">
        <v>3.0018546800000001</v>
      </c>
      <c r="N67" s="31">
        <v>4.4654928800000002</v>
      </c>
      <c r="O67" s="31">
        <v>3.7759391899999999</v>
      </c>
      <c r="P67" s="31">
        <v>32.25996486999999</v>
      </c>
      <c r="Q67" s="50">
        <f>SUM(L67:P67)</f>
        <v>64.136892829999994</v>
      </c>
      <c r="R67" s="34">
        <v>17.44070155</v>
      </c>
      <c r="S67" s="48">
        <f t="shared" si="40"/>
        <v>272.34394829999997</v>
      </c>
      <c r="T67" s="33">
        <v>260.76823192482397</v>
      </c>
      <c r="U67" s="31"/>
      <c r="V67" s="28"/>
      <c r="W67" s="31"/>
      <c r="X67" s="96"/>
      <c r="Y67" s="31"/>
      <c r="Z67" s="182">
        <f t="shared" si="2"/>
        <v>41.814523792743302</v>
      </c>
      <c r="AJ67" s="31">
        <v>260.76823192482397</v>
      </c>
      <c r="AM67" s="31">
        <v>260.76823192482397</v>
      </c>
    </row>
    <row r="68" spans="1:40" hidden="1" x14ac:dyDescent="0.35">
      <c r="A68" s="67"/>
      <c r="B68" s="30"/>
      <c r="C68" s="31"/>
      <c r="D68" s="31"/>
      <c r="E68" s="31"/>
      <c r="F68" s="31"/>
      <c r="G68" s="32"/>
      <c r="H68" s="30"/>
      <c r="I68" s="31"/>
      <c r="J68" s="31"/>
      <c r="K68" s="32"/>
      <c r="L68" s="30"/>
      <c r="M68" s="31"/>
      <c r="N68" s="31"/>
      <c r="O68" s="31"/>
      <c r="P68" s="31"/>
      <c r="Q68" s="32"/>
      <c r="R68" s="34"/>
      <c r="S68" s="30"/>
      <c r="T68" s="33"/>
      <c r="U68" s="31"/>
      <c r="V68" s="28"/>
      <c r="W68" s="46"/>
      <c r="X68" s="96"/>
      <c r="Y68" s="31"/>
      <c r="Z68" s="182" t="e">
        <f t="shared" si="2"/>
        <v>#DIV/0!</v>
      </c>
      <c r="AJ68" s="84" t="s">
        <v>64</v>
      </c>
      <c r="AM68" s="84" t="s">
        <v>63</v>
      </c>
    </row>
    <row r="69" spans="1:40" hidden="1" x14ac:dyDescent="0.35">
      <c r="A69" s="87">
        <v>2006</v>
      </c>
      <c r="B69" s="30">
        <f t="shared" ref="B69:P69" si="46">SUM(B70:B81)</f>
        <v>140.62113136000002</v>
      </c>
      <c r="C69" s="31">
        <f t="shared" si="46"/>
        <v>525.64776408</v>
      </c>
      <c r="D69" s="31">
        <f t="shared" si="46"/>
        <v>169.89296565000001</v>
      </c>
      <c r="E69" s="31">
        <f t="shared" si="46"/>
        <v>121.87636415999999</v>
      </c>
      <c r="F69" s="31">
        <f t="shared" si="46"/>
        <v>70.407205140000002</v>
      </c>
      <c r="G69" s="32">
        <f t="shared" si="46"/>
        <v>1028.44543039</v>
      </c>
      <c r="H69" s="30">
        <f t="shared" si="46"/>
        <v>1667.76216563</v>
      </c>
      <c r="I69" s="31">
        <f t="shared" si="46"/>
        <v>343.47362156000003</v>
      </c>
      <c r="J69" s="31">
        <f t="shared" si="46"/>
        <v>2.7807671799999998</v>
      </c>
      <c r="K69" s="32">
        <f t="shared" si="46"/>
        <v>2014.01655437</v>
      </c>
      <c r="L69" s="30">
        <f t="shared" si="46"/>
        <v>224.19210164999998</v>
      </c>
      <c r="M69" s="31">
        <f t="shared" si="46"/>
        <v>38.578295349999998</v>
      </c>
      <c r="N69" s="31">
        <f t="shared" si="46"/>
        <v>65.234683880000006</v>
      </c>
      <c r="O69" s="31">
        <f t="shared" si="46"/>
        <v>51.166919470000003</v>
      </c>
      <c r="P69" s="31">
        <f t="shared" si="46"/>
        <v>422.45717182999994</v>
      </c>
      <c r="Q69" s="32">
        <f>SUM(Q70:Q81)</f>
        <v>801.62917218000007</v>
      </c>
      <c r="R69" s="34">
        <f t="shared" ref="R69:T69" si="47">SUM(R70:R81)</f>
        <v>387.82649613000007</v>
      </c>
      <c r="S69" s="30">
        <f t="shared" si="47"/>
        <v>4231.9176530700006</v>
      </c>
      <c r="T69" s="33">
        <f t="shared" si="47"/>
        <v>3951.5456579421366</v>
      </c>
      <c r="U69" s="31"/>
      <c r="V69" s="101"/>
      <c r="X69" s="96"/>
      <c r="Y69" s="31"/>
      <c r="Z69" s="182">
        <f t="shared" si="2"/>
        <v>39.409135582308394</v>
      </c>
      <c r="AG69" s="28">
        <v>2006</v>
      </c>
      <c r="AH69" s="31"/>
      <c r="AJ69" s="31">
        <f t="shared" ref="AJ69" si="48">SUM(AJ70:AJ81)</f>
        <v>3877.0956579421359</v>
      </c>
      <c r="AK69" s="31"/>
      <c r="AM69" s="31">
        <f t="shared" ref="AM69" si="49">SUM(AM70:AM81)</f>
        <v>3951.5456579421366</v>
      </c>
      <c r="AN69" s="31">
        <f>+AJ69-AM69</f>
        <v>-74.450000000000728</v>
      </c>
    </row>
    <row r="70" spans="1:40" hidden="1" x14ac:dyDescent="0.35">
      <c r="A70" s="67" t="s">
        <v>23</v>
      </c>
      <c r="B70" s="30">
        <v>10.75035508</v>
      </c>
      <c r="C70" s="31">
        <v>23.694926890000001</v>
      </c>
      <c r="D70" s="31">
        <v>12.239455940000001</v>
      </c>
      <c r="E70" s="31">
        <v>12.141435009999999</v>
      </c>
      <c r="F70" s="31">
        <v>5.5260524799999899</v>
      </c>
      <c r="G70" s="50">
        <f t="shared" ref="G70:G81" si="50">SUM(B70:F70)</f>
        <v>64.352225399999995</v>
      </c>
      <c r="H70" s="30">
        <v>117.48744426</v>
      </c>
      <c r="I70" s="31">
        <v>30.850578800000005</v>
      </c>
      <c r="J70" s="31">
        <v>0.31065947999999999</v>
      </c>
      <c r="K70" s="50">
        <f t="shared" ref="K70" si="51">SUM(H70:J70)</f>
        <v>148.64868254000001</v>
      </c>
      <c r="L70" s="30">
        <v>15.535368099999999</v>
      </c>
      <c r="M70" s="31">
        <v>2.4932349</v>
      </c>
      <c r="N70" s="31">
        <v>2.2670548800000003</v>
      </c>
      <c r="O70" s="31">
        <v>2.3276246</v>
      </c>
      <c r="P70" s="31">
        <v>27.187045579999996</v>
      </c>
      <c r="Q70" s="50">
        <f t="shared" ref="Q70:Q78" si="52">SUM(L70:P70)</f>
        <v>49.810328059999996</v>
      </c>
      <c r="R70" s="34">
        <v>20.761480120000002</v>
      </c>
      <c r="S70" s="48">
        <f t="shared" ref="S70:S81" si="53">+R70+Q70+K70+G70</f>
        <v>283.57271612</v>
      </c>
      <c r="T70" s="33">
        <v>268.842740146773</v>
      </c>
      <c r="U70" s="31"/>
      <c r="W70" s="31" t="s">
        <v>47</v>
      </c>
      <c r="X70" s="96">
        <f>SUM(T70:T72)</f>
        <v>867.74304979886006</v>
      </c>
      <c r="Y70" s="31"/>
      <c r="Z70" s="182">
        <f t="shared" si="2"/>
        <v>41.431152428036349</v>
      </c>
      <c r="AG70" s="28" t="s">
        <v>57</v>
      </c>
      <c r="AH70" s="31">
        <v>-42</v>
      </c>
      <c r="AJ70" s="31">
        <v>268.842740146773</v>
      </c>
      <c r="AM70" s="31">
        <v>268.842740146773</v>
      </c>
    </row>
    <row r="71" spans="1:40" hidden="1" x14ac:dyDescent="0.35">
      <c r="A71" s="67" t="s">
        <v>24</v>
      </c>
      <c r="B71" s="30">
        <v>8.0662205799999995</v>
      </c>
      <c r="C71" s="31">
        <v>24.56508625</v>
      </c>
      <c r="D71" s="31">
        <v>11.531891130000002</v>
      </c>
      <c r="E71" s="31">
        <v>11.6105921</v>
      </c>
      <c r="F71" s="31">
        <v>4.5989040400000007</v>
      </c>
      <c r="G71" s="50">
        <f t="shared" si="50"/>
        <v>60.372694100000004</v>
      </c>
      <c r="H71" s="30">
        <v>115.48768922000001</v>
      </c>
      <c r="I71" s="31">
        <v>43.179103609999999</v>
      </c>
      <c r="J71" s="31">
        <v>0.15838895000000003</v>
      </c>
      <c r="K71" s="50">
        <f t="shared" ref="K71:K73" si="54">SUM(H71:J71)</f>
        <v>158.82518178000001</v>
      </c>
      <c r="L71" s="30">
        <v>11.437779600000001</v>
      </c>
      <c r="M71" s="31">
        <v>2.9362239800000007</v>
      </c>
      <c r="N71" s="31">
        <v>1.9526070900000001</v>
      </c>
      <c r="O71" s="31">
        <v>3.3371704200000001</v>
      </c>
      <c r="P71" s="31">
        <v>23.160612309999998</v>
      </c>
      <c r="Q71" s="50">
        <f t="shared" si="52"/>
        <v>42.824393399999998</v>
      </c>
      <c r="R71" s="34">
        <v>19.911831399999997</v>
      </c>
      <c r="S71" s="48">
        <f t="shared" si="53"/>
        <v>281.93410068000003</v>
      </c>
      <c r="T71" s="33">
        <v>267.32947489891501</v>
      </c>
      <c r="U71" s="31"/>
      <c r="W71" s="31" t="s">
        <v>48</v>
      </c>
      <c r="X71" s="96">
        <f>SUM(T73:T75)</f>
        <v>948.45728099935809</v>
      </c>
      <c r="Y71" s="31"/>
      <c r="Z71" s="182">
        <f t="shared" si="2"/>
        <v>40.962653663197877</v>
      </c>
      <c r="AG71" s="28" t="s">
        <v>58</v>
      </c>
      <c r="AH71" s="31">
        <v>-1.2</v>
      </c>
      <c r="AJ71" s="31">
        <v>267.32947489891501</v>
      </c>
      <c r="AM71" s="31">
        <v>267.32947489891501</v>
      </c>
    </row>
    <row r="72" spans="1:40" hidden="1" x14ac:dyDescent="0.35">
      <c r="A72" s="67" t="s">
        <v>25</v>
      </c>
      <c r="B72" s="30">
        <v>11.00199795</v>
      </c>
      <c r="C72" s="31">
        <v>36.145854159999992</v>
      </c>
      <c r="D72" s="31">
        <v>12.508448540000002</v>
      </c>
      <c r="E72" s="31">
        <v>12.50019687</v>
      </c>
      <c r="F72" s="31">
        <v>3.5812317800000102</v>
      </c>
      <c r="G72" s="50">
        <f t="shared" si="50"/>
        <v>75.737729299999998</v>
      </c>
      <c r="H72" s="30">
        <v>131.06047192</v>
      </c>
      <c r="I72" s="31">
        <v>23.914909780000002</v>
      </c>
      <c r="J72" s="31">
        <v>0.39139886000000002</v>
      </c>
      <c r="K72" s="50">
        <f t="shared" si="54"/>
        <v>155.36678056000002</v>
      </c>
      <c r="L72" s="30">
        <v>12.632495479999999</v>
      </c>
      <c r="M72" s="31">
        <v>2.0177154900000001</v>
      </c>
      <c r="N72" s="31">
        <v>5.9307823600000003</v>
      </c>
      <c r="O72" s="31">
        <v>3.2081951800000001</v>
      </c>
      <c r="P72" s="31">
        <v>28.822459109999986</v>
      </c>
      <c r="Q72" s="50">
        <f t="shared" si="52"/>
        <v>52.611647619999985</v>
      </c>
      <c r="R72" s="34">
        <v>67.337833680000003</v>
      </c>
      <c r="S72" s="48">
        <f t="shared" si="53"/>
        <v>351.05399116000001</v>
      </c>
      <c r="T72" s="33">
        <v>331.57083475317199</v>
      </c>
      <c r="U72" s="31"/>
      <c r="W72" s="31" t="s">
        <v>49</v>
      </c>
      <c r="X72" s="96">
        <f>SUM(T76:T78)</f>
        <v>1102.1578991125309</v>
      </c>
      <c r="Y72" s="31"/>
      <c r="Z72" s="182">
        <f t="shared" si="2"/>
        <v>37.333423125865139</v>
      </c>
      <c r="AG72" s="28" t="s">
        <v>59</v>
      </c>
      <c r="AH72" s="31">
        <v>-4.25</v>
      </c>
      <c r="AJ72" s="31">
        <f>331.570834753172-42</f>
        <v>289.57083475317199</v>
      </c>
      <c r="AM72" s="31">
        <v>331.57083475317199</v>
      </c>
    </row>
    <row r="73" spans="1:40" hidden="1" x14ac:dyDescent="0.35">
      <c r="A73" s="67" t="s">
        <v>26</v>
      </c>
      <c r="B73" s="30">
        <v>11.786508759999998</v>
      </c>
      <c r="C73" s="31">
        <v>42.800912619999998</v>
      </c>
      <c r="D73" s="31">
        <v>16.39742901</v>
      </c>
      <c r="E73" s="31">
        <v>11.352997539999999</v>
      </c>
      <c r="F73" s="31">
        <v>6.3401860900000173</v>
      </c>
      <c r="G73" s="50">
        <f t="shared" si="50"/>
        <v>88.678034020000013</v>
      </c>
      <c r="H73" s="30">
        <v>110.77442178000001</v>
      </c>
      <c r="I73" s="31">
        <v>33.227123650000003</v>
      </c>
      <c r="J73" s="31">
        <v>0.29207931000000004</v>
      </c>
      <c r="K73" s="50">
        <f t="shared" si="54"/>
        <v>144.29362474000001</v>
      </c>
      <c r="L73" s="30">
        <v>22.06250227</v>
      </c>
      <c r="M73" s="31">
        <v>1.9843109099999998</v>
      </c>
      <c r="N73" s="31">
        <v>2.9217659999999999</v>
      </c>
      <c r="O73" s="31">
        <v>3.1717629800000005</v>
      </c>
      <c r="P73" s="31">
        <v>23.319914630000017</v>
      </c>
      <c r="Q73" s="50">
        <f t="shared" si="52"/>
        <v>53.460256790000017</v>
      </c>
      <c r="R73" s="34">
        <v>26.424326450000002</v>
      </c>
      <c r="S73" s="48">
        <f t="shared" si="53"/>
        <v>312.85624200000007</v>
      </c>
      <c r="T73" s="33">
        <v>289.40358648411404</v>
      </c>
      <c r="U73" s="31"/>
      <c r="W73" s="31" t="s">
        <v>50</v>
      </c>
      <c r="X73" s="96">
        <f>+T79+T80+T81</f>
        <v>1033.1874280313871</v>
      </c>
      <c r="Y73" s="31"/>
      <c r="Z73" s="182">
        <f t="shared" si="2"/>
        <v>35.407451381455893</v>
      </c>
      <c r="AG73" s="28" t="s">
        <v>60</v>
      </c>
      <c r="AH73" s="31">
        <v>-27</v>
      </c>
      <c r="AJ73" s="31">
        <f>289.403586484114-1.2</f>
        <v>288.203586484114</v>
      </c>
      <c r="AM73" s="31">
        <v>289.40358648411404</v>
      </c>
    </row>
    <row r="74" spans="1:40" hidden="1" x14ac:dyDescent="0.35">
      <c r="A74" s="67" t="s">
        <v>39</v>
      </c>
      <c r="B74" s="30">
        <v>13.414493950000001</v>
      </c>
      <c r="C74" s="31">
        <v>49.359644690000003</v>
      </c>
      <c r="D74" s="31">
        <v>20.504581879999996</v>
      </c>
      <c r="E74" s="31">
        <v>12.287642529999999</v>
      </c>
      <c r="F74" s="31">
        <v>7.0292392999999862</v>
      </c>
      <c r="G74" s="50">
        <f t="shared" si="50"/>
        <v>102.59560234999999</v>
      </c>
      <c r="H74" s="30">
        <v>138.56354566000002</v>
      </c>
      <c r="I74" s="31">
        <v>18.87737796</v>
      </c>
      <c r="J74" s="31">
        <v>0.1517579</v>
      </c>
      <c r="K74" s="50">
        <f t="shared" ref="K74:K81" si="55">SUM(H74:J74)</f>
        <v>157.59268152000001</v>
      </c>
      <c r="L74" s="30">
        <v>21.599158690000003</v>
      </c>
      <c r="M74" s="31">
        <v>2.4720323700000004</v>
      </c>
      <c r="N74" s="31">
        <v>7.0012345000000007</v>
      </c>
      <c r="O74" s="31">
        <v>3.4118597500000001</v>
      </c>
      <c r="P74" s="31">
        <v>33.040742070000007</v>
      </c>
      <c r="Q74" s="50">
        <f t="shared" si="52"/>
        <v>67.525027380000012</v>
      </c>
      <c r="R74" s="34">
        <v>21.38026636</v>
      </c>
      <c r="S74" s="48">
        <f t="shared" si="53"/>
        <v>349.09357761000001</v>
      </c>
      <c r="T74" s="33">
        <v>321.03635646538305</v>
      </c>
      <c r="U74" s="31"/>
      <c r="X74" s="96"/>
      <c r="Y74" s="31"/>
      <c r="Z74" s="182">
        <f t="shared" si="2"/>
        <v>39.692378934223846</v>
      </c>
      <c r="AG74" s="28"/>
      <c r="AH74" s="31"/>
      <c r="AJ74" s="31">
        <v>321.03635646538305</v>
      </c>
      <c r="AM74" s="31">
        <v>321.03635646538305</v>
      </c>
    </row>
    <row r="75" spans="1:40" hidden="1" x14ac:dyDescent="0.35">
      <c r="A75" s="67" t="s">
        <v>28</v>
      </c>
      <c r="B75" s="30">
        <v>12.7715912</v>
      </c>
      <c r="C75" s="31">
        <v>54.96107773</v>
      </c>
      <c r="D75" s="31">
        <v>19.376100310000002</v>
      </c>
      <c r="E75" s="31">
        <v>9.5411604600000004</v>
      </c>
      <c r="F75" s="31">
        <v>5.1458432099999953</v>
      </c>
      <c r="G75" s="50">
        <f t="shared" si="50"/>
        <v>101.79577291</v>
      </c>
      <c r="H75" s="30">
        <v>137.43595177</v>
      </c>
      <c r="I75" s="31">
        <v>19.714342039999998</v>
      </c>
      <c r="J75" s="31">
        <v>0</v>
      </c>
      <c r="K75" s="50">
        <f t="shared" si="55"/>
        <v>157.15029380999999</v>
      </c>
      <c r="L75" s="30">
        <v>24.730718580000001</v>
      </c>
      <c r="M75" s="31">
        <v>2.8397978499999996</v>
      </c>
      <c r="N75" s="31">
        <v>5.6771260000000003</v>
      </c>
      <c r="O75" s="31">
        <v>4.3757743099999997</v>
      </c>
      <c r="P75" s="31">
        <v>35.029284700000005</v>
      </c>
      <c r="Q75" s="50">
        <f t="shared" si="52"/>
        <v>72.652701440000001</v>
      </c>
      <c r="R75" s="34">
        <v>35.890310190000001</v>
      </c>
      <c r="S75" s="48">
        <f t="shared" si="53"/>
        <v>367.48907835</v>
      </c>
      <c r="T75" s="33">
        <v>338.01733804986094</v>
      </c>
      <c r="U75" s="31"/>
      <c r="X75" s="96"/>
      <c r="Y75" s="31"/>
      <c r="Z75" s="182">
        <f t="shared" si="2"/>
        <v>37.398649338662722</v>
      </c>
      <c r="AG75" s="28"/>
      <c r="AH75" s="31">
        <f>SUM(AH70:AH74)</f>
        <v>-74.45</v>
      </c>
      <c r="AJ75" s="31">
        <f>338.017338049861-4.25</f>
        <v>333.767338049861</v>
      </c>
      <c r="AM75" s="31">
        <v>338.01733804986094</v>
      </c>
    </row>
    <row r="76" spans="1:40" hidden="1" x14ac:dyDescent="0.35">
      <c r="A76" s="67" t="s">
        <v>29</v>
      </c>
      <c r="B76" s="30">
        <v>11.503984249999998</v>
      </c>
      <c r="C76" s="31">
        <v>46.069052450000001</v>
      </c>
      <c r="D76" s="31">
        <v>16.55325071</v>
      </c>
      <c r="E76" s="31">
        <v>9.8674607999999999</v>
      </c>
      <c r="F76" s="31">
        <v>7.7655722699999927</v>
      </c>
      <c r="G76" s="50">
        <f t="shared" si="50"/>
        <v>91.75932048</v>
      </c>
      <c r="H76" s="30">
        <v>156.01735378000001</v>
      </c>
      <c r="I76" s="31">
        <v>36.595871210000006</v>
      </c>
      <c r="J76" s="31">
        <v>0.54681141</v>
      </c>
      <c r="K76" s="50">
        <f t="shared" ref="K76:K80" si="56">SUM(H76:J76)</f>
        <v>193.16003640000002</v>
      </c>
      <c r="L76" s="30">
        <v>24.950167029999999</v>
      </c>
      <c r="M76" s="31">
        <v>3.6272448199999996</v>
      </c>
      <c r="N76" s="31">
        <v>7.5607132000000004</v>
      </c>
      <c r="O76" s="31">
        <v>3.86140851</v>
      </c>
      <c r="P76" s="31">
        <v>36.793594480000003</v>
      </c>
      <c r="Q76" s="50">
        <f t="shared" si="52"/>
        <v>76.793128039999999</v>
      </c>
      <c r="R76" s="34">
        <v>46.47936330000001</v>
      </c>
      <c r="S76" s="48">
        <f t="shared" si="53"/>
        <v>408.19184822000005</v>
      </c>
      <c r="T76" s="33">
        <v>382.85188062025497</v>
      </c>
      <c r="U76" s="31"/>
      <c r="V76" s="28"/>
      <c r="W76" s="31"/>
      <c r="X76" s="96"/>
      <c r="Y76" s="31"/>
      <c r="Z76" s="182">
        <f t="shared" si="2"/>
        <v>38.221575090326773</v>
      </c>
      <c r="AJ76" s="31">
        <f>382.851880620255-27</f>
        <v>355.85188062025497</v>
      </c>
      <c r="AM76" s="31">
        <v>382.85188062025497</v>
      </c>
    </row>
    <row r="77" spans="1:40" hidden="1" x14ac:dyDescent="0.35">
      <c r="A77" s="67" t="s">
        <v>30</v>
      </c>
      <c r="B77" s="30">
        <v>14.412082099999999</v>
      </c>
      <c r="C77" s="31">
        <v>56.19918809</v>
      </c>
      <c r="D77" s="31">
        <v>13.448211930000001</v>
      </c>
      <c r="E77" s="31">
        <v>10.151123999999999</v>
      </c>
      <c r="F77" s="31">
        <v>6.0139225600000117</v>
      </c>
      <c r="G77" s="50">
        <f t="shared" si="50"/>
        <v>100.22452868000001</v>
      </c>
      <c r="H77" s="30">
        <v>164.70930862</v>
      </c>
      <c r="I77" s="31">
        <v>25.461034199999997</v>
      </c>
      <c r="J77" s="31">
        <v>0</v>
      </c>
      <c r="K77" s="50">
        <f t="shared" si="56"/>
        <v>190.17034282</v>
      </c>
      <c r="L77" s="30">
        <v>21.838521610000001</v>
      </c>
      <c r="M77" s="31">
        <v>3.3019733199999997</v>
      </c>
      <c r="N77" s="31">
        <v>8.5760702200000019</v>
      </c>
      <c r="O77" s="31">
        <v>5.7430226700000002</v>
      </c>
      <c r="P77" s="31">
        <v>40.128548169999981</v>
      </c>
      <c r="Q77" s="50">
        <f t="shared" si="52"/>
        <v>79.588135989999984</v>
      </c>
      <c r="R77" s="34">
        <v>26.725486189999998</v>
      </c>
      <c r="S77" s="48">
        <f t="shared" si="53"/>
        <v>396.70849368</v>
      </c>
      <c r="T77" s="33">
        <v>368.54967768363292</v>
      </c>
      <c r="U77" s="31"/>
      <c r="V77" s="28"/>
      <c r="W77" s="31"/>
      <c r="X77" s="96"/>
      <c r="Y77" s="31"/>
      <c r="Z77" s="182">
        <f t="shared" si="2"/>
        <v>41.518977093760121</v>
      </c>
      <c r="AJ77" s="31">
        <v>368.54967768363292</v>
      </c>
      <c r="AM77" s="31">
        <v>368.54967768363292</v>
      </c>
    </row>
    <row r="78" spans="1:40" hidden="1" x14ac:dyDescent="0.35">
      <c r="A78" s="67" t="s">
        <v>31</v>
      </c>
      <c r="B78" s="30">
        <v>11.760031619999999</v>
      </c>
      <c r="C78" s="31">
        <v>42.529313990000006</v>
      </c>
      <c r="D78" s="31">
        <v>12.303173920000001</v>
      </c>
      <c r="E78" s="31">
        <v>9.7297484399999998</v>
      </c>
      <c r="F78" s="31">
        <v>5.7451732700000093</v>
      </c>
      <c r="G78" s="50">
        <f t="shared" si="50"/>
        <v>82.067441240000008</v>
      </c>
      <c r="H78" s="30">
        <v>154.58403887</v>
      </c>
      <c r="I78" s="31">
        <v>33.300089880000002</v>
      </c>
      <c r="J78" s="31">
        <v>0.32256844000000001</v>
      </c>
      <c r="K78" s="50">
        <f t="shared" si="56"/>
        <v>188.20669719</v>
      </c>
      <c r="L78" s="30">
        <v>17.616874449999997</v>
      </c>
      <c r="M78" s="31">
        <v>3.7387988700000001</v>
      </c>
      <c r="N78" s="31">
        <v>7.4242928800000003</v>
      </c>
      <c r="O78" s="31">
        <v>5.9157830500000008</v>
      </c>
      <c r="P78" s="31">
        <v>43.75952576000001</v>
      </c>
      <c r="Q78" s="50">
        <f t="shared" si="52"/>
        <v>78.455275010000008</v>
      </c>
      <c r="R78" s="34">
        <v>24.161318369999996</v>
      </c>
      <c r="S78" s="48">
        <f t="shared" si="53"/>
        <v>372.89073181000003</v>
      </c>
      <c r="T78" s="33">
        <v>350.75634080864302</v>
      </c>
      <c r="U78" s="31"/>
      <c r="V78" s="28"/>
      <c r="W78" s="31"/>
      <c r="X78" s="96"/>
      <c r="Y78" s="31"/>
      <c r="Z78" s="182">
        <f t="shared" si="2"/>
        <v>41.455586230221883</v>
      </c>
      <c r="AJ78" s="31">
        <v>350.75634080864302</v>
      </c>
      <c r="AM78" s="31">
        <v>350.75634080864302</v>
      </c>
    </row>
    <row r="79" spans="1:40" hidden="1" x14ac:dyDescent="0.35">
      <c r="A79" s="67" t="s">
        <v>32</v>
      </c>
      <c r="B79" s="30">
        <v>14.240675809999999</v>
      </c>
      <c r="C79" s="31">
        <v>55.625332740000005</v>
      </c>
      <c r="D79" s="31">
        <v>15.10740882</v>
      </c>
      <c r="E79" s="31">
        <v>7.2591542599999999</v>
      </c>
      <c r="F79" s="31">
        <v>7.7499575700000065</v>
      </c>
      <c r="G79" s="50">
        <f t="shared" si="50"/>
        <v>99.982529200000016</v>
      </c>
      <c r="H79" s="30">
        <v>159.13115188999998</v>
      </c>
      <c r="I79" s="31">
        <v>30.918236519999997</v>
      </c>
      <c r="J79" s="31">
        <v>0.38219921000000007</v>
      </c>
      <c r="K79" s="50">
        <f t="shared" si="56"/>
        <v>190.43158761999999</v>
      </c>
      <c r="L79" s="30">
        <v>20.990487560000002</v>
      </c>
      <c r="M79" s="31">
        <v>3.8706533200000002</v>
      </c>
      <c r="N79" s="31">
        <v>6.1794693900000004</v>
      </c>
      <c r="O79" s="31">
        <v>7.1720440300000012</v>
      </c>
      <c r="P79" s="31">
        <v>49.003691539999998</v>
      </c>
      <c r="Q79" s="50">
        <f t="shared" ref="Q79:Q81" si="57">SUM(L79:P79)</f>
        <v>87.216345840000002</v>
      </c>
      <c r="R79" s="34">
        <v>27.729453479999997</v>
      </c>
      <c r="S79" s="48">
        <f t="shared" si="53"/>
        <v>405.35991614</v>
      </c>
      <c r="T79" s="33">
        <v>376.54410523793808</v>
      </c>
      <c r="U79" s="31"/>
      <c r="V79" s="28"/>
      <c r="W79" s="31"/>
      <c r="X79" s="96"/>
      <c r="Y79" s="31"/>
      <c r="Z79" s="182">
        <f t="shared" si="2"/>
        <v>39.256755676612222</v>
      </c>
      <c r="AJ79" s="31">
        <v>376.54410523793808</v>
      </c>
      <c r="AM79" s="31">
        <v>376.54410523793808</v>
      </c>
    </row>
    <row r="80" spans="1:40" hidden="1" x14ac:dyDescent="0.35">
      <c r="A80" s="67" t="s">
        <v>33</v>
      </c>
      <c r="B80" s="30">
        <v>12.785640020000002</v>
      </c>
      <c r="C80" s="31">
        <v>49.790492299999997</v>
      </c>
      <c r="D80" s="31">
        <v>11.71090738</v>
      </c>
      <c r="E80" s="31">
        <v>10.176741</v>
      </c>
      <c r="F80" s="31">
        <v>5.3527675200000004</v>
      </c>
      <c r="G80" s="50">
        <f t="shared" si="50"/>
        <v>89.816548220000001</v>
      </c>
      <c r="H80" s="30">
        <v>137.63048054000001</v>
      </c>
      <c r="I80" s="31">
        <v>15.548544570000001</v>
      </c>
      <c r="J80" s="31">
        <v>4.4517019999999997E-2</v>
      </c>
      <c r="K80" s="50">
        <f t="shared" si="56"/>
        <v>153.22354213</v>
      </c>
      <c r="L80" s="30">
        <v>17.43760125</v>
      </c>
      <c r="M80" s="31">
        <v>4.3045373200000006</v>
      </c>
      <c r="N80" s="31">
        <v>5.4468385099999992</v>
      </c>
      <c r="O80" s="31">
        <v>5.7925217499999997</v>
      </c>
      <c r="P80" s="31">
        <v>39.339861269999993</v>
      </c>
      <c r="Q80" s="50">
        <f>SUM(L80:P80)</f>
        <v>72.321360099999993</v>
      </c>
      <c r="R80" s="34">
        <v>18.734664319999997</v>
      </c>
      <c r="S80" s="48">
        <f t="shared" si="53"/>
        <v>334.09611476999999</v>
      </c>
      <c r="T80" s="33">
        <v>309.41897155726997</v>
      </c>
      <c r="U80" s="31"/>
      <c r="V80" s="28"/>
      <c r="W80" s="31"/>
      <c r="X80" s="96"/>
      <c r="Y80" s="31"/>
      <c r="Z80" s="182">
        <f t="shared" si="2"/>
        <v>41.194876101671589</v>
      </c>
      <c r="AJ80" s="31">
        <v>309.41897155726997</v>
      </c>
      <c r="AM80" s="31">
        <v>309.41897155726997</v>
      </c>
    </row>
    <row r="81" spans="1:40" hidden="1" x14ac:dyDescent="0.35">
      <c r="A81" s="67" t="s">
        <v>38</v>
      </c>
      <c r="B81" s="30">
        <v>8.1275500399999991</v>
      </c>
      <c r="C81" s="31">
        <v>43.906882170000003</v>
      </c>
      <c r="D81" s="31">
        <v>8.2121060800000016</v>
      </c>
      <c r="E81" s="31">
        <v>5.2581111500000004</v>
      </c>
      <c r="F81" s="31">
        <v>5.5583550499999888</v>
      </c>
      <c r="G81" s="50">
        <f t="shared" si="50"/>
        <v>71.063004489999997</v>
      </c>
      <c r="H81" s="30">
        <v>144.88030731999999</v>
      </c>
      <c r="I81" s="31">
        <v>31.886409340000004</v>
      </c>
      <c r="J81" s="31">
        <v>0.18038660000000001</v>
      </c>
      <c r="K81" s="50">
        <f t="shared" si="55"/>
        <v>176.94710325999998</v>
      </c>
      <c r="L81" s="30">
        <v>13.36042703</v>
      </c>
      <c r="M81" s="31">
        <v>4.9917722000000007</v>
      </c>
      <c r="N81" s="31">
        <v>4.2967288499999992</v>
      </c>
      <c r="O81" s="31">
        <v>2.8497522200000009</v>
      </c>
      <c r="P81" s="31">
        <v>42.871892209999977</v>
      </c>
      <c r="Q81" s="50">
        <f t="shared" si="57"/>
        <v>68.370572509999974</v>
      </c>
      <c r="R81" s="34">
        <v>52.290162269999996</v>
      </c>
      <c r="S81" s="48">
        <f t="shared" si="53"/>
        <v>368.67084252999996</v>
      </c>
      <c r="T81" s="33">
        <v>347.22435123617896</v>
      </c>
      <c r="U81" s="31"/>
      <c r="V81" s="28"/>
      <c r="W81" s="31"/>
      <c r="X81" s="96"/>
      <c r="Y81" s="31"/>
      <c r="Z81" s="182">
        <f t="shared" si="2"/>
        <v>39.298010747408263</v>
      </c>
      <c r="AJ81" s="31">
        <v>347.22435123617896</v>
      </c>
      <c r="AM81" s="31">
        <v>347.22435123617896</v>
      </c>
    </row>
    <row r="82" spans="1:40" hidden="1" x14ac:dyDescent="0.35">
      <c r="A82" s="67"/>
      <c r="B82" s="30"/>
      <c r="C82" s="31"/>
      <c r="D82" s="31"/>
      <c r="E82" s="31"/>
      <c r="F82" s="31"/>
      <c r="G82" s="32"/>
      <c r="H82" s="30"/>
      <c r="I82" s="31"/>
      <c r="J82" s="31"/>
      <c r="K82" s="32"/>
      <c r="L82" s="30"/>
      <c r="M82" s="31"/>
      <c r="N82" s="31"/>
      <c r="O82" s="31"/>
      <c r="P82" s="31"/>
      <c r="Q82" s="32"/>
      <c r="R82" s="34"/>
      <c r="S82" s="30"/>
      <c r="T82" s="33"/>
      <c r="U82" s="31"/>
      <c r="V82" s="28"/>
      <c r="W82" s="31"/>
      <c r="X82" s="96"/>
      <c r="Y82" s="31"/>
      <c r="Z82" s="182" t="e">
        <f t="shared" ref="Z82:Z145" si="58">H82/S82*100</f>
        <v>#DIV/0!</v>
      </c>
      <c r="AE82" s="84"/>
      <c r="AJ82" s="84" t="e">
        <f>+#REF!</f>
        <v>#REF!</v>
      </c>
      <c r="AK82" s="84"/>
      <c r="AL82" s="84"/>
      <c r="AM82" s="84" t="e">
        <f>+#REF!</f>
        <v>#REF!</v>
      </c>
      <c r="AN82" s="84"/>
    </row>
    <row r="83" spans="1:40" hidden="1" x14ac:dyDescent="0.35">
      <c r="A83" s="87">
        <v>2007</v>
      </c>
      <c r="B83" s="30">
        <f t="shared" ref="B83:P83" si="59">SUM(B84:B95)</f>
        <v>213.21772246</v>
      </c>
      <c r="C83" s="31">
        <f t="shared" si="59"/>
        <v>696.54424182999992</v>
      </c>
      <c r="D83" s="31">
        <f t="shared" si="59"/>
        <v>226.55223491000004</v>
      </c>
      <c r="E83" s="31">
        <f t="shared" si="59"/>
        <v>122.90265362000001</v>
      </c>
      <c r="F83" s="31">
        <f t="shared" si="59"/>
        <v>128.25927938000001</v>
      </c>
      <c r="G83" s="32">
        <f t="shared" si="59"/>
        <v>1387.4761322000002</v>
      </c>
      <c r="H83" s="30">
        <f t="shared" si="59"/>
        <v>1971.2384951300003</v>
      </c>
      <c r="I83" s="31">
        <f t="shared" si="59"/>
        <v>268.79218025</v>
      </c>
      <c r="J83" s="31">
        <f t="shared" si="59"/>
        <v>1.9497561299999999</v>
      </c>
      <c r="K83" s="32">
        <f t="shared" si="59"/>
        <v>2241.98043151</v>
      </c>
      <c r="L83" s="30">
        <f t="shared" si="59"/>
        <v>283.63305825000003</v>
      </c>
      <c r="M83" s="31">
        <f t="shared" si="59"/>
        <v>66.628315850000007</v>
      </c>
      <c r="N83" s="31">
        <f t="shared" si="59"/>
        <v>70.656735929999996</v>
      </c>
      <c r="O83" s="31">
        <f t="shared" si="59"/>
        <v>53.449067550000002</v>
      </c>
      <c r="P83" s="31">
        <f t="shared" si="59"/>
        <v>485.63490796999997</v>
      </c>
      <c r="Q83" s="32">
        <f>SUM(Q84:Q95)</f>
        <v>960.00208555000006</v>
      </c>
      <c r="R83" s="34">
        <f t="shared" ref="R83:T83" si="60">SUM(R84:R95)</f>
        <v>300.24627233999996</v>
      </c>
      <c r="S83" s="30">
        <f t="shared" si="60"/>
        <v>4889.7049216000005</v>
      </c>
      <c r="T83" s="33">
        <f t="shared" si="60"/>
        <v>4504.1568578655215</v>
      </c>
      <c r="U83" s="31"/>
      <c r="V83" s="101">
        <f>4504.2-3.2</f>
        <v>4501</v>
      </c>
      <c r="X83" s="96"/>
      <c r="Y83" s="31"/>
      <c r="Z83" s="182">
        <f t="shared" si="58"/>
        <v>40.314058347818978</v>
      </c>
      <c r="AG83" s="28">
        <v>2007</v>
      </c>
      <c r="AH83" s="31"/>
      <c r="AJ83" s="31">
        <f t="shared" ref="AJ83" si="61">SUM(AJ84:AJ95)</f>
        <v>4500.926857865521</v>
      </c>
      <c r="AK83" s="31">
        <f>+T83-AJ83</f>
        <v>3.2300000000004729</v>
      </c>
      <c r="AM83" s="31">
        <f t="shared" ref="AM83" si="62">SUM(AM84:AM95)</f>
        <v>4504.1568578655215</v>
      </c>
      <c r="AN83" s="31">
        <f>+AJ83-AM83</f>
        <v>-3.2300000000004729</v>
      </c>
    </row>
    <row r="84" spans="1:40" hidden="1" x14ac:dyDescent="0.35">
      <c r="A84" s="67" t="s">
        <v>23</v>
      </c>
      <c r="B84" s="30">
        <v>16.024163359999999</v>
      </c>
      <c r="C84" s="31">
        <v>48.463234130000004</v>
      </c>
      <c r="D84" s="31">
        <v>13.465249339999998</v>
      </c>
      <c r="E84" s="31">
        <v>10.291950660000001</v>
      </c>
      <c r="F84" s="31">
        <v>7.4885300600000022</v>
      </c>
      <c r="G84" s="50">
        <f t="shared" ref="G84:G95" si="63">SUM(B84:F84)</f>
        <v>95.733127550000006</v>
      </c>
      <c r="H84" s="30">
        <v>135.19714015</v>
      </c>
      <c r="I84" s="31">
        <v>13.96979685</v>
      </c>
      <c r="J84" s="31">
        <v>0.18127794999999999</v>
      </c>
      <c r="K84" s="50">
        <f t="shared" ref="K84" si="64">SUM(H84:J84)</f>
        <v>149.34821495</v>
      </c>
      <c r="L84" s="30">
        <v>18.229694639999998</v>
      </c>
      <c r="M84" s="31">
        <v>4.5056435599999993</v>
      </c>
      <c r="N84" s="31">
        <v>4.8605770000000001</v>
      </c>
      <c r="O84" s="31">
        <v>3.32679328</v>
      </c>
      <c r="P84" s="31">
        <v>32.998469049999983</v>
      </c>
      <c r="Q84" s="50">
        <f t="shared" ref="Q84:Q92" si="65">SUM(L84:P84)</f>
        <v>63.92117752999998</v>
      </c>
      <c r="R84" s="34">
        <v>17.133849780000002</v>
      </c>
      <c r="S84" s="48">
        <f t="shared" ref="S84:S95" si="66">+R84+Q84+K84+G84</f>
        <v>326.13636981000002</v>
      </c>
      <c r="T84" s="33">
        <v>300.78665147517091</v>
      </c>
      <c r="U84" s="31"/>
      <c r="W84" s="31" t="s">
        <v>47</v>
      </c>
      <c r="X84" s="96">
        <f>SUM(T84:T86)</f>
        <v>908.97672759973591</v>
      </c>
      <c r="Y84" s="31"/>
      <c r="Z84" s="182">
        <f t="shared" si="58"/>
        <v>41.454174592291842</v>
      </c>
      <c r="AG84" s="28" t="s">
        <v>45</v>
      </c>
      <c r="AH84" s="83">
        <v>-0.23</v>
      </c>
      <c r="AJ84" s="31">
        <v>300.78665147517091</v>
      </c>
      <c r="AM84" s="31">
        <v>300.78665147517091</v>
      </c>
    </row>
    <row r="85" spans="1:40" hidden="1" x14ac:dyDescent="0.35">
      <c r="A85" s="67" t="s">
        <v>24</v>
      </c>
      <c r="B85" s="30">
        <v>9.4096254200000011</v>
      </c>
      <c r="C85" s="31">
        <v>51.333309939999999</v>
      </c>
      <c r="D85" s="31">
        <v>15.64684995</v>
      </c>
      <c r="E85" s="31">
        <v>10.38914368</v>
      </c>
      <c r="F85" s="31">
        <v>6.347181109999994</v>
      </c>
      <c r="G85" s="50">
        <f t="shared" si="63"/>
        <v>93.126110100000005</v>
      </c>
      <c r="H85" s="30">
        <v>134.72173537</v>
      </c>
      <c r="I85" s="31">
        <v>19.809948079999998</v>
      </c>
      <c r="J85" s="31">
        <v>5.3169029999999999E-2</v>
      </c>
      <c r="K85" s="50">
        <f t="shared" ref="K85:K87" si="67">SUM(H85:J85)</f>
        <v>154.58485248</v>
      </c>
      <c r="L85" s="30">
        <v>7.784489210000002</v>
      </c>
      <c r="M85" s="31">
        <v>5.3197307799999995</v>
      </c>
      <c r="N85" s="31">
        <v>3.1463975199999998</v>
      </c>
      <c r="O85" s="31">
        <v>2.9177469300000003</v>
      </c>
      <c r="P85" s="31">
        <v>28.860693829999992</v>
      </c>
      <c r="Q85" s="50">
        <f t="shared" si="65"/>
        <v>48.029058269999993</v>
      </c>
      <c r="R85" s="34">
        <v>16.301351959999998</v>
      </c>
      <c r="S85" s="48">
        <f t="shared" si="66"/>
        <v>312.04137280999998</v>
      </c>
      <c r="T85" s="33">
        <v>285.01465734978802</v>
      </c>
      <c r="U85" s="31"/>
      <c r="W85" s="31" t="s">
        <v>48</v>
      </c>
      <c r="X85" s="96">
        <f>SUM(T87:T89)</f>
        <v>1038.5605194312011</v>
      </c>
      <c r="Y85" s="31"/>
      <c r="Z85" s="182">
        <f t="shared" si="58"/>
        <v>43.174318250429955</v>
      </c>
      <c r="AG85" s="28" t="s">
        <v>61</v>
      </c>
      <c r="AH85" s="31">
        <v>-3</v>
      </c>
      <c r="AJ85" s="31">
        <v>285.01465734978802</v>
      </c>
      <c r="AM85" s="31">
        <v>285.01465734978802</v>
      </c>
    </row>
    <row r="86" spans="1:40" hidden="1" x14ac:dyDescent="0.35">
      <c r="A86" s="67" t="s">
        <v>25</v>
      </c>
      <c r="B86" s="30">
        <v>4.2329838799999999</v>
      </c>
      <c r="C86" s="31">
        <v>39.877227509999997</v>
      </c>
      <c r="D86" s="31">
        <v>15.155096820000001</v>
      </c>
      <c r="E86" s="31">
        <v>11.000749109999999</v>
      </c>
      <c r="F86" s="31">
        <v>7.0503526300000061</v>
      </c>
      <c r="G86" s="50">
        <f t="shared" si="63"/>
        <v>77.316409950000008</v>
      </c>
      <c r="H86" s="30">
        <v>150.28261545999999</v>
      </c>
      <c r="I86" s="31">
        <v>35.045696320000005</v>
      </c>
      <c r="J86" s="31">
        <v>0.27042396000000002</v>
      </c>
      <c r="K86" s="50">
        <f t="shared" si="67"/>
        <v>185.59873573999997</v>
      </c>
      <c r="L86" s="30">
        <v>11.574121890000001</v>
      </c>
      <c r="M86" s="31">
        <v>5.3440485800000017</v>
      </c>
      <c r="N86" s="31">
        <v>2.9882900000000001</v>
      </c>
      <c r="O86" s="31">
        <v>5.1242475400000007</v>
      </c>
      <c r="P86" s="31">
        <v>34.819907579999992</v>
      </c>
      <c r="Q86" s="50">
        <f t="shared" si="65"/>
        <v>59.850615589999997</v>
      </c>
      <c r="R86" s="34">
        <v>22.512748239999993</v>
      </c>
      <c r="S86" s="48">
        <f t="shared" si="66"/>
        <v>345.27850951999994</v>
      </c>
      <c r="T86" s="33">
        <v>323.17541877477697</v>
      </c>
      <c r="U86" s="31"/>
      <c r="W86" s="31" t="s">
        <v>49</v>
      </c>
      <c r="X86" s="96">
        <f>SUM(T90:T92)</f>
        <v>1201.1347399436131</v>
      </c>
      <c r="Y86" s="31"/>
      <c r="Z86" s="182">
        <f t="shared" si="58"/>
        <v>43.525041760902006</v>
      </c>
      <c r="AG86" s="28"/>
      <c r="AH86" s="31"/>
      <c r="AJ86" s="31">
        <v>323.17541877477697</v>
      </c>
      <c r="AM86" s="31">
        <v>323.17541877477697</v>
      </c>
    </row>
    <row r="87" spans="1:40" hidden="1" x14ac:dyDescent="0.35">
      <c r="A87" s="67" t="s">
        <v>26</v>
      </c>
      <c r="B87" s="30">
        <v>4.5563681599999999</v>
      </c>
      <c r="C87" s="31">
        <v>55.457783499999998</v>
      </c>
      <c r="D87" s="31">
        <v>15.633626340000001</v>
      </c>
      <c r="E87" s="31">
        <v>9.7101332500000002</v>
      </c>
      <c r="F87" s="31">
        <v>7.3909346300000038</v>
      </c>
      <c r="G87" s="50">
        <f t="shared" si="63"/>
        <v>92.748845880000005</v>
      </c>
      <c r="H87" s="30">
        <v>138.89815163</v>
      </c>
      <c r="I87" s="31">
        <v>19.648828030000001</v>
      </c>
      <c r="J87" s="31">
        <v>4.1203749999999997E-2</v>
      </c>
      <c r="K87" s="50">
        <f t="shared" si="67"/>
        <v>158.58818341</v>
      </c>
      <c r="L87" s="30">
        <v>15.368585660000001</v>
      </c>
      <c r="M87" s="31">
        <v>3.7498380000000004</v>
      </c>
      <c r="N87" s="31">
        <v>5.4299573600000004</v>
      </c>
      <c r="O87" s="31">
        <v>2.4413718400000004</v>
      </c>
      <c r="P87" s="31">
        <v>34.822868390000018</v>
      </c>
      <c r="Q87" s="50">
        <f t="shared" si="65"/>
        <v>61.812621250000021</v>
      </c>
      <c r="R87" s="34">
        <v>20.390953020000001</v>
      </c>
      <c r="S87" s="48">
        <f t="shared" si="66"/>
        <v>333.54060356000002</v>
      </c>
      <c r="T87" s="33">
        <v>305.12940449118003</v>
      </c>
      <c r="U87" s="31"/>
      <c r="W87" s="31" t="s">
        <v>50</v>
      </c>
      <c r="X87" s="96">
        <f>+T93+T94+T95</f>
        <v>1355.4848708909713</v>
      </c>
      <c r="Y87" s="31"/>
      <c r="Z87" s="182">
        <f t="shared" si="58"/>
        <v>41.643551084182725</v>
      </c>
      <c r="AG87" s="28"/>
      <c r="AH87" s="85">
        <f>+AH84+AH85</f>
        <v>-3.23</v>
      </c>
      <c r="AJ87" s="31">
        <v>305.12940449118003</v>
      </c>
      <c r="AM87" s="31">
        <v>305.12940449118003</v>
      </c>
    </row>
    <row r="88" spans="1:40" hidden="1" x14ac:dyDescent="0.35">
      <c r="A88" s="67" t="s">
        <v>39</v>
      </c>
      <c r="B88" s="30">
        <v>17.687323299999999</v>
      </c>
      <c r="C88" s="31">
        <v>60.853712189999996</v>
      </c>
      <c r="D88" s="31">
        <v>14.984637359999999</v>
      </c>
      <c r="E88" s="31">
        <v>11.381154459999999</v>
      </c>
      <c r="F88" s="31">
        <v>7.9231658199999941</v>
      </c>
      <c r="G88" s="50">
        <f t="shared" si="63"/>
        <v>112.82999312999999</v>
      </c>
      <c r="H88" s="30">
        <v>154.82449005000001</v>
      </c>
      <c r="I88" s="31">
        <v>18.3142003</v>
      </c>
      <c r="J88" s="31">
        <v>0.50470828999999995</v>
      </c>
      <c r="K88" s="50">
        <f t="shared" ref="K88:K95" si="68">SUM(H88:J88)</f>
        <v>173.64339864000002</v>
      </c>
      <c r="L88" s="30">
        <v>30.748920599999998</v>
      </c>
      <c r="M88" s="31">
        <v>4.2239796499999995</v>
      </c>
      <c r="N88" s="31">
        <v>6.1747355500000003</v>
      </c>
      <c r="O88" s="31">
        <v>3.0575317599999998</v>
      </c>
      <c r="P88" s="31">
        <v>29.711305260000017</v>
      </c>
      <c r="Q88" s="50">
        <f t="shared" si="65"/>
        <v>73.91647282000001</v>
      </c>
      <c r="R88" s="34">
        <v>32.342358040000001</v>
      </c>
      <c r="S88" s="48">
        <f t="shared" si="66"/>
        <v>392.73222263000002</v>
      </c>
      <c r="T88" s="33">
        <v>361.62144877913306</v>
      </c>
      <c r="U88" s="31"/>
      <c r="V88" s="28"/>
      <c r="W88" s="31"/>
      <c r="X88" s="96"/>
      <c r="Y88" s="31"/>
      <c r="Z88" s="182">
        <f t="shared" si="58"/>
        <v>39.4224056822205</v>
      </c>
      <c r="AJ88" s="31">
        <v>361.62144877913306</v>
      </c>
      <c r="AM88" s="31">
        <v>361.62144877913306</v>
      </c>
    </row>
    <row r="89" spans="1:40" hidden="1" x14ac:dyDescent="0.35">
      <c r="A89" s="67" t="s">
        <v>28</v>
      </c>
      <c r="B89" s="30">
        <v>17.778433329999999</v>
      </c>
      <c r="C89" s="31">
        <v>57.87551904</v>
      </c>
      <c r="D89" s="31">
        <v>14.48431362</v>
      </c>
      <c r="E89" s="31">
        <v>9.8666571200000011</v>
      </c>
      <c r="F89" s="31">
        <v>9.1470890700000069</v>
      </c>
      <c r="G89" s="50">
        <f t="shared" si="63"/>
        <v>109.15201218</v>
      </c>
      <c r="H89" s="30">
        <v>157.23576561000002</v>
      </c>
      <c r="I89" s="31">
        <v>19.191892500000002</v>
      </c>
      <c r="J89" s="31">
        <v>6.3080200000000003E-2</v>
      </c>
      <c r="K89" s="50">
        <f t="shared" si="68"/>
        <v>176.49073831000001</v>
      </c>
      <c r="L89" s="30">
        <v>38.597624580000002</v>
      </c>
      <c r="M89" s="31">
        <v>5.3277591200000005</v>
      </c>
      <c r="N89" s="31">
        <v>6.1037055600000008</v>
      </c>
      <c r="O89" s="31">
        <v>3.1574741699999995</v>
      </c>
      <c r="P89" s="31">
        <v>31.570023319999962</v>
      </c>
      <c r="Q89" s="50">
        <f t="shared" si="65"/>
        <v>84.756586749999968</v>
      </c>
      <c r="R89" s="34">
        <v>31.212026719999997</v>
      </c>
      <c r="S89" s="48">
        <f t="shared" si="66"/>
        <v>401.61136395999995</v>
      </c>
      <c r="T89" s="33">
        <v>371.80966616088801</v>
      </c>
      <c r="U89" s="31"/>
      <c r="V89" s="28"/>
      <c r="W89" s="31"/>
      <c r="X89" s="96"/>
      <c r="Y89" s="31"/>
      <c r="Z89" s="182">
        <f t="shared" si="58"/>
        <v>39.151224223241982</v>
      </c>
      <c r="AJ89" s="31">
        <v>371.80966616088801</v>
      </c>
      <c r="AM89" s="31">
        <v>371.80966616088801</v>
      </c>
    </row>
    <row r="90" spans="1:40" hidden="1" x14ac:dyDescent="0.35">
      <c r="A90" s="67" t="s">
        <v>29</v>
      </c>
      <c r="B90" s="30">
        <v>11.82393514</v>
      </c>
      <c r="C90" s="31">
        <v>53.272903210000003</v>
      </c>
      <c r="D90" s="31">
        <v>12.631687110000001</v>
      </c>
      <c r="E90" s="31">
        <v>9.9592721399999995</v>
      </c>
      <c r="F90" s="31">
        <v>6.9938705199999873</v>
      </c>
      <c r="G90" s="50">
        <f t="shared" si="63"/>
        <v>94.681668119999983</v>
      </c>
      <c r="H90" s="30">
        <v>180.52983384000001</v>
      </c>
      <c r="I90" s="31">
        <v>21.933240340000001</v>
      </c>
      <c r="J90" s="31">
        <v>0</v>
      </c>
      <c r="K90" s="50">
        <f t="shared" ref="K90:K94" si="69">SUM(H90:J90)</f>
        <v>202.46307418000001</v>
      </c>
      <c r="L90" s="30">
        <v>42.089017470000002</v>
      </c>
      <c r="M90" s="31">
        <v>5.1420390999999999</v>
      </c>
      <c r="N90" s="31">
        <v>6.8585134000000005</v>
      </c>
      <c r="O90" s="31">
        <v>4.87529755</v>
      </c>
      <c r="P90" s="31">
        <v>34.367577329999989</v>
      </c>
      <c r="Q90" s="50">
        <f t="shared" si="65"/>
        <v>93.332444849999987</v>
      </c>
      <c r="R90" s="34">
        <v>31.479277949999997</v>
      </c>
      <c r="S90" s="48">
        <f t="shared" si="66"/>
        <v>421.9564651</v>
      </c>
      <c r="T90" s="33">
        <v>395.12152995781696</v>
      </c>
      <c r="U90" s="31"/>
      <c r="V90" s="28"/>
      <c r="W90" s="31"/>
      <c r="X90" s="96"/>
      <c r="Y90" s="31"/>
      <c r="Z90" s="182">
        <f t="shared" si="58"/>
        <v>42.783995215529167</v>
      </c>
      <c r="AJ90" s="31">
        <v>395.12152995781696</v>
      </c>
      <c r="AM90" s="31">
        <v>395.12152995781696</v>
      </c>
    </row>
    <row r="91" spans="1:40" hidden="1" x14ac:dyDescent="0.35">
      <c r="A91" s="67" t="s">
        <v>30</v>
      </c>
      <c r="B91" s="30">
        <v>13.14715548</v>
      </c>
      <c r="C91" s="31">
        <v>59.037779590000007</v>
      </c>
      <c r="D91" s="31">
        <v>16.99882474</v>
      </c>
      <c r="E91" s="31">
        <v>8.7940140000000007</v>
      </c>
      <c r="F91" s="31">
        <v>13.159722840000001</v>
      </c>
      <c r="G91" s="50">
        <f t="shared" si="63"/>
        <v>111.13749665000002</v>
      </c>
      <c r="H91" s="30">
        <v>173.95981624000001</v>
      </c>
      <c r="I91" s="31">
        <v>20.916340630000001</v>
      </c>
      <c r="J91" s="31">
        <v>0</v>
      </c>
      <c r="K91" s="50">
        <f t="shared" si="69"/>
        <v>194.87615687000002</v>
      </c>
      <c r="L91" s="30">
        <v>28.36199963</v>
      </c>
      <c r="M91" s="31">
        <v>6.2558976300000007</v>
      </c>
      <c r="N91" s="31">
        <v>7.3847252800000005</v>
      </c>
      <c r="O91" s="31">
        <v>6.5375399300000003</v>
      </c>
      <c r="P91" s="31">
        <v>40.834985209999999</v>
      </c>
      <c r="Q91" s="50">
        <f t="shared" si="65"/>
        <v>89.375147679999998</v>
      </c>
      <c r="R91" s="34">
        <v>36.639551450000006</v>
      </c>
      <c r="S91" s="48">
        <f t="shared" si="66"/>
        <v>432.02835264999999</v>
      </c>
      <c r="T91" s="33">
        <v>399.77269978196307</v>
      </c>
      <c r="U91" s="31"/>
      <c r="V91" s="28"/>
      <c r="W91" s="31"/>
      <c r="X91" s="96"/>
      <c r="Y91" s="31"/>
      <c r="Z91" s="182">
        <f t="shared" si="58"/>
        <v>40.265833289170821</v>
      </c>
      <c r="AJ91" s="31">
        <f>399.772699781963-0.23</f>
        <v>399.54269978196299</v>
      </c>
      <c r="AM91" s="31">
        <v>399.77269978196307</v>
      </c>
    </row>
    <row r="92" spans="1:40" hidden="1" x14ac:dyDescent="0.35">
      <c r="A92" s="67" t="s">
        <v>31</v>
      </c>
      <c r="B92" s="30">
        <v>18.851530899999997</v>
      </c>
      <c r="C92" s="31">
        <v>61.263792890000005</v>
      </c>
      <c r="D92" s="31">
        <v>18.47315257</v>
      </c>
      <c r="E92" s="31">
        <v>8.9019487699999988</v>
      </c>
      <c r="F92" s="31">
        <v>12.287702590000009</v>
      </c>
      <c r="G92" s="50">
        <f t="shared" si="63"/>
        <v>119.77812772000001</v>
      </c>
      <c r="H92" s="30">
        <v>164.78651615000001</v>
      </c>
      <c r="I92" s="31">
        <v>41.550606530000003</v>
      </c>
      <c r="J92" s="31">
        <v>6.7715190000000008E-2</v>
      </c>
      <c r="K92" s="50">
        <f t="shared" si="69"/>
        <v>206.40483787000002</v>
      </c>
      <c r="L92" s="30">
        <v>27.6368224</v>
      </c>
      <c r="M92" s="31">
        <v>5.7573537000000004</v>
      </c>
      <c r="N92" s="31">
        <v>8.5321970900000004</v>
      </c>
      <c r="O92" s="31">
        <v>7.1828322600000005</v>
      </c>
      <c r="P92" s="31">
        <v>42.730915510000031</v>
      </c>
      <c r="Q92" s="50">
        <f t="shared" si="65"/>
        <v>91.840120960000036</v>
      </c>
      <c r="R92" s="34">
        <v>22.17671181</v>
      </c>
      <c r="S92" s="48">
        <f t="shared" si="66"/>
        <v>440.19979836000005</v>
      </c>
      <c r="T92" s="33">
        <v>406.24051020383303</v>
      </c>
      <c r="U92" s="31"/>
      <c r="V92" s="28"/>
      <c r="W92" s="31"/>
      <c r="X92" s="96"/>
      <c r="Y92" s="31"/>
      <c r="Z92" s="182">
        <f t="shared" si="58"/>
        <v>37.43448242455483</v>
      </c>
      <c r="AJ92" s="31">
        <v>406.24051020383303</v>
      </c>
      <c r="AM92" s="31">
        <v>406.24051020383303</v>
      </c>
    </row>
    <row r="93" spans="1:40" hidden="1" x14ac:dyDescent="0.35">
      <c r="A93" s="67" t="s">
        <v>32</v>
      </c>
      <c r="B93" s="30">
        <v>23.07146401</v>
      </c>
      <c r="C93" s="31">
        <v>74.078255799999994</v>
      </c>
      <c r="D93" s="31">
        <v>24.732761570000001</v>
      </c>
      <c r="E93" s="31">
        <v>10.184661999999999</v>
      </c>
      <c r="F93" s="31">
        <v>14.431996529999992</v>
      </c>
      <c r="G93" s="50">
        <f t="shared" si="63"/>
        <v>146.49913991</v>
      </c>
      <c r="H93" s="30">
        <v>193.28793812000004</v>
      </c>
      <c r="I93" s="31">
        <v>24.8585815</v>
      </c>
      <c r="J93" s="31">
        <v>0.23210258</v>
      </c>
      <c r="K93" s="50">
        <f t="shared" si="69"/>
        <v>218.37862220000005</v>
      </c>
      <c r="L93" s="30">
        <v>19.073866159999998</v>
      </c>
      <c r="M93" s="31">
        <v>6.8522797600000009</v>
      </c>
      <c r="N93" s="31">
        <v>6.8446847800000006</v>
      </c>
      <c r="O93" s="31">
        <v>7.2927312400000002</v>
      </c>
      <c r="P93" s="31">
        <v>52.896061110000019</v>
      </c>
      <c r="Q93" s="50">
        <f t="shared" ref="Q93:Q95" si="70">SUM(L93:P93)</f>
        <v>92.959623050000019</v>
      </c>
      <c r="R93" s="34">
        <v>25.194328310000003</v>
      </c>
      <c r="S93" s="48">
        <f t="shared" si="66"/>
        <v>483.03171347000006</v>
      </c>
      <c r="T93" s="33">
        <v>440.99066600646012</v>
      </c>
      <c r="U93" s="31"/>
      <c r="V93" s="28"/>
      <c r="W93" s="31"/>
      <c r="X93" s="96"/>
      <c r="Y93" s="31"/>
      <c r="Z93" s="182">
        <f t="shared" si="58"/>
        <v>40.015579252852653</v>
      </c>
      <c r="AJ93" s="31">
        <f>440.99066600646-3</f>
        <v>437.99066600646</v>
      </c>
      <c r="AM93" s="31">
        <v>440.99066600646012</v>
      </c>
    </row>
    <row r="94" spans="1:40" hidden="1" x14ac:dyDescent="0.35">
      <c r="A94" s="67" t="s">
        <v>33</v>
      </c>
      <c r="B94" s="30">
        <v>37.749427650000001</v>
      </c>
      <c r="C94" s="31">
        <v>68.884551590000001</v>
      </c>
      <c r="D94" s="31">
        <v>31.301192630000003</v>
      </c>
      <c r="E94" s="31">
        <v>11.357865250000001</v>
      </c>
      <c r="F94" s="31">
        <v>17.40284754000001</v>
      </c>
      <c r="G94" s="50">
        <f t="shared" si="63"/>
        <v>166.69588466000002</v>
      </c>
      <c r="H94" s="30">
        <v>190.98110466</v>
      </c>
      <c r="I94" s="31">
        <v>28.729965549999999</v>
      </c>
      <c r="J94" s="31">
        <v>0.25728593999999999</v>
      </c>
      <c r="K94" s="50">
        <f t="shared" si="69"/>
        <v>219.96835615000001</v>
      </c>
      <c r="L94" s="30">
        <v>24.1912433</v>
      </c>
      <c r="M94" s="31">
        <v>6.5387751800000009</v>
      </c>
      <c r="N94" s="31">
        <v>5.2137849899999997</v>
      </c>
      <c r="O94" s="31">
        <v>5.3708542599999998</v>
      </c>
      <c r="P94" s="31">
        <v>55.631840010000012</v>
      </c>
      <c r="Q94" s="50">
        <f>SUM(L94:P94)</f>
        <v>96.946497740000012</v>
      </c>
      <c r="R94" s="34">
        <v>18.106541630000002</v>
      </c>
      <c r="S94" s="48">
        <f t="shared" si="66"/>
        <v>501.7172801800001</v>
      </c>
      <c r="T94" s="33">
        <v>458.30866085079305</v>
      </c>
      <c r="U94" s="31"/>
      <c r="V94" s="28"/>
      <c r="W94" s="31"/>
      <c r="X94" s="96"/>
      <c r="Y94" s="31"/>
      <c r="Z94" s="182">
        <f t="shared" si="58"/>
        <v>38.065482733917818</v>
      </c>
      <c r="AJ94" s="31">
        <v>458.30866085079305</v>
      </c>
      <c r="AM94" s="31">
        <v>458.30866085079305</v>
      </c>
    </row>
    <row r="95" spans="1:40" hidden="1" x14ac:dyDescent="0.35">
      <c r="A95" s="67" t="s">
        <v>38</v>
      </c>
      <c r="B95" s="30">
        <v>38.885311830000006</v>
      </c>
      <c r="C95" s="31">
        <v>66.146172440000001</v>
      </c>
      <c r="D95" s="31">
        <v>33.044842860000003</v>
      </c>
      <c r="E95" s="31">
        <v>11.065103179999999</v>
      </c>
      <c r="F95" s="31">
        <v>18.635886040000003</v>
      </c>
      <c r="G95" s="50">
        <f t="shared" si="63"/>
        <v>167.77731635000001</v>
      </c>
      <c r="H95" s="30">
        <v>196.53338785</v>
      </c>
      <c r="I95" s="31">
        <v>4.8230836200000002</v>
      </c>
      <c r="J95" s="31">
        <v>0.27878923999999999</v>
      </c>
      <c r="K95" s="50">
        <f t="shared" si="68"/>
        <v>201.63526071000001</v>
      </c>
      <c r="L95" s="30">
        <v>19.976672710000003</v>
      </c>
      <c r="M95" s="31">
        <v>7.6109707899999988</v>
      </c>
      <c r="N95" s="31">
        <v>7.1191674000000003</v>
      </c>
      <c r="O95" s="31">
        <v>2.1646467900000004</v>
      </c>
      <c r="P95" s="31">
        <v>66.39026136999999</v>
      </c>
      <c r="Q95" s="50">
        <f t="shared" si="70"/>
        <v>103.26171905999999</v>
      </c>
      <c r="R95" s="34">
        <v>26.75657343</v>
      </c>
      <c r="S95" s="48">
        <f t="shared" si="66"/>
        <v>499.43086955000001</v>
      </c>
      <c r="T95" s="33">
        <v>456.18554403371803</v>
      </c>
      <c r="U95" s="31"/>
      <c r="V95" s="28"/>
      <c r="W95" s="31"/>
      <c r="X95" s="96"/>
      <c r="Y95" s="31"/>
      <c r="Z95" s="182">
        <f t="shared" si="58"/>
        <v>39.35146980944161</v>
      </c>
      <c r="AJ95" s="31">
        <v>456.18554403371803</v>
      </c>
      <c r="AM95" s="31">
        <v>456.18554403371803</v>
      </c>
    </row>
    <row r="96" spans="1:40" hidden="1" x14ac:dyDescent="0.35">
      <c r="A96" s="67"/>
      <c r="B96" s="30"/>
      <c r="C96" s="31"/>
      <c r="D96" s="31"/>
      <c r="E96" s="31"/>
      <c r="F96" s="31"/>
      <c r="G96" s="32"/>
      <c r="H96" s="30"/>
      <c r="I96" s="31"/>
      <c r="J96" s="31"/>
      <c r="K96" s="32"/>
      <c r="L96" s="30"/>
      <c r="M96" s="31"/>
      <c r="N96" s="31"/>
      <c r="O96" s="31"/>
      <c r="P96" s="31"/>
      <c r="Q96" s="32"/>
      <c r="R96" s="34"/>
      <c r="S96" s="30"/>
      <c r="T96" s="33"/>
      <c r="U96" s="31"/>
      <c r="V96" s="28"/>
      <c r="W96" s="31"/>
      <c r="X96" s="96"/>
      <c r="Y96" s="31"/>
      <c r="Z96" s="182" t="e">
        <f t="shared" si="58"/>
        <v>#DIV/0!</v>
      </c>
      <c r="AJ96" s="31"/>
      <c r="AM96" s="43"/>
    </row>
    <row r="97" spans="1:40" hidden="1" x14ac:dyDescent="0.35">
      <c r="A97" s="87">
        <v>2008</v>
      </c>
      <c r="B97" s="30">
        <f t="shared" ref="B97:P97" si="71">SUM(B98:B109)</f>
        <v>281.69603253000002</v>
      </c>
      <c r="C97" s="31">
        <f t="shared" si="71"/>
        <v>740.7525028099999</v>
      </c>
      <c r="D97" s="31">
        <f t="shared" si="71"/>
        <v>525.61261610000008</v>
      </c>
      <c r="E97" s="31">
        <f t="shared" si="71"/>
        <v>142.20571472</v>
      </c>
      <c r="F97" s="31">
        <f t="shared" si="71"/>
        <v>242.03146294999993</v>
      </c>
      <c r="G97" s="32">
        <f t="shared" si="71"/>
        <v>1932.2983291099997</v>
      </c>
      <c r="H97" s="30">
        <f t="shared" si="71"/>
        <v>3159.0860222500005</v>
      </c>
      <c r="I97" s="31">
        <f t="shared" si="71"/>
        <v>324.29147179999995</v>
      </c>
      <c r="J97" s="31">
        <f t="shared" si="71"/>
        <v>3.2454422999999997</v>
      </c>
      <c r="K97" s="32">
        <f t="shared" si="71"/>
        <v>3486.6229363499997</v>
      </c>
      <c r="L97" s="30">
        <f t="shared" si="71"/>
        <v>339.62040360000003</v>
      </c>
      <c r="M97" s="31">
        <f t="shared" si="71"/>
        <v>72.252723230000001</v>
      </c>
      <c r="N97" s="31">
        <f t="shared" si="71"/>
        <v>83.530059080000001</v>
      </c>
      <c r="O97" s="31">
        <f t="shared" si="71"/>
        <v>23.745836360000006</v>
      </c>
      <c r="P97" s="31">
        <f t="shared" si="71"/>
        <v>692.45627637999985</v>
      </c>
      <c r="Q97" s="32">
        <f>SUM(Q98:Q109)</f>
        <v>1211.6052986500001</v>
      </c>
      <c r="R97" s="34">
        <f t="shared" ref="R97:T97" si="72">SUM(R98:R109)</f>
        <v>427.48153803000002</v>
      </c>
      <c r="S97" s="30">
        <f t="shared" si="72"/>
        <v>7058.0081021399992</v>
      </c>
      <c r="T97" s="33">
        <f t="shared" si="72"/>
        <v>6525.1351274461076</v>
      </c>
      <c r="U97" s="31"/>
      <c r="V97" s="28"/>
      <c r="W97" s="31"/>
      <c r="X97" s="96"/>
      <c r="Y97" s="31"/>
      <c r="Z97" s="182">
        <f t="shared" si="58"/>
        <v>44.758889144547183</v>
      </c>
      <c r="AJ97" s="31"/>
    </row>
    <row r="98" spans="1:40" hidden="1" x14ac:dyDescent="0.35">
      <c r="A98" s="67" t="s">
        <v>23</v>
      </c>
      <c r="B98" s="30">
        <v>21.586631360000002</v>
      </c>
      <c r="C98" s="31">
        <v>52.134483850000002</v>
      </c>
      <c r="D98" s="31">
        <v>30.161043509999999</v>
      </c>
      <c r="E98" s="31">
        <v>13.6424325</v>
      </c>
      <c r="F98" s="31">
        <v>18.10650969000001</v>
      </c>
      <c r="G98" s="50">
        <f t="shared" ref="G98:G109" si="73">SUM(B98:F98)</f>
        <v>135.63110091000001</v>
      </c>
      <c r="H98" s="30">
        <v>231.24213543000002</v>
      </c>
      <c r="I98" s="31">
        <v>28.395893600000004</v>
      </c>
      <c r="J98" s="31">
        <v>0.39805309000000005</v>
      </c>
      <c r="K98" s="50">
        <f t="shared" ref="K98" si="74">SUM(H98:J98)</f>
        <v>260.03608212000006</v>
      </c>
      <c r="L98" s="30">
        <v>27.998625860000004</v>
      </c>
      <c r="M98" s="31">
        <v>5.9692449499999993</v>
      </c>
      <c r="N98" s="31">
        <v>4.7449256399999991</v>
      </c>
      <c r="O98" s="31">
        <v>2.71577023</v>
      </c>
      <c r="P98" s="31">
        <v>55.791406289999976</v>
      </c>
      <c r="Q98" s="50">
        <f t="shared" ref="Q98:Q108" si="75">SUM(L98:P98)</f>
        <v>97.219972969999972</v>
      </c>
      <c r="R98" s="34">
        <v>30.165401930000002</v>
      </c>
      <c r="S98" s="48">
        <f t="shared" ref="S98:S109" si="76">+R98+Q98+K98+G98</f>
        <v>523.05255793000003</v>
      </c>
      <c r="T98" s="33">
        <v>487.26553008991505</v>
      </c>
      <c r="U98" s="31"/>
      <c r="V98" s="28"/>
      <c r="W98" s="31" t="s">
        <v>47</v>
      </c>
      <c r="X98" s="96">
        <f>SUM(T98:T100)</f>
        <v>1469.9179308650091</v>
      </c>
      <c r="Y98" s="31"/>
      <c r="Z98" s="182">
        <f t="shared" si="58"/>
        <v>44.210114628852857</v>
      </c>
      <c r="AJ98" s="31"/>
    </row>
    <row r="99" spans="1:40" hidden="1" x14ac:dyDescent="0.35">
      <c r="A99" s="67" t="s">
        <v>24</v>
      </c>
      <c r="B99" s="30">
        <v>17.06678552</v>
      </c>
      <c r="C99" s="31">
        <v>61.497230379999998</v>
      </c>
      <c r="D99" s="31">
        <v>34.339075270000002</v>
      </c>
      <c r="E99" s="31">
        <v>11.36484286</v>
      </c>
      <c r="F99" s="31">
        <v>16.163711559999982</v>
      </c>
      <c r="G99" s="50">
        <f t="shared" si="73"/>
        <v>140.43164558999999</v>
      </c>
      <c r="H99" s="30">
        <v>215.87067256</v>
      </c>
      <c r="I99" s="31">
        <v>0</v>
      </c>
      <c r="J99" s="31">
        <v>0.11472316</v>
      </c>
      <c r="K99" s="50">
        <f t="shared" ref="K99:K101" si="77">SUM(H99:J99)</f>
        <v>215.98539572000001</v>
      </c>
      <c r="L99" s="30">
        <v>23.57704824</v>
      </c>
      <c r="M99" s="31">
        <v>5.7447146999999994</v>
      </c>
      <c r="N99" s="31">
        <v>3.7797242900000003</v>
      </c>
      <c r="O99" s="31">
        <v>2.5914841900000001</v>
      </c>
      <c r="P99" s="31">
        <v>55.373202960000008</v>
      </c>
      <c r="Q99" s="50">
        <f t="shared" si="75"/>
        <v>91.066174380000007</v>
      </c>
      <c r="R99" s="34">
        <v>46.131812650000022</v>
      </c>
      <c r="S99" s="48">
        <f t="shared" si="76"/>
        <v>493.61502834000009</v>
      </c>
      <c r="T99" s="33">
        <v>453.29220739038601</v>
      </c>
      <c r="U99" s="31"/>
      <c r="V99" s="28"/>
      <c r="W99" s="31" t="s">
        <v>48</v>
      </c>
      <c r="X99" s="96">
        <f>SUM(T101:T103)</f>
        <v>1603.2106409700059</v>
      </c>
      <c r="Y99" s="31"/>
      <c r="Z99" s="182">
        <f t="shared" si="58"/>
        <v>43.732597300767175</v>
      </c>
      <c r="AJ99" s="31"/>
    </row>
    <row r="100" spans="1:40" hidden="1" x14ac:dyDescent="0.35">
      <c r="A100" s="67" t="s">
        <v>25</v>
      </c>
      <c r="B100" s="30">
        <v>19.818091250000002</v>
      </c>
      <c r="C100" s="31">
        <v>70.266018739999993</v>
      </c>
      <c r="D100" s="31">
        <v>38.438386229999999</v>
      </c>
      <c r="E100" s="31">
        <v>11.915833190000001</v>
      </c>
      <c r="F100" s="31">
        <v>19.120544969999997</v>
      </c>
      <c r="G100" s="50">
        <f t="shared" si="73"/>
        <v>159.55887437999999</v>
      </c>
      <c r="H100" s="30">
        <v>230.87128155000002</v>
      </c>
      <c r="I100" s="31">
        <v>57.552929619999993</v>
      </c>
      <c r="J100" s="31">
        <v>0.39416950000000001</v>
      </c>
      <c r="K100" s="50">
        <f t="shared" si="77"/>
        <v>288.81838067000001</v>
      </c>
      <c r="L100" s="30">
        <v>14.731102289999997</v>
      </c>
      <c r="M100" s="31">
        <v>5.8722477099999981</v>
      </c>
      <c r="N100" s="31">
        <v>5.1852634599999998</v>
      </c>
      <c r="O100" s="31">
        <v>2.8351019300000004</v>
      </c>
      <c r="P100" s="31">
        <v>66.161961629999951</v>
      </c>
      <c r="Q100" s="50">
        <f t="shared" si="75"/>
        <v>94.785677019999952</v>
      </c>
      <c r="R100" s="34">
        <v>32.118514999999995</v>
      </c>
      <c r="S100" s="48">
        <f t="shared" si="76"/>
        <v>575.28144707000001</v>
      </c>
      <c r="T100" s="33">
        <v>529.36019338470805</v>
      </c>
      <c r="U100" s="31"/>
      <c r="V100" s="28"/>
      <c r="W100" s="31" t="s">
        <v>49</v>
      </c>
      <c r="X100" s="96">
        <f>SUM(T104:T106)</f>
        <v>1777.198391111197</v>
      </c>
      <c r="Y100" s="31"/>
      <c r="Z100" s="182">
        <f t="shared" si="58"/>
        <v>40.131883745923709</v>
      </c>
      <c r="AJ100" s="31"/>
    </row>
    <row r="101" spans="1:40" hidden="1" x14ac:dyDescent="0.35">
      <c r="A101" s="67" t="s">
        <v>26</v>
      </c>
      <c r="B101" s="30">
        <v>21.72224172</v>
      </c>
      <c r="C101" s="31">
        <v>75.380910159999999</v>
      </c>
      <c r="D101" s="31">
        <v>48.552719310000001</v>
      </c>
      <c r="E101" s="31">
        <v>12.519044310000002</v>
      </c>
      <c r="F101" s="31">
        <v>25.278984320000006</v>
      </c>
      <c r="G101" s="50">
        <f t="shared" si="73"/>
        <v>183.45389982</v>
      </c>
      <c r="H101" s="30">
        <v>236.99421870999998</v>
      </c>
      <c r="I101" s="31">
        <v>61.812117729999997</v>
      </c>
      <c r="J101" s="31">
        <v>0.58085807999999994</v>
      </c>
      <c r="K101" s="50">
        <f t="shared" si="77"/>
        <v>299.38719451999998</v>
      </c>
      <c r="L101" s="30">
        <v>25.524395079999998</v>
      </c>
      <c r="M101" s="31">
        <v>4.6637663099999997</v>
      </c>
      <c r="N101" s="31">
        <v>5.8061555800000004</v>
      </c>
      <c r="O101" s="31">
        <v>4.8715700400000017</v>
      </c>
      <c r="P101" s="31">
        <v>42.230878109999999</v>
      </c>
      <c r="Q101" s="50">
        <f t="shared" si="75"/>
        <v>83.096765120000001</v>
      </c>
      <c r="R101" s="34">
        <v>27.843275289999987</v>
      </c>
      <c r="S101" s="48">
        <f t="shared" si="76"/>
        <v>593.78113474999998</v>
      </c>
      <c r="T101" s="33">
        <v>540.40135809097194</v>
      </c>
      <c r="U101" s="31"/>
      <c r="V101" s="28"/>
      <c r="W101" s="31" t="s">
        <v>50</v>
      </c>
      <c r="X101" s="96">
        <f>+T107+T108+T109</f>
        <v>1674.8081644998949</v>
      </c>
      <c r="Y101" s="31"/>
      <c r="Z101" s="182">
        <f t="shared" si="58"/>
        <v>39.912722860382182</v>
      </c>
      <c r="AJ101" s="31"/>
    </row>
    <row r="102" spans="1:40" hidden="1" x14ac:dyDescent="0.35">
      <c r="A102" s="67" t="s">
        <v>39</v>
      </c>
      <c r="B102" s="30">
        <v>21.79382429</v>
      </c>
      <c r="C102" s="31">
        <v>75.133505220000004</v>
      </c>
      <c r="D102" s="31">
        <v>45.986983789999996</v>
      </c>
      <c r="E102" s="31">
        <v>12.284346380000001</v>
      </c>
      <c r="F102" s="31">
        <v>20.165433399999984</v>
      </c>
      <c r="G102" s="50">
        <f t="shared" si="73"/>
        <v>175.36409307999998</v>
      </c>
      <c r="H102" s="30">
        <v>243.60552402000002</v>
      </c>
      <c r="I102" s="31">
        <v>37.377405810000006</v>
      </c>
      <c r="J102" s="31">
        <v>0.35331044</v>
      </c>
      <c r="K102" s="50">
        <f t="shared" ref="K102:K109" si="78">SUM(H102:J102)</f>
        <v>281.33624027000002</v>
      </c>
      <c r="L102" s="30">
        <v>41.799026559999994</v>
      </c>
      <c r="M102" s="31">
        <v>5.5779292000000007</v>
      </c>
      <c r="N102" s="31">
        <v>7.14889508</v>
      </c>
      <c r="O102" s="31">
        <v>1.4438597400000002</v>
      </c>
      <c r="P102" s="31">
        <v>38.609192209999989</v>
      </c>
      <c r="Q102" s="50">
        <f t="shared" si="75"/>
        <v>94.578902789999987</v>
      </c>
      <c r="R102" s="34">
        <v>36.651202510000005</v>
      </c>
      <c r="S102" s="48">
        <f t="shared" si="76"/>
        <v>587.93043865000004</v>
      </c>
      <c r="T102" s="33">
        <v>537.12585810573398</v>
      </c>
      <c r="U102" s="31"/>
      <c r="V102" s="28"/>
      <c r="W102" s="31"/>
      <c r="X102" s="96"/>
      <c r="Y102" s="31"/>
      <c r="Z102" s="182">
        <f t="shared" si="58"/>
        <v>41.434412645714438</v>
      </c>
      <c r="AJ102" s="31"/>
    </row>
    <row r="103" spans="1:40" hidden="1" x14ac:dyDescent="0.35">
      <c r="A103" s="67" t="s">
        <v>28</v>
      </c>
      <c r="B103" s="30">
        <v>30.826632970000002</v>
      </c>
      <c r="C103" s="31">
        <v>73.509837400000009</v>
      </c>
      <c r="D103" s="31">
        <v>51.720153519999997</v>
      </c>
      <c r="E103" s="31">
        <v>13.203090060000001</v>
      </c>
      <c r="F103" s="31">
        <v>22.466260819999974</v>
      </c>
      <c r="G103" s="50">
        <f t="shared" si="73"/>
        <v>191.72597476999999</v>
      </c>
      <c r="H103" s="30">
        <v>237.79592928</v>
      </c>
      <c r="I103" s="31">
        <v>0</v>
      </c>
      <c r="J103" s="31">
        <v>9.4546149999999995E-2</v>
      </c>
      <c r="K103" s="50">
        <f t="shared" si="78"/>
        <v>237.89047543000001</v>
      </c>
      <c r="L103" s="30">
        <v>31.920679110000002</v>
      </c>
      <c r="M103" s="31">
        <v>5.5691107699999991</v>
      </c>
      <c r="N103" s="31">
        <v>10.871621000000001</v>
      </c>
      <c r="O103" s="31">
        <v>4.3638003900000006</v>
      </c>
      <c r="P103" s="31">
        <v>54.172436869999963</v>
      </c>
      <c r="Q103" s="50">
        <f t="shared" si="75"/>
        <v>106.89764813999997</v>
      </c>
      <c r="R103" s="34">
        <v>41.838691600000004</v>
      </c>
      <c r="S103" s="48">
        <f t="shared" si="76"/>
        <v>578.35278993999998</v>
      </c>
      <c r="T103" s="33">
        <v>525.68342477330009</v>
      </c>
      <c r="U103" s="31"/>
      <c r="V103" s="28"/>
      <c r="W103" s="31"/>
      <c r="X103" s="96"/>
      <c r="Y103" s="31"/>
      <c r="Z103" s="182">
        <f t="shared" si="58"/>
        <v>41.116068499413593</v>
      </c>
      <c r="AJ103" s="31"/>
    </row>
    <row r="104" spans="1:40" hidden="1" x14ac:dyDescent="0.35">
      <c r="A104" s="67" t="s">
        <v>29</v>
      </c>
      <c r="B104" s="30">
        <v>18.787156319999998</v>
      </c>
      <c r="C104" s="31">
        <v>70.224223569999992</v>
      </c>
      <c r="D104" s="31">
        <v>58.29380762000001</v>
      </c>
      <c r="E104" s="31">
        <v>12.300986649999999</v>
      </c>
      <c r="F104" s="31">
        <v>21.557749609999973</v>
      </c>
      <c r="G104" s="50">
        <f t="shared" si="73"/>
        <v>181.16392376999997</v>
      </c>
      <c r="H104" s="30">
        <v>292.45860356000003</v>
      </c>
      <c r="I104" s="31">
        <v>38.833164100000005</v>
      </c>
      <c r="J104" s="31">
        <v>0.37147786999999999</v>
      </c>
      <c r="K104" s="50">
        <f t="shared" ref="K104:K108" si="79">SUM(H104:J104)</f>
        <v>331.66324552999998</v>
      </c>
      <c r="L104" s="30">
        <v>47.561836700000001</v>
      </c>
      <c r="M104" s="31">
        <v>6.5015612100000002</v>
      </c>
      <c r="N104" s="31">
        <v>9.7640194999999999</v>
      </c>
      <c r="O104" s="31">
        <v>0.83050476000000029</v>
      </c>
      <c r="P104" s="31">
        <v>57.222033419999988</v>
      </c>
      <c r="Q104" s="50">
        <f t="shared" si="75"/>
        <v>121.87995558999998</v>
      </c>
      <c r="R104" s="34">
        <v>44.771377330000007</v>
      </c>
      <c r="S104" s="48">
        <f t="shared" si="76"/>
        <v>679.47850222</v>
      </c>
      <c r="T104" s="33">
        <v>627.61435489333894</v>
      </c>
      <c r="U104" s="31"/>
      <c r="V104" s="28"/>
      <c r="W104" s="31"/>
      <c r="X104" s="96"/>
      <c r="Y104" s="31"/>
      <c r="Z104" s="182">
        <f t="shared" si="58"/>
        <v>43.041627160311315</v>
      </c>
      <c r="AJ104" s="31"/>
    </row>
    <row r="105" spans="1:40" hidden="1" x14ac:dyDescent="0.35">
      <c r="A105" s="67" t="s">
        <v>30</v>
      </c>
      <c r="B105" s="30">
        <v>33.986028230000002</v>
      </c>
      <c r="C105" s="31">
        <v>62.932754260000003</v>
      </c>
      <c r="D105" s="31">
        <v>51.879331010000001</v>
      </c>
      <c r="E105" s="31">
        <v>13.428274550000001</v>
      </c>
      <c r="F105" s="31">
        <v>23.967938959999998</v>
      </c>
      <c r="G105" s="50">
        <f t="shared" si="73"/>
        <v>186.19432700999999</v>
      </c>
      <c r="H105" s="30">
        <v>280.71806518</v>
      </c>
      <c r="I105" s="31">
        <v>33.342990260000008</v>
      </c>
      <c r="J105" s="31">
        <v>0.13162592000000001</v>
      </c>
      <c r="K105" s="50">
        <f t="shared" si="79"/>
        <v>314.19268135999999</v>
      </c>
      <c r="L105" s="30">
        <v>41.563039410000002</v>
      </c>
      <c r="M105" s="31">
        <v>6.9927072100000016</v>
      </c>
      <c r="N105" s="31">
        <v>9.0803493300000007</v>
      </c>
      <c r="O105" s="31">
        <v>2.4301700699999991</v>
      </c>
      <c r="P105" s="31">
        <v>56.52315584000003</v>
      </c>
      <c r="Q105" s="50">
        <f t="shared" si="75"/>
        <v>116.58942186000003</v>
      </c>
      <c r="R105" s="34">
        <v>30.694057419999993</v>
      </c>
      <c r="S105" s="48">
        <f t="shared" si="76"/>
        <v>647.67048765000004</v>
      </c>
      <c r="T105" s="33">
        <v>598.97493363757212</v>
      </c>
      <c r="U105" s="31"/>
      <c r="V105" s="28"/>
      <c r="W105" s="31"/>
      <c r="X105" s="96"/>
      <c r="Y105" s="31"/>
      <c r="Z105" s="182">
        <f t="shared" si="58"/>
        <v>43.342729139713335</v>
      </c>
      <c r="AJ105" s="31"/>
    </row>
    <row r="106" spans="1:40" hidden="1" x14ac:dyDescent="0.35">
      <c r="A106" s="67" t="s">
        <v>31</v>
      </c>
      <c r="B106" s="30">
        <v>31.470250630000002</v>
      </c>
      <c r="C106" s="31">
        <v>66.086484779999992</v>
      </c>
      <c r="D106" s="31">
        <v>47.436808239999998</v>
      </c>
      <c r="E106" s="31">
        <v>10.290488830000001</v>
      </c>
      <c r="F106" s="31">
        <v>27.101789159999981</v>
      </c>
      <c r="G106" s="50">
        <f t="shared" si="73"/>
        <v>182.38582163999999</v>
      </c>
      <c r="H106" s="30">
        <v>264.55652055000002</v>
      </c>
      <c r="I106" s="31">
        <v>28.305469330000001</v>
      </c>
      <c r="J106" s="31">
        <v>0.17358397</v>
      </c>
      <c r="K106" s="50">
        <f t="shared" si="79"/>
        <v>293.03557384999999</v>
      </c>
      <c r="L106" s="30">
        <v>26.564930740000001</v>
      </c>
      <c r="M106" s="31">
        <v>4.8840687999999997</v>
      </c>
      <c r="N106" s="31">
        <v>8.3625146600000004</v>
      </c>
      <c r="O106" s="31">
        <v>1.3374175899999998</v>
      </c>
      <c r="P106" s="31">
        <v>49.011548399999995</v>
      </c>
      <c r="Q106" s="50">
        <f t="shared" si="75"/>
        <v>90.160480190000001</v>
      </c>
      <c r="R106" s="34">
        <v>33.638257339999988</v>
      </c>
      <c r="S106" s="48">
        <f t="shared" si="76"/>
        <v>599.22013301999993</v>
      </c>
      <c r="T106" s="33">
        <v>550.60910258028605</v>
      </c>
      <c r="U106" s="31"/>
      <c r="V106" s="28"/>
      <c r="W106" s="31"/>
      <c r="X106" s="96"/>
      <c r="Y106" s="31"/>
      <c r="Z106" s="182">
        <f t="shared" si="58"/>
        <v>44.150138817376821</v>
      </c>
      <c r="AJ106" s="31"/>
    </row>
    <row r="107" spans="1:40" hidden="1" x14ac:dyDescent="0.35">
      <c r="A107" s="67" t="s">
        <v>32</v>
      </c>
      <c r="B107" s="30">
        <v>22.11445002</v>
      </c>
      <c r="C107" s="31">
        <v>49.861374230000003</v>
      </c>
      <c r="D107" s="31">
        <v>41.583594559999995</v>
      </c>
      <c r="E107" s="31">
        <v>11.988121580000001</v>
      </c>
      <c r="F107" s="31">
        <v>19.660214270000012</v>
      </c>
      <c r="G107" s="50">
        <f t="shared" si="73"/>
        <v>145.20775466000001</v>
      </c>
      <c r="H107" s="30">
        <v>314.85373916000003</v>
      </c>
      <c r="I107" s="31">
        <v>0</v>
      </c>
      <c r="J107" s="31">
        <v>0.19888050000000002</v>
      </c>
      <c r="K107" s="50">
        <f t="shared" si="79"/>
        <v>315.05261966</v>
      </c>
      <c r="L107" s="30">
        <v>28.73299759</v>
      </c>
      <c r="M107" s="31">
        <v>7.2730839400000002</v>
      </c>
      <c r="N107" s="31">
        <v>9.5953853799999997</v>
      </c>
      <c r="O107" s="31">
        <v>0.17858465000000037</v>
      </c>
      <c r="P107" s="31">
        <v>81.548465899999997</v>
      </c>
      <c r="Q107" s="50">
        <f t="shared" si="75"/>
        <v>127.32851746</v>
      </c>
      <c r="R107" s="34">
        <v>50.165278179999994</v>
      </c>
      <c r="S107" s="48">
        <f t="shared" si="76"/>
        <v>637.75416996000001</v>
      </c>
      <c r="T107" s="33">
        <v>598.97908207756097</v>
      </c>
      <c r="U107" s="31"/>
      <c r="V107" s="28"/>
      <c r="W107" s="31"/>
      <c r="X107" s="96"/>
      <c r="Y107" s="31"/>
      <c r="Z107" s="182">
        <f t="shared" si="58"/>
        <v>49.369138453418138</v>
      </c>
      <c r="AJ107" s="31"/>
    </row>
    <row r="108" spans="1:40" hidden="1" x14ac:dyDescent="0.35">
      <c r="A108" s="67" t="s">
        <v>33</v>
      </c>
      <c r="B108" s="30">
        <v>23.761884240000001</v>
      </c>
      <c r="C108" s="31">
        <v>46.453135270000004</v>
      </c>
      <c r="D108" s="31">
        <v>41.532269420000006</v>
      </c>
      <c r="E108" s="31">
        <v>9.5204761099999988</v>
      </c>
      <c r="F108" s="31">
        <v>15.416046579999986</v>
      </c>
      <c r="G108" s="50">
        <f t="shared" si="73"/>
        <v>136.68381162</v>
      </c>
      <c r="H108" s="30">
        <v>309.02706255999999</v>
      </c>
      <c r="I108" s="31">
        <v>28.912951960000001</v>
      </c>
      <c r="J108" s="31">
        <v>0.24270123999999998</v>
      </c>
      <c r="K108" s="50">
        <f t="shared" si="79"/>
        <v>338.18271575999995</v>
      </c>
      <c r="L108" s="30">
        <v>17.132087569999999</v>
      </c>
      <c r="M108" s="31">
        <v>6.3569603599999995</v>
      </c>
      <c r="N108" s="31">
        <v>6.0761725400000008</v>
      </c>
      <c r="O108" s="31">
        <v>0.14757277000000002</v>
      </c>
      <c r="P108" s="31">
        <v>89.424945219999998</v>
      </c>
      <c r="Q108" s="50">
        <f t="shared" si="75"/>
        <v>119.13773845999999</v>
      </c>
      <c r="R108" s="34">
        <v>29.209902079999992</v>
      </c>
      <c r="S108" s="48">
        <f t="shared" si="76"/>
        <v>623.21416791999991</v>
      </c>
      <c r="T108" s="33">
        <v>587.32247816936899</v>
      </c>
      <c r="U108" s="31"/>
      <c r="V108" s="28"/>
      <c r="W108" s="31"/>
      <c r="X108" s="96"/>
      <c r="Y108" s="31"/>
      <c r="Z108" s="182">
        <f t="shared" si="58"/>
        <v>49.586013679918274</v>
      </c>
      <c r="AJ108" s="31"/>
    </row>
    <row r="109" spans="1:40" hidden="1" x14ac:dyDescent="0.35">
      <c r="A109" s="67" t="s">
        <v>38</v>
      </c>
      <c r="B109" s="30">
        <v>18.76205598</v>
      </c>
      <c r="C109" s="31">
        <v>37.272544950000004</v>
      </c>
      <c r="D109" s="31">
        <v>35.688443620000001</v>
      </c>
      <c r="E109" s="31">
        <v>9.7477776999999985</v>
      </c>
      <c r="F109" s="31">
        <v>13.026279610000017</v>
      </c>
      <c r="G109" s="50">
        <f t="shared" si="73"/>
        <v>114.49710186000001</v>
      </c>
      <c r="H109" s="30">
        <v>301.09226968999997</v>
      </c>
      <c r="I109" s="31">
        <v>9.7585493900000007</v>
      </c>
      <c r="J109" s="31">
        <v>0.19151237999999998</v>
      </c>
      <c r="K109" s="50">
        <f t="shared" si="78"/>
        <v>311.04233145999996</v>
      </c>
      <c r="L109" s="30">
        <v>12.514634449999999</v>
      </c>
      <c r="M109" s="31">
        <v>6.8473280700000005</v>
      </c>
      <c r="N109" s="31">
        <v>3.11503262</v>
      </c>
      <c r="O109" s="31">
        <v>0</v>
      </c>
      <c r="P109" s="31">
        <v>46.387049530000013</v>
      </c>
      <c r="Q109" s="50">
        <f t="shared" ref="Q109" si="80">SUM(L109:P109)</f>
        <v>68.864044670000013</v>
      </c>
      <c r="R109" s="34">
        <v>24.253766700000007</v>
      </c>
      <c r="S109" s="48">
        <f t="shared" si="76"/>
        <v>518.65724468999997</v>
      </c>
      <c r="T109" s="33">
        <v>488.50660425296496</v>
      </c>
      <c r="U109" s="31"/>
      <c r="V109" s="28"/>
      <c r="W109" s="31"/>
      <c r="X109" s="96"/>
      <c r="Y109" s="84"/>
      <c r="Z109" s="182">
        <f t="shared" si="58"/>
        <v>58.052263372887424</v>
      </c>
      <c r="AJ109" s="84"/>
      <c r="AK109" s="84"/>
      <c r="AL109" s="84"/>
      <c r="AM109" s="84"/>
      <c r="AN109" s="84"/>
    </row>
    <row r="110" spans="1:40" hidden="1" x14ac:dyDescent="0.35">
      <c r="A110" s="67"/>
      <c r="B110" s="30"/>
      <c r="C110" s="31"/>
      <c r="D110" s="31"/>
      <c r="E110" s="31"/>
      <c r="F110" s="31"/>
      <c r="G110" s="32"/>
      <c r="H110" s="30"/>
      <c r="I110" s="31"/>
      <c r="J110" s="31"/>
      <c r="K110" s="32"/>
      <c r="L110" s="30"/>
      <c r="M110" s="31"/>
      <c r="N110" s="31"/>
      <c r="O110" s="31"/>
      <c r="P110" s="31"/>
      <c r="Q110" s="32"/>
      <c r="R110" s="34"/>
      <c r="S110" s="30"/>
      <c r="T110" s="33"/>
      <c r="U110" s="31"/>
      <c r="V110" s="28"/>
      <c r="W110" s="31"/>
      <c r="X110" s="96"/>
      <c r="Y110" s="84"/>
      <c r="Z110" s="182" t="e">
        <f t="shared" si="58"/>
        <v>#DIV/0!</v>
      </c>
      <c r="AJ110" s="84" t="e">
        <f>+AJ82</f>
        <v>#REF!</v>
      </c>
      <c r="AK110" s="84"/>
      <c r="AL110" s="84" t="e">
        <f>+AM82</f>
        <v>#REF!</v>
      </c>
      <c r="AM110" s="84"/>
      <c r="AN110" s="84"/>
    </row>
    <row r="111" spans="1:40" hidden="1" x14ac:dyDescent="0.35">
      <c r="A111" s="88" t="s">
        <v>52</v>
      </c>
      <c r="B111" s="30">
        <f t="shared" ref="B111:P111" si="81">SUM(B112:B123)</f>
        <v>233.53729878999997</v>
      </c>
      <c r="C111" s="31">
        <f t="shared" si="81"/>
        <v>689.63514475000011</v>
      </c>
      <c r="D111" s="31">
        <f t="shared" si="81"/>
        <v>610.59743793999996</v>
      </c>
      <c r="E111" s="31">
        <f t="shared" si="81"/>
        <v>116.45217231000001</v>
      </c>
      <c r="F111" s="31">
        <f t="shared" si="81"/>
        <v>195.89858804000008</v>
      </c>
      <c r="G111" s="32">
        <f t="shared" si="81"/>
        <v>1846.1206418300001</v>
      </c>
      <c r="H111" s="30">
        <f t="shared" si="81"/>
        <v>1967.5741105699999</v>
      </c>
      <c r="I111" s="31">
        <f t="shared" si="81"/>
        <v>139.71549261999999</v>
      </c>
      <c r="J111" s="31">
        <f t="shared" si="81"/>
        <v>2.9267450100000003</v>
      </c>
      <c r="K111" s="32">
        <f t="shared" si="81"/>
        <v>2110.2163482000001</v>
      </c>
      <c r="L111" s="30">
        <f t="shared" si="81"/>
        <v>487.92073609000005</v>
      </c>
      <c r="M111" s="31">
        <f t="shared" si="81"/>
        <v>63.707234370000016</v>
      </c>
      <c r="N111" s="31">
        <f t="shared" si="81"/>
        <v>64.243353200000001</v>
      </c>
      <c r="O111" s="31">
        <f t="shared" si="81"/>
        <v>2.1008386600000013</v>
      </c>
      <c r="P111" s="31">
        <f t="shared" si="81"/>
        <v>575.67942004000008</v>
      </c>
      <c r="Q111" s="32">
        <f>SUM(Q112:Q123)</f>
        <v>1193.6515823600002</v>
      </c>
      <c r="R111" s="34">
        <f t="shared" ref="R111:T111" si="82">SUM(R112:R123)</f>
        <v>336.41714846000002</v>
      </c>
      <c r="S111" s="30">
        <f t="shared" si="82"/>
        <v>5486.4057208499999</v>
      </c>
      <c r="T111" s="33">
        <f t="shared" si="82"/>
        <v>4960.3579093277149</v>
      </c>
      <c r="U111" s="31"/>
      <c r="V111" s="74">
        <f>4960.4-4.8</f>
        <v>4955.5999999999995</v>
      </c>
      <c r="W111" s="31"/>
      <c r="X111" s="96"/>
      <c r="Y111" s="31"/>
      <c r="Z111" s="182">
        <f t="shared" si="58"/>
        <v>35.862716151170218</v>
      </c>
      <c r="AJ111" s="31">
        <f t="shared" ref="AJ111" si="83">SUM(AJ112:AJ123)</f>
        <v>4955.5820293277147</v>
      </c>
      <c r="AK111" s="31">
        <f>+T111-AJ111</f>
        <v>4.7758800000001429</v>
      </c>
      <c r="AL111" s="31">
        <f t="shared" ref="AL111" si="84">SUM(AL112:AL123)</f>
        <v>4960.3579093277149</v>
      </c>
      <c r="AM111" s="31">
        <f>+AL111-AJ111</f>
        <v>4.7758800000001429</v>
      </c>
    </row>
    <row r="112" spans="1:40" hidden="1" x14ac:dyDescent="0.35">
      <c r="A112" s="68" t="s">
        <v>23</v>
      </c>
      <c r="B112" s="30">
        <v>19.205698250000001</v>
      </c>
      <c r="C112" s="31">
        <v>34.543235630000005</v>
      </c>
      <c r="D112" s="31">
        <v>28.12414557</v>
      </c>
      <c r="E112" s="31">
        <v>11.669821899999999</v>
      </c>
      <c r="F112" s="31">
        <v>11.173446479999981</v>
      </c>
      <c r="G112" s="50">
        <f t="shared" ref="G112:G123" si="85">SUM(B112:F112)</f>
        <v>104.71634782999999</v>
      </c>
      <c r="H112" s="30">
        <v>182.52665209</v>
      </c>
      <c r="I112" s="31">
        <v>0</v>
      </c>
      <c r="J112" s="31">
        <v>2.5120060000000003E-2</v>
      </c>
      <c r="K112" s="50">
        <f t="shared" ref="K112" si="86">SUM(H112:J112)</f>
        <v>182.55177215000001</v>
      </c>
      <c r="L112" s="30">
        <v>10.461735300000001</v>
      </c>
      <c r="M112" s="31">
        <v>4.4280228499999996</v>
      </c>
      <c r="N112" s="31">
        <v>3.9106844800000005</v>
      </c>
      <c r="O112" s="31">
        <v>3.9318179999999932E-2</v>
      </c>
      <c r="P112" s="31">
        <v>45.416014399999995</v>
      </c>
      <c r="Q112" s="50">
        <f t="shared" ref="Q112:Q120" si="87">SUM(L112:P112)</f>
        <v>64.255775209999996</v>
      </c>
      <c r="R112" s="34">
        <v>18.675718489999998</v>
      </c>
      <c r="S112" s="48">
        <f t="shared" ref="S112:S123" si="88">+R112+Q112+K112+G112</f>
        <v>370.19961367999997</v>
      </c>
      <c r="T112" s="33">
        <v>343.94770950150098</v>
      </c>
      <c r="U112" s="31"/>
      <c r="V112" s="28"/>
      <c r="W112" s="31" t="s">
        <v>47</v>
      </c>
      <c r="X112" s="96">
        <f>SUM(T112:T114)</f>
        <v>1088.4382315682151</v>
      </c>
      <c r="Y112" s="31"/>
      <c r="Z112" s="182">
        <f t="shared" si="58"/>
        <v>49.30492775926443</v>
      </c>
      <c r="AJ112" s="31">
        <v>343.94770950150098</v>
      </c>
      <c r="AL112" s="31">
        <v>343.94770950150098</v>
      </c>
    </row>
    <row r="113" spans="1:38" hidden="1" x14ac:dyDescent="0.35">
      <c r="A113" s="68" t="s">
        <v>24</v>
      </c>
      <c r="B113" s="30">
        <v>10.816053</v>
      </c>
      <c r="C113" s="31">
        <v>38.879565299999996</v>
      </c>
      <c r="D113" s="31">
        <v>47.564174449999996</v>
      </c>
      <c r="E113" s="31">
        <v>9.5531838000000011</v>
      </c>
      <c r="F113" s="31">
        <v>11.522868720000005</v>
      </c>
      <c r="G113" s="50">
        <f t="shared" si="85"/>
        <v>118.33584526999999</v>
      </c>
      <c r="H113" s="30">
        <v>179.20757021000006</v>
      </c>
      <c r="I113" s="31">
        <v>9.8261714800000011</v>
      </c>
      <c r="J113" s="31">
        <v>7.7939830000000002E-2</v>
      </c>
      <c r="K113" s="50">
        <f t="shared" ref="K113:K115" si="89">SUM(H113:J113)</f>
        <v>189.11168152000005</v>
      </c>
      <c r="L113" s="30">
        <v>18.07777767</v>
      </c>
      <c r="M113" s="31">
        <v>4.3558516200000001</v>
      </c>
      <c r="N113" s="31">
        <v>2.6527402200000001</v>
      </c>
      <c r="O113" s="31">
        <v>0.22938414999999993</v>
      </c>
      <c r="P113" s="31">
        <v>38.068889829999989</v>
      </c>
      <c r="Q113" s="50">
        <f t="shared" si="87"/>
        <v>63.384643489999988</v>
      </c>
      <c r="R113" s="34">
        <v>24.231798909999998</v>
      </c>
      <c r="S113" s="48">
        <f t="shared" si="88"/>
        <v>395.06396919000002</v>
      </c>
      <c r="T113" s="33">
        <v>361.46990769283008</v>
      </c>
      <c r="U113" s="31"/>
      <c r="V113" s="28"/>
      <c r="W113" s="31" t="s">
        <v>48</v>
      </c>
      <c r="X113" s="96">
        <f>SUM(T115:T117)</f>
        <v>1189.6790509540681</v>
      </c>
      <c r="Y113" s="31"/>
      <c r="Z113" s="182">
        <f t="shared" si="58"/>
        <v>45.361658917524032</v>
      </c>
      <c r="AJ113" s="31">
        <v>361.46990769283008</v>
      </c>
      <c r="AL113" s="31">
        <v>361.46990769283008</v>
      </c>
    </row>
    <row r="114" spans="1:38" hidden="1" x14ac:dyDescent="0.35">
      <c r="A114" s="68" t="s">
        <v>25</v>
      </c>
      <c r="B114" s="30">
        <v>18.471965900000001</v>
      </c>
      <c r="C114" s="31">
        <v>37.719751719999998</v>
      </c>
      <c r="D114" s="31">
        <v>42.241868340000003</v>
      </c>
      <c r="E114" s="31">
        <v>10.11801356</v>
      </c>
      <c r="F114" s="31">
        <v>10.387815320000001</v>
      </c>
      <c r="G114" s="50">
        <f t="shared" si="85"/>
        <v>118.93941484</v>
      </c>
      <c r="H114" s="30">
        <v>186.73754032000002</v>
      </c>
      <c r="I114" s="31">
        <v>0</v>
      </c>
      <c r="J114" s="31">
        <v>0.15046590000000001</v>
      </c>
      <c r="K114" s="50">
        <f t="shared" si="89"/>
        <v>186.88800622000002</v>
      </c>
      <c r="L114" s="30">
        <v>20.925695990000001</v>
      </c>
      <c r="M114" s="31">
        <v>6.561562630000001</v>
      </c>
      <c r="N114" s="31">
        <v>4.2776643500000011</v>
      </c>
      <c r="O114" s="31">
        <v>0.29950548000000043</v>
      </c>
      <c r="P114" s="31">
        <v>45.637320079999959</v>
      </c>
      <c r="Q114" s="50">
        <f t="shared" si="87"/>
        <v>77.701748529999961</v>
      </c>
      <c r="R114" s="34">
        <v>31.079011059999999</v>
      </c>
      <c r="S114" s="48">
        <f t="shared" si="88"/>
        <v>414.60818064999995</v>
      </c>
      <c r="T114" s="33">
        <v>383.02061437388397</v>
      </c>
      <c r="U114" s="31"/>
      <c r="V114" s="28"/>
      <c r="W114" s="31" t="s">
        <v>49</v>
      </c>
      <c r="X114" s="96">
        <f>SUM(T118:T120)</f>
        <v>1331.0841389488251</v>
      </c>
      <c r="Y114" s="31"/>
      <c r="Z114" s="182">
        <f t="shared" si="58"/>
        <v>45.039521416881634</v>
      </c>
      <c r="AJ114" s="31">
        <f>383.020614373884-1.86</f>
        <v>381.16061437388396</v>
      </c>
      <c r="AL114" s="31">
        <v>383.02061437388397</v>
      </c>
    </row>
    <row r="115" spans="1:38" hidden="1" x14ac:dyDescent="0.35">
      <c r="A115" s="68" t="s">
        <v>26</v>
      </c>
      <c r="B115" s="30">
        <v>14.918961940000001</v>
      </c>
      <c r="C115" s="31">
        <v>42.521563119999996</v>
      </c>
      <c r="D115" s="31">
        <v>44.124382539999999</v>
      </c>
      <c r="E115" s="31">
        <v>10.275285240000001</v>
      </c>
      <c r="F115" s="31">
        <v>13.889337310000002</v>
      </c>
      <c r="G115" s="50">
        <f t="shared" si="85"/>
        <v>125.72953015</v>
      </c>
      <c r="H115" s="30">
        <v>141.96270812999998</v>
      </c>
      <c r="I115" s="31">
        <v>12.3383024</v>
      </c>
      <c r="J115" s="31">
        <v>0.12348189999999999</v>
      </c>
      <c r="K115" s="50">
        <f t="shared" si="89"/>
        <v>154.42449242999999</v>
      </c>
      <c r="L115" s="30">
        <v>20.554750260000002</v>
      </c>
      <c r="M115" s="31">
        <v>4.8121600999999998</v>
      </c>
      <c r="N115" s="31">
        <v>2.6036921399999997</v>
      </c>
      <c r="O115" s="31">
        <v>3.6192189999999944E-2</v>
      </c>
      <c r="P115" s="31">
        <v>34.359800420000013</v>
      </c>
      <c r="Q115" s="50">
        <f t="shared" si="87"/>
        <v>62.36659511000002</v>
      </c>
      <c r="R115" s="34">
        <v>37.905416430000002</v>
      </c>
      <c r="S115" s="48">
        <f t="shared" si="88"/>
        <v>380.42603412</v>
      </c>
      <c r="T115" s="33">
        <v>345.49573446061402</v>
      </c>
      <c r="U115" s="31"/>
      <c r="V115" s="28"/>
      <c r="W115" s="31" t="s">
        <v>50</v>
      </c>
      <c r="X115" s="96">
        <f>+T121+T122+T123</f>
        <v>1351.1564878566073</v>
      </c>
      <c r="Y115" s="31"/>
      <c r="Z115" s="182">
        <f t="shared" si="58"/>
        <v>37.316769988780493</v>
      </c>
      <c r="AJ115" s="31">
        <v>345.49573446061402</v>
      </c>
      <c r="AL115" s="31">
        <v>345.49573446061402</v>
      </c>
    </row>
    <row r="116" spans="1:38" hidden="1" x14ac:dyDescent="0.35">
      <c r="A116" s="68" t="s">
        <v>39</v>
      </c>
      <c r="B116" s="30">
        <v>18.839867130000002</v>
      </c>
      <c r="C116" s="31">
        <v>52.562634539999998</v>
      </c>
      <c r="D116" s="31">
        <v>42.445026609999999</v>
      </c>
      <c r="E116" s="31">
        <v>8.1683323300000001</v>
      </c>
      <c r="F116" s="31">
        <v>13.287314530000017</v>
      </c>
      <c r="G116" s="50">
        <f t="shared" si="85"/>
        <v>135.30317514000001</v>
      </c>
      <c r="H116" s="30">
        <v>177.67608946999999</v>
      </c>
      <c r="I116" s="31">
        <v>17.784155389999999</v>
      </c>
      <c r="J116" s="31">
        <v>8.8709179999999985E-2</v>
      </c>
      <c r="K116" s="50">
        <f t="shared" ref="K116:K123" si="90">SUM(H116:J116)</f>
        <v>195.54895403999998</v>
      </c>
      <c r="L116" s="30">
        <v>44.395287709999998</v>
      </c>
      <c r="M116" s="31">
        <v>4.61158073</v>
      </c>
      <c r="N116" s="31">
        <v>6.088986059999999</v>
      </c>
      <c r="O116" s="31">
        <v>0.20291200000000001</v>
      </c>
      <c r="P116" s="31">
        <v>39.040648070000039</v>
      </c>
      <c r="Q116" s="50">
        <f t="shared" si="87"/>
        <v>94.339414570000031</v>
      </c>
      <c r="R116" s="34">
        <v>31.060371660000001</v>
      </c>
      <c r="S116" s="48">
        <f t="shared" si="88"/>
        <v>456.25191541000004</v>
      </c>
      <c r="T116" s="33">
        <v>417.77034319911803</v>
      </c>
      <c r="U116" s="31"/>
      <c r="V116" s="28"/>
      <c r="W116" s="31"/>
      <c r="X116" s="96"/>
      <c r="Y116" s="31"/>
      <c r="Z116" s="182">
        <f t="shared" si="58"/>
        <v>38.942541054394383</v>
      </c>
      <c r="AJ116" s="31">
        <v>417.77034319911803</v>
      </c>
      <c r="AL116" s="31">
        <v>417.77034319911803</v>
      </c>
    </row>
    <row r="117" spans="1:38" hidden="1" x14ac:dyDescent="0.35">
      <c r="A117" s="68" t="s">
        <v>28</v>
      </c>
      <c r="B117" s="30">
        <v>20.466993559999999</v>
      </c>
      <c r="C117" s="31">
        <v>48.287569280000007</v>
      </c>
      <c r="D117" s="31">
        <v>54.787703570000005</v>
      </c>
      <c r="E117" s="31">
        <v>9.3845411700000003</v>
      </c>
      <c r="F117" s="31">
        <v>13.856220910000019</v>
      </c>
      <c r="G117" s="50">
        <f t="shared" si="85"/>
        <v>146.78302849000002</v>
      </c>
      <c r="H117" s="30">
        <v>176.19666497999998</v>
      </c>
      <c r="I117" s="31">
        <v>0</v>
      </c>
      <c r="J117" s="31">
        <v>0.15199893</v>
      </c>
      <c r="K117" s="50">
        <f t="shared" si="90"/>
        <v>176.34866390999997</v>
      </c>
      <c r="L117" s="30">
        <v>60.217790430000001</v>
      </c>
      <c r="M117" s="31">
        <v>3.8116113300000007</v>
      </c>
      <c r="N117" s="31">
        <v>7.6799386399999996</v>
      </c>
      <c r="O117" s="31">
        <v>0.24851154000000006</v>
      </c>
      <c r="P117" s="31">
        <v>35.652868390000009</v>
      </c>
      <c r="Q117" s="50">
        <f t="shared" si="87"/>
        <v>107.61072033000001</v>
      </c>
      <c r="R117" s="34">
        <v>36.313999010000003</v>
      </c>
      <c r="S117" s="48">
        <f t="shared" si="88"/>
        <v>467.05641174000004</v>
      </c>
      <c r="T117" s="33">
        <v>426.41297329433604</v>
      </c>
      <c r="U117" s="31"/>
      <c r="V117" s="28"/>
      <c r="W117" s="31"/>
      <c r="X117" s="96"/>
      <c r="Y117" s="31"/>
      <c r="Z117" s="182">
        <f t="shared" si="58"/>
        <v>37.724921562169833</v>
      </c>
      <c r="AJ117" s="31">
        <v>426.41297329433604</v>
      </c>
      <c r="AL117" s="31">
        <v>426.41297329433604</v>
      </c>
    </row>
    <row r="118" spans="1:38" hidden="1" x14ac:dyDescent="0.35">
      <c r="A118" s="68" t="s">
        <v>29</v>
      </c>
      <c r="B118" s="30">
        <v>18.947995909999999</v>
      </c>
      <c r="C118" s="31">
        <v>59.001140290000002</v>
      </c>
      <c r="D118" s="31">
        <v>52.448552469999996</v>
      </c>
      <c r="E118" s="31">
        <v>8.938411030000001</v>
      </c>
      <c r="F118" s="31">
        <v>19.105229400000042</v>
      </c>
      <c r="G118" s="50">
        <f t="shared" si="85"/>
        <v>158.44132910000002</v>
      </c>
      <c r="H118" s="30">
        <v>172.98580938999999</v>
      </c>
      <c r="I118" s="31">
        <v>17.712579089999998</v>
      </c>
      <c r="J118" s="31">
        <v>0.31263034000000001</v>
      </c>
      <c r="K118" s="50">
        <f t="shared" ref="K118:K122" si="91">SUM(H118:J118)</f>
        <v>191.01101881999998</v>
      </c>
      <c r="L118" s="30">
        <v>63.887906940000008</v>
      </c>
      <c r="M118" s="31">
        <v>4.2589177999999999</v>
      </c>
      <c r="N118" s="31">
        <v>6.9869875199999996</v>
      </c>
      <c r="O118" s="31">
        <v>6.9090690000000413E-2</v>
      </c>
      <c r="P118" s="31">
        <v>45.185705110000015</v>
      </c>
      <c r="Q118" s="50">
        <f t="shared" si="87"/>
        <v>120.38860806000002</v>
      </c>
      <c r="R118" s="34">
        <v>20.133559359999996</v>
      </c>
      <c r="S118" s="48">
        <f t="shared" si="88"/>
        <v>489.97451533999998</v>
      </c>
      <c r="T118" s="33">
        <v>444.37739085106301</v>
      </c>
      <c r="U118" s="31"/>
      <c r="V118" s="28">
        <v>2009</v>
      </c>
      <c r="W118" s="31"/>
      <c r="X118" s="96"/>
      <c r="Y118" s="31"/>
      <c r="Z118" s="182">
        <f t="shared" si="58"/>
        <v>35.305062605136264</v>
      </c>
      <c r="AJ118" s="31">
        <v>444.37739085106301</v>
      </c>
      <c r="AL118" s="31">
        <v>444.37739085106301</v>
      </c>
    </row>
    <row r="119" spans="1:38" hidden="1" x14ac:dyDescent="0.35">
      <c r="A119" s="68" t="s">
        <v>30</v>
      </c>
      <c r="B119" s="30">
        <v>19.293853429999999</v>
      </c>
      <c r="C119" s="31">
        <v>66.634704859999999</v>
      </c>
      <c r="D119" s="31">
        <v>52.42635791</v>
      </c>
      <c r="E119" s="31">
        <v>7.7945947400000009</v>
      </c>
      <c r="F119" s="31">
        <v>18.025331640000019</v>
      </c>
      <c r="G119" s="50">
        <f t="shared" si="85"/>
        <v>164.17484258000002</v>
      </c>
      <c r="H119" s="30">
        <v>157.59503637</v>
      </c>
      <c r="I119" s="31">
        <v>19.863996400000001</v>
      </c>
      <c r="J119" s="31">
        <v>0.13378728000000001</v>
      </c>
      <c r="K119" s="50">
        <f t="shared" si="91"/>
        <v>177.59282005</v>
      </c>
      <c r="L119" s="30">
        <v>74.42761637000001</v>
      </c>
      <c r="M119" s="31">
        <v>5.3772778900000002</v>
      </c>
      <c r="N119" s="31">
        <v>5.8390758199999997</v>
      </c>
      <c r="O119" s="31">
        <v>7.411475999999978E-2</v>
      </c>
      <c r="P119" s="31">
        <v>47.804910190000015</v>
      </c>
      <c r="Q119" s="50">
        <f t="shared" si="87"/>
        <v>133.52299503000003</v>
      </c>
      <c r="R119" s="34">
        <v>21.538417270000004</v>
      </c>
      <c r="S119" s="48">
        <f t="shared" si="88"/>
        <v>496.82907493000005</v>
      </c>
      <c r="T119" s="33">
        <v>448.51402997833213</v>
      </c>
      <c r="U119" s="31"/>
      <c r="V119" s="28" t="s">
        <v>62</v>
      </c>
      <c r="W119" s="31">
        <v>-1.86</v>
      </c>
      <c r="X119" s="96"/>
      <c r="Y119" s="31"/>
      <c r="Z119" s="182">
        <f t="shared" si="58"/>
        <v>31.720171850289582</v>
      </c>
      <c r="AJ119" s="31">
        <v>448.51402997833213</v>
      </c>
      <c r="AL119" s="31">
        <v>448.51402997833213</v>
      </c>
    </row>
    <row r="120" spans="1:38" hidden="1" x14ac:dyDescent="0.35">
      <c r="A120" s="68" t="s">
        <v>31</v>
      </c>
      <c r="B120" s="30">
        <v>21.070841889999997</v>
      </c>
      <c r="C120" s="31">
        <v>72.342181400000001</v>
      </c>
      <c r="D120" s="31">
        <v>61.063724670000006</v>
      </c>
      <c r="E120" s="31">
        <v>10.341182589999999</v>
      </c>
      <c r="F120" s="31">
        <v>20.35689893</v>
      </c>
      <c r="G120" s="50">
        <f t="shared" si="85"/>
        <v>185.17482948</v>
      </c>
      <c r="H120" s="30">
        <v>145.09416836999998</v>
      </c>
      <c r="I120" s="31">
        <v>0</v>
      </c>
      <c r="J120" s="31">
        <v>0.11318658000000001</v>
      </c>
      <c r="K120" s="50">
        <f t="shared" si="91"/>
        <v>145.20735494999997</v>
      </c>
      <c r="L120" s="30">
        <v>61.487276839999993</v>
      </c>
      <c r="M120" s="31">
        <v>5.5590503899999995</v>
      </c>
      <c r="N120" s="31">
        <v>5.4785921200000001</v>
      </c>
      <c r="O120" s="31">
        <v>8.2797589999999852E-2</v>
      </c>
      <c r="P120" s="31">
        <v>63.397144629999985</v>
      </c>
      <c r="Q120" s="50">
        <f t="shared" si="87"/>
        <v>136.00486156999997</v>
      </c>
      <c r="R120" s="34">
        <v>26.228608479999991</v>
      </c>
      <c r="S120" s="48">
        <f t="shared" si="88"/>
        <v>492.61565447999988</v>
      </c>
      <c r="T120" s="33">
        <v>438.19271811942997</v>
      </c>
      <c r="U120" s="31"/>
      <c r="V120" s="28" t="s">
        <v>61</v>
      </c>
      <c r="W120" s="31">
        <v>-2.9158879999999998</v>
      </c>
      <c r="X120" s="96"/>
      <c r="Y120" s="31"/>
      <c r="Z120" s="182">
        <f t="shared" si="58"/>
        <v>29.453828162070877</v>
      </c>
      <c r="AJ120" s="31">
        <v>438.19271811942997</v>
      </c>
      <c r="AL120" s="31">
        <v>438.19271811942997</v>
      </c>
    </row>
    <row r="121" spans="1:38" hidden="1" x14ac:dyDescent="0.35">
      <c r="A121" s="68" t="s">
        <v>32</v>
      </c>
      <c r="B121" s="30">
        <v>21.165785459999999</v>
      </c>
      <c r="C121" s="31">
        <v>65.636462399999999</v>
      </c>
      <c r="D121" s="31">
        <v>66.095733049999993</v>
      </c>
      <c r="E121" s="31">
        <v>9.4459466799999987</v>
      </c>
      <c r="F121" s="31">
        <v>20.317375349999992</v>
      </c>
      <c r="G121" s="50">
        <f t="shared" si="85"/>
        <v>182.66130293999998</v>
      </c>
      <c r="H121" s="30">
        <v>164.90662078000003</v>
      </c>
      <c r="I121" s="31">
        <v>20.610676820000002</v>
      </c>
      <c r="J121" s="31">
        <v>0.55794570999999993</v>
      </c>
      <c r="K121" s="50">
        <f t="shared" si="91"/>
        <v>186.07524331000005</v>
      </c>
      <c r="L121" s="30">
        <v>51.182453240000008</v>
      </c>
      <c r="M121" s="31">
        <v>5.4460784699999998</v>
      </c>
      <c r="N121" s="31">
        <v>5.6320787299999999</v>
      </c>
      <c r="O121" s="31">
        <v>0.76327670000000025</v>
      </c>
      <c r="P121" s="31">
        <v>70.321786830000065</v>
      </c>
      <c r="Q121" s="50">
        <f t="shared" ref="Q121:Q123" si="92">SUM(L121:P121)</f>
        <v>133.34567397000006</v>
      </c>
      <c r="R121" s="34">
        <v>26.007234889999999</v>
      </c>
      <c r="S121" s="48">
        <f t="shared" si="88"/>
        <v>528.08945511000002</v>
      </c>
      <c r="T121" s="33">
        <v>475.16223950235013</v>
      </c>
      <c r="U121" s="31"/>
      <c r="V121" s="28"/>
      <c r="W121" s="31"/>
      <c r="X121" s="96"/>
      <c r="Y121" s="31"/>
      <c r="Z121" s="182">
        <f t="shared" si="58"/>
        <v>31.227023979422253</v>
      </c>
      <c r="AJ121" s="31">
        <f>475.16223950235-2.91588</f>
        <v>472.24635950235</v>
      </c>
      <c r="AL121" s="31">
        <v>475.16223950235013</v>
      </c>
    </row>
    <row r="122" spans="1:38" hidden="1" x14ac:dyDescent="0.35">
      <c r="A122" s="68" t="s">
        <v>33</v>
      </c>
      <c r="B122" s="30">
        <v>27.848891200000004</v>
      </c>
      <c r="C122" s="31">
        <v>84.392685590000013</v>
      </c>
      <c r="D122" s="31">
        <v>58.706740750000002</v>
      </c>
      <c r="E122" s="31">
        <v>12.744565160000001</v>
      </c>
      <c r="F122" s="31">
        <v>22.764738950000009</v>
      </c>
      <c r="G122" s="50">
        <f t="shared" si="85"/>
        <v>206.45762165000002</v>
      </c>
      <c r="H122" s="30">
        <v>143.42237345999999</v>
      </c>
      <c r="I122" s="31">
        <v>20.584690019999996</v>
      </c>
      <c r="J122" s="31">
        <v>0.70286232000000004</v>
      </c>
      <c r="K122" s="50">
        <f t="shared" si="91"/>
        <v>164.70992580000001</v>
      </c>
      <c r="L122" s="30">
        <v>33.741987940000001</v>
      </c>
      <c r="M122" s="31">
        <v>6.5037626199999998</v>
      </c>
      <c r="N122" s="31">
        <v>8.08638324</v>
      </c>
      <c r="O122" s="31">
        <v>4.8113140000000595E-2</v>
      </c>
      <c r="P122" s="31">
        <v>51.306502630000026</v>
      </c>
      <c r="Q122" s="50">
        <f>SUM(L122:P122)</f>
        <v>99.686749570000032</v>
      </c>
      <c r="R122" s="34">
        <v>28.228064210000003</v>
      </c>
      <c r="S122" s="48">
        <f t="shared" si="88"/>
        <v>499.08236123000006</v>
      </c>
      <c r="T122" s="33">
        <v>439.94031788536302</v>
      </c>
      <c r="U122" s="31"/>
      <c r="V122" s="28"/>
      <c r="W122" s="83">
        <f>+W119+W120</f>
        <v>-4.7758880000000001</v>
      </c>
      <c r="X122" s="96"/>
      <c r="Y122" s="31"/>
      <c r="Z122" s="182">
        <f t="shared" si="58"/>
        <v>28.737215458092376</v>
      </c>
      <c r="AJ122" s="31">
        <v>439.94031788536302</v>
      </c>
      <c r="AL122" s="31">
        <v>439.94031788536302</v>
      </c>
    </row>
    <row r="123" spans="1:38" hidden="1" x14ac:dyDescent="0.35">
      <c r="A123" s="68" t="s">
        <v>38</v>
      </c>
      <c r="B123" s="30">
        <v>22.490391120000005</v>
      </c>
      <c r="C123" s="31">
        <v>87.113650620000001</v>
      </c>
      <c r="D123" s="31">
        <v>60.569028010000004</v>
      </c>
      <c r="E123" s="31">
        <v>8.0182941100000011</v>
      </c>
      <c r="F123" s="31">
        <v>21.212010499999991</v>
      </c>
      <c r="G123" s="50">
        <f t="shared" si="85"/>
        <v>199.40337436000002</v>
      </c>
      <c r="H123" s="30">
        <v>139.262877</v>
      </c>
      <c r="I123" s="31">
        <v>20.994921020000003</v>
      </c>
      <c r="J123" s="31">
        <v>0.48861698000000003</v>
      </c>
      <c r="K123" s="50">
        <f t="shared" si="90"/>
        <v>160.74641499999998</v>
      </c>
      <c r="L123" s="30">
        <v>28.560457399999997</v>
      </c>
      <c r="M123" s="31">
        <v>7.9813579399999997</v>
      </c>
      <c r="N123" s="31">
        <v>5.0065298800000004</v>
      </c>
      <c r="O123" s="31">
        <v>7.6222400000002235E-3</v>
      </c>
      <c r="P123" s="31">
        <v>59.487829459999944</v>
      </c>
      <c r="Q123" s="50">
        <f t="shared" si="92"/>
        <v>101.04379691999995</v>
      </c>
      <c r="R123" s="34">
        <v>35.014948690000018</v>
      </c>
      <c r="S123" s="48">
        <f t="shared" si="88"/>
        <v>496.20853496999996</v>
      </c>
      <c r="T123" s="33">
        <v>436.05393046889401</v>
      </c>
      <c r="U123" s="31"/>
      <c r="V123" s="28"/>
      <c r="W123" s="31"/>
      <c r="X123" s="96"/>
      <c r="Y123" s="31"/>
      <c r="Z123" s="182">
        <f t="shared" si="58"/>
        <v>28.065393314611093</v>
      </c>
      <c r="AJ123" s="31">
        <v>436.05393046889401</v>
      </c>
      <c r="AL123" s="31">
        <v>436.05393046889401</v>
      </c>
    </row>
    <row r="124" spans="1:38" hidden="1" x14ac:dyDescent="0.35">
      <c r="A124" s="67"/>
      <c r="B124" s="30"/>
      <c r="C124" s="31"/>
      <c r="D124" s="31"/>
      <c r="E124" s="31"/>
      <c r="F124" s="31"/>
      <c r="G124" s="32"/>
      <c r="H124" s="30"/>
      <c r="I124" s="31"/>
      <c r="J124" s="31"/>
      <c r="K124" s="32"/>
      <c r="L124" s="30"/>
      <c r="M124" s="31"/>
      <c r="N124" s="31"/>
      <c r="O124" s="31"/>
      <c r="P124" s="31"/>
      <c r="Q124" s="32"/>
      <c r="R124" s="34"/>
      <c r="S124" s="30"/>
      <c r="T124" s="33"/>
      <c r="U124" s="31"/>
      <c r="V124" s="28"/>
      <c r="W124" s="31"/>
      <c r="X124" s="96"/>
      <c r="Y124" s="31"/>
      <c r="Z124" s="182" t="e">
        <f t="shared" si="58"/>
        <v>#DIV/0!</v>
      </c>
      <c r="AJ124" s="31"/>
      <c r="AL124" s="43"/>
    </row>
    <row r="125" spans="1:38" ht="50.1" hidden="1" customHeight="1" x14ac:dyDescent="0.35">
      <c r="A125" s="77">
        <v>2010</v>
      </c>
      <c r="B125" s="79">
        <f t="shared" ref="B125:P125" si="93">SUM(B126:B137)</f>
        <v>350.28381181000003</v>
      </c>
      <c r="C125" s="78">
        <f t="shared" si="93"/>
        <v>892.48420972000008</v>
      </c>
      <c r="D125" s="78">
        <f t="shared" si="93"/>
        <v>799.59421985999995</v>
      </c>
      <c r="E125" s="78">
        <f t="shared" si="93"/>
        <v>95.280486170000003</v>
      </c>
      <c r="F125" s="78">
        <f t="shared" si="93"/>
        <v>257.86632319999995</v>
      </c>
      <c r="G125" s="80">
        <f t="shared" si="93"/>
        <v>2395.5090507599998</v>
      </c>
      <c r="H125" s="79">
        <f t="shared" si="93"/>
        <v>2797.7741385500003</v>
      </c>
      <c r="I125" s="78">
        <f t="shared" si="93"/>
        <v>186.64410745999999</v>
      </c>
      <c r="J125" s="78">
        <f t="shared" si="93"/>
        <v>2.8329944199999999</v>
      </c>
      <c r="K125" s="80">
        <f t="shared" si="93"/>
        <v>2987.2512404299996</v>
      </c>
      <c r="L125" s="79">
        <f t="shared" si="93"/>
        <v>519.36356956000009</v>
      </c>
      <c r="M125" s="78">
        <f t="shared" si="93"/>
        <v>70.303490960000019</v>
      </c>
      <c r="N125" s="78">
        <f t="shared" si="93"/>
        <v>91.80550691000002</v>
      </c>
      <c r="O125" s="78">
        <f t="shared" si="93"/>
        <v>17.620433670000001</v>
      </c>
      <c r="P125" s="78">
        <f t="shared" si="93"/>
        <v>698.19344376000004</v>
      </c>
      <c r="Q125" s="80">
        <f>SUM(Q126:Q137)</f>
        <v>1397.2864448600001</v>
      </c>
      <c r="R125" s="81">
        <f t="shared" ref="R125:T125" si="94">SUM(R126:R137)</f>
        <v>272.08091820999999</v>
      </c>
      <c r="S125" s="79">
        <f t="shared" si="94"/>
        <v>7052.1276542599999</v>
      </c>
      <c r="T125" s="82">
        <f t="shared" si="94"/>
        <v>6401.8927027469836</v>
      </c>
      <c r="U125" s="78"/>
      <c r="V125" s="74"/>
      <c r="W125" s="20"/>
      <c r="X125" s="98"/>
      <c r="Y125" s="31"/>
      <c r="Z125" s="182">
        <f t="shared" si="58"/>
        <v>39.672766514087989</v>
      </c>
      <c r="AJ125" s="31"/>
    </row>
    <row r="126" spans="1:38" hidden="1" x14ac:dyDescent="0.35">
      <c r="A126" s="68" t="s">
        <v>23</v>
      </c>
      <c r="B126" s="31">
        <v>29.019450939999999</v>
      </c>
      <c r="C126" s="31">
        <v>83.553842119999999</v>
      </c>
      <c r="D126" s="31">
        <v>53.75121304999999</v>
      </c>
      <c r="E126" s="31">
        <v>8.4660738900000023</v>
      </c>
      <c r="F126" s="31">
        <v>18.263092319999998</v>
      </c>
      <c r="G126" s="49">
        <f t="shared" ref="G126:G137" si="95">SUM(B126:F126)</f>
        <v>193.05367231999998</v>
      </c>
      <c r="H126" s="30">
        <v>166.41976310000001</v>
      </c>
      <c r="I126" s="31">
        <v>0</v>
      </c>
      <c r="J126" s="31">
        <v>0.15722119000000001</v>
      </c>
      <c r="K126" s="50">
        <f t="shared" ref="K126" si="96">SUM(H126:J126)</f>
        <v>166.57698429000001</v>
      </c>
      <c r="L126" s="30">
        <v>48.870977170000003</v>
      </c>
      <c r="M126" s="31">
        <v>4.8135504000000005</v>
      </c>
      <c r="N126" s="31">
        <v>3.9779248300000005</v>
      </c>
      <c r="O126" s="31">
        <v>6.4904300000001676E-3</v>
      </c>
      <c r="P126" s="31">
        <v>52.195256609999994</v>
      </c>
      <c r="Q126" s="50">
        <f t="shared" ref="Q126:Q134" si="97">SUM(L126:P126)</f>
        <v>109.86419943999999</v>
      </c>
      <c r="R126" s="34">
        <v>22.467405630000002</v>
      </c>
      <c r="S126" s="49">
        <f t="shared" ref="S126:S137" si="98">+R126+Q126+K126+G126</f>
        <v>491.96226167999998</v>
      </c>
      <c r="T126" s="33">
        <v>435.77560527413397</v>
      </c>
      <c r="U126" s="31"/>
      <c r="V126" s="47"/>
      <c r="W126" s="31" t="s">
        <v>47</v>
      </c>
      <c r="X126" s="96">
        <f>SUM(T126:T128)</f>
        <v>1330.3155958714669</v>
      </c>
      <c r="Y126" s="31"/>
      <c r="Z126" s="182">
        <f t="shared" si="58"/>
        <v>33.827749822048105</v>
      </c>
      <c r="AJ126" s="31"/>
    </row>
    <row r="127" spans="1:38" hidden="1" x14ac:dyDescent="0.35">
      <c r="A127" s="68" t="s">
        <v>24</v>
      </c>
      <c r="B127" s="31">
        <v>24.113269500000001</v>
      </c>
      <c r="C127" s="31">
        <v>70.617232250000029</v>
      </c>
      <c r="D127" s="31">
        <v>45.30979150000001</v>
      </c>
      <c r="E127" s="31">
        <v>7.0254215999999996</v>
      </c>
      <c r="F127" s="31">
        <v>17.868922810000015</v>
      </c>
      <c r="G127" s="49">
        <f t="shared" si="95"/>
        <v>164.93463766000005</v>
      </c>
      <c r="H127" s="30">
        <v>194.48181553000001</v>
      </c>
      <c r="I127" s="31">
        <v>0</v>
      </c>
      <c r="J127" s="31">
        <v>0.16072032000000003</v>
      </c>
      <c r="K127" s="50">
        <f t="shared" ref="K127:K129" si="99">SUM(H127:J127)</f>
        <v>194.64253585</v>
      </c>
      <c r="L127" s="31">
        <v>16.192121100000001</v>
      </c>
      <c r="M127" s="31">
        <v>4.2836462200000005</v>
      </c>
      <c r="N127" s="31">
        <v>3.5200507399999998</v>
      </c>
      <c r="O127" s="31">
        <v>8.6678700000001122E-3</v>
      </c>
      <c r="P127" s="31">
        <v>42.0986671</v>
      </c>
      <c r="Q127" s="49">
        <f t="shared" si="97"/>
        <v>66.103153030000001</v>
      </c>
      <c r="R127" s="34">
        <v>23.868790169999997</v>
      </c>
      <c r="S127" s="49">
        <f t="shared" si="98"/>
        <v>449.54911671000002</v>
      </c>
      <c r="T127" s="33">
        <v>401.47184637850512</v>
      </c>
      <c r="U127" s="31"/>
      <c r="V127" s="47"/>
      <c r="W127" s="31" t="s">
        <v>48</v>
      </c>
      <c r="X127" s="96">
        <f>SUM(T129:T131)</f>
        <v>1578.9792016537372</v>
      </c>
      <c r="Y127" s="31"/>
      <c r="Z127" s="182">
        <f t="shared" si="58"/>
        <v>43.261527673172679</v>
      </c>
      <c r="AJ127" s="31"/>
    </row>
    <row r="128" spans="1:38" hidden="1" x14ac:dyDescent="0.35">
      <c r="A128" s="68" t="s">
        <v>25</v>
      </c>
      <c r="B128" s="31">
        <v>23.610617199999997</v>
      </c>
      <c r="C128" s="31">
        <v>80.565646839999999</v>
      </c>
      <c r="D128" s="31">
        <v>68.489886340000012</v>
      </c>
      <c r="E128" s="31">
        <v>6.7441810700000007</v>
      </c>
      <c r="F128" s="31">
        <v>25.726747439999968</v>
      </c>
      <c r="G128" s="49">
        <f t="shared" si="95"/>
        <v>205.13707888999997</v>
      </c>
      <c r="H128" s="30">
        <v>218.75527496000001</v>
      </c>
      <c r="I128" s="31">
        <v>18.14771825</v>
      </c>
      <c r="J128" s="31">
        <v>0.27944961000000001</v>
      </c>
      <c r="K128" s="50">
        <f t="shared" si="99"/>
        <v>237.18244282000001</v>
      </c>
      <c r="L128" s="31">
        <v>22.955796960000001</v>
      </c>
      <c r="M128" s="31">
        <v>6.1067374600000024</v>
      </c>
      <c r="N128" s="31">
        <v>4.5891683200000006</v>
      </c>
      <c r="O128" s="31">
        <v>1.98776032</v>
      </c>
      <c r="P128" s="31">
        <v>57.766916880000018</v>
      </c>
      <c r="Q128" s="49">
        <f t="shared" si="97"/>
        <v>93.406379940000022</v>
      </c>
      <c r="R128" s="34">
        <v>18.261646130000003</v>
      </c>
      <c r="S128" s="49">
        <f t="shared" si="98"/>
        <v>553.98754778</v>
      </c>
      <c r="T128" s="33">
        <v>493.06814421882797</v>
      </c>
      <c r="U128" s="31"/>
      <c r="V128" s="47"/>
      <c r="W128" s="31" t="s">
        <v>49</v>
      </c>
      <c r="X128" s="96">
        <f>SUM(T132:T134)</f>
        <v>1774.2180246206731</v>
      </c>
      <c r="Y128" s="31"/>
      <c r="Z128" s="182">
        <f t="shared" si="58"/>
        <v>39.487399281196893</v>
      </c>
      <c r="AJ128" s="31"/>
    </row>
    <row r="129" spans="1:39" hidden="1" x14ac:dyDescent="0.35">
      <c r="A129" s="68" t="s">
        <v>26</v>
      </c>
      <c r="B129" s="31">
        <v>24.493448780000005</v>
      </c>
      <c r="C129" s="31">
        <v>57.474848350000009</v>
      </c>
      <c r="D129" s="31">
        <v>54.473835560000005</v>
      </c>
      <c r="E129" s="31">
        <v>7.9545511400000004</v>
      </c>
      <c r="F129" s="31">
        <v>16.04261907999998</v>
      </c>
      <c r="G129" s="49">
        <f t="shared" si="95"/>
        <v>160.43930291000001</v>
      </c>
      <c r="H129" s="30">
        <v>193.23418612</v>
      </c>
      <c r="I129" s="31">
        <v>23.205491870000003</v>
      </c>
      <c r="J129" s="31">
        <v>0.15383453</v>
      </c>
      <c r="K129" s="50">
        <f t="shared" si="99"/>
        <v>216.59351252000002</v>
      </c>
      <c r="L129" s="31">
        <v>28.204898320000002</v>
      </c>
      <c r="M129" s="31">
        <v>4.930401830000001</v>
      </c>
      <c r="N129" s="31">
        <v>7.605937830000002</v>
      </c>
      <c r="O129" s="31">
        <v>3.1130228799999999</v>
      </c>
      <c r="P129" s="31">
        <v>42.750241360000018</v>
      </c>
      <c r="Q129" s="49">
        <f t="shared" si="97"/>
        <v>86.604502220000029</v>
      </c>
      <c r="R129" s="34">
        <v>25.985094530000001</v>
      </c>
      <c r="S129" s="49">
        <f t="shared" si="98"/>
        <v>489.62241218000008</v>
      </c>
      <c r="T129" s="33">
        <v>445.30472249344507</v>
      </c>
      <c r="U129" s="31"/>
      <c r="V129" s="47"/>
      <c r="W129" s="31" t="s">
        <v>50</v>
      </c>
      <c r="X129" s="96">
        <f>+T135+T136+T137</f>
        <v>1718.3798806011073</v>
      </c>
      <c r="Y129" s="31"/>
      <c r="Z129" s="182">
        <f t="shared" si="58"/>
        <v>39.465960158899186</v>
      </c>
      <c r="AJ129" s="31"/>
    </row>
    <row r="130" spans="1:39" ht="20.25" hidden="1" customHeight="1" x14ac:dyDescent="0.35">
      <c r="A130" s="68" t="s">
        <v>39</v>
      </c>
      <c r="B130" s="31">
        <v>27.493360460000002</v>
      </c>
      <c r="C130" s="31">
        <v>94.534492030000024</v>
      </c>
      <c r="D130" s="31">
        <v>80.044978719999989</v>
      </c>
      <c r="E130" s="31">
        <v>8.2208685900000003</v>
      </c>
      <c r="F130" s="31">
        <v>22.491988450000036</v>
      </c>
      <c r="G130" s="49">
        <f t="shared" si="95"/>
        <v>232.78568825000005</v>
      </c>
      <c r="H130" s="30">
        <v>251.18299314000001</v>
      </c>
      <c r="I130" s="31">
        <v>0</v>
      </c>
      <c r="J130" s="31">
        <v>0.39092437000000002</v>
      </c>
      <c r="K130" s="50">
        <f t="shared" ref="K130:K137" si="100">SUM(H130:J130)</f>
        <v>251.57391751</v>
      </c>
      <c r="L130" s="31">
        <v>60.296428629999994</v>
      </c>
      <c r="M130" s="31">
        <v>5.6071859200000036</v>
      </c>
      <c r="N130" s="31">
        <v>8.3136626100000015</v>
      </c>
      <c r="O130" s="31">
        <v>2.77815784</v>
      </c>
      <c r="P130" s="31">
        <v>48.933717620000039</v>
      </c>
      <c r="Q130" s="49">
        <f t="shared" si="97"/>
        <v>125.92915262000005</v>
      </c>
      <c r="R130" s="34">
        <v>19.443523180000003</v>
      </c>
      <c r="S130" s="49">
        <f t="shared" si="98"/>
        <v>629.73228156000005</v>
      </c>
      <c r="T130" s="33">
        <v>562.70415138472117</v>
      </c>
      <c r="U130" s="31"/>
      <c r="V130" s="47"/>
      <c r="W130" s="31"/>
      <c r="X130" s="96"/>
      <c r="Y130" s="31"/>
      <c r="Z130" s="182">
        <f t="shared" si="58"/>
        <v>39.887266461512603</v>
      </c>
      <c r="AJ130" s="31"/>
    </row>
    <row r="131" spans="1:39" ht="20.25" hidden="1" customHeight="1" x14ac:dyDescent="0.35">
      <c r="A131" s="68" t="s">
        <v>28</v>
      </c>
      <c r="B131" s="31">
        <v>22.8922512</v>
      </c>
      <c r="C131" s="31">
        <v>66.209525830000004</v>
      </c>
      <c r="D131" s="31">
        <v>71.202367559999999</v>
      </c>
      <c r="E131" s="31">
        <v>8.6357218000000007</v>
      </c>
      <c r="F131" s="31">
        <v>21.835792739999988</v>
      </c>
      <c r="G131" s="49">
        <f t="shared" si="95"/>
        <v>190.77565913000001</v>
      </c>
      <c r="H131" s="30">
        <v>252.57331883000001</v>
      </c>
      <c r="I131" s="31">
        <v>21.174903199999999</v>
      </c>
      <c r="J131" s="31">
        <v>0.25394544000000002</v>
      </c>
      <c r="K131" s="50">
        <f t="shared" si="100"/>
        <v>274.00216747000002</v>
      </c>
      <c r="L131" s="31">
        <v>59.020088969999996</v>
      </c>
      <c r="M131" s="31">
        <v>4.677120900000002</v>
      </c>
      <c r="N131" s="31">
        <v>11.027449990000001</v>
      </c>
      <c r="O131" s="31">
        <v>2.3094508199999999</v>
      </c>
      <c r="P131" s="31">
        <v>61.955678489999997</v>
      </c>
      <c r="Q131" s="49">
        <f t="shared" si="97"/>
        <v>138.98978916999999</v>
      </c>
      <c r="R131" s="34">
        <v>17.102375299999995</v>
      </c>
      <c r="S131" s="49">
        <f t="shared" si="98"/>
        <v>620.86999106999997</v>
      </c>
      <c r="T131" s="33">
        <v>570.97032777557092</v>
      </c>
      <c r="U131" s="31"/>
      <c r="V131" s="47"/>
      <c r="W131" s="31"/>
      <c r="X131" s="96"/>
      <c r="Y131" s="31"/>
      <c r="Z131" s="182">
        <f t="shared" si="58"/>
        <v>40.680548659586229</v>
      </c>
      <c r="AJ131" s="31"/>
    </row>
    <row r="132" spans="1:39" ht="20.25" hidden="1" customHeight="1" x14ac:dyDescent="0.35">
      <c r="A132" s="68" t="s">
        <v>29</v>
      </c>
      <c r="B132" s="31">
        <v>33.249411670000001</v>
      </c>
      <c r="C132" s="31">
        <v>57.145592919999999</v>
      </c>
      <c r="D132" s="31">
        <v>63.515228080000007</v>
      </c>
      <c r="E132" s="31">
        <v>9.5719920300000005</v>
      </c>
      <c r="F132" s="31">
        <v>18.758946530000003</v>
      </c>
      <c r="G132" s="49">
        <f t="shared" si="95"/>
        <v>182.24117122999999</v>
      </c>
      <c r="H132" s="30">
        <v>264.04897414999999</v>
      </c>
      <c r="I132" s="31">
        <v>18.950739769999998</v>
      </c>
      <c r="J132" s="31">
        <v>0.24542489000000001</v>
      </c>
      <c r="K132" s="50">
        <f t="shared" ref="K132:K136" si="101">SUM(H132:J132)</f>
        <v>283.24513880999996</v>
      </c>
      <c r="L132" s="31">
        <v>75.702383949999998</v>
      </c>
      <c r="M132" s="31">
        <v>5.3518502400000019</v>
      </c>
      <c r="N132" s="31">
        <v>10.998196200000002</v>
      </c>
      <c r="O132" s="31">
        <v>0.99643960000000009</v>
      </c>
      <c r="P132" s="31">
        <v>63.303878489999931</v>
      </c>
      <c r="Q132" s="49">
        <f t="shared" si="97"/>
        <v>156.35274847999995</v>
      </c>
      <c r="R132" s="34">
        <v>23.512104740000002</v>
      </c>
      <c r="S132" s="49">
        <f t="shared" si="98"/>
        <v>645.35116325999991</v>
      </c>
      <c r="T132" s="33">
        <v>601.09472535736393</v>
      </c>
      <c r="U132" s="31"/>
      <c r="V132" s="47"/>
      <c r="W132" s="31"/>
      <c r="X132" s="96"/>
      <c r="Y132" s="31"/>
      <c r="Z132" s="182">
        <f t="shared" si="58"/>
        <v>40.915549422139897</v>
      </c>
      <c r="AJ132" s="31"/>
    </row>
    <row r="133" spans="1:39" ht="20.25" hidden="1" customHeight="1" x14ac:dyDescent="0.35">
      <c r="A133" s="68" t="s">
        <v>30</v>
      </c>
      <c r="B133" s="31">
        <v>31.012748390000002</v>
      </c>
      <c r="C133" s="31">
        <v>59.200920779999997</v>
      </c>
      <c r="D133" s="31">
        <v>41.622952149999996</v>
      </c>
      <c r="E133" s="31">
        <v>6.3408179400000009</v>
      </c>
      <c r="F133" s="31">
        <v>18.942030240000008</v>
      </c>
      <c r="G133" s="49">
        <f t="shared" si="95"/>
        <v>157.11946950000001</v>
      </c>
      <c r="H133" s="30">
        <v>265.52798683999998</v>
      </c>
      <c r="I133" s="31">
        <v>22.68719136</v>
      </c>
      <c r="J133" s="31">
        <v>9.7212439999999997E-2</v>
      </c>
      <c r="K133" s="50">
        <f t="shared" si="101"/>
        <v>288.31239063999999</v>
      </c>
      <c r="L133" s="31">
        <v>46.758203490000007</v>
      </c>
      <c r="M133" s="31">
        <v>5.867334460000003</v>
      </c>
      <c r="N133" s="31">
        <v>10.392867400000002</v>
      </c>
      <c r="O133" s="31">
        <v>2.3989887899999998</v>
      </c>
      <c r="P133" s="31">
        <v>70.972537209999999</v>
      </c>
      <c r="Q133" s="49">
        <f t="shared" si="97"/>
        <v>136.38993135000001</v>
      </c>
      <c r="R133" s="34">
        <v>27.18931735</v>
      </c>
      <c r="S133" s="49">
        <f t="shared" si="98"/>
        <v>609.01110884000002</v>
      </c>
      <c r="T133" s="33">
        <v>567.88246936433598</v>
      </c>
      <c r="U133" s="31"/>
      <c r="V133" s="47"/>
      <c r="W133" s="31"/>
      <c r="X133" s="96"/>
      <c r="Y133" s="31"/>
      <c r="Z133" s="182">
        <f t="shared" si="58"/>
        <v>43.599859343413023</v>
      </c>
      <c r="AJ133" s="31"/>
    </row>
    <row r="134" spans="1:39" ht="20.25" hidden="1" customHeight="1" x14ac:dyDescent="0.35">
      <c r="A134" s="68" t="s">
        <v>31</v>
      </c>
      <c r="B134" s="31">
        <v>30.577960909999994</v>
      </c>
      <c r="C134" s="31">
        <v>82.933666289999991</v>
      </c>
      <c r="D134" s="31">
        <v>70.556629920000006</v>
      </c>
      <c r="E134" s="31">
        <v>7.9429547799999991</v>
      </c>
      <c r="F134" s="31">
        <v>20.440002729999975</v>
      </c>
      <c r="G134" s="49">
        <f t="shared" si="95"/>
        <v>212.45121462999998</v>
      </c>
      <c r="H134" s="30">
        <v>255.23926888000003</v>
      </c>
      <c r="I134" s="31">
        <v>19.983522690000001</v>
      </c>
      <c r="J134" s="31">
        <v>4.2378370000000005E-2</v>
      </c>
      <c r="K134" s="50">
        <f t="shared" si="101"/>
        <v>275.26516994000002</v>
      </c>
      <c r="L134" s="31">
        <v>52.217601630000004</v>
      </c>
      <c r="M134" s="31">
        <v>5.8932022499999972</v>
      </c>
      <c r="N134" s="31">
        <v>9.6427797999999996</v>
      </c>
      <c r="O134" s="31">
        <v>1.4322206899999999</v>
      </c>
      <c r="P134" s="31">
        <v>78.773046559999997</v>
      </c>
      <c r="Q134" s="49">
        <f t="shared" si="97"/>
        <v>147.95885092999998</v>
      </c>
      <c r="R134" s="34">
        <v>26.072958060000001</v>
      </c>
      <c r="S134" s="49">
        <f t="shared" si="98"/>
        <v>661.74819356</v>
      </c>
      <c r="T134" s="33">
        <v>605.24082989897295</v>
      </c>
      <c r="U134" s="31"/>
      <c r="V134" s="47"/>
      <c r="W134" s="31"/>
      <c r="X134" s="96"/>
      <c r="Y134" s="31"/>
      <c r="Z134" s="182">
        <f t="shared" si="58"/>
        <v>38.570451927778137</v>
      </c>
      <c r="AJ134" s="31"/>
    </row>
    <row r="135" spans="1:39" ht="20.25" hidden="1" customHeight="1" x14ac:dyDescent="0.35">
      <c r="A135" s="68" t="s">
        <v>32</v>
      </c>
      <c r="B135" s="31">
        <v>33.148888169999999</v>
      </c>
      <c r="C135" s="31">
        <v>79.488729150000012</v>
      </c>
      <c r="D135" s="31">
        <v>78.995105930000008</v>
      </c>
      <c r="E135" s="31">
        <v>7.5995054500000006</v>
      </c>
      <c r="F135" s="31">
        <v>26.041980809999984</v>
      </c>
      <c r="G135" s="50">
        <f t="shared" si="95"/>
        <v>225.27420951000002</v>
      </c>
      <c r="H135" s="31">
        <v>255.47432797000002</v>
      </c>
      <c r="I135" s="31">
        <v>20.08749697</v>
      </c>
      <c r="J135" s="31">
        <v>0.37852919000000002</v>
      </c>
      <c r="K135" s="50">
        <f t="shared" si="101"/>
        <v>275.94035413</v>
      </c>
      <c r="L135" s="31">
        <v>59.156911909999998</v>
      </c>
      <c r="M135" s="31">
        <v>6.7611377000000017</v>
      </c>
      <c r="N135" s="31">
        <v>11.024490830000001</v>
      </c>
      <c r="O135" s="31">
        <v>0.13243764999999946</v>
      </c>
      <c r="P135" s="31">
        <v>69.611104650000016</v>
      </c>
      <c r="Q135" s="49">
        <f t="shared" ref="Q135:Q137" si="102">SUM(L135:P135)</f>
        <v>146.68608274000002</v>
      </c>
      <c r="R135" s="34">
        <v>27.876939510000007</v>
      </c>
      <c r="S135" s="49">
        <f t="shared" si="98"/>
        <v>675.77758589000007</v>
      </c>
      <c r="T135" s="33">
        <v>616.95138051056517</v>
      </c>
      <c r="U135" s="31"/>
      <c r="V135" s="47"/>
      <c r="W135" s="31"/>
      <c r="X135" s="96"/>
      <c r="Y135" s="31"/>
      <c r="Z135" s="182">
        <f t="shared" si="58"/>
        <v>37.80449859601957</v>
      </c>
      <c r="AJ135" s="31"/>
    </row>
    <row r="136" spans="1:39" ht="20.25" hidden="1" customHeight="1" x14ac:dyDescent="0.35">
      <c r="A136" s="68" t="s">
        <v>33</v>
      </c>
      <c r="B136" s="31">
        <v>39.343266960000001</v>
      </c>
      <c r="C136" s="31">
        <v>78.67206985</v>
      </c>
      <c r="D136" s="31">
        <v>73.890037089999993</v>
      </c>
      <c r="E136" s="31">
        <v>8.4718486199999994</v>
      </c>
      <c r="F136" s="31">
        <v>20.427678520000001</v>
      </c>
      <c r="G136" s="50">
        <f t="shared" si="95"/>
        <v>220.80490104</v>
      </c>
      <c r="H136" s="31">
        <v>247.2433786</v>
      </c>
      <c r="I136" s="31">
        <v>20.874773989999998</v>
      </c>
      <c r="J136" s="31">
        <v>0.20234901999999999</v>
      </c>
      <c r="K136" s="50">
        <f t="shared" si="101"/>
        <v>268.32050161000001</v>
      </c>
      <c r="L136" s="31">
        <v>30.90299864</v>
      </c>
      <c r="M136" s="31">
        <v>8.0285086100000012</v>
      </c>
      <c r="N136" s="31">
        <v>6.9526893899999997</v>
      </c>
      <c r="O136" s="31">
        <v>1.7325132300000006</v>
      </c>
      <c r="P136" s="31">
        <v>51.25884192000003</v>
      </c>
      <c r="Q136" s="49">
        <f>SUM(L136:P136)</f>
        <v>98.875551790000031</v>
      </c>
      <c r="R136" s="34">
        <v>25.652157070000001</v>
      </c>
      <c r="S136" s="49">
        <f t="shared" si="98"/>
        <v>613.65311151000003</v>
      </c>
      <c r="T136" s="33">
        <v>559.116707213675</v>
      </c>
      <c r="U136" s="31"/>
      <c r="V136" s="47"/>
      <c r="W136" s="31"/>
      <c r="X136" s="96"/>
      <c r="Y136" s="31"/>
      <c r="Z136" s="182">
        <f t="shared" si="58"/>
        <v>40.290413910167381</v>
      </c>
      <c r="AJ136" s="31"/>
    </row>
    <row r="137" spans="1:39" ht="20.25" hidden="1" customHeight="1" x14ac:dyDescent="0.35">
      <c r="A137" s="68" t="s">
        <v>38</v>
      </c>
      <c r="B137" s="31">
        <v>31.329137630000002</v>
      </c>
      <c r="C137" s="31">
        <v>82.087643310000004</v>
      </c>
      <c r="D137" s="31">
        <v>97.742193960000009</v>
      </c>
      <c r="E137" s="31">
        <v>8.3065492600000006</v>
      </c>
      <c r="F137" s="31">
        <v>31.026521529999997</v>
      </c>
      <c r="G137" s="50">
        <f t="shared" si="95"/>
        <v>250.49204569000003</v>
      </c>
      <c r="H137" s="31">
        <v>233.59285043</v>
      </c>
      <c r="I137" s="31">
        <v>21.532269359999997</v>
      </c>
      <c r="J137" s="31">
        <v>0.47100504999999998</v>
      </c>
      <c r="K137" s="50">
        <f t="shared" si="100"/>
        <v>255.59612483999999</v>
      </c>
      <c r="L137" s="31">
        <v>19.085158790000001</v>
      </c>
      <c r="M137" s="31">
        <v>7.9828149700000015</v>
      </c>
      <c r="N137" s="31">
        <v>3.7602889699999995</v>
      </c>
      <c r="O137" s="31">
        <v>0.72428355000000033</v>
      </c>
      <c r="P137" s="31">
        <v>58.573556870000004</v>
      </c>
      <c r="Q137" s="49">
        <f t="shared" si="102"/>
        <v>90.126103150000006</v>
      </c>
      <c r="R137" s="34">
        <v>14.648606540000003</v>
      </c>
      <c r="S137" s="49">
        <f t="shared" si="98"/>
        <v>610.86288022000008</v>
      </c>
      <c r="T137" s="33">
        <v>542.31179287686712</v>
      </c>
      <c r="U137" s="31"/>
      <c r="V137" s="47"/>
      <c r="W137" s="31"/>
      <c r="X137" s="96"/>
      <c r="Y137" s="31"/>
      <c r="Z137" s="182">
        <f t="shared" si="58"/>
        <v>38.239817476857056</v>
      </c>
      <c r="AJ137" s="31"/>
    </row>
    <row r="138" spans="1:39" ht="50.1" hidden="1" customHeight="1" x14ac:dyDescent="0.35">
      <c r="A138" s="77">
        <v>2011</v>
      </c>
      <c r="B138" s="78">
        <f t="shared" ref="B138:T138" si="103">SUM(B139:B150)</f>
        <v>453.81043895000005</v>
      </c>
      <c r="C138" s="78">
        <f t="shared" si="103"/>
        <v>946.45387802999994</v>
      </c>
      <c r="D138" s="78">
        <f t="shared" si="103"/>
        <v>1379.8174863500003</v>
      </c>
      <c r="E138" s="78">
        <f t="shared" si="103"/>
        <v>272.59578724999994</v>
      </c>
      <c r="F138" s="78">
        <f t="shared" si="103"/>
        <v>376.37079085000005</v>
      </c>
      <c r="G138" s="80">
        <f t="shared" si="103"/>
        <v>3429.0483814300001</v>
      </c>
      <c r="H138" s="78">
        <f t="shared" si="103"/>
        <v>3884.8835933099999</v>
      </c>
      <c r="I138" s="78">
        <f t="shared" si="103"/>
        <v>227.56172473000004</v>
      </c>
      <c r="J138" s="78">
        <f t="shared" si="103"/>
        <v>2.0403324899999999</v>
      </c>
      <c r="K138" s="80">
        <f t="shared" si="103"/>
        <v>4114.4856505299995</v>
      </c>
      <c r="L138" s="78">
        <f t="shared" si="103"/>
        <v>628.26941968999995</v>
      </c>
      <c r="M138" s="78">
        <f t="shared" si="103"/>
        <v>59.942625810000017</v>
      </c>
      <c r="N138" s="78">
        <f t="shared" si="103"/>
        <v>135.43965101999999</v>
      </c>
      <c r="O138" s="78">
        <f t="shared" si="103"/>
        <v>23.098794579999996</v>
      </c>
      <c r="P138" s="78">
        <f t="shared" si="103"/>
        <v>566.75649862</v>
      </c>
      <c r="Q138" s="78">
        <f t="shared" si="103"/>
        <v>1413.5069897200001</v>
      </c>
      <c r="R138" s="81">
        <f t="shared" si="103"/>
        <v>258.23921774999997</v>
      </c>
      <c r="S138" s="78">
        <f t="shared" si="103"/>
        <v>9215.2802394299997</v>
      </c>
      <c r="T138" s="82">
        <f t="shared" si="103"/>
        <v>8358.2201978310368</v>
      </c>
      <c r="U138" s="78"/>
      <c r="V138" s="73"/>
      <c r="W138" s="47"/>
      <c r="X138" s="99"/>
      <c r="Y138" s="31"/>
      <c r="Z138" s="182">
        <f t="shared" si="58"/>
        <v>42.15697724185862</v>
      </c>
      <c r="AJ138" s="49"/>
      <c r="AK138" s="92"/>
      <c r="AL138" s="92"/>
      <c r="AM138" s="92"/>
    </row>
    <row r="139" spans="1:39" ht="20.25" hidden="1" customHeight="1" x14ac:dyDescent="0.35">
      <c r="A139" s="68" t="s">
        <v>23</v>
      </c>
      <c r="B139" s="49">
        <v>40.923415509999998</v>
      </c>
      <c r="C139" s="49">
        <v>96.414447719999984</v>
      </c>
      <c r="D139" s="49">
        <v>95.145198529999988</v>
      </c>
      <c r="E139" s="49">
        <v>11.243403369999999</v>
      </c>
      <c r="F139" s="49">
        <v>33.518616790000038</v>
      </c>
      <c r="G139" s="50">
        <f>SUM(B139:F139)</f>
        <v>277.24508192000002</v>
      </c>
      <c r="H139" s="49">
        <v>229.52056354999999</v>
      </c>
      <c r="I139" s="49">
        <v>26.353210600000001</v>
      </c>
      <c r="J139" s="49">
        <v>0.16702087000000002</v>
      </c>
      <c r="K139" s="50">
        <f t="shared" ref="K139" si="104">SUM(H139:J139)</f>
        <v>256.04079502000002</v>
      </c>
      <c r="L139" s="49">
        <v>37.273134689999999</v>
      </c>
      <c r="M139" s="49">
        <v>5.6495799100000008</v>
      </c>
      <c r="N139" s="49">
        <v>4.6135474799999994</v>
      </c>
      <c r="O139" s="49">
        <v>1.70105219</v>
      </c>
      <c r="P139" s="49">
        <v>33.570474990000022</v>
      </c>
      <c r="Q139" s="49">
        <f t="shared" ref="Q139:Q144" si="105">SUM(L139:P139)</f>
        <v>82.807789260000021</v>
      </c>
      <c r="R139" s="51">
        <v>23.038574579999995</v>
      </c>
      <c r="S139" s="49">
        <f t="shared" ref="S139:S150" si="106">+R139+Q139+K139+G139</f>
        <v>639.13224078000007</v>
      </c>
      <c r="T139" s="52">
        <v>566.9924216858841</v>
      </c>
      <c r="U139" s="49"/>
      <c r="V139" s="108"/>
      <c r="W139" s="31" t="s">
        <v>47</v>
      </c>
      <c r="X139" s="96">
        <f>SUM(T139:T141)</f>
        <v>1674.5393472947289</v>
      </c>
      <c r="Y139" s="31"/>
      <c r="Z139" s="182">
        <f t="shared" si="58"/>
        <v>35.911279216628465</v>
      </c>
      <c r="AJ139" s="92"/>
      <c r="AK139" s="213" t="s">
        <v>53</v>
      </c>
      <c r="AL139" s="213"/>
      <c r="AM139" s="92"/>
    </row>
    <row r="140" spans="1:39" ht="21" hidden="1" customHeight="1" x14ac:dyDescent="0.35">
      <c r="A140" s="68" t="s">
        <v>24</v>
      </c>
      <c r="B140" s="49">
        <v>42.958337640000003</v>
      </c>
      <c r="C140" s="49">
        <v>83.948106110000012</v>
      </c>
      <c r="D140" s="49">
        <v>106.91926051999999</v>
      </c>
      <c r="E140" s="49">
        <v>15.138462700000002</v>
      </c>
      <c r="F140" s="49">
        <v>28.231818240000052</v>
      </c>
      <c r="G140" s="49">
        <f t="shared" ref="G140" si="107">SUM(B140:F140)</f>
        <v>277.19598521000006</v>
      </c>
      <c r="H140" s="48">
        <v>265.26461168000003</v>
      </c>
      <c r="I140" s="49">
        <v>29.37647582</v>
      </c>
      <c r="J140" s="49">
        <v>0.22603813</v>
      </c>
      <c r="K140" s="50">
        <f t="shared" ref="K140:K142" si="108">SUM(H140:J140)</f>
        <v>294.86712563000003</v>
      </c>
      <c r="L140" s="49">
        <v>8.9209346200000006</v>
      </c>
      <c r="M140" s="49">
        <v>5.4944203000000016</v>
      </c>
      <c r="N140" s="49">
        <v>6.3393802000000017</v>
      </c>
      <c r="O140" s="49">
        <v>1.3660131499999999</v>
      </c>
      <c r="P140" s="49">
        <v>35.720848459999985</v>
      </c>
      <c r="Q140" s="49">
        <f t="shared" si="105"/>
        <v>57.841596729999992</v>
      </c>
      <c r="R140" s="51">
        <v>19.744735149999997</v>
      </c>
      <c r="S140" s="49">
        <f t="shared" si="106"/>
        <v>649.64944272000002</v>
      </c>
      <c r="T140" s="52">
        <v>577.93533280852091</v>
      </c>
      <c r="U140" s="49"/>
      <c r="V140" s="108"/>
      <c r="W140" s="31" t="s">
        <v>48</v>
      </c>
      <c r="X140" s="96">
        <f>SUM(T142:T144)</f>
        <v>2013.381643670517</v>
      </c>
      <c r="Y140" s="31"/>
      <c r="Z140" s="182">
        <f t="shared" si="58"/>
        <v>40.83196170682001</v>
      </c>
      <c r="AB140">
        <f>3/8</f>
        <v>0.375</v>
      </c>
      <c r="AJ140" s="92"/>
      <c r="AK140" s="93" t="s">
        <v>54</v>
      </c>
      <c r="AL140" s="93" t="s">
        <v>55</v>
      </c>
      <c r="AM140" s="92"/>
    </row>
    <row r="141" spans="1:39" ht="20.25" hidden="1" customHeight="1" x14ac:dyDescent="0.35">
      <c r="A141" s="68" t="s">
        <v>25</v>
      </c>
      <c r="B141" s="49">
        <v>39.238390820000006</v>
      </c>
      <c r="C141" s="49">
        <v>53.179950400000017</v>
      </c>
      <c r="D141" s="49">
        <v>76.474503509999991</v>
      </c>
      <c r="E141" s="49">
        <v>13.841338070000001</v>
      </c>
      <c r="F141" s="49">
        <v>22.763616299999967</v>
      </c>
      <c r="G141" s="49">
        <f t="shared" ref="G141:G150" si="109">SUM(B141:F141)</f>
        <v>205.49779910000001</v>
      </c>
      <c r="H141" s="48">
        <v>282.75780918000004</v>
      </c>
      <c r="I141" s="49">
        <v>0</v>
      </c>
      <c r="J141" s="49">
        <v>0.14084947999999997</v>
      </c>
      <c r="K141" s="50">
        <f t="shared" si="108"/>
        <v>282.89865866000002</v>
      </c>
      <c r="L141" s="49">
        <v>17.92424368</v>
      </c>
      <c r="M141" s="49">
        <v>6.3178040300000013</v>
      </c>
      <c r="N141" s="49">
        <v>6.6210472400000002</v>
      </c>
      <c r="O141" s="49">
        <v>2.1418493999999999</v>
      </c>
      <c r="P141" s="49">
        <v>39.224690309999986</v>
      </c>
      <c r="Q141" s="49">
        <f t="shared" si="105"/>
        <v>72.229634659999988</v>
      </c>
      <c r="R141" s="51">
        <v>18.563272529999999</v>
      </c>
      <c r="S141" s="49">
        <f t="shared" si="106"/>
        <v>579.18936495000003</v>
      </c>
      <c r="T141" s="52">
        <v>529.61159280032405</v>
      </c>
      <c r="U141" s="49"/>
      <c r="V141" s="108"/>
      <c r="W141" s="31" t="s">
        <v>49</v>
      </c>
      <c r="X141" s="96">
        <f>SUM(T145:T147)</f>
        <v>2469.9777758812088</v>
      </c>
      <c r="Y141" s="31"/>
      <c r="Z141" s="182">
        <f t="shared" si="58"/>
        <v>48.819578930702541</v>
      </c>
      <c r="AJ141" s="94">
        <v>38687</v>
      </c>
      <c r="AK141" s="92"/>
      <c r="AL141" s="95">
        <f>SUM(T56:T67)</f>
        <v>2826.7175148945171</v>
      </c>
      <c r="AM141" s="92"/>
    </row>
    <row r="142" spans="1:39" ht="20.25" hidden="1" customHeight="1" x14ac:dyDescent="0.35">
      <c r="A142" s="68" t="s">
        <v>26</v>
      </c>
      <c r="B142" s="49">
        <v>47.187745370000002</v>
      </c>
      <c r="C142" s="49">
        <v>84.896018400000003</v>
      </c>
      <c r="D142" s="49">
        <v>126.95501944</v>
      </c>
      <c r="E142" s="49">
        <v>20.661645889999999</v>
      </c>
      <c r="F142" s="49">
        <v>26.909132819999968</v>
      </c>
      <c r="G142" s="49">
        <f t="shared" si="109"/>
        <v>306.60956191999998</v>
      </c>
      <c r="H142" s="48">
        <v>264.69160152000001</v>
      </c>
      <c r="I142" s="49">
        <v>32.544477440000001</v>
      </c>
      <c r="J142" s="49">
        <v>7.2915670000000002E-2</v>
      </c>
      <c r="K142" s="50">
        <f t="shared" si="108"/>
        <v>297.30899462999997</v>
      </c>
      <c r="L142" s="49">
        <v>26.61893706</v>
      </c>
      <c r="M142" s="49">
        <v>5.3463420400000006</v>
      </c>
      <c r="N142" s="49">
        <v>11.977662840000001</v>
      </c>
      <c r="O142" s="49">
        <v>2.178131000000029E-2</v>
      </c>
      <c r="P142" s="49">
        <v>34.607932450000014</v>
      </c>
      <c r="Q142" s="49">
        <f t="shared" si="105"/>
        <v>78.572655700000013</v>
      </c>
      <c r="R142" s="51">
        <v>21.996872449999998</v>
      </c>
      <c r="S142" s="49">
        <f t="shared" si="106"/>
        <v>704.48808469999994</v>
      </c>
      <c r="T142" s="52">
        <v>625.89262369116591</v>
      </c>
      <c r="U142" s="49"/>
      <c r="V142" s="108"/>
      <c r="W142" s="31" t="s">
        <v>50</v>
      </c>
      <c r="X142" s="96">
        <f>+T148+T149+T150</f>
        <v>2200.3214309845807</v>
      </c>
      <c r="Y142" s="31"/>
      <c r="Z142" s="182">
        <f t="shared" si="58"/>
        <v>37.572189972910131</v>
      </c>
      <c r="AJ142" s="94">
        <v>39052</v>
      </c>
      <c r="AK142" s="92"/>
      <c r="AL142" s="95">
        <f>SUM(T70:T81)</f>
        <v>3951.5456579421366</v>
      </c>
      <c r="AM142" s="92"/>
    </row>
    <row r="143" spans="1:39" ht="20.25" hidden="1" customHeight="1" x14ac:dyDescent="0.35">
      <c r="A143" s="68" t="s">
        <v>39</v>
      </c>
      <c r="B143" s="49">
        <v>39.019166739999996</v>
      </c>
      <c r="C143" s="49">
        <v>91.613473169999978</v>
      </c>
      <c r="D143" s="49">
        <v>138.11740175999998</v>
      </c>
      <c r="E143" s="49">
        <v>20.887983900000002</v>
      </c>
      <c r="F143" s="49">
        <v>32.169521190000012</v>
      </c>
      <c r="G143" s="49">
        <f t="shared" si="109"/>
        <v>321.80754675999998</v>
      </c>
      <c r="H143" s="48">
        <v>285.72260275999997</v>
      </c>
      <c r="I143" s="49">
        <v>30.189571609999998</v>
      </c>
      <c r="J143" s="49">
        <v>0.16342952999999999</v>
      </c>
      <c r="K143" s="50">
        <f t="shared" ref="K143:K150" si="110">SUM(H143:J143)</f>
        <v>316.07560389999992</v>
      </c>
      <c r="L143" s="49">
        <v>61.154211220000008</v>
      </c>
      <c r="M143" s="49">
        <v>5.1782277199999998</v>
      </c>
      <c r="N143" s="49">
        <v>13.57299916</v>
      </c>
      <c r="O143" s="49">
        <v>1.92545944</v>
      </c>
      <c r="P143" s="49">
        <v>33.193058909999991</v>
      </c>
      <c r="Q143" s="49">
        <f t="shared" si="105"/>
        <v>115.02395644999999</v>
      </c>
      <c r="R143" s="51">
        <v>21.49870997</v>
      </c>
      <c r="S143" s="49">
        <f t="shared" si="106"/>
        <v>774.40581707999991</v>
      </c>
      <c r="T143" s="52">
        <v>691.9649138427601</v>
      </c>
      <c r="U143" s="49"/>
      <c r="V143" s="108"/>
      <c r="W143" s="31"/>
      <c r="X143" s="96"/>
      <c r="Y143" s="31"/>
      <c r="Z143" s="182">
        <f t="shared" si="58"/>
        <v>36.895720106720667</v>
      </c>
      <c r="AJ143" s="94">
        <v>39417</v>
      </c>
      <c r="AK143" s="92"/>
      <c r="AL143" s="95">
        <f>SUM(T84:T95)</f>
        <v>4504.1568578655215</v>
      </c>
      <c r="AM143" s="92"/>
    </row>
    <row r="144" spans="1:39" ht="20.25" hidden="1" customHeight="1" x14ac:dyDescent="0.35">
      <c r="A144" s="68" t="s">
        <v>44</v>
      </c>
      <c r="B144" s="49">
        <v>37.9576238</v>
      </c>
      <c r="C144" s="49">
        <v>67.705588169999999</v>
      </c>
      <c r="D144" s="49">
        <v>117.64307735000001</v>
      </c>
      <c r="E144" s="49">
        <v>29.863291570000001</v>
      </c>
      <c r="F144" s="49">
        <v>36.077564590000009</v>
      </c>
      <c r="G144" s="49">
        <f t="shared" si="109"/>
        <v>289.24714548000003</v>
      </c>
      <c r="H144" s="48">
        <v>323.26175005000005</v>
      </c>
      <c r="I144" s="49">
        <v>0</v>
      </c>
      <c r="J144" s="49">
        <v>0.18214555999999998</v>
      </c>
      <c r="K144" s="50">
        <f t="shared" si="110"/>
        <v>323.44389561000003</v>
      </c>
      <c r="L144" s="49">
        <v>78.378587039999985</v>
      </c>
      <c r="M144" s="49">
        <v>4.9182513700000001</v>
      </c>
      <c r="N144" s="49">
        <v>14.395895360000003</v>
      </c>
      <c r="O144" s="49">
        <v>1.5782964399999999</v>
      </c>
      <c r="P144" s="49">
        <v>35.949575610000011</v>
      </c>
      <c r="Q144" s="49">
        <f t="shared" si="105"/>
        <v>135.22060582</v>
      </c>
      <c r="R144" s="51">
        <v>19.037333549999996</v>
      </c>
      <c r="S144" s="49">
        <f t="shared" si="106"/>
        <v>766.94898046000003</v>
      </c>
      <c r="T144" s="52">
        <v>695.52410613659094</v>
      </c>
      <c r="U144" s="49"/>
      <c r="V144" s="108"/>
      <c r="W144" s="31"/>
      <c r="X144" s="96"/>
      <c r="Y144" s="31"/>
      <c r="Z144" s="182">
        <f t="shared" si="58"/>
        <v>42.149055319965925</v>
      </c>
      <c r="AJ144" s="94">
        <v>39783</v>
      </c>
      <c r="AK144" s="92"/>
      <c r="AL144" s="95">
        <f>SUM(T98:T109)</f>
        <v>6525.1351274461076</v>
      </c>
      <c r="AM144" s="92"/>
    </row>
    <row r="145" spans="1:51" ht="20.25" hidden="1" customHeight="1" x14ac:dyDescent="0.35">
      <c r="A145" s="68" t="s">
        <v>29</v>
      </c>
      <c r="B145" s="49">
        <v>40.347214000000001</v>
      </c>
      <c r="C145" s="49">
        <v>82.137672920000014</v>
      </c>
      <c r="D145" s="49">
        <v>127.83461133000002</v>
      </c>
      <c r="E145" s="49">
        <v>30.816986759999999</v>
      </c>
      <c r="F145" s="49">
        <v>31.503066799999999</v>
      </c>
      <c r="G145" s="49">
        <f t="shared" si="109"/>
        <v>312.63955181000006</v>
      </c>
      <c r="H145" s="48">
        <v>375.78549127000002</v>
      </c>
      <c r="I145" s="49">
        <v>28.42010166</v>
      </c>
      <c r="J145" s="49">
        <v>0.19754233999999998</v>
      </c>
      <c r="K145" s="50">
        <f t="shared" ref="K145" si="111">SUM(H145:J145)</f>
        <v>404.40313527000001</v>
      </c>
      <c r="L145" s="49">
        <v>69.647114649999992</v>
      </c>
      <c r="M145" s="49">
        <v>2.1041786599999996</v>
      </c>
      <c r="N145" s="49">
        <v>12.778658200000002</v>
      </c>
      <c r="O145" s="49">
        <v>1.4929266999999999</v>
      </c>
      <c r="P145" s="49">
        <v>53.347074599999985</v>
      </c>
      <c r="Q145" s="49">
        <f t="shared" ref="Q145" si="112">SUM(L145:P145)</f>
        <v>139.36995280999997</v>
      </c>
      <c r="R145" s="51">
        <v>22.07355166</v>
      </c>
      <c r="S145" s="49">
        <f t="shared" si="106"/>
        <v>878.48619155000006</v>
      </c>
      <c r="T145" s="52">
        <v>804.61468128726392</v>
      </c>
      <c r="U145" s="49"/>
      <c r="V145" s="108"/>
      <c r="W145" s="60"/>
      <c r="X145" s="96"/>
      <c r="Y145" s="31"/>
      <c r="Z145" s="182">
        <f t="shared" si="58"/>
        <v>42.77648241766493</v>
      </c>
      <c r="AJ145" s="94">
        <v>40148</v>
      </c>
      <c r="AK145" s="92"/>
      <c r="AL145" s="95">
        <f>SUM(T112:T123)</f>
        <v>4960.3579093277149</v>
      </c>
      <c r="AM145" s="92"/>
    </row>
    <row r="146" spans="1:51" ht="20.25" hidden="1" customHeight="1" x14ac:dyDescent="0.35">
      <c r="A146" s="68" t="s">
        <v>45</v>
      </c>
      <c r="B146" s="49">
        <v>41.947861630000006</v>
      </c>
      <c r="C146" s="49">
        <v>94.892030750000004</v>
      </c>
      <c r="D146" s="49">
        <v>130.18434512000002</v>
      </c>
      <c r="E146" s="49">
        <v>23.509711230000001</v>
      </c>
      <c r="F146" s="49">
        <v>39.944729900000027</v>
      </c>
      <c r="G146" s="49">
        <f t="shared" ref="G146:G149" si="113">SUM(B146:F146)</f>
        <v>330.47867863000005</v>
      </c>
      <c r="H146" s="48">
        <v>373.45975080999995</v>
      </c>
      <c r="I146" s="49">
        <v>25.609236499999998</v>
      </c>
      <c r="J146" s="49">
        <v>7.303192E-2</v>
      </c>
      <c r="K146" s="50">
        <f t="shared" ref="K146:K149" si="114">SUM(H146:J146)</f>
        <v>399.14201922999996</v>
      </c>
      <c r="L146" s="49">
        <v>65.722326539999997</v>
      </c>
      <c r="M146" s="49">
        <v>4.983141230000002</v>
      </c>
      <c r="N146" s="49">
        <v>16.310299849999996</v>
      </c>
      <c r="O146" s="49">
        <v>3.6846468000000003</v>
      </c>
      <c r="P146" s="49">
        <v>59.272490049999988</v>
      </c>
      <c r="Q146" s="49">
        <f t="shared" ref="Q146:Q150" si="115">SUM(L146:P146)</f>
        <v>149.97290446999997</v>
      </c>
      <c r="R146" s="51">
        <v>24.409593319999995</v>
      </c>
      <c r="S146" s="49">
        <f t="shared" si="106"/>
        <v>904.00319564999995</v>
      </c>
      <c r="T146" s="52">
        <v>816.75927826995905</v>
      </c>
      <c r="U146" s="49"/>
      <c r="V146" s="109"/>
      <c r="W146" s="60"/>
      <c r="X146" s="100"/>
      <c r="Y146" s="31"/>
      <c r="Z146" s="182">
        <f t="shared" ref="Z146:Z190" si="116">H146/S146*100</f>
        <v>41.311773299813773</v>
      </c>
      <c r="AJ146" s="94">
        <v>40513</v>
      </c>
      <c r="AK146" s="92"/>
      <c r="AL146" s="95">
        <f>SUM(T126:T137)</f>
        <v>6401.8927027469836</v>
      </c>
      <c r="AM146" s="92"/>
    </row>
    <row r="147" spans="1:51" ht="20.25" hidden="1" customHeight="1" x14ac:dyDescent="0.35">
      <c r="A147" s="68" t="s">
        <v>31</v>
      </c>
      <c r="B147" s="49">
        <v>36.408949580000005</v>
      </c>
      <c r="C147" s="49">
        <v>89.384471070000004</v>
      </c>
      <c r="D147" s="49">
        <v>150.54300821000001</v>
      </c>
      <c r="E147" s="49">
        <v>21.180045010000001</v>
      </c>
      <c r="F147" s="49">
        <v>36.836140769999986</v>
      </c>
      <c r="G147" s="49">
        <f t="shared" si="113"/>
        <v>334.35261464000001</v>
      </c>
      <c r="H147" s="48">
        <v>359.27056455000002</v>
      </c>
      <c r="I147" s="49">
        <v>25.926035980000002</v>
      </c>
      <c r="J147" s="49">
        <v>0.28756217000000001</v>
      </c>
      <c r="K147" s="50">
        <f t="shared" si="114"/>
        <v>385.48416270000001</v>
      </c>
      <c r="L147" s="49">
        <v>95.037908489999992</v>
      </c>
      <c r="M147" s="49">
        <v>5.0332514800000014</v>
      </c>
      <c r="N147" s="49">
        <v>18.130954980000002</v>
      </c>
      <c r="O147" s="49">
        <v>1.818753899999999</v>
      </c>
      <c r="P147" s="49">
        <v>66.837725739999939</v>
      </c>
      <c r="Q147" s="49">
        <f t="shared" si="115"/>
        <v>186.85859458999994</v>
      </c>
      <c r="R147" s="51">
        <v>24.77760786</v>
      </c>
      <c r="S147" s="49">
        <f t="shared" si="106"/>
        <v>931.47297978999995</v>
      </c>
      <c r="T147" s="52">
        <v>848.60381632398594</v>
      </c>
      <c r="U147" s="49"/>
      <c r="V147" s="109"/>
      <c r="Y147" s="60"/>
      <c r="Z147" s="182">
        <f t="shared" si="116"/>
        <v>38.570154190731046</v>
      </c>
      <c r="AJ147" s="94">
        <v>40878</v>
      </c>
      <c r="AK147" s="92"/>
      <c r="AL147" s="95">
        <f>SUM(T139:T150)</f>
        <v>8358.2201978310368</v>
      </c>
      <c r="AM147" s="92"/>
    </row>
    <row r="148" spans="1:51" ht="20.25" hidden="1" customHeight="1" x14ac:dyDescent="0.35">
      <c r="A148" s="68" t="s">
        <v>32</v>
      </c>
      <c r="B148" s="49">
        <v>28.405642490000002</v>
      </c>
      <c r="C148" s="49">
        <v>67.66665381</v>
      </c>
      <c r="D148" s="49">
        <v>91.289227010000005</v>
      </c>
      <c r="E148" s="49">
        <v>26.589176430000002</v>
      </c>
      <c r="F148" s="49">
        <v>26.248211470000001</v>
      </c>
      <c r="G148" s="49">
        <f t="shared" si="113"/>
        <v>240.19891121000001</v>
      </c>
      <c r="H148" s="48">
        <v>388.44841216000003</v>
      </c>
      <c r="I148" s="49">
        <v>0</v>
      </c>
      <c r="J148" s="49">
        <v>0.14413624</v>
      </c>
      <c r="K148" s="50">
        <f t="shared" si="114"/>
        <v>388.59254840000006</v>
      </c>
      <c r="L148" s="49">
        <v>73.926545450000006</v>
      </c>
      <c r="M148" s="49">
        <v>4.338810510000001</v>
      </c>
      <c r="N148" s="49">
        <v>14.699126360000001</v>
      </c>
      <c r="O148" s="49">
        <v>3.3430338399999995</v>
      </c>
      <c r="P148" s="49">
        <v>56.44354960000004</v>
      </c>
      <c r="Q148" s="49">
        <f t="shared" si="115"/>
        <v>152.75106576000005</v>
      </c>
      <c r="R148" s="51">
        <v>19.925721969999998</v>
      </c>
      <c r="S148" s="49">
        <f t="shared" si="106"/>
        <v>801.46824734000006</v>
      </c>
      <c r="T148" s="52">
        <v>743.92595147161524</v>
      </c>
      <c r="U148" s="49"/>
      <c r="V148" s="109"/>
      <c r="Y148" s="60"/>
      <c r="Z148" s="182">
        <f t="shared" si="116"/>
        <v>48.467099407771279</v>
      </c>
      <c r="AE148" s="106"/>
      <c r="AF148" s="106"/>
      <c r="AJ148" s="94">
        <v>41244</v>
      </c>
      <c r="AK148" s="92"/>
      <c r="AL148" s="95">
        <f>SUM(T152:T163)</f>
        <v>11253.955144150596</v>
      </c>
      <c r="AM148" s="92"/>
    </row>
    <row r="149" spans="1:51" ht="20.25" hidden="1" customHeight="1" x14ac:dyDescent="0.35">
      <c r="A149" s="68" t="s">
        <v>67</v>
      </c>
      <c r="B149" s="49">
        <v>25.807912990000002</v>
      </c>
      <c r="C149" s="49">
        <v>62.303074330000001</v>
      </c>
      <c r="D149" s="49">
        <v>97.647197700000021</v>
      </c>
      <c r="E149" s="49">
        <v>33.210784930000003</v>
      </c>
      <c r="F149" s="49">
        <v>29.004570449999989</v>
      </c>
      <c r="G149" s="49">
        <f t="shared" si="113"/>
        <v>247.97354040000002</v>
      </c>
      <c r="H149" s="48">
        <v>374.28185857000005</v>
      </c>
      <c r="I149" s="49">
        <v>29.142615120000002</v>
      </c>
      <c r="J149" s="49">
        <v>0.18535974</v>
      </c>
      <c r="K149" s="50">
        <f t="shared" si="114"/>
        <v>403.60983343000009</v>
      </c>
      <c r="L149" s="49">
        <v>40.864809980000004</v>
      </c>
      <c r="M149" s="49">
        <v>4.7160205099999981</v>
      </c>
      <c r="N149" s="49">
        <v>11.57748363</v>
      </c>
      <c r="O149" s="49">
        <v>2.72074755</v>
      </c>
      <c r="P149" s="49">
        <v>52.89426204999998</v>
      </c>
      <c r="Q149" s="49">
        <f t="shared" si="115"/>
        <v>112.77332371999998</v>
      </c>
      <c r="R149" s="51">
        <v>21.889141779999996</v>
      </c>
      <c r="S149" s="49">
        <f t="shared" si="106"/>
        <v>786.24583933000008</v>
      </c>
      <c r="T149" s="52">
        <v>726.24853846828921</v>
      </c>
      <c r="U149" s="49"/>
      <c r="V149" s="109"/>
      <c r="Y149" s="60"/>
      <c r="Z149" s="182">
        <f t="shared" si="116"/>
        <v>47.603667942961017</v>
      </c>
      <c r="AE149" s="104"/>
      <c r="AF149" s="49"/>
      <c r="AJ149" s="94">
        <v>41306</v>
      </c>
      <c r="AK149" s="92"/>
      <c r="AL149" s="95">
        <f>+T165+T166</f>
        <v>1855.9147144482872</v>
      </c>
      <c r="AM149" s="92"/>
    </row>
    <row r="150" spans="1:51" ht="20.25" hidden="1" customHeight="1" x14ac:dyDescent="0.35">
      <c r="A150" s="68" t="s">
        <v>51</v>
      </c>
      <c r="B150" s="49">
        <v>33.608178379999998</v>
      </c>
      <c r="C150" s="49">
        <v>72.312391180000006</v>
      </c>
      <c r="D150" s="49">
        <v>121.06463587000002</v>
      </c>
      <c r="E150" s="49">
        <v>25.652957390000001</v>
      </c>
      <c r="F150" s="49">
        <v>33.163801530000029</v>
      </c>
      <c r="G150" s="49">
        <f t="shared" si="109"/>
        <v>285.80196435000005</v>
      </c>
      <c r="H150" s="48">
        <v>362.41857720999997</v>
      </c>
      <c r="I150" s="49">
        <v>0</v>
      </c>
      <c r="J150" s="49">
        <v>0.20030083999999998</v>
      </c>
      <c r="K150" s="50">
        <f t="shared" si="110"/>
        <v>362.61887804999998</v>
      </c>
      <c r="L150" s="49">
        <v>52.800666270000001</v>
      </c>
      <c r="M150" s="49">
        <v>5.8625980499999999</v>
      </c>
      <c r="N150" s="49">
        <v>4.4225957200000003</v>
      </c>
      <c r="O150" s="49">
        <v>1.3042338599999999</v>
      </c>
      <c r="P150" s="49">
        <v>65.694815850000069</v>
      </c>
      <c r="Q150" s="49">
        <f t="shared" si="115"/>
        <v>130.08490975000007</v>
      </c>
      <c r="R150" s="51">
        <v>21.28410293</v>
      </c>
      <c r="S150" s="49">
        <f t="shared" si="106"/>
        <v>799.78985508000005</v>
      </c>
      <c r="T150" s="52">
        <v>730.14694104467617</v>
      </c>
      <c r="U150" s="49"/>
      <c r="V150" s="109"/>
      <c r="Z150" s="182">
        <f t="shared" si="116"/>
        <v>45.314225344074735</v>
      </c>
      <c r="AE150" s="104"/>
      <c r="AF150" s="49"/>
      <c r="AJ150" s="92"/>
      <c r="AK150" s="92"/>
      <c r="AL150" s="92"/>
      <c r="AM150" s="92"/>
    </row>
    <row r="151" spans="1:51" ht="50.1" hidden="1" customHeight="1" x14ac:dyDescent="0.35">
      <c r="A151" s="77">
        <v>2012</v>
      </c>
      <c r="B151" s="78">
        <f>SUM(B152:B163)</f>
        <v>348.23423162999995</v>
      </c>
      <c r="C151" s="78">
        <f>SUM(C152:C163)</f>
        <v>739.43820572000016</v>
      </c>
      <c r="D151" s="78">
        <f t="shared" ref="D151" si="117">SUM(D152:D163)</f>
        <v>1198.2009155700002</v>
      </c>
      <c r="E151" s="78">
        <f t="shared" ref="E151" si="118">SUM(E152:E163)</f>
        <v>1095.1746974600001</v>
      </c>
      <c r="F151" s="78">
        <f t="shared" ref="F151" si="119">SUM(F152:F163)</f>
        <v>363.35443097000001</v>
      </c>
      <c r="G151" s="78">
        <f t="shared" ref="G151:M151" si="120">SUM(G152:G163)</f>
        <v>3744.40248135</v>
      </c>
      <c r="H151" s="79">
        <f t="shared" si="120"/>
        <v>5478.5228182600003</v>
      </c>
      <c r="I151" s="78">
        <f t="shared" si="120"/>
        <v>392.42939130999997</v>
      </c>
      <c r="J151" s="78">
        <f t="shared" si="120"/>
        <v>0.73072727999999998</v>
      </c>
      <c r="K151" s="80">
        <f t="shared" si="120"/>
        <v>5871.6829368500012</v>
      </c>
      <c r="L151" s="78">
        <f t="shared" si="120"/>
        <v>976.88048624999999</v>
      </c>
      <c r="M151" s="78">
        <f t="shared" si="120"/>
        <v>52.983847500000032</v>
      </c>
      <c r="N151" s="78">
        <f t="shared" ref="N151" si="121">SUM(N152:N163)</f>
        <v>139.17933593999999</v>
      </c>
      <c r="O151" s="78">
        <f t="shared" ref="O151" si="122">SUM(O152:O163)</f>
        <v>22.166925450000004</v>
      </c>
      <c r="P151" s="78">
        <f t="shared" ref="P151" si="123">SUM(P152:P163)</f>
        <v>847.67905463</v>
      </c>
      <c r="Q151" s="78">
        <f>SUM(Q152:Q163)</f>
        <v>2038.8896497699998</v>
      </c>
      <c r="R151" s="81">
        <f>SUM(R152:R163)</f>
        <v>336.15788389999949</v>
      </c>
      <c r="S151" s="78">
        <f>SUM(S152:S163)</f>
        <v>11991.13295187</v>
      </c>
      <c r="T151" s="82">
        <f>SUM(T152:T163)</f>
        <v>11253.955144150596</v>
      </c>
      <c r="U151" s="78"/>
      <c r="V151" s="78"/>
      <c r="X151" s="96"/>
      <c r="Y151" s="91"/>
      <c r="Z151" s="182">
        <f t="shared" si="116"/>
        <v>45.688116712988595</v>
      </c>
      <c r="AA151" s="90">
        <v>8269.2336039999991</v>
      </c>
      <c r="AB151" s="101">
        <f>+Z151-AA151</f>
        <v>-8223.5454872870105</v>
      </c>
      <c r="AC151" s="49" t="s">
        <v>66</v>
      </c>
      <c r="AD151" s="49" t="s">
        <v>65</v>
      </c>
      <c r="AE151" s="49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</row>
    <row r="152" spans="1:51" ht="20.25" hidden="1" customHeight="1" x14ac:dyDescent="0.35">
      <c r="A152" s="68" t="s">
        <v>23</v>
      </c>
      <c r="B152" s="49">
        <v>31.507395259999996</v>
      </c>
      <c r="C152" s="49">
        <v>58.801824089999997</v>
      </c>
      <c r="D152" s="49">
        <v>81.437740269999992</v>
      </c>
      <c r="E152" s="49">
        <v>24.475766529999998</v>
      </c>
      <c r="F152" s="49">
        <v>20.613798140000029</v>
      </c>
      <c r="G152" s="49">
        <f t="shared" ref="G152:G163" si="124">SUM(B152:F152)</f>
        <v>216.83652429</v>
      </c>
      <c r="H152" s="48">
        <v>332.62523670999997</v>
      </c>
      <c r="I152" s="49">
        <v>25.416376370000023</v>
      </c>
      <c r="J152" s="49">
        <v>5.670182E-2</v>
      </c>
      <c r="K152" s="50">
        <f>+SUM(H152:J152)</f>
        <v>358.09831489999999</v>
      </c>
      <c r="L152" s="49">
        <v>25.830063460000005</v>
      </c>
      <c r="M152" s="49">
        <v>3.8090236100000041</v>
      </c>
      <c r="N152" s="49">
        <v>6.7450609999999998</v>
      </c>
      <c r="O152" s="49">
        <v>1.1956176200000002</v>
      </c>
      <c r="P152" s="49">
        <v>42.087492419999982</v>
      </c>
      <c r="Q152" s="49">
        <f>+SUM(L152:P152)</f>
        <v>79.667258109999992</v>
      </c>
      <c r="R152" s="51">
        <v>15.238248189999997</v>
      </c>
      <c r="S152" s="49">
        <f t="shared" ref="S152:S163" si="125">+R152+Q152+K152+G152</f>
        <v>669.84034548999989</v>
      </c>
      <c r="T152" s="52">
        <v>619.11347742601811</v>
      </c>
      <c r="U152" s="49"/>
      <c r="V152" s="78"/>
      <c r="W152" s="31" t="s">
        <v>47</v>
      </c>
      <c r="X152" s="96">
        <f>SUM(T152:T154)</f>
        <v>2111.4198755634702</v>
      </c>
      <c r="Y152" s="91"/>
      <c r="Z152" s="182">
        <f t="shared" si="116"/>
        <v>49.657390593079128</v>
      </c>
      <c r="AC152" s="104">
        <v>1</v>
      </c>
      <c r="AD152" s="49">
        <v>934.38406859760892</v>
      </c>
      <c r="AE152" s="49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</row>
    <row r="153" spans="1:51" ht="20.25" hidden="1" customHeight="1" x14ac:dyDescent="0.35">
      <c r="A153" s="68" t="s">
        <v>24</v>
      </c>
      <c r="B153" s="49">
        <v>30.637642359999997</v>
      </c>
      <c r="C153" s="49">
        <v>44.396449650000001</v>
      </c>
      <c r="D153" s="49">
        <v>73.918985759999998</v>
      </c>
      <c r="E153" s="49">
        <v>41.997902289999999</v>
      </c>
      <c r="F153" s="49">
        <v>24.39540488999998</v>
      </c>
      <c r="G153" s="49">
        <f t="shared" si="124"/>
        <v>215.34638494999999</v>
      </c>
      <c r="H153" s="48">
        <v>390.77762860000001</v>
      </c>
      <c r="I153" s="49">
        <v>19.123614549999992</v>
      </c>
      <c r="J153" s="49">
        <v>3.765164E-2</v>
      </c>
      <c r="K153" s="50">
        <f t="shared" ref="K153:K163" si="126">+SUM(H153:J153)</f>
        <v>409.93889479000001</v>
      </c>
      <c r="L153" s="49">
        <v>39.793732330000005</v>
      </c>
      <c r="M153" s="49">
        <v>5.0033689400000014</v>
      </c>
      <c r="N153" s="49">
        <v>7.0583739200000002</v>
      </c>
      <c r="O153" s="49">
        <v>1.08878309</v>
      </c>
      <c r="P153" s="49">
        <v>39.261055940000013</v>
      </c>
      <c r="Q153" s="49">
        <f t="shared" ref="Q153:Q163" si="127">+SUM(L153:P153)</f>
        <v>92.20531422000002</v>
      </c>
      <c r="R153" s="51">
        <v>16.974504299999996</v>
      </c>
      <c r="S153" s="49">
        <f t="shared" si="125"/>
        <v>734.46509825999999</v>
      </c>
      <c r="T153" s="52">
        <v>689.90928943000995</v>
      </c>
      <c r="U153" s="49"/>
      <c r="V153" s="78"/>
      <c r="W153" s="31" t="s">
        <v>48</v>
      </c>
      <c r="X153" s="96">
        <f>SUM(T155:T157)</f>
        <v>2795.8962559833931</v>
      </c>
      <c r="Y153" s="91"/>
      <c r="Z153" s="182">
        <f t="shared" si="116"/>
        <v>53.205745177787215</v>
      </c>
      <c r="AC153" s="104">
        <v>2</v>
      </c>
      <c r="AD153" s="49">
        <v>1022.0628681057279</v>
      </c>
      <c r="AE153" s="49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</row>
    <row r="154" spans="1:51" ht="20.25" hidden="1" customHeight="1" x14ac:dyDescent="0.35">
      <c r="A154" s="68" t="s">
        <v>25</v>
      </c>
      <c r="B154" s="49">
        <v>34.904475820000002</v>
      </c>
      <c r="C154" s="49">
        <v>71.331960809999998</v>
      </c>
      <c r="D154" s="49">
        <v>107.58991034</v>
      </c>
      <c r="E154" s="49">
        <v>33.267644320000002</v>
      </c>
      <c r="F154" s="49">
        <v>32.911389450000001</v>
      </c>
      <c r="G154" s="49">
        <f t="shared" si="124"/>
        <v>280.00538074000002</v>
      </c>
      <c r="H154" s="48">
        <v>434.16913242000004</v>
      </c>
      <c r="I154" s="49">
        <v>-1.7597034940308731E-14</v>
      </c>
      <c r="J154" s="49">
        <v>3.7083699999999997E-2</v>
      </c>
      <c r="K154" s="50">
        <f t="shared" si="126"/>
        <v>434.20621612000002</v>
      </c>
      <c r="L154" s="49">
        <v>56.075817949999994</v>
      </c>
      <c r="M154" s="49">
        <v>4.8645738600000143</v>
      </c>
      <c r="N154" s="49">
        <v>9.702301499999999</v>
      </c>
      <c r="O154" s="49">
        <v>2.1466668599999994</v>
      </c>
      <c r="P154" s="49">
        <v>50.783301669999972</v>
      </c>
      <c r="Q154" s="49">
        <f t="shared" si="127"/>
        <v>123.57266183999998</v>
      </c>
      <c r="R154" s="51">
        <v>32.466251380000003</v>
      </c>
      <c r="S154" s="49">
        <f t="shared" si="125"/>
        <v>870.25051007999991</v>
      </c>
      <c r="T154" s="52">
        <v>802.39710870744204</v>
      </c>
      <c r="U154" s="49">
        <f>T154+T153+T152</f>
        <v>2111.4198755634702</v>
      </c>
      <c r="V154" s="78"/>
      <c r="W154" s="31" t="s">
        <v>49</v>
      </c>
      <c r="X154" s="96">
        <f>SUM(T158:T160)</f>
        <v>3079.6294390547946</v>
      </c>
      <c r="Y154" s="91"/>
      <c r="Z154" s="182">
        <f t="shared" si="116"/>
        <v>49.890132483816416</v>
      </c>
      <c r="AC154" s="104">
        <v>3</v>
      </c>
      <c r="AD154" s="49">
        <v>1121.864318243908</v>
      </c>
      <c r="AE154" s="49"/>
      <c r="AG154" s="107"/>
      <c r="AR154" s="43"/>
      <c r="AS154" s="43"/>
      <c r="AT154" s="43"/>
      <c r="AU154" s="43"/>
      <c r="AV154" s="43"/>
      <c r="AW154" s="43"/>
      <c r="AX154" s="43"/>
      <c r="AY154" s="43"/>
    </row>
    <row r="155" spans="1:51" ht="20.25" hidden="1" customHeight="1" x14ac:dyDescent="0.35">
      <c r="A155" s="68" t="s">
        <v>26</v>
      </c>
      <c r="B155" s="49">
        <v>28.949768779999999</v>
      </c>
      <c r="C155" s="49">
        <v>60.560659210000004</v>
      </c>
      <c r="D155" s="49">
        <v>112.18321416000001</v>
      </c>
      <c r="E155" s="49">
        <v>69.735899180000004</v>
      </c>
      <c r="F155" s="49">
        <v>31.268939139999986</v>
      </c>
      <c r="G155" s="49">
        <f t="shared" si="124"/>
        <v>302.69848046999999</v>
      </c>
      <c r="H155" s="48">
        <v>403.69187541000008</v>
      </c>
      <c r="I155" s="49">
        <v>63.601262799999979</v>
      </c>
      <c r="J155" s="49">
        <v>5.815186E-2</v>
      </c>
      <c r="K155" s="50">
        <f t="shared" si="126"/>
        <v>467.35129007000006</v>
      </c>
      <c r="L155" s="49">
        <v>88.959076389999993</v>
      </c>
      <c r="M155" s="49">
        <v>4.928107379999993</v>
      </c>
      <c r="N155" s="49">
        <v>11.466947899999999</v>
      </c>
      <c r="O155" s="49">
        <v>0.51483116000000018</v>
      </c>
      <c r="P155" s="49">
        <v>50.026015959999938</v>
      </c>
      <c r="Q155" s="49">
        <f t="shared" si="127"/>
        <v>155.89497878999993</v>
      </c>
      <c r="R155" s="51">
        <v>21.817841130000005</v>
      </c>
      <c r="S155" s="49">
        <f t="shared" si="125"/>
        <v>947.76259045999996</v>
      </c>
      <c r="T155" s="52">
        <v>881.95363818086889</v>
      </c>
      <c r="U155" s="49">
        <f t="shared" ref="U155:U189" si="128">T155+T154+T153</f>
        <v>2374.260036318321</v>
      </c>
      <c r="V155" s="78"/>
      <c r="W155" s="31" t="s">
        <v>50</v>
      </c>
      <c r="X155" s="96">
        <f>+T161+T162+T163</f>
        <v>3267.0095735489367</v>
      </c>
      <c r="Y155" s="91"/>
      <c r="Z155" s="182">
        <f t="shared" si="116"/>
        <v>42.594198111793666</v>
      </c>
      <c r="AC155" s="104">
        <v>4</v>
      </c>
      <c r="AD155" s="49">
        <v>1087.6890567537482</v>
      </c>
      <c r="AE155" s="49"/>
      <c r="AG155" s="102"/>
      <c r="AR155" s="43"/>
      <c r="AS155" s="43"/>
      <c r="AT155" s="43"/>
      <c r="AU155" s="43"/>
      <c r="AV155" s="43"/>
      <c r="AW155" s="43"/>
      <c r="AX155" s="43"/>
      <c r="AY155" s="43"/>
    </row>
    <row r="156" spans="1:51" ht="20.25" hidden="1" customHeight="1" x14ac:dyDescent="0.35">
      <c r="A156" s="68" t="s">
        <v>39</v>
      </c>
      <c r="B156" s="49">
        <v>26.453125319999998</v>
      </c>
      <c r="C156" s="49">
        <v>68.696496040000014</v>
      </c>
      <c r="D156" s="49">
        <v>98.953394239999994</v>
      </c>
      <c r="E156" s="49">
        <v>88.859804220000001</v>
      </c>
      <c r="F156" s="49">
        <v>32.659951880000051</v>
      </c>
      <c r="G156" s="49">
        <f t="shared" si="124"/>
        <v>315.62277170000004</v>
      </c>
      <c r="H156" s="48">
        <v>486.40272186999999</v>
      </c>
      <c r="I156" s="49">
        <v>24.090381340000015</v>
      </c>
      <c r="J156" s="49">
        <v>5.8664749999999995E-2</v>
      </c>
      <c r="K156" s="50">
        <f t="shared" si="126"/>
        <v>510.55176796000001</v>
      </c>
      <c r="L156" s="49">
        <v>79.236541340000002</v>
      </c>
      <c r="M156" s="49">
        <v>4.5657749899999942</v>
      </c>
      <c r="N156" s="49">
        <v>14.068007400000001</v>
      </c>
      <c r="O156" s="49">
        <v>1.8173763399999998</v>
      </c>
      <c r="P156" s="49">
        <v>64.990240250000042</v>
      </c>
      <c r="Q156" s="49">
        <f t="shared" si="127"/>
        <v>164.67794032000003</v>
      </c>
      <c r="R156" s="51">
        <v>23.814620919999999</v>
      </c>
      <c r="S156" s="49">
        <f t="shared" si="125"/>
        <v>1014.6671009</v>
      </c>
      <c r="T156" s="52">
        <v>951.06131475739119</v>
      </c>
      <c r="U156" s="49">
        <f t="shared" si="128"/>
        <v>2635.4120616457021</v>
      </c>
      <c r="V156" s="78"/>
      <c r="X156" s="96"/>
      <c r="Y156" s="91"/>
      <c r="Z156" s="182">
        <f t="shared" si="116"/>
        <v>47.937172836151426</v>
      </c>
      <c r="AC156" s="104">
        <v>5</v>
      </c>
      <c r="AD156" s="49">
        <v>1060.8933411221101</v>
      </c>
      <c r="AE156" s="49"/>
      <c r="AG156" s="102"/>
      <c r="AR156" s="43"/>
      <c r="AS156" s="43"/>
      <c r="AT156" s="43"/>
      <c r="AU156" s="43"/>
      <c r="AV156" s="43"/>
      <c r="AW156" s="43"/>
      <c r="AX156" s="43"/>
      <c r="AY156" s="43"/>
    </row>
    <row r="157" spans="1:51" ht="20.25" hidden="1" customHeight="1" x14ac:dyDescent="0.35">
      <c r="A157" s="68" t="s">
        <v>44</v>
      </c>
      <c r="B157" s="49">
        <v>29.421222629999999</v>
      </c>
      <c r="C157" s="49">
        <v>54.322929880000004</v>
      </c>
      <c r="D157" s="49">
        <v>75.63114911000001</v>
      </c>
      <c r="E157" s="49">
        <v>112.80353645000001</v>
      </c>
      <c r="F157" s="49">
        <v>28.28735906999998</v>
      </c>
      <c r="G157" s="49">
        <f t="shared" si="124"/>
        <v>300.46619714000002</v>
      </c>
      <c r="H157" s="48">
        <v>446.70536976</v>
      </c>
      <c r="I157" s="49">
        <v>8.3138111399999843</v>
      </c>
      <c r="J157" s="49">
        <v>8.7596980000000005E-2</v>
      </c>
      <c r="K157" s="50">
        <f t="shared" si="126"/>
        <v>455.10677787999998</v>
      </c>
      <c r="L157" s="49">
        <v>131.79509246000001</v>
      </c>
      <c r="M157" s="49">
        <v>3.7325734499999754</v>
      </c>
      <c r="N157" s="49">
        <v>12.63963888</v>
      </c>
      <c r="O157" s="49">
        <v>4.5591794500000011</v>
      </c>
      <c r="P157" s="49">
        <v>71.714068160000011</v>
      </c>
      <c r="Q157" s="49">
        <f t="shared" si="127"/>
        <v>224.4405524</v>
      </c>
      <c r="R157" s="51">
        <v>33.670057869999994</v>
      </c>
      <c r="S157" s="49">
        <f t="shared" si="125"/>
        <v>1013.6835852900001</v>
      </c>
      <c r="T157" s="52">
        <v>962.881303045133</v>
      </c>
      <c r="U157" s="49">
        <f t="shared" si="128"/>
        <v>2795.8962559833931</v>
      </c>
      <c r="V157" s="78"/>
      <c r="X157" s="96"/>
      <c r="Y157" s="91"/>
      <c r="Z157" s="182">
        <f t="shared" si="116"/>
        <v>44.067535100926399</v>
      </c>
      <c r="AC157" s="104">
        <v>6</v>
      </c>
      <c r="AD157" s="49">
        <v>1100.840908802302</v>
      </c>
      <c r="AE157" s="49"/>
      <c r="AG157" s="102"/>
      <c r="AR157" s="43"/>
      <c r="AS157" s="43"/>
      <c r="AT157" s="43"/>
      <c r="AU157" s="43"/>
      <c r="AV157" s="43"/>
      <c r="AW157" s="43"/>
      <c r="AX157" s="43"/>
      <c r="AY157" s="43"/>
    </row>
    <row r="158" spans="1:51" ht="20.25" hidden="1" customHeight="1" x14ac:dyDescent="0.35">
      <c r="A158" s="68" t="s">
        <v>29</v>
      </c>
      <c r="B158" s="49">
        <v>28.136581660000001</v>
      </c>
      <c r="C158" s="49">
        <v>61.579154500000001</v>
      </c>
      <c r="D158" s="49">
        <v>109.23747305000002</v>
      </c>
      <c r="E158" s="49">
        <v>87.469863520000004</v>
      </c>
      <c r="F158" s="49">
        <v>34.91397139999998</v>
      </c>
      <c r="G158" s="49">
        <f t="shared" si="124"/>
        <v>321.33704412999998</v>
      </c>
      <c r="H158" s="48">
        <v>430.40505828000005</v>
      </c>
      <c r="I158" s="49">
        <v>42.755031649999978</v>
      </c>
      <c r="J158" s="49">
        <v>0</v>
      </c>
      <c r="K158" s="50">
        <f t="shared" si="126"/>
        <v>473.16008993000003</v>
      </c>
      <c r="L158" s="49">
        <v>77.251061840000006</v>
      </c>
      <c r="M158" s="49">
        <v>3.65360029</v>
      </c>
      <c r="N158" s="49">
        <v>16.467025029999999</v>
      </c>
      <c r="O158" s="49">
        <v>2.3259605100000011</v>
      </c>
      <c r="P158" s="49">
        <v>73.164542250000011</v>
      </c>
      <c r="Q158" s="49">
        <f t="shared" si="127"/>
        <v>172.86218992000002</v>
      </c>
      <c r="R158" s="51">
        <v>34.579190329999996</v>
      </c>
      <c r="S158" s="49">
        <f t="shared" si="125"/>
        <v>1001.93851431</v>
      </c>
      <c r="T158" s="52">
        <v>934.85280109510893</v>
      </c>
      <c r="U158" s="49">
        <f t="shared" si="128"/>
        <v>2848.7954188976332</v>
      </c>
      <c r="V158" s="78"/>
      <c r="X158" s="96"/>
      <c r="Y158" s="91"/>
      <c r="Z158" s="182">
        <f t="shared" si="116"/>
        <v>42.957232617852306</v>
      </c>
      <c r="AC158" s="104">
        <v>7</v>
      </c>
      <c r="AD158" s="49">
        <v>782.10581198226816</v>
      </c>
      <c r="AE158" s="49"/>
      <c r="AG158" s="102"/>
      <c r="AR158" s="43"/>
      <c r="AS158" s="43"/>
      <c r="AT158" s="43"/>
      <c r="AU158" s="43"/>
      <c r="AV158" s="43"/>
      <c r="AW158" s="43"/>
      <c r="AX158" s="43"/>
      <c r="AY158" s="43"/>
    </row>
    <row r="159" spans="1:51" ht="20.25" hidden="1" customHeight="1" x14ac:dyDescent="0.35">
      <c r="A159" s="68" t="s">
        <v>45</v>
      </c>
      <c r="B159" s="49">
        <v>25.349983250000001</v>
      </c>
      <c r="C159" s="49">
        <v>71.102505669999999</v>
      </c>
      <c r="D159" s="49">
        <v>87.957108360000007</v>
      </c>
      <c r="E159" s="49">
        <v>98.555856419999998</v>
      </c>
      <c r="F159" s="49">
        <v>28.789870500000006</v>
      </c>
      <c r="G159" s="49">
        <f t="shared" si="124"/>
        <v>311.75532420000002</v>
      </c>
      <c r="H159" s="48">
        <v>450.89012087000003</v>
      </c>
      <c r="I159" s="49">
        <v>24.186899620000023</v>
      </c>
      <c r="J159" s="49">
        <v>1.9975380000000001E-2</v>
      </c>
      <c r="K159" s="50">
        <f t="shared" si="126"/>
        <v>475.09699587000006</v>
      </c>
      <c r="L159" s="49">
        <v>158.10899380000001</v>
      </c>
      <c r="M159" s="49">
        <v>4.1877521700000386</v>
      </c>
      <c r="N159" s="49">
        <v>14.852284700000002</v>
      </c>
      <c r="O159" s="49">
        <v>1.9656886600000003</v>
      </c>
      <c r="P159" s="49">
        <v>81.324635969999946</v>
      </c>
      <c r="Q159" s="49">
        <f t="shared" si="127"/>
        <v>260.43935529999999</v>
      </c>
      <c r="R159" s="51">
        <v>36.820813919999814</v>
      </c>
      <c r="S159" s="49">
        <f t="shared" si="125"/>
        <v>1084.1124892899998</v>
      </c>
      <c r="T159" s="52">
        <v>1021.7405240693281</v>
      </c>
      <c r="U159" s="49">
        <f t="shared" si="128"/>
        <v>2919.4746282095698</v>
      </c>
      <c r="V159" s="78"/>
      <c r="X159" s="96"/>
      <c r="Y159" s="91"/>
      <c r="Z159" s="182">
        <f t="shared" si="116"/>
        <v>41.590713632059916</v>
      </c>
      <c r="AC159" s="104">
        <v>8</v>
      </c>
      <c r="AD159" s="49">
        <v>1015.9646603913353</v>
      </c>
      <c r="AE159" s="49"/>
      <c r="AG159" s="102"/>
      <c r="AR159" s="43"/>
      <c r="AS159" s="43"/>
      <c r="AT159" s="43"/>
      <c r="AU159" s="43"/>
      <c r="AV159" s="43"/>
      <c r="AW159" s="43"/>
      <c r="AX159" s="43"/>
      <c r="AY159" s="43"/>
    </row>
    <row r="160" spans="1:51" ht="20.25" hidden="1" customHeight="1" x14ac:dyDescent="0.35">
      <c r="A160" s="68" t="s">
        <v>31</v>
      </c>
      <c r="B160" s="49">
        <v>24.699606539999998</v>
      </c>
      <c r="C160" s="49">
        <v>57.297439990000001</v>
      </c>
      <c r="D160" s="49">
        <v>117.79313782999999</v>
      </c>
      <c r="E160" s="49">
        <v>123.73835459999999</v>
      </c>
      <c r="F160" s="49">
        <v>34.784174930000006</v>
      </c>
      <c r="G160" s="49">
        <f t="shared" si="124"/>
        <v>358.31271389</v>
      </c>
      <c r="H160" s="48">
        <v>524.57043408000004</v>
      </c>
      <c r="I160" s="49">
        <v>53.586529189999965</v>
      </c>
      <c r="J160" s="49">
        <v>0</v>
      </c>
      <c r="K160" s="50">
        <f t="shared" si="126"/>
        <v>578.15696327000001</v>
      </c>
      <c r="L160" s="49">
        <v>108.398477</v>
      </c>
      <c r="M160" s="49">
        <v>4.0010131200000103</v>
      </c>
      <c r="N160" s="49">
        <v>15.15184268</v>
      </c>
      <c r="O160" s="49">
        <v>1.2232990700000002</v>
      </c>
      <c r="P160" s="49">
        <v>96.816224930000004</v>
      </c>
      <c r="Q160" s="49">
        <f t="shared" si="127"/>
        <v>225.59085680000001</v>
      </c>
      <c r="R160" s="51">
        <v>24.874059320000001</v>
      </c>
      <c r="S160" s="49">
        <f t="shared" si="125"/>
        <v>1186.9345932799999</v>
      </c>
      <c r="T160" s="52">
        <v>1123.0361138903579</v>
      </c>
      <c r="U160" s="49">
        <f>T160+T159+T158</f>
        <v>3079.6294390547951</v>
      </c>
      <c r="V160" s="78"/>
      <c r="X160" s="96"/>
      <c r="Y160" s="91"/>
      <c r="Z160" s="182">
        <f t="shared" si="116"/>
        <v>44.195395184362354</v>
      </c>
      <c r="AC160" s="104">
        <v>9</v>
      </c>
      <c r="AD160" s="49">
        <v>936.97743166479802</v>
      </c>
      <c r="AE160" s="49"/>
      <c r="AG160" s="43"/>
      <c r="AR160" s="43"/>
      <c r="AS160" s="43"/>
      <c r="AT160" s="43"/>
      <c r="AU160" s="43"/>
      <c r="AV160" s="43"/>
      <c r="AW160" s="43"/>
      <c r="AX160" s="43"/>
      <c r="AY160" s="43"/>
    </row>
    <row r="161" spans="1:51" ht="20.25" hidden="1" customHeight="1" x14ac:dyDescent="0.35">
      <c r="A161" s="68" t="s">
        <v>32</v>
      </c>
      <c r="B161" s="49">
        <v>32.130224290000001</v>
      </c>
      <c r="C161" s="49">
        <v>65.631728109999997</v>
      </c>
      <c r="D161" s="49">
        <v>123.1814645</v>
      </c>
      <c r="E161" s="49">
        <v>111.45757986</v>
      </c>
      <c r="F161" s="49">
        <v>32.611247249999963</v>
      </c>
      <c r="G161" s="49">
        <f t="shared" si="124"/>
        <v>365.01224400999996</v>
      </c>
      <c r="H161" s="48">
        <v>527.14637076000008</v>
      </c>
      <c r="I161" s="49">
        <v>52.231985260000044</v>
      </c>
      <c r="J161" s="49">
        <v>0.16237277999999999</v>
      </c>
      <c r="K161" s="50">
        <f t="shared" si="126"/>
        <v>579.54072880000024</v>
      </c>
      <c r="L161" s="49">
        <v>73.684207719999989</v>
      </c>
      <c r="M161" s="49">
        <v>5.4930093000000113</v>
      </c>
      <c r="N161" s="49">
        <v>9.0661929999999966</v>
      </c>
      <c r="O161" s="49">
        <v>2.6594506100000004</v>
      </c>
      <c r="P161" s="49">
        <v>94.491451750000095</v>
      </c>
      <c r="Q161" s="49">
        <f t="shared" si="127"/>
        <v>185.39431238000009</v>
      </c>
      <c r="R161" s="51">
        <v>31.200464899999993</v>
      </c>
      <c r="S161" s="49">
        <f t="shared" si="125"/>
        <v>1161.1477500900003</v>
      </c>
      <c r="T161" s="52">
        <v>1091.291394527068</v>
      </c>
      <c r="U161" s="49">
        <f t="shared" si="128"/>
        <v>3236.0680324867535</v>
      </c>
      <c r="V161" s="78"/>
      <c r="X161" s="96"/>
      <c r="Y161" s="91"/>
      <c r="Z161" s="182">
        <f t="shared" si="116"/>
        <v>45.398733341139497</v>
      </c>
      <c r="AC161" s="104">
        <v>10</v>
      </c>
      <c r="AD161" s="49">
        <v>921.26231772240601</v>
      </c>
      <c r="AE161" s="49"/>
      <c r="AG161" s="43"/>
      <c r="AR161" s="43"/>
      <c r="AS161" s="43"/>
      <c r="AT161" s="43"/>
      <c r="AU161" s="43"/>
      <c r="AV161" s="43"/>
      <c r="AW161" s="43"/>
      <c r="AX161" s="43"/>
      <c r="AY161" s="43"/>
    </row>
    <row r="162" spans="1:51" ht="20.25" hidden="1" customHeight="1" x14ac:dyDescent="0.35">
      <c r="A162" s="68" t="s">
        <v>67</v>
      </c>
      <c r="B162" s="49">
        <v>25.057500919999999</v>
      </c>
      <c r="C162" s="49">
        <v>65.331063350000008</v>
      </c>
      <c r="D162" s="49">
        <v>105.9313425</v>
      </c>
      <c r="E162" s="49">
        <v>141.87857037999999</v>
      </c>
      <c r="F162" s="49">
        <v>31.078525540000044</v>
      </c>
      <c r="G162" s="49">
        <f t="shared" si="124"/>
        <v>369.27700269000002</v>
      </c>
      <c r="H162" s="48">
        <v>521.23990795000009</v>
      </c>
      <c r="I162" s="49">
        <v>42.300639820000043</v>
      </c>
      <c r="J162" s="49">
        <v>5.5554140000000002E-2</v>
      </c>
      <c r="K162" s="50">
        <f t="shared" si="126"/>
        <v>563.59610191000013</v>
      </c>
      <c r="L162" s="49">
        <v>66.187580960000005</v>
      </c>
      <c r="M162" s="49">
        <v>3.3110818499999937</v>
      </c>
      <c r="N162" s="49">
        <v>11.39761916</v>
      </c>
      <c r="O162" s="49">
        <v>1.7267523200000003</v>
      </c>
      <c r="P162" s="49">
        <v>84.659825139999995</v>
      </c>
      <c r="Q162" s="49">
        <f t="shared" si="127"/>
        <v>167.28285943</v>
      </c>
      <c r="R162" s="51">
        <v>30.61017777999945</v>
      </c>
      <c r="S162" s="49">
        <f t="shared" si="125"/>
        <v>1130.7661418099997</v>
      </c>
      <c r="T162" s="52">
        <v>1065.0365887979597</v>
      </c>
      <c r="U162" s="49">
        <f>T162+T161+T160</f>
        <v>3279.3640972153853</v>
      </c>
      <c r="V162" s="78"/>
      <c r="X162" s="96"/>
      <c r="Z162" s="182">
        <f t="shared" si="116"/>
        <v>46.096172203711326</v>
      </c>
      <c r="AC162" s="104">
        <v>11</v>
      </c>
      <c r="AD162" s="49">
        <v>894.87276433838713</v>
      </c>
      <c r="AE162" s="49"/>
      <c r="AG162" s="103"/>
      <c r="AR162" s="43"/>
      <c r="AS162" s="43"/>
      <c r="AT162" s="43"/>
      <c r="AU162" s="43"/>
      <c r="AV162" s="43"/>
      <c r="AW162" s="43"/>
      <c r="AX162" s="43"/>
      <c r="AY162" s="43"/>
    </row>
    <row r="163" spans="1:51" ht="28.5" hidden="1" customHeight="1" x14ac:dyDescent="0.35">
      <c r="A163" s="68" t="s">
        <v>51</v>
      </c>
      <c r="B163" s="49">
        <v>30.986704800000002</v>
      </c>
      <c r="C163" s="49">
        <v>60.38599442000001</v>
      </c>
      <c r="D163" s="49">
        <v>104.38599545</v>
      </c>
      <c r="E163" s="49">
        <v>160.93391969000001</v>
      </c>
      <c r="F163" s="49">
        <v>31.039798780000012</v>
      </c>
      <c r="G163" s="49">
        <f t="shared" si="124"/>
        <v>387.73241314000001</v>
      </c>
      <c r="H163" s="48">
        <v>529.89896154999997</v>
      </c>
      <c r="I163" s="49">
        <v>36.822859569999935</v>
      </c>
      <c r="J163" s="49">
        <v>0.15697422999999999</v>
      </c>
      <c r="K163" s="50">
        <f t="shared" si="126"/>
        <v>566.8787953499999</v>
      </c>
      <c r="L163" s="49">
        <v>71.559840999999992</v>
      </c>
      <c r="M163" s="49">
        <v>5.4339685399999951</v>
      </c>
      <c r="N163" s="49">
        <v>10.56404077</v>
      </c>
      <c r="O163" s="49">
        <v>0.94331976000000028</v>
      </c>
      <c r="P163" s="49">
        <v>98.360200190000043</v>
      </c>
      <c r="Q163" s="49">
        <f t="shared" si="127"/>
        <v>186.86137026000003</v>
      </c>
      <c r="R163" s="51">
        <v>34.091653860000285</v>
      </c>
      <c r="S163" s="49">
        <f t="shared" si="125"/>
        <v>1175.5642326100003</v>
      </c>
      <c r="T163" s="52">
        <v>1110.6815902239091</v>
      </c>
      <c r="U163" s="49">
        <f t="shared" si="128"/>
        <v>3267.0095735489367</v>
      </c>
      <c r="V163" s="78"/>
      <c r="X163" s="96"/>
      <c r="Z163" s="182">
        <f t="shared" si="116"/>
        <v>45.076138491685192</v>
      </c>
      <c r="AC163" s="104">
        <v>12</v>
      </c>
      <c r="AD163" s="49">
        <v>927.79426940007193</v>
      </c>
      <c r="AE163" s="49"/>
      <c r="AG163" s="102"/>
      <c r="AR163" s="43"/>
      <c r="AS163" s="43"/>
      <c r="AT163" s="43"/>
      <c r="AU163" s="43"/>
      <c r="AV163" s="43"/>
      <c r="AW163" s="43"/>
      <c r="AX163" s="43"/>
      <c r="AY163" s="43"/>
    </row>
    <row r="164" spans="1:51" ht="38.25" hidden="1" customHeight="1" x14ac:dyDescent="0.35">
      <c r="A164" s="77">
        <v>2013</v>
      </c>
      <c r="B164" s="78">
        <f>SUM(B165:B176)</f>
        <v>370.14793777</v>
      </c>
      <c r="C164" s="78">
        <f t="shared" ref="C164:R164" si="129">SUM(C165:C176)</f>
        <v>762.37473477999993</v>
      </c>
      <c r="D164" s="78">
        <f t="shared" si="129"/>
        <v>1007.68045893</v>
      </c>
      <c r="E164" s="78">
        <f>SUM(E165:E176)</f>
        <v>561.36869841000009</v>
      </c>
      <c r="F164" s="78">
        <f t="shared" si="129"/>
        <v>375.30855820000005</v>
      </c>
      <c r="G164" s="78">
        <f>SUM(G165:G176)</f>
        <v>3076.88038809</v>
      </c>
      <c r="H164" s="79">
        <f t="shared" si="129"/>
        <v>6113.44797062</v>
      </c>
      <c r="I164" s="78">
        <f t="shared" si="129"/>
        <v>511.48356891999998</v>
      </c>
      <c r="J164" s="78">
        <f t="shared" si="129"/>
        <v>1.2514152300000001</v>
      </c>
      <c r="K164" s="80">
        <f t="shared" si="129"/>
        <v>6626.1829547699999</v>
      </c>
      <c r="L164" s="78">
        <f t="shared" si="129"/>
        <v>1211.0515279899998</v>
      </c>
      <c r="M164" s="78">
        <f t="shared" si="129"/>
        <v>49.323945479999999</v>
      </c>
      <c r="N164" s="78">
        <f t="shared" si="129"/>
        <v>122.805768</v>
      </c>
      <c r="O164" s="78">
        <f t="shared" si="129"/>
        <v>73.141681820000002</v>
      </c>
      <c r="P164" s="78">
        <f t="shared" si="129"/>
        <v>925.61944397999991</v>
      </c>
      <c r="Q164" s="78">
        <f>SUM(Q165:Q176)</f>
        <v>2381.94236727</v>
      </c>
      <c r="R164" s="81">
        <f t="shared" si="129"/>
        <v>286.73792186000003</v>
      </c>
      <c r="S164" s="78">
        <f>SUM(S165:S176)</f>
        <v>12371.743631989997</v>
      </c>
      <c r="T164" s="157">
        <f>SUM(T165:T176)</f>
        <v>11697.703275731641</v>
      </c>
      <c r="U164" s="49">
        <f>S164-H164-G164-L164</f>
        <v>1970.3637452899973</v>
      </c>
      <c r="V164" s="128">
        <f>+T164-S164</f>
        <v>-674.04035625835604</v>
      </c>
      <c r="W164" s="117"/>
      <c r="X164" s="96"/>
      <c r="Z164" s="182">
        <f t="shared" si="116"/>
        <v>49.414602763124435</v>
      </c>
      <c r="AA164">
        <v>1334.7951889999999</v>
      </c>
      <c r="AB164" s="101">
        <f>+T164-AA164</f>
        <v>10362.908086731641</v>
      </c>
      <c r="AC164" s="104">
        <v>13</v>
      </c>
      <c r="AD164" s="49">
        <f>+AI210+AI211*AC164</f>
        <v>0</v>
      </c>
      <c r="AE164" s="49"/>
      <c r="AG164" s="102"/>
      <c r="AR164" s="43"/>
      <c r="AS164" s="43"/>
      <c r="AT164" s="43"/>
      <c r="AU164" s="43"/>
      <c r="AV164" s="43"/>
      <c r="AW164" s="43"/>
      <c r="AX164" s="43"/>
      <c r="AY164" s="43"/>
    </row>
    <row r="165" spans="1:51" ht="20.25" hidden="1" customHeight="1" x14ac:dyDescent="0.35">
      <c r="A165" s="68" t="s">
        <v>23</v>
      </c>
      <c r="B165" s="49">
        <v>38.000989539999999</v>
      </c>
      <c r="C165" s="49">
        <v>76.344687770000007</v>
      </c>
      <c r="D165" s="49">
        <v>115.05581880999999</v>
      </c>
      <c r="E165" s="49">
        <v>158.98668781000001</v>
      </c>
      <c r="F165" s="49">
        <v>33.078985540000076</v>
      </c>
      <c r="G165" s="49">
        <f>SUM(B165:F165)</f>
        <v>421.46716947000004</v>
      </c>
      <c r="H165" s="48">
        <v>495.48883523000006</v>
      </c>
      <c r="I165" s="49">
        <v>54.732641530000002</v>
      </c>
      <c r="J165" s="49">
        <v>0.36498180000000008</v>
      </c>
      <c r="K165" s="50">
        <f>+SUM(H165:J165)</f>
        <v>550.5864585600001</v>
      </c>
      <c r="L165" s="49">
        <v>54.929159709999993</v>
      </c>
      <c r="M165" s="49">
        <v>3.1780084999999998</v>
      </c>
      <c r="N165" s="49">
        <v>8.1204307700000005</v>
      </c>
      <c r="O165" s="49">
        <v>0.65806376999999994</v>
      </c>
      <c r="P165" s="49">
        <v>74.723037379999965</v>
      </c>
      <c r="Q165" s="49">
        <f>SUM(L165:P165)</f>
        <v>141.60870012999996</v>
      </c>
      <c r="R165" s="51">
        <v>24.077766869999994</v>
      </c>
      <c r="S165" s="49">
        <f>+R165+Q165+K165+G165</f>
        <v>1137.7400950300002</v>
      </c>
      <c r="T165" s="156">
        <v>1064.3558944902891</v>
      </c>
      <c r="U165" s="49"/>
      <c r="V165" s="128">
        <f>+T165-S165</f>
        <v>-73.384200539711173</v>
      </c>
      <c r="W165" s="31" t="s">
        <v>47</v>
      </c>
      <c r="X165" s="96">
        <f>SUM(T165:T167)</f>
        <v>2872.1111045362686</v>
      </c>
      <c r="Y165" s="91"/>
      <c r="Z165" s="182">
        <f t="shared" si="116"/>
        <v>43.550265776379696</v>
      </c>
      <c r="AC165" s="49" t="s">
        <v>69</v>
      </c>
      <c r="AE165" s="49"/>
      <c r="AF165" s="43"/>
      <c r="AG165" s="102"/>
      <c r="AR165" s="43"/>
      <c r="AS165" s="43"/>
      <c r="AT165" s="43"/>
      <c r="AU165" s="43"/>
      <c r="AV165" s="43"/>
      <c r="AW165" s="43"/>
      <c r="AX165" s="43"/>
      <c r="AY165" s="43"/>
    </row>
    <row r="166" spans="1:51" ht="20.25" hidden="1" customHeight="1" x14ac:dyDescent="0.35">
      <c r="A166" s="68" t="s">
        <v>24</v>
      </c>
      <c r="B166" s="49">
        <v>33.407171290000008</v>
      </c>
      <c r="C166" s="49">
        <v>57.957436860000001</v>
      </c>
      <c r="D166" s="49">
        <v>88.969429559999995</v>
      </c>
      <c r="E166" s="49">
        <v>12.55760529</v>
      </c>
      <c r="F166" s="49">
        <v>20.65853211999999</v>
      </c>
      <c r="G166" s="49">
        <f t="shared" ref="G166:G174" si="130">SUM(B166:F166)</f>
        <v>213.55017512000001</v>
      </c>
      <c r="H166" s="48">
        <v>485.52757822000007</v>
      </c>
      <c r="I166" s="49">
        <v>0</v>
      </c>
      <c r="J166" s="49">
        <v>7.8752100000000019E-2</v>
      </c>
      <c r="K166" s="50">
        <f t="shared" ref="K166:K176" si="131">+SUM(H166:J166)</f>
        <v>485.60633032000004</v>
      </c>
      <c r="L166" s="49">
        <v>44.637573400000001</v>
      </c>
      <c r="M166" s="49">
        <v>3.68195776</v>
      </c>
      <c r="N166" s="49">
        <v>5.6499712099999995</v>
      </c>
      <c r="O166" s="49">
        <v>1.89001248</v>
      </c>
      <c r="P166" s="49">
        <v>62.942133899999995</v>
      </c>
      <c r="Q166" s="49">
        <f t="shared" ref="Q166:Q176" si="132">SUM(L166:P166)</f>
        <v>118.80164875</v>
      </c>
      <c r="R166" s="51">
        <v>25.970988359999996</v>
      </c>
      <c r="S166" s="49">
        <f t="shared" ref="S166:S171" si="133">+R166+Q166+K166+G166</f>
        <v>843.92914255000005</v>
      </c>
      <c r="T166" s="156">
        <v>791.55881995799803</v>
      </c>
      <c r="U166" s="49"/>
      <c r="V166" s="128">
        <f t="shared" ref="V166:V179" si="134">+T166-S166</f>
        <v>-52.370322592002026</v>
      </c>
      <c r="W166" s="31" t="s">
        <v>48</v>
      </c>
      <c r="X166" s="96">
        <f>SUM(T168:T170)</f>
        <v>2905.4979792640397</v>
      </c>
      <c r="Y166" s="91"/>
      <c r="Z166" s="182">
        <f t="shared" si="116"/>
        <v>57.531794287010783</v>
      </c>
      <c r="AD166" s="107"/>
      <c r="AE166" s="107"/>
      <c r="AF166" s="43"/>
      <c r="AG166" s="43"/>
      <c r="AR166" s="43"/>
      <c r="AS166" s="43"/>
      <c r="AT166" s="43"/>
      <c r="AU166" s="43"/>
      <c r="AV166" s="43"/>
      <c r="AW166" s="43"/>
      <c r="AX166" s="43"/>
      <c r="AY166" s="43"/>
    </row>
    <row r="167" spans="1:51" ht="20.25" hidden="1" customHeight="1" x14ac:dyDescent="0.35">
      <c r="A167" s="68" t="s">
        <v>25</v>
      </c>
      <c r="B167" s="49">
        <v>28.632863740000001</v>
      </c>
      <c r="C167" s="49">
        <v>64.934629539999989</v>
      </c>
      <c r="D167" s="49">
        <v>77.765522590000003</v>
      </c>
      <c r="E167" s="49">
        <v>51.749730570000004</v>
      </c>
      <c r="F167" s="49">
        <v>27.032618850000006</v>
      </c>
      <c r="G167" s="49">
        <f t="shared" si="130"/>
        <v>250.11536529</v>
      </c>
      <c r="H167" s="48">
        <v>540.43705578000004</v>
      </c>
      <c r="I167" s="49">
        <v>59.545058769999997</v>
      </c>
      <c r="J167" s="49">
        <v>1.6147400000000003E-2</v>
      </c>
      <c r="K167" s="50">
        <f t="shared" si="131"/>
        <v>599.99826195000003</v>
      </c>
      <c r="L167" s="49">
        <v>101.09143825</v>
      </c>
      <c r="M167" s="49">
        <v>4.4947693200000005</v>
      </c>
      <c r="N167" s="49">
        <v>6.4055256799999993</v>
      </c>
      <c r="O167" s="49">
        <v>10.347697400000001</v>
      </c>
      <c r="P167" s="49">
        <v>63.406647369999945</v>
      </c>
      <c r="Q167" s="49">
        <f t="shared" si="132"/>
        <v>185.74607801999994</v>
      </c>
      <c r="R167" s="51">
        <v>33.442565579999993</v>
      </c>
      <c r="S167" s="49">
        <f t="shared" si="133"/>
        <v>1069.3022708399999</v>
      </c>
      <c r="T167" s="156">
        <v>1016.1963900879812</v>
      </c>
      <c r="U167" s="49">
        <f>T167+T166+T165</f>
        <v>2872.1111045362686</v>
      </c>
      <c r="V167" s="128">
        <f t="shared" si="134"/>
        <v>-53.10588075201872</v>
      </c>
      <c r="W167" s="31" t="s">
        <v>49</v>
      </c>
      <c r="X167" s="96">
        <f>SUM(T171:T173)</f>
        <v>2982.8253575778008</v>
      </c>
      <c r="Y167" s="91"/>
      <c r="Z167" s="182">
        <f t="shared" si="116"/>
        <v>50.541093058322495</v>
      </c>
      <c r="AD167" s="107"/>
      <c r="AE167" s="107"/>
      <c r="AF167" s="43"/>
      <c r="AG167" s="103"/>
      <c r="AR167" s="43"/>
      <c r="AS167" s="43"/>
      <c r="AT167" s="43"/>
      <c r="AU167" s="43"/>
      <c r="AV167" s="43"/>
      <c r="AW167" s="43"/>
      <c r="AX167" s="43"/>
      <c r="AY167" s="43"/>
    </row>
    <row r="168" spans="1:51" ht="20.25" hidden="1" customHeight="1" x14ac:dyDescent="0.35">
      <c r="A168" s="68" t="s">
        <v>26</v>
      </c>
      <c r="B168" s="49">
        <v>24.03405321</v>
      </c>
      <c r="C168" s="49">
        <v>67.291886120000001</v>
      </c>
      <c r="D168" s="49">
        <v>105.45047371</v>
      </c>
      <c r="E168" s="49">
        <v>67.168156420000003</v>
      </c>
      <c r="F168" s="49">
        <v>30.833251359999963</v>
      </c>
      <c r="G168" s="49">
        <f t="shared" si="130"/>
        <v>294.77782081999999</v>
      </c>
      <c r="H168" s="48">
        <v>469.61287332999996</v>
      </c>
      <c r="I168" s="49">
        <v>49.540031989999996</v>
      </c>
      <c r="J168" s="49">
        <v>0.14519681000000001</v>
      </c>
      <c r="K168" s="50">
        <f t="shared" si="131"/>
        <v>519.29810212999996</v>
      </c>
      <c r="L168" s="49">
        <v>96.796654970000006</v>
      </c>
      <c r="M168" s="49">
        <v>4.4538090900000009</v>
      </c>
      <c r="N168" s="49">
        <v>9.0211139599999992</v>
      </c>
      <c r="O168" s="49">
        <v>6.6168385599999997</v>
      </c>
      <c r="P168" s="49">
        <v>67.840674149999984</v>
      </c>
      <c r="Q168" s="49">
        <f t="shared" si="132"/>
        <v>184.72909073</v>
      </c>
      <c r="R168" s="51">
        <v>21.666448289999998</v>
      </c>
      <c r="S168" s="49">
        <f t="shared" si="133"/>
        <v>1020.47146197</v>
      </c>
      <c r="T168" s="156">
        <v>957.01864253272993</v>
      </c>
      <c r="U168" s="49"/>
      <c r="V168" s="128">
        <f t="shared" si="134"/>
        <v>-63.452819437270023</v>
      </c>
      <c r="W168" s="31" t="s">
        <v>50</v>
      </c>
      <c r="X168" s="96">
        <f>SUM(T174:T176)</f>
        <v>2937.2688343535319</v>
      </c>
      <c r="Y168" s="91"/>
      <c r="Z168" s="182">
        <f t="shared" si="116"/>
        <v>46.01920688927661</v>
      </c>
      <c r="AD168" s="107"/>
      <c r="AE168" s="107"/>
      <c r="AF168" s="43"/>
      <c r="AG168" s="102"/>
      <c r="AR168" s="43"/>
      <c r="AS168" s="43"/>
      <c r="AT168" s="43"/>
      <c r="AU168" s="43"/>
      <c r="AV168" s="43"/>
      <c r="AW168" s="43"/>
      <c r="AX168" s="43"/>
      <c r="AY168" s="43"/>
    </row>
    <row r="169" spans="1:51" ht="21.75" hidden="1" customHeight="1" x14ac:dyDescent="0.35">
      <c r="A169" s="68" t="s">
        <v>39</v>
      </c>
      <c r="B169" s="49">
        <v>27.87217824</v>
      </c>
      <c r="C169" s="49">
        <v>59.556441699999993</v>
      </c>
      <c r="D169" s="49">
        <v>83.195437100000007</v>
      </c>
      <c r="E169" s="49">
        <v>44.972606310000003</v>
      </c>
      <c r="F169" s="49">
        <v>30.73927033999999</v>
      </c>
      <c r="G169" s="49">
        <f t="shared" si="130"/>
        <v>246.33593368999999</v>
      </c>
      <c r="H169" s="48">
        <v>522.39109267000003</v>
      </c>
      <c r="I169" s="49">
        <v>32.030693020000001</v>
      </c>
      <c r="J169" s="49">
        <v>9.959896E-2</v>
      </c>
      <c r="K169" s="50">
        <f t="shared" si="131"/>
        <v>554.52138464999996</v>
      </c>
      <c r="L169" s="49">
        <v>130.55462898000002</v>
      </c>
      <c r="M169" s="49">
        <v>2.8663626</v>
      </c>
      <c r="N169" s="49">
        <v>9.2989932599999996</v>
      </c>
      <c r="O169" s="49">
        <v>8.1110771100000019</v>
      </c>
      <c r="P169" s="49">
        <v>54.421514240000022</v>
      </c>
      <c r="Q169" s="49">
        <f t="shared" si="132"/>
        <v>205.25257619000004</v>
      </c>
      <c r="R169" s="51">
        <v>23.120096099999998</v>
      </c>
      <c r="S169" s="49">
        <f t="shared" si="133"/>
        <v>1029.22999063</v>
      </c>
      <c r="T169" s="156">
        <v>975.36871159247301</v>
      </c>
      <c r="U169" s="49"/>
      <c r="V169" s="128">
        <f t="shared" si="134"/>
        <v>-53.86127903752697</v>
      </c>
      <c r="X169" s="96"/>
      <c r="Y169" s="91"/>
      <c r="Z169" s="182">
        <f t="shared" si="116"/>
        <v>50.755525725619421</v>
      </c>
      <c r="AD169" s="107"/>
      <c r="AE169" s="107"/>
      <c r="AF169" s="43"/>
      <c r="AG169" s="102"/>
      <c r="AR169" s="43"/>
      <c r="AS169" s="43"/>
      <c r="AT169" s="43"/>
      <c r="AU169" s="43"/>
      <c r="AV169" s="43"/>
      <c r="AW169" s="43"/>
      <c r="AX169" s="43"/>
      <c r="AY169" s="43"/>
    </row>
    <row r="170" spans="1:51" ht="21.75" hidden="1" customHeight="1" x14ac:dyDescent="0.35">
      <c r="A170" s="68" t="s">
        <v>44</v>
      </c>
      <c r="B170" s="49">
        <v>24.778622640000002</v>
      </c>
      <c r="C170" s="49">
        <v>51.414336110000001</v>
      </c>
      <c r="D170" s="49">
        <v>74.134042260000015</v>
      </c>
      <c r="E170" s="49">
        <v>34.534231990000002</v>
      </c>
      <c r="F170" s="49">
        <v>28.593268480000006</v>
      </c>
      <c r="G170" s="49">
        <f t="shared" si="130"/>
        <v>213.45450148</v>
      </c>
      <c r="H170" s="48">
        <v>525.45665229000008</v>
      </c>
      <c r="I170" s="49">
        <v>46.841132640000005</v>
      </c>
      <c r="J170" s="49">
        <v>0.16679026000000002</v>
      </c>
      <c r="K170" s="50">
        <f t="shared" si="131"/>
        <v>572.46457519000001</v>
      </c>
      <c r="L170" s="49">
        <v>130.63833319</v>
      </c>
      <c r="M170" s="49">
        <v>4.2160078000000007</v>
      </c>
      <c r="N170" s="49">
        <v>12.434770140000001</v>
      </c>
      <c r="O170" s="49">
        <v>9.1217121100000025</v>
      </c>
      <c r="P170" s="49">
        <v>60.489718639999978</v>
      </c>
      <c r="Q170" s="49">
        <f t="shared" si="132"/>
        <v>216.90054187999999</v>
      </c>
      <c r="R170" s="51">
        <v>17.920646249999997</v>
      </c>
      <c r="S170" s="49">
        <f t="shared" si="133"/>
        <v>1020.7402648</v>
      </c>
      <c r="T170" s="156">
        <v>973.11062513883701</v>
      </c>
      <c r="U170" s="49">
        <f t="shared" si="128"/>
        <v>2905.4979792640397</v>
      </c>
      <c r="V170" s="128">
        <f t="shared" si="134"/>
        <v>-47.629639661162969</v>
      </c>
      <c r="W170" s="104"/>
      <c r="X170" s="96"/>
      <c r="Y170" s="91"/>
      <c r="Z170" s="182">
        <f t="shared" si="116"/>
        <v>51.477997920749807</v>
      </c>
      <c r="AD170" s="107"/>
      <c r="AE170" s="107"/>
      <c r="AF170" s="43"/>
      <c r="AG170" s="43"/>
      <c r="AR170" s="43"/>
      <c r="AS170" s="43"/>
      <c r="AT170" s="43"/>
      <c r="AU170" s="43"/>
      <c r="AV170" s="43"/>
      <c r="AW170" s="43"/>
      <c r="AX170" s="43"/>
      <c r="AY170" s="43"/>
    </row>
    <row r="171" spans="1:51" ht="21.75" hidden="1" customHeight="1" x14ac:dyDescent="0.35">
      <c r="A171" s="68" t="s">
        <v>29</v>
      </c>
      <c r="B171" s="49">
        <v>26.29095796</v>
      </c>
      <c r="C171" s="49">
        <v>65.087787570000003</v>
      </c>
      <c r="D171" s="49">
        <v>81.408936629999999</v>
      </c>
      <c r="E171" s="49">
        <v>34.676724110000002</v>
      </c>
      <c r="F171" s="49">
        <v>39.394583740000002</v>
      </c>
      <c r="G171" s="49">
        <f t="shared" si="130"/>
        <v>246.85899001000001</v>
      </c>
      <c r="H171" s="48">
        <v>530.12470764999989</v>
      </c>
      <c r="I171" s="49">
        <v>45.865084929999995</v>
      </c>
      <c r="J171" s="49">
        <v>0</v>
      </c>
      <c r="K171" s="50">
        <f t="shared" si="131"/>
        <v>575.98979257999986</v>
      </c>
      <c r="L171" s="49">
        <v>116.78091304</v>
      </c>
      <c r="M171" s="49">
        <v>3.8412009300000007</v>
      </c>
      <c r="N171" s="49">
        <v>12.568905780000001</v>
      </c>
      <c r="O171" s="49">
        <v>6.7073282999999995</v>
      </c>
      <c r="P171" s="49">
        <v>71.598097789999969</v>
      </c>
      <c r="Q171" s="49">
        <f t="shared" si="132"/>
        <v>211.49644583999998</v>
      </c>
      <c r="R171" s="51">
        <v>22.600887020000002</v>
      </c>
      <c r="S171" s="49">
        <f t="shared" si="133"/>
        <v>1056.94611545</v>
      </c>
      <c r="T171" s="156">
        <v>999.794038614393</v>
      </c>
      <c r="U171" s="49"/>
      <c r="V171" s="128">
        <f t="shared" si="134"/>
        <v>-57.152076835606977</v>
      </c>
      <c r="X171" s="96"/>
      <c r="Y171" s="91"/>
      <c r="Z171" s="182">
        <f t="shared" si="116"/>
        <v>50.156266237309246</v>
      </c>
      <c r="AD171" s="107"/>
      <c r="AE171" s="107"/>
      <c r="AF171" s="43"/>
      <c r="AG171" s="43"/>
      <c r="AR171" s="43"/>
      <c r="AS171" s="43"/>
      <c r="AT171" s="43"/>
      <c r="AU171" s="43"/>
      <c r="AV171" s="43"/>
      <c r="AW171" s="43"/>
      <c r="AX171" s="43"/>
      <c r="AY171" s="43"/>
    </row>
    <row r="172" spans="1:51" ht="21.75" hidden="1" customHeight="1" x14ac:dyDescent="0.35">
      <c r="A172" s="68" t="s">
        <v>45</v>
      </c>
      <c r="B172" s="49">
        <v>30.337364110000003</v>
      </c>
      <c r="C172" s="49">
        <v>62.056482339999995</v>
      </c>
      <c r="D172" s="49">
        <v>65.014786670000007</v>
      </c>
      <c r="E172" s="49">
        <v>27.527909910000002</v>
      </c>
      <c r="F172" s="49">
        <v>27.96669424000001</v>
      </c>
      <c r="G172" s="49">
        <f t="shared" si="130"/>
        <v>212.90323727000001</v>
      </c>
      <c r="H172" s="48">
        <v>529.4427522200001</v>
      </c>
      <c r="I172" s="49">
        <v>56.314614350000006</v>
      </c>
      <c r="J172" s="49">
        <v>0</v>
      </c>
      <c r="K172" s="50">
        <f t="shared" si="131"/>
        <v>585.75736657000016</v>
      </c>
      <c r="L172" s="49">
        <v>130.03416104000001</v>
      </c>
      <c r="M172" s="49">
        <v>3.2521387499999994</v>
      </c>
      <c r="N172" s="49">
        <v>13.56768522</v>
      </c>
      <c r="O172" s="49">
        <v>12.591423259999999</v>
      </c>
      <c r="P172" s="49">
        <v>83.811358960000007</v>
      </c>
      <c r="Q172" s="49">
        <f t="shared" si="132"/>
        <v>243.25676723000001</v>
      </c>
      <c r="R172" s="51">
        <v>28.034923970000001</v>
      </c>
      <c r="S172" s="49">
        <f t="shared" ref="S172:S176" si="135">+R172+Q172+K172+G172</f>
        <v>1069.9522950400003</v>
      </c>
      <c r="T172" s="156">
        <v>1020.4164696751171</v>
      </c>
      <c r="U172" s="49"/>
      <c r="V172" s="128">
        <f t="shared" si="134"/>
        <v>-49.535825364883181</v>
      </c>
      <c r="X172" s="96"/>
      <c r="Y172" s="91"/>
      <c r="Z172" s="182">
        <f t="shared" si="116"/>
        <v>49.482837195111287</v>
      </c>
      <c r="AD172" s="107"/>
      <c r="AE172" s="107"/>
      <c r="AF172" s="43"/>
      <c r="AG172" s="43"/>
      <c r="AR172" s="43"/>
      <c r="AS172" s="43"/>
      <c r="AT172" s="43"/>
      <c r="AU172" s="43"/>
      <c r="AV172" s="43"/>
      <c r="AW172" s="43"/>
      <c r="AX172" s="43"/>
      <c r="AY172" s="43"/>
    </row>
    <row r="173" spans="1:51" ht="21.75" hidden="1" customHeight="1" x14ac:dyDescent="0.35">
      <c r="A173" s="68" t="s">
        <v>31</v>
      </c>
      <c r="B173" s="49">
        <v>27.047365899999999</v>
      </c>
      <c r="C173" s="49">
        <v>63.483878470000001</v>
      </c>
      <c r="D173" s="49">
        <v>80.39438577</v>
      </c>
      <c r="E173" s="49">
        <v>22.819384250000002</v>
      </c>
      <c r="F173" s="49">
        <v>33.752982429999975</v>
      </c>
      <c r="G173" s="49">
        <f t="shared" si="130"/>
        <v>227.49799682</v>
      </c>
      <c r="H173" s="48">
        <v>502.50717232</v>
      </c>
      <c r="I173" s="49">
        <v>36.980962530000006</v>
      </c>
      <c r="J173" s="49">
        <v>0.10306986999999999</v>
      </c>
      <c r="K173" s="50">
        <f t="shared" si="131"/>
        <v>539.59120472000006</v>
      </c>
      <c r="L173" s="49">
        <v>113.01841667000001</v>
      </c>
      <c r="M173" s="49">
        <v>3.9386292900000006</v>
      </c>
      <c r="N173" s="49">
        <v>12.16052399</v>
      </c>
      <c r="O173" s="49">
        <v>2.4543050199999996</v>
      </c>
      <c r="P173" s="49">
        <v>99.216874740000037</v>
      </c>
      <c r="Q173" s="49">
        <f t="shared" si="132"/>
        <v>230.78874971000002</v>
      </c>
      <c r="R173" s="51">
        <v>20.260512160000001</v>
      </c>
      <c r="S173" s="49">
        <f t="shared" si="135"/>
        <v>1018.1384634100001</v>
      </c>
      <c r="T173" s="156">
        <v>962.614849288291</v>
      </c>
      <c r="U173" s="49">
        <f t="shared" si="128"/>
        <v>2982.8253575778008</v>
      </c>
      <c r="V173" s="128">
        <f t="shared" si="134"/>
        <v>-55.523614121709102</v>
      </c>
      <c r="X173" s="96"/>
      <c r="Y173" s="91"/>
      <c r="Z173" s="182">
        <f t="shared" si="116"/>
        <v>49.355484580847474</v>
      </c>
      <c r="AD173" s="107"/>
      <c r="AE173" s="107"/>
      <c r="AF173" s="43"/>
      <c r="AG173" s="43"/>
      <c r="AR173" s="43"/>
      <c r="AS173" s="43"/>
      <c r="AT173" s="43"/>
      <c r="AU173" s="43"/>
      <c r="AV173" s="43"/>
      <c r="AW173" s="43"/>
      <c r="AX173" s="43"/>
      <c r="AY173" s="43"/>
    </row>
    <row r="174" spans="1:51" ht="21.75" hidden="1" customHeight="1" x14ac:dyDescent="0.35">
      <c r="A174" s="68" t="s">
        <v>32</v>
      </c>
      <c r="B174" s="49">
        <v>37.699955920000001</v>
      </c>
      <c r="C174" s="49">
        <v>67.423072319999989</v>
      </c>
      <c r="D174" s="49">
        <v>90.638082490000002</v>
      </c>
      <c r="E174" s="49">
        <v>40.120492420000005</v>
      </c>
      <c r="F174" s="49">
        <v>32.52602631000002</v>
      </c>
      <c r="G174" s="49">
        <f t="shared" si="130"/>
        <v>268.40762946000001</v>
      </c>
      <c r="H174" s="48">
        <v>531.05759324999997</v>
      </c>
      <c r="I174" s="49">
        <v>58.095415000000003</v>
      </c>
      <c r="J174" s="49">
        <v>6.4908029999999992E-2</v>
      </c>
      <c r="K174" s="50">
        <f t="shared" si="131"/>
        <v>589.21791627999994</v>
      </c>
      <c r="L174" s="49">
        <v>113.21053398000001</v>
      </c>
      <c r="M174" s="49">
        <v>5.0540144100000015</v>
      </c>
      <c r="N174" s="49">
        <v>12.297564190000001</v>
      </c>
      <c r="O174" s="49">
        <v>9.2079531200000009</v>
      </c>
      <c r="P174" s="49">
        <v>104.79701744999997</v>
      </c>
      <c r="Q174" s="49">
        <f t="shared" si="132"/>
        <v>244.56708315</v>
      </c>
      <c r="R174" s="51">
        <v>32.31121207999999</v>
      </c>
      <c r="S174" s="49">
        <f t="shared" si="135"/>
        <v>1134.5038409699998</v>
      </c>
      <c r="T174" s="156">
        <v>1074.146197244208</v>
      </c>
      <c r="U174" s="49"/>
      <c r="V174" s="128">
        <f t="shared" si="134"/>
        <v>-60.357643725791831</v>
      </c>
      <c r="X174" s="96"/>
      <c r="Y174" s="91"/>
      <c r="Z174" s="182">
        <f t="shared" si="116"/>
        <v>46.80967785846773</v>
      </c>
      <c r="AD174" s="107"/>
      <c r="AE174" s="107"/>
      <c r="AF174" s="43"/>
      <c r="AG174" s="43"/>
      <c r="AR174" s="43"/>
      <c r="AS174" s="43"/>
      <c r="AT174" s="43"/>
      <c r="AU174" s="43"/>
      <c r="AV174" s="43"/>
      <c r="AW174" s="43"/>
      <c r="AX174" s="43"/>
      <c r="AY174" s="43"/>
    </row>
    <row r="175" spans="1:51" ht="21.75" hidden="1" customHeight="1" x14ac:dyDescent="0.35">
      <c r="A175" s="68" t="s">
        <v>67</v>
      </c>
      <c r="B175" s="49">
        <v>30.931763010000004</v>
      </c>
      <c r="C175" s="49">
        <v>62.454575120000008</v>
      </c>
      <c r="D175" s="49">
        <v>74.094230830000001</v>
      </c>
      <c r="E175" s="49">
        <v>30.046504300000006</v>
      </c>
      <c r="F175" s="49">
        <v>31.187985509999976</v>
      </c>
      <c r="G175" s="49">
        <f>SUM(B175:F175)</f>
        <v>228.71505877000001</v>
      </c>
      <c r="H175" s="48">
        <v>474.64979603</v>
      </c>
      <c r="I175" s="49">
        <v>50.978092719999999</v>
      </c>
      <c r="J175" s="49">
        <v>0.12729051</v>
      </c>
      <c r="K175" s="50">
        <f t="shared" si="131"/>
        <v>525.75517925999998</v>
      </c>
      <c r="L175" s="49">
        <v>99.591754979999976</v>
      </c>
      <c r="M175" s="49">
        <v>4.9652718599999996</v>
      </c>
      <c r="N175" s="49">
        <v>11.4835388</v>
      </c>
      <c r="O175" s="49">
        <v>3.0095755599999996</v>
      </c>
      <c r="P175" s="49">
        <v>85.982628980000044</v>
      </c>
      <c r="Q175" s="49">
        <f t="shared" si="132"/>
        <v>205.03277018000003</v>
      </c>
      <c r="R175" s="51">
        <v>19.004628570000001</v>
      </c>
      <c r="S175" s="49">
        <f t="shared" si="135"/>
        <v>978.50763677999998</v>
      </c>
      <c r="T175" s="156">
        <v>926.84686203539991</v>
      </c>
      <c r="U175" s="49"/>
      <c r="V175" s="128">
        <f t="shared" si="134"/>
        <v>-51.660774744600076</v>
      </c>
      <c r="X175" s="96"/>
      <c r="Y175" s="91"/>
      <c r="Z175" s="182">
        <f t="shared" si="116"/>
        <v>48.507520860229789</v>
      </c>
      <c r="AD175" s="107"/>
      <c r="AE175" s="107"/>
      <c r="AF175" s="43"/>
      <c r="AG175" s="43"/>
      <c r="AR175" s="43"/>
      <c r="AS175" s="43"/>
      <c r="AT175" s="43"/>
      <c r="AU175" s="43"/>
      <c r="AV175" s="43"/>
      <c r="AW175" s="43"/>
      <c r="AX175" s="43"/>
      <c r="AY175" s="43"/>
    </row>
    <row r="176" spans="1:51" ht="21.75" customHeight="1" x14ac:dyDescent="0.35">
      <c r="A176" s="86" t="s">
        <v>117</v>
      </c>
      <c r="B176" s="49">
        <v>41.114652210000003</v>
      </c>
      <c r="C176" s="49">
        <v>64.369520860000009</v>
      </c>
      <c r="D176" s="49">
        <v>71.559312509999998</v>
      </c>
      <c r="E176" s="49">
        <v>36.208665030000006</v>
      </c>
      <c r="F176" s="49">
        <v>39.544359280000037</v>
      </c>
      <c r="G176" s="49">
        <f>SUM(B176:F176)</f>
        <v>252.79650989000004</v>
      </c>
      <c r="H176" s="48">
        <v>506.75186163000001</v>
      </c>
      <c r="I176" s="49">
        <v>20.55984144</v>
      </c>
      <c r="J176" s="49">
        <v>8.4679489999999996E-2</v>
      </c>
      <c r="K176" s="50">
        <f t="shared" si="131"/>
        <v>527.39638256000001</v>
      </c>
      <c r="L176" s="49">
        <v>79.767959779999984</v>
      </c>
      <c r="M176" s="49">
        <v>5.3817751699999992</v>
      </c>
      <c r="N176" s="49">
        <v>9.7967449999999996</v>
      </c>
      <c r="O176" s="49">
        <v>2.4256951300000003</v>
      </c>
      <c r="P176" s="49">
        <v>96.389740380000063</v>
      </c>
      <c r="Q176" s="49">
        <f t="shared" si="132"/>
        <v>193.76191546000004</v>
      </c>
      <c r="R176" s="51">
        <v>18.327246610000003</v>
      </c>
      <c r="S176" s="49">
        <f t="shared" si="135"/>
        <v>992.28205452000009</v>
      </c>
      <c r="T176" s="156">
        <v>936.27577507392391</v>
      </c>
      <c r="U176" s="49">
        <f>T176+T175+T174</f>
        <v>2937.2688343535319</v>
      </c>
      <c r="V176" s="128">
        <f t="shared" si="134"/>
        <v>-56.006279446076178</v>
      </c>
      <c r="X176" s="96"/>
      <c r="Y176" s="91"/>
      <c r="Z176" s="182">
        <f t="shared" si="116"/>
        <v>51.069336517945274</v>
      </c>
      <c r="AD176" s="107"/>
      <c r="AE176" s="107"/>
      <c r="AF176" s="43"/>
      <c r="AG176" s="43"/>
      <c r="AR176" s="43"/>
      <c r="AS176" s="43"/>
      <c r="AT176" s="43"/>
      <c r="AU176" s="43"/>
      <c r="AV176" s="43"/>
      <c r="AW176" s="43"/>
      <c r="AX176" s="43"/>
      <c r="AY176" s="43"/>
    </row>
    <row r="177" spans="1:51" ht="36" customHeight="1" x14ac:dyDescent="0.35">
      <c r="A177" s="77" t="s">
        <v>75</v>
      </c>
      <c r="B177" s="78">
        <f t="shared" ref="B177:P177" si="136">SUM(B178:B189)</f>
        <v>365.49448917999996</v>
      </c>
      <c r="C177" s="78">
        <f t="shared" si="136"/>
        <v>984.4846166599998</v>
      </c>
      <c r="D177" s="78">
        <f t="shared" si="136"/>
        <v>832.83947757999988</v>
      </c>
      <c r="E177" s="78">
        <f t="shared" si="136"/>
        <v>1384.2543387499998</v>
      </c>
      <c r="F177" s="78">
        <f t="shared" si="136"/>
        <v>361.75929254999994</v>
      </c>
      <c r="G177" s="78">
        <f>SUM(G178:G189)</f>
        <v>3928.8322147199997</v>
      </c>
      <c r="H177" s="79">
        <f t="shared" si="136"/>
        <v>6012.2387144199993</v>
      </c>
      <c r="I177" s="78">
        <f t="shared" si="136"/>
        <v>584.12939060999997</v>
      </c>
      <c r="J177" s="78">
        <f t="shared" si="136"/>
        <v>0.55388302</v>
      </c>
      <c r="K177" s="80">
        <f t="shared" si="136"/>
        <v>6596.9219880500013</v>
      </c>
      <c r="L177" s="78">
        <f t="shared" si="136"/>
        <v>1083.1837963799999</v>
      </c>
      <c r="M177" s="78">
        <f t="shared" si="136"/>
        <v>51.509219390000005</v>
      </c>
      <c r="N177" s="78">
        <f t="shared" si="136"/>
        <v>171.29345806000001</v>
      </c>
      <c r="O177" s="78">
        <f t="shared" si="136"/>
        <v>41.238615480000007</v>
      </c>
      <c r="P177" s="78">
        <f t="shared" si="136"/>
        <v>858.13833667000006</v>
      </c>
      <c r="Q177" s="78">
        <f>SUM(Q178:Q189)</f>
        <v>2205.3634259799996</v>
      </c>
      <c r="R177" s="81">
        <f>SUM(R178:R189)</f>
        <v>296.78804961999992</v>
      </c>
      <c r="S177" s="78">
        <f>SUM(S178:S189)</f>
        <v>13027.905678369998</v>
      </c>
      <c r="T177" s="157">
        <f>SUM(T178:T189)</f>
        <v>12300.838588860526</v>
      </c>
      <c r="U177" s="49">
        <f>S177-G177-H177-L177</f>
        <v>2003.6509528499992</v>
      </c>
      <c r="V177" s="128">
        <f t="shared" si="134"/>
        <v>-727.06708950947177</v>
      </c>
      <c r="X177" s="96"/>
      <c r="Y177" s="91"/>
      <c r="Z177" s="182">
        <f t="shared" si="116"/>
        <v>46.148927255452989</v>
      </c>
      <c r="AD177" s="107"/>
      <c r="AE177" s="107"/>
      <c r="AF177" s="43"/>
      <c r="AG177" s="43"/>
      <c r="AR177" s="43"/>
      <c r="AS177" s="43"/>
      <c r="AT177" s="43"/>
      <c r="AU177" s="43"/>
      <c r="AV177" s="43"/>
      <c r="AW177" s="43"/>
      <c r="AX177" s="43"/>
      <c r="AY177" s="43"/>
    </row>
    <row r="178" spans="1:51" ht="21.75" customHeight="1" x14ac:dyDescent="0.35">
      <c r="A178" s="68" t="s">
        <v>23</v>
      </c>
      <c r="B178" s="49">
        <v>31.027757080000001</v>
      </c>
      <c r="C178" s="49">
        <v>77.085531790000005</v>
      </c>
      <c r="D178" s="49">
        <v>63.639083570000004</v>
      </c>
      <c r="E178" s="49">
        <v>56.793837320000002</v>
      </c>
      <c r="F178" s="49">
        <v>30.454166379999947</v>
      </c>
      <c r="G178" s="49">
        <f>SUM(B178:F178)</f>
        <v>259.00037613999996</v>
      </c>
      <c r="H178" s="48">
        <v>541.48792960000003</v>
      </c>
      <c r="I178" s="49">
        <v>26.811314800000002</v>
      </c>
      <c r="J178" s="49">
        <v>3.8275280000000002E-2</v>
      </c>
      <c r="K178" s="50">
        <f t="shared" ref="K178:K189" si="137">SUM(H178:J178)</f>
        <v>568.33751968000001</v>
      </c>
      <c r="L178" s="49">
        <v>77.64517760999999</v>
      </c>
      <c r="M178" s="49">
        <v>4.3722525000000001</v>
      </c>
      <c r="N178" s="49">
        <v>10.439561400000001</v>
      </c>
      <c r="O178" s="49">
        <v>3.7339999999850995E-5</v>
      </c>
      <c r="P178" s="49">
        <v>74.390468770000012</v>
      </c>
      <c r="Q178" s="49">
        <f>SUM(L178:P178)</f>
        <v>166.84749762000001</v>
      </c>
      <c r="R178" s="51">
        <v>26.624223879999995</v>
      </c>
      <c r="S178" s="49">
        <f t="shared" ref="S178:S189" si="138">+R178+Q178+K178+G178</f>
        <v>1020.80961732</v>
      </c>
      <c r="T178" s="156">
        <v>963.58940584438005</v>
      </c>
      <c r="U178" s="49"/>
      <c r="V178" s="128">
        <f t="shared" si="134"/>
        <v>-57.220211475619976</v>
      </c>
      <c r="W178" s="31" t="s">
        <v>47</v>
      </c>
      <c r="X178" s="96">
        <f>SUM(T178:T180)</f>
        <v>3028.8293447162582</v>
      </c>
      <c r="Y178" s="91"/>
      <c r="Z178" s="182">
        <f t="shared" si="116"/>
        <v>53.044947893575355</v>
      </c>
      <c r="AD178" s="107"/>
      <c r="AE178" s="107"/>
      <c r="AF178" s="43"/>
      <c r="AG178" s="43"/>
      <c r="AR178" s="43"/>
      <c r="AS178" s="43"/>
      <c r="AT178" s="43"/>
      <c r="AU178" s="43"/>
      <c r="AV178" s="43"/>
      <c r="AW178" s="43"/>
      <c r="AX178" s="43"/>
      <c r="AY178" s="43"/>
    </row>
    <row r="179" spans="1:51" ht="21.75" customHeight="1" x14ac:dyDescent="0.35">
      <c r="A179" s="68" t="s">
        <v>24</v>
      </c>
      <c r="B179" s="49">
        <v>29.504759819999997</v>
      </c>
      <c r="C179" s="49">
        <v>60.667247289999992</v>
      </c>
      <c r="D179" s="49">
        <v>68.195038299999993</v>
      </c>
      <c r="E179" s="49">
        <v>145.96553277000001</v>
      </c>
      <c r="F179" s="49">
        <v>26.94611900000001</v>
      </c>
      <c r="G179" s="49">
        <f t="shared" ref="G179:G189" si="139">SUM(B179:F179)</f>
        <v>331.27869717999999</v>
      </c>
      <c r="H179" s="48">
        <v>500.63049154000004</v>
      </c>
      <c r="I179" s="49">
        <v>46.802692860000001</v>
      </c>
      <c r="J179" s="49">
        <v>5.7553569999999998E-2</v>
      </c>
      <c r="K179" s="50">
        <f t="shared" si="137"/>
        <v>547.49073797000005</v>
      </c>
      <c r="L179" s="49">
        <v>55.980250800000007</v>
      </c>
      <c r="M179" s="49">
        <v>3.9103986399999999</v>
      </c>
      <c r="N179" s="49">
        <v>6.4064252400000008</v>
      </c>
      <c r="O179" s="49">
        <v>0.37973403000000022</v>
      </c>
      <c r="P179" s="49">
        <v>66.227361649999963</v>
      </c>
      <c r="Q179" s="49">
        <f t="shared" ref="Q179:Q189" si="140">SUM(L179:P179)</f>
        <v>132.90417035999997</v>
      </c>
      <c r="R179" s="51">
        <v>17.524315489999996</v>
      </c>
      <c r="S179" s="49">
        <f t="shared" si="138"/>
        <v>1029.197921</v>
      </c>
      <c r="T179" s="156">
        <v>978.131495208204</v>
      </c>
      <c r="U179" s="49"/>
      <c r="V179" s="128">
        <f t="shared" si="134"/>
        <v>-51.06642579179595</v>
      </c>
      <c r="W179" s="31" t="s">
        <v>48</v>
      </c>
      <c r="X179" s="96">
        <f>SUM(T181:T183)</f>
        <v>3285.7112047095043</v>
      </c>
      <c r="Y179" s="91"/>
      <c r="Z179" s="182">
        <f t="shared" si="116"/>
        <v>48.642781074953227</v>
      </c>
      <c r="AD179" s="107"/>
      <c r="AE179" s="107"/>
      <c r="AF179" s="43"/>
      <c r="AG179" s="43"/>
      <c r="AR179" s="43"/>
      <c r="AS179" s="43"/>
      <c r="AT179" s="43"/>
      <c r="AU179" s="43"/>
      <c r="AV179" s="43"/>
      <c r="AW179" s="43"/>
      <c r="AX179" s="43"/>
      <c r="AY179" s="43"/>
    </row>
    <row r="180" spans="1:51" ht="21.75" customHeight="1" x14ac:dyDescent="0.35">
      <c r="A180" s="68" t="s">
        <v>25</v>
      </c>
      <c r="B180" s="49">
        <v>28.679258980000004</v>
      </c>
      <c r="C180" s="49">
        <v>81.82585693</v>
      </c>
      <c r="D180" s="49">
        <v>83.971310099999982</v>
      </c>
      <c r="E180" s="49">
        <v>162.21247474</v>
      </c>
      <c r="F180" s="49">
        <v>35.214667829999996</v>
      </c>
      <c r="G180" s="49">
        <f t="shared" si="139"/>
        <v>391.90356858000001</v>
      </c>
      <c r="H180" s="48">
        <v>524.62404624999999</v>
      </c>
      <c r="I180" s="49">
        <v>58.123251809999999</v>
      </c>
      <c r="J180" s="49">
        <v>3.835504E-2</v>
      </c>
      <c r="K180" s="50">
        <f t="shared" si="137"/>
        <v>582.7856531000001</v>
      </c>
      <c r="L180" s="49">
        <v>68.539289010000005</v>
      </c>
      <c r="M180" s="49">
        <v>4.9360420900000008</v>
      </c>
      <c r="N180" s="49">
        <v>4.7719792000000005</v>
      </c>
      <c r="O180" s="49">
        <v>3.0884174400000006</v>
      </c>
      <c r="P180" s="49">
        <v>76.688564689999993</v>
      </c>
      <c r="Q180" s="49">
        <f t="shared" si="140"/>
        <v>158.02429243</v>
      </c>
      <c r="R180" s="51">
        <v>21.182880109999996</v>
      </c>
      <c r="S180" s="49">
        <f>+R180+Q180+K180+G180</f>
        <v>1153.89639422</v>
      </c>
      <c r="T180" s="156">
        <v>1087.1084436636743</v>
      </c>
      <c r="U180" s="49">
        <f>T180+T179+T178</f>
        <v>3028.8293447162582</v>
      </c>
      <c r="V180" s="128"/>
      <c r="W180" s="31" t="s">
        <v>49</v>
      </c>
      <c r="X180" s="96">
        <f>SUM(T184:T186)</f>
        <v>3270.2826043114087</v>
      </c>
      <c r="Y180" s="91"/>
      <c r="Z180" s="182">
        <f t="shared" si="116"/>
        <v>45.465437701157768</v>
      </c>
      <c r="AD180" s="107"/>
      <c r="AE180" s="107"/>
      <c r="AF180" s="43"/>
      <c r="AG180" s="43"/>
      <c r="AR180" s="43"/>
      <c r="AS180" s="43"/>
      <c r="AT180" s="43"/>
      <c r="AU180" s="43"/>
      <c r="AV180" s="43"/>
      <c r="AW180" s="43"/>
      <c r="AX180" s="43"/>
      <c r="AY180" s="43"/>
    </row>
    <row r="181" spans="1:51" ht="21.75" customHeight="1" x14ac:dyDescent="0.35">
      <c r="A181" s="68" t="s">
        <v>26</v>
      </c>
      <c r="B181" s="49">
        <v>27.780598090000002</v>
      </c>
      <c r="C181" s="49">
        <v>73.659633000000014</v>
      </c>
      <c r="D181" s="49">
        <v>71.749921749999999</v>
      </c>
      <c r="E181" s="49">
        <v>120.26159390999999</v>
      </c>
      <c r="F181" s="49">
        <v>27.41617358000002</v>
      </c>
      <c r="G181" s="49">
        <f t="shared" si="139"/>
        <v>320.86792033</v>
      </c>
      <c r="H181" s="48">
        <v>509.74014809000005</v>
      </c>
      <c r="I181" s="49">
        <v>39.264203180000003</v>
      </c>
      <c r="J181" s="49">
        <v>7.4036880000000013E-2</v>
      </c>
      <c r="K181" s="50">
        <f t="shared" si="137"/>
        <v>549.07838815000002</v>
      </c>
      <c r="L181" s="49">
        <v>76.895467539999999</v>
      </c>
      <c r="M181" s="49">
        <v>4.2498049899999994</v>
      </c>
      <c r="N181" s="49">
        <v>11.238269360000002</v>
      </c>
      <c r="O181" s="49">
        <v>3.9399391000000001</v>
      </c>
      <c r="P181" s="49">
        <v>74.357798830000007</v>
      </c>
      <c r="Q181" s="49">
        <f t="shared" si="140"/>
        <v>170.68127982000001</v>
      </c>
      <c r="R181" s="51">
        <v>21.124216210000004</v>
      </c>
      <c r="S181" s="49">
        <f t="shared" si="138"/>
        <v>1061.7518045100001</v>
      </c>
      <c r="T181" s="156">
        <v>1004.053197609417</v>
      </c>
      <c r="U181" s="49">
        <f t="shared" si="128"/>
        <v>3069.2931364812953</v>
      </c>
      <c r="V181" s="128"/>
      <c r="W181" s="31" t="s">
        <v>50</v>
      </c>
      <c r="X181" s="96">
        <f>++SUM(T187:T189)</f>
        <v>2716.0154351233559</v>
      </c>
      <c r="Y181" s="91"/>
      <c r="Z181" s="182">
        <f t="shared" si="116"/>
        <v>48.009350765854911</v>
      </c>
      <c r="AD181" s="107"/>
      <c r="AE181" s="107"/>
      <c r="AF181" s="43"/>
      <c r="AG181" s="43"/>
      <c r="AR181" s="43"/>
      <c r="AS181" s="43"/>
      <c r="AT181" s="43"/>
      <c r="AU181" s="43"/>
      <c r="AV181" s="43"/>
      <c r="AW181" s="43"/>
      <c r="AX181" s="43"/>
      <c r="AY181" s="43"/>
    </row>
    <row r="182" spans="1:51" ht="21.75" customHeight="1" x14ac:dyDescent="0.35">
      <c r="A182" s="68" t="s">
        <v>39</v>
      </c>
      <c r="B182" s="49">
        <v>34.094794500000006</v>
      </c>
      <c r="C182" s="49">
        <v>73.038183669999995</v>
      </c>
      <c r="D182" s="49">
        <v>69.243837710000008</v>
      </c>
      <c r="E182" s="49">
        <v>149.99990664000001</v>
      </c>
      <c r="F182" s="49">
        <v>27.098464330000013</v>
      </c>
      <c r="G182" s="49">
        <f t="shared" si="139"/>
        <v>353.47518685000006</v>
      </c>
      <c r="H182" s="48">
        <v>546.34867331999999</v>
      </c>
      <c r="I182" s="49">
        <v>65.897299770000004</v>
      </c>
      <c r="J182" s="49">
        <v>0.11576591</v>
      </c>
      <c r="K182" s="50">
        <f t="shared" si="137"/>
        <v>612.36173900000006</v>
      </c>
      <c r="L182" s="49">
        <v>131.96161268</v>
      </c>
      <c r="M182" s="49">
        <v>3.8078831600000003</v>
      </c>
      <c r="N182" s="49">
        <v>18.078390919999997</v>
      </c>
      <c r="O182" s="49">
        <v>3.6825381099999994</v>
      </c>
      <c r="P182" s="49">
        <v>69.048706900000042</v>
      </c>
      <c r="Q182" s="49">
        <f t="shared" si="140"/>
        <v>226.57913177000003</v>
      </c>
      <c r="R182" s="51">
        <v>20.680197189999994</v>
      </c>
      <c r="S182" s="49">
        <f t="shared" si="138"/>
        <v>1213.0962548100001</v>
      </c>
      <c r="T182" s="156">
        <v>1156.3392055868771</v>
      </c>
      <c r="U182" s="49">
        <f t="shared" si="128"/>
        <v>3247.5008468599685</v>
      </c>
      <c r="V182" s="128"/>
      <c r="X182" s="96"/>
      <c r="Y182" s="91"/>
      <c r="Z182" s="182">
        <f t="shared" si="116"/>
        <v>45.037536894017634</v>
      </c>
      <c r="AD182" s="107"/>
      <c r="AE182" s="107"/>
      <c r="AF182" s="43"/>
      <c r="AG182" s="43"/>
      <c r="AR182" s="43"/>
      <c r="AS182" s="43"/>
      <c r="AT182" s="43"/>
      <c r="AU182" s="43"/>
      <c r="AV182" s="43"/>
      <c r="AW182" s="43"/>
      <c r="AX182" s="43"/>
      <c r="AY182" s="43"/>
    </row>
    <row r="183" spans="1:51" ht="21.75" customHeight="1" x14ac:dyDescent="0.35">
      <c r="A183" s="68" t="s">
        <v>44</v>
      </c>
      <c r="B183" s="49">
        <v>30.903183009999996</v>
      </c>
      <c r="C183" s="49">
        <v>72.128900819999998</v>
      </c>
      <c r="D183" s="49">
        <v>65.124136939999985</v>
      </c>
      <c r="E183" s="49">
        <v>110.58478336</v>
      </c>
      <c r="F183" s="49">
        <v>23.605193079999992</v>
      </c>
      <c r="G183" s="49">
        <f t="shared" si="139"/>
        <v>302.34619720999996</v>
      </c>
      <c r="H183" s="48">
        <v>528.43057605999991</v>
      </c>
      <c r="I183" s="49">
        <v>87.120160210000023</v>
      </c>
      <c r="J183" s="49">
        <v>8.6840260000000002E-2</v>
      </c>
      <c r="K183" s="50">
        <f t="shared" si="137"/>
        <v>615.63757652999993</v>
      </c>
      <c r="L183" s="49">
        <v>141.86577657000001</v>
      </c>
      <c r="M183" s="49">
        <v>3.53103458</v>
      </c>
      <c r="N183" s="49">
        <v>16.687529850000004</v>
      </c>
      <c r="O183" s="49">
        <v>3.1874538900000009</v>
      </c>
      <c r="P183" s="49">
        <v>68.200743849999981</v>
      </c>
      <c r="Q183" s="49">
        <f t="shared" si="140"/>
        <v>233.47253874</v>
      </c>
      <c r="R183" s="51">
        <v>27.095513720000003</v>
      </c>
      <c r="S183" s="49">
        <f t="shared" si="138"/>
        <v>1178.5518261999998</v>
      </c>
      <c r="T183" s="156">
        <v>1125.3188015132098</v>
      </c>
      <c r="U183" s="49">
        <f t="shared" si="128"/>
        <v>3285.7112047095043</v>
      </c>
      <c r="V183" s="128"/>
      <c r="X183" s="96"/>
      <c r="Y183" s="91"/>
      <c r="Z183" s="182">
        <f t="shared" si="116"/>
        <v>44.837279474065781</v>
      </c>
      <c r="AD183" s="107"/>
      <c r="AE183" s="107"/>
      <c r="AF183" s="43"/>
      <c r="AG183" s="43"/>
      <c r="AR183" s="43"/>
      <c r="AS183" s="43"/>
      <c r="AT183" s="43"/>
      <c r="AU183" s="43"/>
      <c r="AV183" s="43"/>
      <c r="AW183" s="43"/>
      <c r="AX183" s="43"/>
      <c r="AY183" s="43"/>
    </row>
    <row r="184" spans="1:51" ht="21.75" customHeight="1" x14ac:dyDescent="0.35">
      <c r="A184" s="68" t="s">
        <v>29</v>
      </c>
      <c r="B184" s="49">
        <v>30.448813070000003</v>
      </c>
      <c r="C184" s="49">
        <v>86.470208549999995</v>
      </c>
      <c r="D184" s="49">
        <v>77.545311450000014</v>
      </c>
      <c r="E184" s="49">
        <v>140.46973201</v>
      </c>
      <c r="F184" s="49">
        <v>29.038485489999971</v>
      </c>
      <c r="G184" s="49">
        <f t="shared" si="139"/>
        <v>363.97255056999995</v>
      </c>
      <c r="H184" s="48">
        <v>547.52026047999993</v>
      </c>
      <c r="I184" s="49">
        <v>41.347638500000002</v>
      </c>
      <c r="J184" s="49">
        <v>0</v>
      </c>
      <c r="K184" s="50">
        <f t="shared" si="137"/>
        <v>588.86789897999995</v>
      </c>
      <c r="L184" s="49">
        <v>121.56072602</v>
      </c>
      <c r="M184" s="49">
        <v>5.8436249800000013</v>
      </c>
      <c r="N184" s="49">
        <v>19.994271649999998</v>
      </c>
      <c r="O184" s="49">
        <v>3.1077259500000007</v>
      </c>
      <c r="P184" s="49">
        <v>71.325350830000048</v>
      </c>
      <c r="Q184" s="49">
        <f t="shared" si="140"/>
        <v>221.83169943000004</v>
      </c>
      <c r="R184" s="51">
        <v>35.096332740000001</v>
      </c>
      <c r="S184" s="49">
        <f t="shared" si="138"/>
        <v>1209.76848172</v>
      </c>
      <c r="T184" s="156">
        <v>1144.9038528492611</v>
      </c>
      <c r="U184" s="49">
        <f t="shared" si="128"/>
        <v>3426.5618599493482</v>
      </c>
      <c r="V184" s="128"/>
      <c r="X184" s="96"/>
      <c r="Y184" s="91"/>
      <c r="Z184" s="182">
        <f t="shared" si="116"/>
        <v>45.258267904414055</v>
      </c>
      <c r="AD184" s="107"/>
      <c r="AE184" s="107"/>
      <c r="AF184" s="43"/>
      <c r="AG184" s="43"/>
      <c r="AR184" s="43"/>
      <c r="AS184" s="43"/>
      <c r="AT184" s="43"/>
      <c r="AU184" s="43"/>
      <c r="AV184" s="43"/>
      <c r="AW184" s="43"/>
      <c r="AX184" s="43"/>
      <c r="AY184" s="43"/>
    </row>
    <row r="185" spans="1:51" ht="21.75" customHeight="1" x14ac:dyDescent="0.35">
      <c r="A185" s="68" t="s">
        <v>45</v>
      </c>
      <c r="B185" s="49">
        <v>31.811710339999998</v>
      </c>
      <c r="C185" s="49">
        <v>96.730987350000007</v>
      </c>
      <c r="D185" s="49">
        <v>69.342183999999989</v>
      </c>
      <c r="E185" s="49">
        <v>113.33361054000001</v>
      </c>
      <c r="F185" s="49">
        <v>33.696345410000049</v>
      </c>
      <c r="G185" s="49">
        <f t="shared" si="139"/>
        <v>344.91483764000003</v>
      </c>
      <c r="H185" s="48">
        <v>531.6239017800001</v>
      </c>
      <c r="I185" s="49">
        <v>43.143912490000005</v>
      </c>
      <c r="J185" s="49">
        <v>0.10419306</v>
      </c>
      <c r="K185" s="50">
        <f t="shared" si="137"/>
        <v>574.87200733000009</v>
      </c>
      <c r="L185" s="49">
        <v>109.19597185999999</v>
      </c>
      <c r="M185" s="49">
        <v>3.4431145700000005</v>
      </c>
      <c r="N185" s="49">
        <v>19.810852320000002</v>
      </c>
      <c r="O185" s="49">
        <v>4.7606683399999996</v>
      </c>
      <c r="P185" s="49">
        <v>73.020050390000051</v>
      </c>
      <c r="Q185" s="49">
        <f t="shared" si="140"/>
        <v>210.23065748000005</v>
      </c>
      <c r="R185" s="51">
        <v>20.864590639999996</v>
      </c>
      <c r="S185" s="49">
        <f t="shared" si="138"/>
        <v>1150.8820930900001</v>
      </c>
      <c r="T185" s="156">
        <v>1082.3621973350771</v>
      </c>
      <c r="U185" s="49">
        <f t="shared" si="128"/>
        <v>3352.5848516975484</v>
      </c>
      <c r="V185" s="128"/>
      <c r="X185" s="96"/>
      <c r="Y185" s="91"/>
      <c r="Z185" s="182">
        <f t="shared" si="116"/>
        <v>46.192733814516529</v>
      </c>
      <c r="AD185" s="107"/>
      <c r="AE185" s="107"/>
      <c r="AF185" s="43"/>
      <c r="AG185" s="43"/>
      <c r="AR185" s="43"/>
      <c r="AS185" s="43"/>
      <c r="AT185" s="43"/>
      <c r="AU185" s="43"/>
      <c r="AV185" s="43"/>
      <c r="AW185" s="43"/>
      <c r="AX185" s="43"/>
      <c r="AY185" s="43"/>
    </row>
    <row r="186" spans="1:51" ht="21.75" customHeight="1" x14ac:dyDescent="0.35">
      <c r="A186" s="68" t="s">
        <v>31</v>
      </c>
      <c r="B186" s="49">
        <v>31.771653349999998</v>
      </c>
      <c r="C186" s="49">
        <v>101.89746930999998</v>
      </c>
      <c r="D186" s="49">
        <v>78.598242969999987</v>
      </c>
      <c r="E186" s="49">
        <v>103.86555763</v>
      </c>
      <c r="F186" s="49">
        <v>31.970972790000019</v>
      </c>
      <c r="G186" s="49">
        <f t="shared" si="139"/>
        <v>348.10389605</v>
      </c>
      <c r="H186" s="48">
        <v>457.15139242000009</v>
      </c>
      <c r="I186" s="49">
        <v>71.777138930000021</v>
      </c>
      <c r="J186" s="49">
        <v>0</v>
      </c>
      <c r="K186" s="50">
        <f t="shared" si="137"/>
        <v>528.92853135000007</v>
      </c>
      <c r="L186" s="49">
        <v>112.57210560000001</v>
      </c>
      <c r="M186" s="49">
        <v>3.7753750600000009</v>
      </c>
      <c r="N186" s="49">
        <v>19.464546379999998</v>
      </c>
      <c r="O186" s="49">
        <v>3.9338703100000005</v>
      </c>
      <c r="P186" s="49">
        <v>77.451155450000016</v>
      </c>
      <c r="Q186" s="49">
        <f t="shared" si="140"/>
        <v>217.19705280000002</v>
      </c>
      <c r="R186" s="51">
        <v>19.120030219999997</v>
      </c>
      <c r="S186" s="49">
        <f t="shared" si="138"/>
        <v>1113.3495104200001</v>
      </c>
      <c r="T186" s="156">
        <v>1043.0165541270703</v>
      </c>
      <c r="U186" s="49">
        <f t="shared" si="128"/>
        <v>3270.2826043114082</v>
      </c>
      <c r="V186" s="128"/>
      <c r="X186" s="96"/>
      <c r="Y186" s="91"/>
      <c r="Z186" s="182">
        <f t="shared" si="116"/>
        <v>41.060905685182746</v>
      </c>
      <c r="AD186" s="107"/>
      <c r="AE186" s="107"/>
      <c r="AF186" s="43"/>
      <c r="AG186" s="43"/>
      <c r="AR186" s="43"/>
      <c r="AS186" s="43"/>
      <c r="AT186" s="43"/>
      <c r="AU186" s="43"/>
      <c r="AV186" s="43"/>
      <c r="AW186" s="43"/>
      <c r="AX186" s="43"/>
      <c r="AY186" s="43"/>
    </row>
    <row r="187" spans="1:51" ht="21.75" customHeight="1" x14ac:dyDescent="0.35">
      <c r="A187" s="68" t="s">
        <v>32</v>
      </c>
      <c r="B187" s="49">
        <v>29.490580660000003</v>
      </c>
      <c r="C187" s="49">
        <v>83.485326269999987</v>
      </c>
      <c r="D187" s="49">
        <v>67.482606710000013</v>
      </c>
      <c r="E187" s="49">
        <v>100.7107791</v>
      </c>
      <c r="F187" s="49">
        <v>36.003757189999931</v>
      </c>
      <c r="G187" s="49">
        <f t="shared" si="139"/>
        <v>317.17304992999993</v>
      </c>
      <c r="H187" s="48">
        <v>455.61115928000004</v>
      </c>
      <c r="I187" s="49">
        <v>17.758590000000002</v>
      </c>
      <c r="J187" s="49">
        <v>0</v>
      </c>
      <c r="K187" s="50">
        <f t="shared" si="137"/>
        <v>473.36974928000006</v>
      </c>
      <c r="L187" s="49">
        <v>96.722188289999991</v>
      </c>
      <c r="M187" s="49">
        <v>4.9609786400000004</v>
      </c>
      <c r="N187" s="49">
        <v>13.960465080000001</v>
      </c>
      <c r="O187" s="49">
        <v>5.2148902099999992</v>
      </c>
      <c r="P187" s="49">
        <v>72.97741726000001</v>
      </c>
      <c r="Q187" s="49">
        <f t="shared" si="140"/>
        <v>193.83593948000001</v>
      </c>
      <c r="R187" s="51">
        <v>36.849068449999997</v>
      </c>
      <c r="S187" s="49">
        <f t="shared" si="138"/>
        <v>1021.22780714</v>
      </c>
      <c r="T187" s="156">
        <v>961.01280572736596</v>
      </c>
      <c r="U187" s="49">
        <f t="shared" si="128"/>
        <v>3086.3915571895132</v>
      </c>
      <c r="V187" s="128"/>
      <c r="X187" s="96"/>
      <c r="Y187" s="91"/>
      <c r="Z187" s="182">
        <f t="shared" si="116"/>
        <v>44.614057323405845</v>
      </c>
      <c r="AD187" s="107"/>
      <c r="AE187" s="107"/>
      <c r="AF187" s="43"/>
      <c r="AG187" s="43"/>
      <c r="AR187" s="43"/>
      <c r="AS187" s="43"/>
      <c r="AT187" s="43"/>
      <c r="AU187" s="43"/>
      <c r="AV187" s="43"/>
      <c r="AW187" s="43"/>
      <c r="AX187" s="43"/>
      <c r="AY187" s="43"/>
    </row>
    <row r="188" spans="1:51" ht="21.75" customHeight="1" x14ac:dyDescent="0.35">
      <c r="A188" s="68" t="s">
        <v>67</v>
      </c>
      <c r="B188" s="49">
        <v>29.056956489999997</v>
      </c>
      <c r="C188" s="49">
        <v>91.334049089999993</v>
      </c>
      <c r="D188" s="49">
        <v>61.284103180000002</v>
      </c>
      <c r="E188" s="49">
        <v>94.14501829999999</v>
      </c>
      <c r="F188" s="49">
        <v>27.895157540000014</v>
      </c>
      <c r="G188" s="49">
        <f t="shared" si="139"/>
        <v>303.71528460000002</v>
      </c>
      <c r="H188" s="48">
        <v>417.72300445999997</v>
      </c>
      <c r="I188" s="49">
        <v>59.60241499</v>
      </c>
      <c r="J188" s="49">
        <v>3.8863019999999998E-2</v>
      </c>
      <c r="K188" s="50">
        <f t="shared" ref="K188" si="141">SUM(H188:J188)</f>
        <v>477.36428246999998</v>
      </c>
      <c r="L188" s="49">
        <v>37.2067519</v>
      </c>
      <c r="M188" s="49">
        <v>4.8337207099999988</v>
      </c>
      <c r="N188" s="49">
        <v>17.380078829999999</v>
      </c>
      <c r="O188" s="49">
        <v>4.9669889900000017</v>
      </c>
      <c r="P188" s="49">
        <v>68.930044049999992</v>
      </c>
      <c r="Q188" s="49">
        <f t="shared" si="140"/>
        <v>133.31758447999999</v>
      </c>
      <c r="R188" s="51">
        <v>21.756665829999992</v>
      </c>
      <c r="S188" s="49">
        <f t="shared" ref="S188" si="142">+R188+Q188+K188+G188</f>
        <v>936.15381737999996</v>
      </c>
      <c r="T188" s="156">
        <v>874.09553146745191</v>
      </c>
      <c r="U188" s="49">
        <f t="shared" si="128"/>
        <v>2878.1248913218883</v>
      </c>
      <c r="V188" s="128"/>
      <c r="X188" s="96"/>
      <c r="Y188" s="91"/>
      <c r="Z188" s="182">
        <f t="shared" si="116"/>
        <v>44.62119330230103</v>
      </c>
      <c r="AD188" s="107"/>
      <c r="AE188" s="107"/>
      <c r="AF188" s="43"/>
      <c r="AG188" s="43"/>
      <c r="AR188" s="43"/>
      <c r="AS188" s="43"/>
      <c r="AT188" s="43"/>
      <c r="AU188" s="43"/>
      <c r="AV188" s="43"/>
      <c r="AW188" s="43"/>
      <c r="AX188" s="43"/>
      <c r="AY188" s="43"/>
    </row>
    <row r="189" spans="1:51" ht="21.75" customHeight="1" x14ac:dyDescent="0.35">
      <c r="A189" s="68" t="s">
        <v>51</v>
      </c>
      <c r="B189" s="49">
        <v>30.924423790000002</v>
      </c>
      <c r="C189" s="49">
        <v>86.161222590000008</v>
      </c>
      <c r="D189" s="49">
        <v>56.663700900000009</v>
      </c>
      <c r="E189" s="49">
        <v>85.911512430000002</v>
      </c>
      <c r="F189" s="49">
        <v>32.419789929999979</v>
      </c>
      <c r="G189" s="49">
        <f t="shared" si="139"/>
        <v>292.08064963999999</v>
      </c>
      <c r="H189" s="48">
        <v>451.34713113999999</v>
      </c>
      <c r="I189" s="49">
        <v>26.480773069999998</v>
      </c>
      <c r="J189" s="49">
        <v>0</v>
      </c>
      <c r="K189" s="50">
        <f t="shared" si="137"/>
        <v>477.82790420999999</v>
      </c>
      <c r="L189" s="49">
        <v>53.038478499999997</v>
      </c>
      <c r="M189" s="49">
        <v>3.8449894700000011</v>
      </c>
      <c r="N189" s="49">
        <v>13.06108783</v>
      </c>
      <c r="O189" s="49">
        <v>4.9763517699999991</v>
      </c>
      <c r="P189" s="49">
        <v>65.520674000000014</v>
      </c>
      <c r="Q189" s="49">
        <f t="shared" si="140"/>
        <v>140.44158157000001</v>
      </c>
      <c r="R189" s="51">
        <v>28.870015139999992</v>
      </c>
      <c r="S189" s="49">
        <f t="shared" si="138"/>
        <v>939.22015056000009</v>
      </c>
      <c r="T189" s="156">
        <v>880.90709792853795</v>
      </c>
      <c r="U189" s="49">
        <f t="shared" si="128"/>
        <v>2716.0154351233559</v>
      </c>
      <c r="V189" s="128"/>
      <c r="X189" s="96"/>
      <c r="Y189" s="91"/>
      <c r="Z189" s="182">
        <f t="shared" si="116"/>
        <v>48.055520409234084</v>
      </c>
      <c r="AD189" s="107"/>
      <c r="AE189" s="107"/>
      <c r="AF189" s="43"/>
      <c r="AG189" s="43"/>
      <c r="AR189" s="43"/>
      <c r="AS189" s="43"/>
      <c r="AT189" s="43"/>
      <c r="AU189" s="43"/>
      <c r="AV189" s="43"/>
      <c r="AW189" s="43"/>
      <c r="AX189" s="43"/>
      <c r="AY189" s="43"/>
    </row>
    <row r="190" spans="1:51" s="142" customFormat="1" ht="36.75" customHeight="1" x14ac:dyDescent="0.35">
      <c r="A190" s="77" t="s">
        <v>78</v>
      </c>
      <c r="B190" s="137">
        <f>SUM(B191:B203)</f>
        <v>267.74435289999997</v>
      </c>
      <c r="C190" s="137">
        <f>SUM(C191:C203)</f>
        <v>865.71585162999997</v>
      </c>
      <c r="D190" s="137">
        <f>SUM(D191:D203)</f>
        <v>666.69068917999982</v>
      </c>
      <c r="E190" s="137">
        <f t="shared" ref="E190:N190" si="143">SUM(E191:E203)</f>
        <v>747.67511284</v>
      </c>
      <c r="F190" s="137">
        <f t="shared" si="143"/>
        <v>303.81941009000002</v>
      </c>
      <c r="G190" s="137">
        <f t="shared" si="143"/>
        <v>2851.6454166399999</v>
      </c>
      <c r="H190" s="138">
        <f t="shared" si="143"/>
        <v>3771.1657629200008</v>
      </c>
      <c r="I190" s="137">
        <f t="shared" si="143"/>
        <v>202.71359706000004</v>
      </c>
      <c r="J190" s="137">
        <f t="shared" si="143"/>
        <v>0.4699275000000398</v>
      </c>
      <c r="K190" s="139">
        <f t="shared" si="143"/>
        <v>3974.3492874799999</v>
      </c>
      <c r="L190" s="137">
        <f t="shared" si="143"/>
        <v>795.82962412000006</v>
      </c>
      <c r="M190" s="137">
        <f t="shared" si="143"/>
        <v>44.768116340000006</v>
      </c>
      <c r="N190" s="137">
        <f t="shared" si="143"/>
        <v>178.09069496000001</v>
      </c>
      <c r="O190" s="137">
        <f t="shared" ref="O190" si="144">SUM(O191:O203)</f>
        <v>80.407770170000006</v>
      </c>
      <c r="P190" s="137">
        <f>SUM(P191:P203)</f>
        <v>638.42361273999995</v>
      </c>
      <c r="Q190" s="137">
        <f>SUM(Q191:Q203)</f>
        <v>1737.5198183299999</v>
      </c>
      <c r="R190" s="140">
        <f>SUM(R191:R203)</f>
        <v>345.14457841000001</v>
      </c>
      <c r="S190" s="137">
        <f>SUM(S191:S203)</f>
        <v>8908.6591008600008</v>
      </c>
      <c r="T190" s="178">
        <f>SUM(T191:T203)</f>
        <v>8299.122792636932</v>
      </c>
      <c r="U190" s="49">
        <f>T190+T189+T188</f>
        <v>10054.125422032923</v>
      </c>
      <c r="V190" s="141"/>
      <c r="X190" s="143"/>
      <c r="Y190" s="144"/>
      <c r="Z190" s="182">
        <f t="shared" si="116"/>
        <v>42.33146335744231</v>
      </c>
      <c r="AD190" s="103"/>
      <c r="AE190" s="103"/>
      <c r="AF190" s="146"/>
      <c r="AG190" s="146"/>
      <c r="AR190" s="146"/>
      <c r="AS190" s="146"/>
      <c r="AT190" s="146"/>
      <c r="AU190" s="146"/>
      <c r="AV190" s="146"/>
      <c r="AW190" s="146"/>
      <c r="AX190" s="146"/>
      <c r="AY190" s="146"/>
    </row>
    <row r="191" spans="1:51" s="142" customFormat="1" ht="22.5" customHeight="1" x14ac:dyDescent="0.35">
      <c r="A191" s="147" t="s">
        <v>23</v>
      </c>
      <c r="B191" s="137">
        <v>26.052845720000001</v>
      </c>
      <c r="C191" s="137">
        <v>76.069550520000007</v>
      </c>
      <c r="D191" s="137">
        <v>66.988499290000007</v>
      </c>
      <c r="E191" s="137">
        <v>77.614231270000019</v>
      </c>
      <c r="F191" s="137">
        <f>G191-SUM(B191:E191)</f>
        <v>27.52801388000006</v>
      </c>
      <c r="G191" s="137">
        <v>274.25314068000006</v>
      </c>
      <c r="H191" s="138">
        <v>385.09922152000001</v>
      </c>
      <c r="I191" s="137">
        <v>4.9662600000000001</v>
      </c>
      <c r="J191" s="137">
        <f>K191-SUM(H191:I191)</f>
        <v>0</v>
      </c>
      <c r="K191" s="50">
        <v>390.06548151999999</v>
      </c>
      <c r="L191" s="137">
        <v>56.241580119999995</v>
      </c>
      <c r="M191" s="137">
        <v>3.51429905</v>
      </c>
      <c r="N191" s="137">
        <v>5.0629947999999994</v>
      </c>
      <c r="O191" s="137">
        <v>3.7838291799999992</v>
      </c>
      <c r="P191" s="137">
        <f>Q191-SUM(L191:O191)</f>
        <v>50.819867289999991</v>
      </c>
      <c r="Q191" s="137">
        <v>119.42257043999999</v>
      </c>
      <c r="R191" s="140">
        <v>22.139344929999996</v>
      </c>
      <c r="S191" s="137">
        <v>805.88053757</v>
      </c>
      <c r="T191" s="178">
        <v>749.31418487115195</v>
      </c>
      <c r="U191" s="49"/>
      <c r="V191" s="141"/>
      <c r="W191" s="31" t="s">
        <v>47</v>
      </c>
      <c r="X191" s="96">
        <f>SUM(T191:T193)</f>
        <v>2183.2871784253671</v>
      </c>
      <c r="Y191" s="144"/>
      <c r="Z191" s="180"/>
      <c r="AC191" s="177">
        <f>H191+I191</f>
        <v>390.06548151999999</v>
      </c>
      <c r="AD191" s="103"/>
      <c r="AE191" s="103"/>
      <c r="AF191" s="146"/>
      <c r="AG191" s="146"/>
      <c r="AR191" s="146"/>
      <c r="AS191" s="146"/>
      <c r="AT191" s="146"/>
      <c r="AU191" s="146"/>
      <c r="AV191" s="146"/>
      <c r="AW191" s="146"/>
      <c r="AX191" s="146"/>
      <c r="AY191" s="146"/>
    </row>
    <row r="192" spans="1:51" ht="21.75" customHeight="1" x14ac:dyDescent="0.35">
      <c r="A192" s="68" t="s">
        <v>79</v>
      </c>
      <c r="B192" s="49">
        <v>22.09163865</v>
      </c>
      <c r="C192" s="49">
        <v>60.333862839999995</v>
      </c>
      <c r="D192" s="49">
        <v>51.357181389999994</v>
      </c>
      <c r="E192" s="49">
        <v>45.515580860000007</v>
      </c>
      <c r="F192" s="137">
        <f t="shared" ref="F192:F202" si="145">G192-SUM(B192:E192)</f>
        <v>23.870904539999998</v>
      </c>
      <c r="G192" s="137">
        <v>203.16916827999998</v>
      </c>
      <c r="H192" s="138">
        <v>362.42577798999997</v>
      </c>
      <c r="I192" s="137">
        <v>19.171426030000003</v>
      </c>
      <c r="J192" s="137">
        <f t="shared" ref="J192:J202" si="146">K192-SUM(H192:I192)</f>
        <v>6.5316769999981261E-2</v>
      </c>
      <c r="K192" s="50">
        <v>381.66252078999997</v>
      </c>
      <c r="L192" s="137">
        <v>44.268544990000002</v>
      </c>
      <c r="M192" s="137">
        <v>4.1293577500000005</v>
      </c>
      <c r="N192" s="137">
        <v>6.392909519999999</v>
      </c>
      <c r="O192" s="137">
        <v>5.5728125699999991</v>
      </c>
      <c r="P192" s="137">
        <f t="shared" ref="P192:P202" si="147">Q192-SUM(L192:O192)</f>
        <v>48.428580500000017</v>
      </c>
      <c r="Q192" s="137">
        <v>108.79220533000002</v>
      </c>
      <c r="R192" s="51">
        <v>23.726024970000005</v>
      </c>
      <c r="S192" s="137">
        <v>717.34991936999995</v>
      </c>
      <c r="T192" s="52">
        <v>672.11925339967195</v>
      </c>
      <c r="U192" s="49"/>
      <c r="V192" s="141"/>
      <c r="W192" s="31"/>
      <c r="X192" s="96"/>
      <c r="Y192" s="91"/>
      <c r="Z192" s="179"/>
      <c r="AC192" s="177">
        <f>H192+I192</f>
        <v>381.59720401999999</v>
      </c>
      <c r="AD192" s="107"/>
      <c r="AE192" s="107"/>
      <c r="AF192" s="43"/>
      <c r="AG192" s="43"/>
      <c r="AR192" s="43"/>
      <c r="AS192" s="43"/>
      <c r="AT192" s="43"/>
      <c r="AU192" s="43"/>
      <c r="AV192" s="43"/>
      <c r="AW192" s="43"/>
      <c r="AX192" s="43"/>
      <c r="AY192" s="43"/>
    </row>
    <row r="193" spans="1:51" ht="21.75" customHeight="1" x14ac:dyDescent="0.35">
      <c r="A193" s="68" t="s">
        <v>81</v>
      </c>
      <c r="B193" s="49">
        <v>28.563276740000003</v>
      </c>
      <c r="C193" s="49">
        <v>65.931981210000004</v>
      </c>
      <c r="D193" s="49">
        <v>56.902962199999997</v>
      </c>
      <c r="E193" s="49">
        <v>66.387047760000002</v>
      </c>
      <c r="F193" s="137">
        <f t="shared" si="145"/>
        <v>25.816116049999977</v>
      </c>
      <c r="G193" s="137">
        <v>243.60138395999999</v>
      </c>
      <c r="H193" s="138">
        <v>404.93873817000008</v>
      </c>
      <c r="I193" s="137">
        <v>22.871581000000003</v>
      </c>
      <c r="J193" s="137">
        <f t="shared" si="146"/>
        <v>7.1203570000022864E-2</v>
      </c>
      <c r="K193" s="50">
        <v>427.88152274000009</v>
      </c>
      <c r="L193" s="137">
        <v>30.694396019999999</v>
      </c>
      <c r="M193" s="137">
        <v>5.6889173399999988</v>
      </c>
      <c r="N193" s="137">
        <v>9.8274585999999999</v>
      </c>
      <c r="O193" s="137">
        <v>2.6776640599999997</v>
      </c>
      <c r="P193" s="137">
        <f t="shared" si="147"/>
        <v>57.972576069999995</v>
      </c>
      <c r="Q193" s="137">
        <v>106.86101208999999</v>
      </c>
      <c r="R193" s="51">
        <v>31.032760409999987</v>
      </c>
      <c r="S193" s="137">
        <v>809.37667920000013</v>
      </c>
      <c r="T193" s="52">
        <v>761.85374015454317</v>
      </c>
      <c r="U193" s="49">
        <f>T193+T192+T191</f>
        <v>2183.2871784253671</v>
      </c>
      <c r="V193" s="141"/>
      <c r="X193" s="96"/>
      <c r="Y193" s="91"/>
      <c r="Z193" s="179"/>
      <c r="AC193" s="177">
        <f t="shared" ref="AC193:AC199" si="148">H193+I193</f>
        <v>427.81031917000007</v>
      </c>
      <c r="AD193" s="107"/>
      <c r="AE193" s="107"/>
      <c r="AF193" s="43"/>
      <c r="AG193" s="43"/>
      <c r="AR193" s="43"/>
      <c r="AS193" s="43"/>
      <c r="AT193" s="43"/>
      <c r="AU193" s="43"/>
      <c r="AV193" s="43"/>
      <c r="AW193" s="43"/>
      <c r="AX193" s="43"/>
      <c r="AY193" s="43"/>
    </row>
    <row r="194" spans="1:51" ht="21.75" customHeight="1" x14ac:dyDescent="0.35">
      <c r="A194" s="147" t="s">
        <v>26</v>
      </c>
      <c r="B194" s="49">
        <v>22.141629579999996</v>
      </c>
      <c r="C194" s="49">
        <v>66.300710269999996</v>
      </c>
      <c r="D194" s="49">
        <v>62.519468989999993</v>
      </c>
      <c r="E194" s="49">
        <v>77.082987119999984</v>
      </c>
      <c r="F194" s="137">
        <f t="shared" si="145"/>
        <v>29.102998870000022</v>
      </c>
      <c r="G194" s="137">
        <v>257.14779483000001</v>
      </c>
      <c r="H194" s="138">
        <v>315.07973458000004</v>
      </c>
      <c r="I194" s="137">
        <v>10.215868179999999</v>
      </c>
      <c r="J194" s="137">
        <f t="shared" si="146"/>
        <v>0.11835151000002497</v>
      </c>
      <c r="K194" s="50">
        <v>325.41395427000003</v>
      </c>
      <c r="L194" s="137">
        <v>64.442177060000006</v>
      </c>
      <c r="M194" s="137">
        <v>3.5942034000000005</v>
      </c>
      <c r="N194" s="137">
        <v>13.633321200000001</v>
      </c>
      <c r="O194" s="137">
        <v>10.269919580000002</v>
      </c>
      <c r="P194" s="137">
        <f t="shared" si="147"/>
        <v>63.21564367000002</v>
      </c>
      <c r="Q194" s="137">
        <v>155.15526491000003</v>
      </c>
      <c r="R194" s="51">
        <v>36.731850460000004</v>
      </c>
      <c r="S194" s="137">
        <v>774.4488644700001</v>
      </c>
      <c r="T194" s="52">
        <v>723.70072473794312</v>
      </c>
      <c r="U194" s="49"/>
      <c r="V194" s="141"/>
      <c r="X194" s="96"/>
      <c r="Y194" s="91"/>
      <c r="Z194" s="179"/>
      <c r="AC194" s="177">
        <f t="shared" si="148"/>
        <v>325.29560276000001</v>
      </c>
      <c r="AD194" s="107"/>
      <c r="AE194" s="107"/>
      <c r="AF194" s="43"/>
      <c r="AG194" s="43"/>
      <c r="AR194" s="43"/>
      <c r="AS194" s="43"/>
      <c r="AT194" s="43"/>
      <c r="AU194" s="43"/>
      <c r="AV194" s="43"/>
      <c r="AW194" s="43"/>
      <c r="AX194" s="43"/>
      <c r="AY194" s="43"/>
    </row>
    <row r="195" spans="1:51" ht="21.75" customHeight="1" x14ac:dyDescent="0.35">
      <c r="A195" s="147" t="s">
        <v>39</v>
      </c>
      <c r="B195" s="49">
        <v>21.410298150000006</v>
      </c>
      <c r="C195" s="49">
        <v>94.595901810000029</v>
      </c>
      <c r="D195" s="49">
        <v>56.934344949999989</v>
      </c>
      <c r="E195" s="49">
        <v>60.019804939999993</v>
      </c>
      <c r="F195" s="137">
        <f t="shared" si="145"/>
        <v>24.537185820000019</v>
      </c>
      <c r="G195" s="137">
        <v>257.49753567000005</v>
      </c>
      <c r="H195" s="138">
        <v>339.32685805</v>
      </c>
      <c r="I195" s="137">
        <v>13.375143230000001</v>
      </c>
      <c r="J195" s="137">
        <f t="shared" si="146"/>
        <v>7.1827929999983553E-2</v>
      </c>
      <c r="K195" s="50">
        <v>352.77382920999997</v>
      </c>
      <c r="L195" s="137">
        <v>87.590834720000004</v>
      </c>
      <c r="M195" s="137">
        <v>3.7200923500000007</v>
      </c>
      <c r="N195" s="137">
        <v>19.715129940000004</v>
      </c>
      <c r="O195" s="137">
        <v>6.0299743399999999</v>
      </c>
      <c r="P195" s="137">
        <f t="shared" si="147"/>
        <v>58.443871619999982</v>
      </c>
      <c r="Q195" s="137">
        <v>175.49990296999999</v>
      </c>
      <c r="R195" s="51">
        <v>20.692743320000002</v>
      </c>
      <c r="S195" s="137">
        <v>806.46401116999994</v>
      </c>
      <c r="T195" s="52">
        <v>746.37375497263997</v>
      </c>
      <c r="U195" s="49"/>
      <c r="V195" s="141"/>
      <c r="X195" s="96"/>
      <c r="Y195" s="91"/>
      <c r="Z195" s="179"/>
      <c r="AC195" s="177">
        <f t="shared" si="148"/>
        <v>352.70200127999999</v>
      </c>
      <c r="AD195" s="107"/>
      <c r="AE195" s="107"/>
      <c r="AF195" s="43"/>
      <c r="AG195" s="43"/>
      <c r="AR195" s="43"/>
      <c r="AS195" s="43"/>
      <c r="AT195" s="43"/>
      <c r="AU195" s="43"/>
      <c r="AV195" s="43"/>
      <c r="AW195" s="43"/>
      <c r="AX195" s="43"/>
      <c r="AY195" s="43"/>
    </row>
    <row r="196" spans="1:51" ht="21.75" customHeight="1" x14ac:dyDescent="0.35">
      <c r="A196" s="68" t="s">
        <v>44</v>
      </c>
      <c r="B196" s="49">
        <v>21.878041059999997</v>
      </c>
      <c r="C196" s="49">
        <v>88.035793429999998</v>
      </c>
      <c r="D196" s="49">
        <v>68.661854290000008</v>
      </c>
      <c r="E196" s="49">
        <v>64.334694560000003</v>
      </c>
      <c r="F196" s="137">
        <f t="shared" si="145"/>
        <v>33.101982989999954</v>
      </c>
      <c r="G196" s="137">
        <v>276.01236632999996</v>
      </c>
      <c r="H196" s="138">
        <v>320.87603213</v>
      </c>
      <c r="I196" s="137">
        <v>15.86299528</v>
      </c>
      <c r="J196" s="137">
        <f t="shared" si="146"/>
        <v>0.14322772000002715</v>
      </c>
      <c r="K196" s="50">
        <v>336.88225513000003</v>
      </c>
      <c r="L196" s="137">
        <v>76.333555939999997</v>
      </c>
      <c r="M196" s="137">
        <v>3.9665142599999998</v>
      </c>
      <c r="N196" s="137">
        <v>17.512953829999997</v>
      </c>
      <c r="O196" s="137">
        <v>5.3050106199999991</v>
      </c>
      <c r="P196" s="137">
        <f t="shared" si="147"/>
        <v>47.121459189999996</v>
      </c>
      <c r="Q196" s="137">
        <v>150.23949383999999</v>
      </c>
      <c r="R196" s="51">
        <v>25.498024020000003</v>
      </c>
      <c r="S196" s="137">
        <v>788.63213932000008</v>
      </c>
      <c r="T196" s="52">
        <v>725.55025886921305</v>
      </c>
      <c r="U196" s="49">
        <f>T196+T195+T194</f>
        <v>2195.624738579796</v>
      </c>
      <c r="V196" s="141"/>
      <c r="X196" s="96"/>
      <c r="Y196" s="91"/>
      <c r="Z196" s="179"/>
      <c r="AC196" s="177">
        <f t="shared" si="148"/>
        <v>336.73902741000001</v>
      </c>
      <c r="AD196" s="107"/>
      <c r="AE196" s="107"/>
      <c r="AF196" s="43"/>
      <c r="AG196" s="43"/>
      <c r="AR196" s="43"/>
      <c r="AS196" s="43"/>
      <c r="AT196" s="43"/>
      <c r="AU196" s="43"/>
      <c r="AV196" s="43"/>
      <c r="AW196" s="43"/>
      <c r="AX196" s="43"/>
      <c r="AY196" s="43"/>
    </row>
    <row r="197" spans="1:51" ht="21.75" customHeight="1" x14ac:dyDescent="0.35">
      <c r="A197" s="68" t="s">
        <v>91</v>
      </c>
      <c r="B197" s="49">
        <v>19.334417819999999</v>
      </c>
      <c r="C197" s="49">
        <v>73.084557840000002</v>
      </c>
      <c r="D197" s="49">
        <v>41.198424819999993</v>
      </c>
      <c r="E197" s="49">
        <v>50.448576239999994</v>
      </c>
      <c r="F197" s="137">
        <f t="shared" si="145"/>
        <v>23.264766200000025</v>
      </c>
      <c r="G197" s="137">
        <v>207.33074292000001</v>
      </c>
      <c r="H197" s="138">
        <v>300.04279701000002</v>
      </c>
      <c r="I197" s="137">
        <v>49.949423510000003</v>
      </c>
      <c r="J197" s="137">
        <f t="shared" si="146"/>
        <v>0</v>
      </c>
      <c r="K197" s="50">
        <v>349.99222052000005</v>
      </c>
      <c r="L197" s="137">
        <v>99.550756230000005</v>
      </c>
      <c r="M197" s="137">
        <v>3.4393983500000003</v>
      </c>
      <c r="N197" s="137">
        <v>19.465413789999999</v>
      </c>
      <c r="O197" s="137">
        <v>7.9204292999999995</v>
      </c>
      <c r="P197" s="137">
        <f t="shared" si="147"/>
        <v>44.240252390000052</v>
      </c>
      <c r="Q197" s="137">
        <v>174.61625006000006</v>
      </c>
      <c r="R197" s="51">
        <v>37.616750830000001</v>
      </c>
      <c r="S197" s="137">
        <v>769.55596433000017</v>
      </c>
      <c r="T197" s="52">
        <v>721.5722420297451</v>
      </c>
      <c r="U197" s="49"/>
      <c r="V197" s="141"/>
      <c r="X197" s="96"/>
      <c r="Y197" s="91"/>
      <c r="Z197" s="179"/>
      <c r="AC197" s="177">
        <f t="shared" si="148"/>
        <v>349.99222052000005</v>
      </c>
      <c r="AD197" s="107"/>
      <c r="AE197" s="107"/>
      <c r="AF197" s="43"/>
      <c r="AG197" s="43"/>
      <c r="AR197" s="43"/>
      <c r="AS197" s="43"/>
      <c r="AT197" s="43"/>
      <c r="AU197" s="43"/>
      <c r="AV197" s="43"/>
      <c r="AW197" s="43"/>
      <c r="AX197" s="43"/>
      <c r="AY197" s="43"/>
    </row>
    <row r="198" spans="1:51" ht="21.75" customHeight="1" x14ac:dyDescent="0.35">
      <c r="A198" s="68" t="s">
        <v>45</v>
      </c>
      <c r="B198" s="49">
        <v>22.97554079</v>
      </c>
      <c r="C198" s="49">
        <v>69.963816340000008</v>
      </c>
      <c r="D198" s="49">
        <v>48.015624900000006</v>
      </c>
      <c r="E198" s="49">
        <v>65.489229160000008</v>
      </c>
      <c r="F198" s="137">
        <f t="shared" si="145"/>
        <v>23.887910680000033</v>
      </c>
      <c r="G198" s="137">
        <v>230.33212187000004</v>
      </c>
      <c r="H198" s="138">
        <v>297.26639964000003</v>
      </c>
      <c r="I198" s="137">
        <v>0</v>
      </c>
      <c r="J198" s="137">
        <f t="shared" si="146"/>
        <v>0</v>
      </c>
      <c r="K198" s="50">
        <v>297.26639964000003</v>
      </c>
      <c r="L198" s="137">
        <v>75.247115659999992</v>
      </c>
      <c r="M198" s="137">
        <v>3.6434210400000002</v>
      </c>
      <c r="N198" s="137">
        <v>19.049123160000001</v>
      </c>
      <c r="O198" s="137">
        <v>8.2439170200000014</v>
      </c>
      <c r="P198" s="137">
        <f t="shared" si="147"/>
        <v>52.550013839999991</v>
      </c>
      <c r="Q198" s="137">
        <v>158.73359072</v>
      </c>
      <c r="R198" s="51">
        <v>37.370897159999984</v>
      </c>
      <c r="S198" s="137">
        <v>723.70300939000015</v>
      </c>
      <c r="T198" s="52">
        <v>678.18495602006408</v>
      </c>
      <c r="U198" s="49">
        <f>T198+T197</f>
        <v>1399.7571980498092</v>
      </c>
      <c r="V198" s="141"/>
      <c r="X198" s="96"/>
      <c r="Y198" s="91"/>
      <c r="Z198" s="179"/>
      <c r="AC198" s="177">
        <f t="shared" si="148"/>
        <v>297.26639964000003</v>
      </c>
      <c r="AD198" s="107"/>
      <c r="AE198" s="107"/>
      <c r="AF198" s="43"/>
      <c r="AG198" s="43"/>
      <c r="AR198" s="43"/>
      <c r="AS198" s="43"/>
      <c r="AT198" s="43"/>
      <c r="AU198" s="43"/>
      <c r="AV198" s="43"/>
      <c r="AW198" s="43"/>
      <c r="AX198" s="43"/>
      <c r="AY198" s="43"/>
    </row>
    <row r="199" spans="1:51" ht="21.75" customHeight="1" x14ac:dyDescent="0.35">
      <c r="A199" s="68" t="s">
        <v>94</v>
      </c>
      <c r="B199" s="49">
        <v>23.782998830000004</v>
      </c>
      <c r="C199" s="49">
        <v>68.470346789999994</v>
      </c>
      <c r="D199" s="49">
        <v>53.920278080000003</v>
      </c>
      <c r="E199" s="49">
        <v>65.489909240000003</v>
      </c>
      <c r="F199" s="137">
        <f t="shared" si="145"/>
        <v>23.734023159999992</v>
      </c>
      <c r="G199" s="137">
        <v>235.3975561</v>
      </c>
      <c r="H199" s="138">
        <v>290.81616384</v>
      </c>
      <c r="I199" s="137">
        <v>21.494006890000001</v>
      </c>
      <c r="J199" s="137">
        <f t="shared" si="146"/>
        <v>0</v>
      </c>
      <c r="K199" s="50">
        <v>312.31017072999998</v>
      </c>
      <c r="L199" s="137">
        <v>72.970163729999996</v>
      </c>
      <c r="M199" s="137">
        <v>3.3206067000000008</v>
      </c>
      <c r="N199" s="137">
        <v>17.831302440000002</v>
      </c>
      <c r="O199" s="137">
        <v>7.9924089499999997</v>
      </c>
      <c r="P199" s="137">
        <f t="shared" si="147"/>
        <v>58.974165129999975</v>
      </c>
      <c r="Q199" s="137">
        <v>161.08864694999997</v>
      </c>
      <c r="R199" s="51">
        <v>30.332493880000005</v>
      </c>
      <c r="S199" s="137">
        <v>739.12886765999997</v>
      </c>
      <c r="T199" s="52">
        <v>690.28048894749497</v>
      </c>
      <c r="U199" s="49"/>
      <c r="V199" s="141"/>
      <c r="X199" s="96"/>
      <c r="Y199" s="91"/>
      <c r="Z199" s="179"/>
      <c r="AC199" s="177">
        <f t="shared" si="148"/>
        <v>312.31017072999998</v>
      </c>
      <c r="AD199" s="107"/>
      <c r="AE199" s="107"/>
      <c r="AF199" s="43"/>
      <c r="AG199" s="43"/>
      <c r="AR199" s="43"/>
      <c r="AS199" s="43"/>
      <c r="AT199" s="43"/>
      <c r="AU199" s="43"/>
      <c r="AV199" s="43"/>
      <c r="AW199" s="43"/>
      <c r="AX199" s="43"/>
      <c r="AY199" s="43"/>
    </row>
    <row r="200" spans="1:51" ht="21.75" customHeight="1" x14ac:dyDescent="0.35">
      <c r="A200" s="147" t="s">
        <v>32</v>
      </c>
      <c r="B200" s="49">
        <v>22.40785322</v>
      </c>
      <c r="C200" s="49">
        <v>73.541873809999998</v>
      </c>
      <c r="D200" s="49">
        <v>62.765200999999983</v>
      </c>
      <c r="E200" s="49">
        <v>71.172667189999999</v>
      </c>
      <c r="F200" s="137">
        <f t="shared" si="145"/>
        <v>27.637530959999992</v>
      </c>
      <c r="G200" s="137">
        <v>257.52512617999997</v>
      </c>
      <c r="H200" s="138">
        <v>258.32744344999998</v>
      </c>
      <c r="I200" s="137">
        <v>11.765566529999999</v>
      </c>
      <c r="J200" s="137">
        <f t="shared" si="146"/>
        <v>0</v>
      </c>
      <c r="K200" s="50">
        <v>270.09300997999998</v>
      </c>
      <c r="L200" s="137">
        <v>61.582305280000014</v>
      </c>
      <c r="M200" s="137">
        <v>3.1016573900000002</v>
      </c>
      <c r="N200" s="137">
        <v>19.228717689999996</v>
      </c>
      <c r="O200" s="137">
        <v>8.6173662899999997</v>
      </c>
      <c r="P200" s="137">
        <f t="shared" si="147"/>
        <v>54.830581989999956</v>
      </c>
      <c r="Q200" s="137">
        <v>147.36062863999996</v>
      </c>
      <c r="R200" s="51">
        <v>26.12983316</v>
      </c>
      <c r="S200" s="137">
        <v>701.10859795999988</v>
      </c>
      <c r="T200" s="52">
        <v>646.77837830358783</v>
      </c>
      <c r="U200" s="49"/>
      <c r="V200" s="141"/>
      <c r="X200" s="96"/>
      <c r="Y200" s="91"/>
      <c r="Z200" s="179"/>
      <c r="AC200" s="177"/>
      <c r="AD200" s="107"/>
      <c r="AE200" s="107"/>
      <c r="AF200" s="43"/>
      <c r="AG200" s="43"/>
      <c r="AR200" s="43"/>
      <c r="AS200" s="43"/>
      <c r="AT200" s="43"/>
      <c r="AU200" s="43"/>
      <c r="AV200" s="43"/>
      <c r="AW200" s="43"/>
      <c r="AX200" s="43"/>
      <c r="AY200" s="43"/>
    </row>
    <row r="201" spans="1:51" ht="21.75" customHeight="1" x14ac:dyDescent="0.35">
      <c r="A201" s="68" t="s">
        <v>67</v>
      </c>
      <c r="B201" s="49">
        <v>17.952554849999999</v>
      </c>
      <c r="C201" s="49">
        <v>63.474620429999987</v>
      </c>
      <c r="D201" s="49">
        <v>47.764813500000002</v>
      </c>
      <c r="E201" s="49">
        <v>34.714484630000001</v>
      </c>
      <c r="F201" s="137">
        <f t="shared" si="145"/>
        <v>20.942234079999992</v>
      </c>
      <c r="G201" s="137">
        <v>184.84870748999998</v>
      </c>
      <c r="H201" s="138">
        <v>250.05023642000003</v>
      </c>
      <c r="I201" s="137">
        <v>23.026127649999999</v>
      </c>
      <c r="J201" s="137">
        <f t="shared" si="146"/>
        <v>0</v>
      </c>
      <c r="K201" s="50">
        <v>273.07636407000001</v>
      </c>
      <c r="L201" s="137">
        <v>69.493820159999999</v>
      </c>
      <c r="M201" s="137">
        <v>3.1771634500000006</v>
      </c>
      <c r="N201" s="137">
        <v>18.626523349999999</v>
      </c>
      <c r="O201" s="137">
        <v>7.5533918100000008</v>
      </c>
      <c r="P201" s="137">
        <f t="shared" si="147"/>
        <v>49.402770429999975</v>
      </c>
      <c r="Q201" s="137">
        <v>148.25366919999996</v>
      </c>
      <c r="R201" s="51">
        <v>18.029506829999999</v>
      </c>
      <c r="S201" s="137">
        <v>624.20824758999993</v>
      </c>
      <c r="T201" s="52">
        <v>580.52636126447896</v>
      </c>
      <c r="U201" s="49"/>
      <c r="V201" s="141"/>
      <c r="X201" s="96"/>
      <c r="Y201" s="91"/>
      <c r="Z201" s="179"/>
      <c r="AC201" s="177"/>
      <c r="AD201" s="107"/>
      <c r="AE201" s="107"/>
      <c r="AF201" s="43"/>
      <c r="AG201" s="43"/>
      <c r="AR201" s="43"/>
      <c r="AS201" s="43"/>
      <c r="AT201" s="43"/>
      <c r="AU201" s="43"/>
      <c r="AV201" s="43"/>
      <c r="AW201" s="43"/>
      <c r="AX201" s="43"/>
      <c r="AY201" s="43"/>
    </row>
    <row r="202" spans="1:51" ht="21.75" customHeight="1" x14ac:dyDescent="0.35">
      <c r="A202" s="68" t="s">
        <v>51</v>
      </c>
      <c r="B202" s="49">
        <v>19.153257489999998</v>
      </c>
      <c r="C202" s="49">
        <v>65.912836340000013</v>
      </c>
      <c r="D202" s="49">
        <v>49.66203577000001</v>
      </c>
      <c r="E202" s="49">
        <v>69.405899870000013</v>
      </c>
      <c r="F202" s="137">
        <f t="shared" si="145"/>
        <v>20.395742860000013</v>
      </c>
      <c r="G202" s="137">
        <v>224.52977233000004</v>
      </c>
      <c r="H202" s="138">
        <v>246.91636012000004</v>
      </c>
      <c r="I202" s="137">
        <v>10.015198759999999</v>
      </c>
      <c r="J202" s="137">
        <f t="shared" si="146"/>
        <v>0</v>
      </c>
      <c r="K202" s="50">
        <v>256.93155888000001</v>
      </c>
      <c r="L202" s="137">
        <v>57.414374209999998</v>
      </c>
      <c r="M202" s="137">
        <v>3.4724852600000005</v>
      </c>
      <c r="N202" s="137">
        <v>11.74484664</v>
      </c>
      <c r="O202" s="137">
        <v>6.4410464500000009</v>
      </c>
      <c r="P202" s="137">
        <f t="shared" si="147"/>
        <v>52.423830620000018</v>
      </c>
      <c r="Q202" s="137">
        <v>131.49658318000002</v>
      </c>
      <c r="R202" s="51">
        <v>35.844348440000005</v>
      </c>
      <c r="S202" s="137">
        <v>648.80226283000002</v>
      </c>
      <c r="T202" s="52">
        <v>602.86844906639897</v>
      </c>
      <c r="U202" s="49"/>
      <c r="V202" s="141"/>
      <c r="X202" s="96"/>
      <c r="Y202" s="91"/>
      <c r="Z202" s="179"/>
      <c r="AC202" s="177"/>
      <c r="AD202" s="107"/>
      <c r="AE202" s="107"/>
      <c r="AF202" s="43"/>
      <c r="AG202" s="43"/>
      <c r="AR202" s="43"/>
      <c r="AS202" s="43"/>
      <c r="AT202" s="43"/>
      <c r="AU202" s="43"/>
      <c r="AV202" s="43"/>
      <c r="AW202" s="43"/>
      <c r="AX202" s="43"/>
      <c r="AY202" s="43"/>
    </row>
    <row r="203" spans="1:51" ht="12.75" customHeight="1" thickBot="1" x14ac:dyDescent="0.4">
      <c r="A203" s="89"/>
      <c r="B203" s="53"/>
      <c r="C203" s="53"/>
      <c r="D203" s="53"/>
      <c r="E203" s="53"/>
      <c r="F203" s="53"/>
      <c r="G203" s="53"/>
      <c r="H203" s="54"/>
      <c r="I203" s="55"/>
      <c r="J203" s="56"/>
      <c r="K203" s="57"/>
      <c r="L203" s="55"/>
      <c r="M203" s="55"/>
      <c r="N203" s="55"/>
      <c r="O203" s="55"/>
      <c r="P203" s="55"/>
      <c r="Q203" s="55"/>
      <c r="R203" s="58"/>
      <c r="S203" s="55"/>
      <c r="T203" s="59"/>
      <c r="U203" s="49"/>
      <c r="V203" s="128"/>
      <c r="X203" s="96"/>
      <c r="AC203" s="177"/>
      <c r="AD203" s="102"/>
      <c r="AE203" s="102"/>
      <c r="AF203" s="43"/>
      <c r="AG203" s="43"/>
      <c r="AR203" s="43"/>
      <c r="AS203" s="43"/>
      <c r="AT203" s="43"/>
      <c r="AU203" s="43"/>
      <c r="AV203" s="43"/>
      <c r="AW203" s="43"/>
      <c r="AX203" s="43"/>
      <c r="AY203" s="43"/>
    </row>
    <row r="204" spans="1:51" ht="16.5" customHeight="1" x14ac:dyDescent="0.25">
      <c r="A204" s="6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X204" s="96"/>
      <c r="Z204" s="181"/>
      <c r="AC204" s="177"/>
      <c r="AD204" s="102"/>
      <c r="AE204" s="102"/>
      <c r="AF204" s="43"/>
      <c r="AG204" s="43"/>
      <c r="AR204" s="43"/>
      <c r="AS204" s="43"/>
      <c r="AT204" s="43"/>
      <c r="AU204" s="43"/>
      <c r="AV204" s="43"/>
      <c r="AW204" s="43"/>
      <c r="AX204" s="43"/>
      <c r="AY204" s="43"/>
    </row>
    <row r="205" spans="1:51" s="92" customFormat="1" ht="35.25" customHeight="1" x14ac:dyDescent="0.3">
      <c r="A205" s="162" t="s">
        <v>116</v>
      </c>
      <c r="B205" s="133">
        <f>(B202/B189-1)*100</f>
        <v>-38.064302765784866</v>
      </c>
      <c r="C205" s="133">
        <f t="shared" ref="C205:T205" si="149">(C202/C189-1)*100</f>
        <v>-23.500579078772322</v>
      </c>
      <c r="D205" s="133">
        <f t="shared" si="149"/>
        <v>-12.356526345422658</v>
      </c>
      <c r="E205" s="133">
        <f t="shared" si="149"/>
        <v>-19.212340806418261</v>
      </c>
      <c r="F205" s="133">
        <f t="shared" si="149"/>
        <v>-37.088602658937631</v>
      </c>
      <c r="G205" s="133">
        <f t="shared" si="149"/>
        <v>-23.127474344246657</v>
      </c>
      <c r="H205" s="134">
        <f t="shared" si="149"/>
        <v>-45.293468577866982</v>
      </c>
      <c r="I205" s="133">
        <f>(I202/I189-1)*100</f>
        <v>-62.179356571178836</v>
      </c>
      <c r="J205" s="153">
        <f>IFERROR((J202/J189-1)*100,0)</f>
        <v>0</v>
      </c>
      <c r="K205" s="135">
        <f t="shared" si="149"/>
        <v>-46.229268609837924</v>
      </c>
      <c r="L205" s="133">
        <f t="shared" si="149"/>
        <v>8.25041711933725</v>
      </c>
      <c r="M205" s="133">
        <f t="shared" si="149"/>
        <v>-9.6880423966414835</v>
      </c>
      <c r="N205" s="133">
        <f t="shared" si="149"/>
        <v>-10.07757705278366</v>
      </c>
      <c r="O205" s="133">
        <f t="shared" si="149"/>
        <v>29.433101751968827</v>
      </c>
      <c r="P205" s="133">
        <f t="shared" si="149"/>
        <v>-19.988871573573853</v>
      </c>
      <c r="Q205" s="133">
        <f t="shared" si="149"/>
        <v>-6.3691951414984294</v>
      </c>
      <c r="R205" s="136">
        <f t="shared" si="149"/>
        <v>24.157705724015809</v>
      </c>
      <c r="S205" s="133">
        <f t="shared" si="149"/>
        <v>-30.921173013253757</v>
      </c>
      <c r="T205" s="135">
        <f t="shared" si="149"/>
        <v>-31.56276632529692</v>
      </c>
      <c r="U205" s="131"/>
      <c r="X205" s="96"/>
      <c r="Z205" s="181"/>
      <c r="AD205" s="132"/>
      <c r="AE205" s="132"/>
      <c r="AF205" s="105"/>
      <c r="AG205" s="105"/>
      <c r="AR205" s="105"/>
      <c r="AS205" s="105"/>
      <c r="AT205" s="105"/>
      <c r="AU205" s="105"/>
      <c r="AV205" s="105"/>
      <c r="AW205" s="105"/>
      <c r="AX205" s="105"/>
      <c r="AY205" s="105"/>
    </row>
    <row r="206" spans="1:51" ht="8.25" customHeight="1" x14ac:dyDescent="0.2">
      <c r="A206" s="6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X206" s="96"/>
      <c r="Z206" s="181"/>
      <c r="AD206" s="102"/>
      <c r="AE206" s="102"/>
      <c r="AF206" s="43"/>
      <c r="AG206" s="43"/>
      <c r="AR206" s="43"/>
      <c r="AS206" s="43"/>
      <c r="AT206" s="43"/>
      <c r="AU206" s="43"/>
      <c r="AV206" s="43"/>
      <c r="AW206" s="43"/>
      <c r="AX206" s="43"/>
      <c r="AY206" s="43"/>
    </row>
    <row r="207" spans="1:51" x14ac:dyDescent="0.35">
      <c r="A207" s="36" t="s">
        <v>40</v>
      </c>
      <c r="B207" s="36" t="s">
        <v>83</v>
      </c>
      <c r="C207" s="28"/>
      <c r="D207" s="37"/>
      <c r="E207" s="37"/>
      <c r="F207" s="37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28"/>
      <c r="W207" s="130"/>
      <c r="X207" s="96"/>
      <c r="Y207" s="118">
        <f t="shared" ref="Y207" si="150">(S166/S165-1)*100</f>
        <v>-25.824083528694921</v>
      </c>
      <c r="Z207" s="119">
        <f t="shared" ref="Z207:Z214" si="151">(T166/T165-1)*100</f>
        <v>-25.630249801259495</v>
      </c>
      <c r="AA207" s="120"/>
      <c r="AD207" s="102"/>
      <c r="AE207" s="102"/>
      <c r="AF207" s="43"/>
      <c r="AG207" s="43"/>
      <c r="AR207" s="43"/>
      <c r="AS207" s="43"/>
      <c r="AT207" s="43"/>
      <c r="AU207" s="43"/>
      <c r="AV207" s="43"/>
      <c r="AW207" s="43"/>
      <c r="AX207" s="43"/>
      <c r="AY207" s="43"/>
    </row>
    <row r="208" spans="1:51" x14ac:dyDescent="0.35">
      <c r="A208" s="39" t="s">
        <v>41</v>
      </c>
      <c r="B208" s="39" t="s">
        <v>84</v>
      </c>
      <c r="C208" s="38"/>
      <c r="D208" s="40"/>
      <c r="E208" s="40"/>
      <c r="F208" s="37"/>
      <c r="U208" s="49"/>
      <c r="Y208" s="118">
        <f t="shared" ref="Y208:Y214" si="152">(S167/S166-1)*100</f>
        <v>26.705219304196181</v>
      </c>
      <c r="Z208" s="119">
        <f t="shared" si="151"/>
        <v>28.379138033216901</v>
      </c>
      <c r="AA208" s="120"/>
      <c r="AD208" s="102"/>
      <c r="AE208" s="102"/>
      <c r="AF208" s="43"/>
      <c r="AG208" s="43"/>
      <c r="AR208" s="43"/>
      <c r="AS208" s="43"/>
      <c r="AT208" s="43"/>
      <c r="AU208" s="43"/>
      <c r="AV208" s="43"/>
      <c r="AW208" s="43"/>
      <c r="AX208" s="43"/>
      <c r="AY208" s="43"/>
    </row>
    <row r="209" spans="1:51" x14ac:dyDescent="0.35">
      <c r="A209" s="70"/>
      <c r="B209" s="41" t="s">
        <v>85</v>
      </c>
      <c r="C209" s="38"/>
      <c r="D209" s="40"/>
      <c r="E209" s="40"/>
      <c r="F209" s="45"/>
      <c r="U209" s="49"/>
      <c r="W209" s="44"/>
      <c r="Y209" s="118">
        <f t="shared" si="152"/>
        <v>-4.5666048040504448</v>
      </c>
      <c r="Z209" s="119">
        <f t="shared" si="151"/>
        <v>-5.8234557938281695</v>
      </c>
      <c r="AA209" s="120"/>
      <c r="AD209" s="102"/>
      <c r="AE209" s="102"/>
      <c r="AF209" s="43"/>
      <c r="AG209" s="43"/>
      <c r="AR209" s="43"/>
      <c r="AS209" s="43"/>
      <c r="AT209" s="43"/>
      <c r="AU209" s="43"/>
      <c r="AV209" s="43"/>
      <c r="AW209" s="43"/>
      <c r="AX209" s="43"/>
      <c r="AY209" s="43"/>
    </row>
    <row r="210" spans="1:51" x14ac:dyDescent="0.35">
      <c r="A210" s="70"/>
      <c r="B210" s="41" t="s">
        <v>86</v>
      </c>
      <c r="C210" s="38"/>
      <c r="D210" s="40"/>
      <c r="E210" s="40"/>
      <c r="F210" s="45"/>
      <c r="U210" s="49"/>
      <c r="W210" s="44"/>
      <c r="Y210" s="118">
        <f t="shared" si="152"/>
        <v>0.85828256706874662</v>
      </c>
      <c r="Z210" s="119">
        <f t="shared" si="151"/>
        <v>1.9174202303081644</v>
      </c>
      <c r="AA210" s="120"/>
      <c r="AD210" s="43"/>
      <c r="AE210" s="43"/>
      <c r="AF210" s="43"/>
      <c r="AG210" s="43"/>
      <c r="AR210" s="43"/>
      <c r="AS210" s="43"/>
      <c r="AT210" s="43"/>
      <c r="AU210" s="43"/>
      <c r="AV210" s="43"/>
      <c r="AW210" s="43"/>
      <c r="AX210" s="43"/>
      <c r="AY210" s="43"/>
    </row>
    <row r="211" spans="1:51" x14ac:dyDescent="0.35">
      <c r="A211" s="70"/>
      <c r="B211" s="41" t="s">
        <v>88</v>
      </c>
      <c r="C211" s="38"/>
      <c r="D211" s="40"/>
      <c r="E211" s="40"/>
      <c r="F211" s="45"/>
      <c r="T211" s="92"/>
      <c r="U211" s="49"/>
      <c r="W211" s="116"/>
      <c r="Y211" s="118">
        <f t="shared" si="152"/>
        <v>-0.82486187803402222</v>
      </c>
      <c r="Z211" s="119">
        <f t="shared" si="151"/>
        <v>-0.23151106107855979</v>
      </c>
      <c r="AA211" s="120"/>
      <c r="AD211" s="43"/>
      <c r="AE211" s="43"/>
      <c r="AF211" s="43"/>
      <c r="AG211" s="43"/>
      <c r="AR211" s="43"/>
      <c r="AS211" s="43"/>
      <c r="AT211" s="43"/>
      <c r="AU211" s="43"/>
      <c r="AV211" s="43"/>
      <c r="AW211" s="43"/>
      <c r="AX211" s="43"/>
      <c r="AY211" s="43"/>
    </row>
    <row r="212" spans="1:51" x14ac:dyDescent="0.35">
      <c r="A212" s="70"/>
      <c r="B212" s="41" t="s">
        <v>74</v>
      </c>
      <c r="C212" s="38"/>
      <c r="D212" s="40"/>
      <c r="E212" s="40"/>
      <c r="F212" s="45"/>
      <c r="T212" s="92"/>
      <c r="U212" s="49"/>
      <c r="W212" s="116"/>
      <c r="Y212" s="118">
        <f t="shared" si="152"/>
        <v>3.5470189526709772</v>
      </c>
      <c r="Z212" s="119">
        <f t="shared" si="151"/>
        <v>2.7420740033281321</v>
      </c>
      <c r="AA212" s="120"/>
      <c r="AD212" s="43"/>
      <c r="AE212" s="43"/>
      <c r="AF212" s="43"/>
      <c r="AG212" s="43"/>
      <c r="AH212" s="102"/>
      <c r="AI212" s="102"/>
      <c r="AJ212" s="43"/>
      <c r="AK212" s="43"/>
      <c r="AL212" s="43"/>
      <c r="AM212" s="103"/>
      <c r="AN212" s="103"/>
      <c r="AO212" s="103"/>
      <c r="AP212" s="103"/>
      <c r="AQ212" s="103"/>
      <c r="AR212" s="43"/>
      <c r="AS212" s="43"/>
      <c r="AT212" s="43"/>
      <c r="AU212" s="43"/>
      <c r="AV212" s="43"/>
      <c r="AW212" s="43"/>
      <c r="AX212" s="43"/>
      <c r="AY212" s="43"/>
    </row>
    <row r="213" spans="1:51" x14ac:dyDescent="0.35">
      <c r="A213" s="71"/>
      <c r="B213" s="41" t="s">
        <v>87</v>
      </c>
      <c r="C213" s="42"/>
      <c r="D213" s="42"/>
      <c r="E213" s="44"/>
      <c r="F213" s="45"/>
      <c r="U213" s="49"/>
      <c r="V213" s="61"/>
      <c r="Y213" s="118">
        <f t="shared" si="152"/>
        <v>1.2305432982705033</v>
      </c>
      <c r="Z213" s="119">
        <f t="shared" si="151"/>
        <v>2.0626679360185696</v>
      </c>
      <c r="AA213" s="120"/>
      <c r="AD213" s="103"/>
      <c r="AE213" s="103"/>
      <c r="AF213" s="103"/>
      <c r="AG213" s="103"/>
      <c r="AH213" s="103"/>
      <c r="AI213" s="103"/>
      <c r="AJ213" s="43"/>
      <c r="AK213" s="43"/>
      <c r="AL213" s="43"/>
      <c r="AM213" s="102"/>
      <c r="AN213" s="102"/>
      <c r="AO213" s="102"/>
      <c r="AP213" s="102"/>
      <c r="AQ213" s="102"/>
      <c r="AR213" s="43"/>
      <c r="AS213" s="43"/>
      <c r="AT213" s="43"/>
      <c r="AU213" s="43"/>
      <c r="AV213" s="43"/>
      <c r="AW213" s="43"/>
      <c r="AX213" s="43"/>
      <c r="AY213" s="43"/>
    </row>
    <row r="214" spans="1:51" x14ac:dyDescent="0.35">
      <c r="B214" s="49"/>
      <c r="C214" s="49"/>
      <c r="D214" s="49"/>
      <c r="E214" s="49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150"/>
      <c r="V214" s="49"/>
      <c r="W214" s="49"/>
      <c r="X214" s="49"/>
      <c r="Y214" s="118">
        <f t="shared" si="152"/>
        <v>-4.8426300752093976</v>
      </c>
      <c r="Z214" s="119">
        <f t="shared" si="151"/>
        <v>-5.6645126871804781</v>
      </c>
      <c r="AA214" s="121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102"/>
      <c r="AO214" s="102"/>
      <c r="AP214" s="102"/>
      <c r="AQ214" s="102"/>
      <c r="AR214" s="43"/>
      <c r="AS214" s="43"/>
      <c r="AT214" s="43"/>
      <c r="AU214" s="43"/>
      <c r="AV214" s="43"/>
      <c r="AW214" s="43"/>
      <c r="AX214" s="43"/>
      <c r="AY214" s="43"/>
    </row>
    <row r="215" spans="1:51" x14ac:dyDescent="0.35"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176">
        <f>SUM(T178:T186)</f>
        <v>9584.8231537371703</v>
      </c>
      <c r="U215" s="151"/>
      <c r="V215" s="49"/>
      <c r="W215" s="49"/>
      <c r="X215" s="49"/>
      <c r="Y215" s="118"/>
      <c r="Z215" s="118"/>
      <c r="AA215" s="121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102"/>
      <c r="AO215" s="102"/>
      <c r="AP215" s="102"/>
      <c r="AQ215" s="102"/>
      <c r="AR215" s="43"/>
      <c r="AS215" s="43"/>
      <c r="AT215" s="43"/>
      <c r="AU215" s="43"/>
      <c r="AV215" s="43"/>
      <c r="AW215" s="43"/>
      <c r="AX215" s="43"/>
      <c r="AY215" s="43"/>
    </row>
    <row r="216" spans="1:51" x14ac:dyDescent="0.35">
      <c r="A216" s="49"/>
      <c r="B216" s="20" t="s">
        <v>8</v>
      </c>
      <c r="C216" s="20" t="s">
        <v>9</v>
      </c>
      <c r="D216" s="20" t="s">
        <v>10</v>
      </c>
      <c r="E216" s="19" t="s">
        <v>13</v>
      </c>
      <c r="F216" s="19" t="s">
        <v>92</v>
      </c>
      <c r="G216" s="19" t="s">
        <v>90</v>
      </c>
      <c r="H216" s="19" t="s">
        <v>93</v>
      </c>
      <c r="I216" s="19" t="s">
        <v>89</v>
      </c>
      <c r="K216" s="19" t="s">
        <v>16</v>
      </c>
      <c r="L216" s="19" t="s">
        <v>17</v>
      </c>
      <c r="M216" s="19" t="s">
        <v>18</v>
      </c>
      <c r="N216" s="19" t="s">
        <v>11</v>
      </c>
      <c r="O216" s="19" t="s">
        <v>19</v>
      </c>
      <c r="P216" s="19"/>
      <c r="Q216" s="19"/>
      <c r="R216" s="152"/>
      <c r="S216" s="152"/>
      <c r="T216" s="176">
        <f>SUM(T191:T199)</f>
        <v>6468.9496040024678</v>
      </c>
      <c r="U216" s="151"/>
      <c r="V216" s="49"/>
      <c r="W216" s="123"/>
      <c r="X216" s="49"/>
      <c r="Y216" s="118"/>
      <c r="Z216" s="118"/>
      <c r="AA216" s="121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102"/>
      <c r="AO216" s="102"/>
      <c r="AP216" s="102"/>
      <c r="AQ216" s="102"/>
      <c r="AR216" s="43"/>
      <c r="AS216" s="43"/>
      <c r="AT216" s="43"/>
      <c r="AU216" s="43"/>
      <c r="AV216" s="43"/>
      <c r="AW216" s="43"/>
      <c r="AX216" s="43"/>
      <c r="AY216" s="43"/>
    </row>
    <row r="217" spans="1:51" x14ac:dyDescent="0.35">
      <c r="A217" s="49"/>
      <c r="B217" s="137">
        <v>591.85545083000011</v>
      </c>
      <c r="C217" s="137">
        <v>451.32399503999994</v>
      </c>
      <c r="D217" s="137">
        <v>506.84613250000001</v>
      </c>
      <c r="E217" s="138">
        <v>2723.9807184900001</v>
      </c>
      <c r="F217" s="138">
        <f>E220+F220+G220+H220</f>
        <v>527.41889973000025</v>
      </c>
      <c r="G217" s="138">
        <v>530.70810817000006</v>
      </c>
      <c r="H217" s="138">
        <f>SUM(K217:O217)</f>
        <v>848.11234030000003</v>
      </c>
      <c r="I217" s="138">
        <f>SUM(B217:H217)</f>
        <v>6180.2456450600002</v>
      </c>
      <c r="K217" s="138">
        <v>31.696203540000003</v>
      </c>
      <c r="L217" s="138">
        <v>110.65930484</v>
      </c>
      <c r="M217" s="138">
        <v>49.803556670000006</v>
      </c>
      <c r="N217" s="138">
        <v>421.23497707000001</v>
      </c>
      <c r="O217" s="138">
        <v>234.71829818000001</v>
      </c>
      <c r="P217" s="138"/>
      <c r="Q217" s="138"/>
      <c r="R217" s="49"/>
      <c r="S217" s="44"/>
      <c r="T217" s="92">
        <f>(T216/T215-1)*100</f>
        <v>-32.508409385934343</v>
      </c>
      <c r="U217" s="151"/>
      <c r="V217" s="49"/>
      <c r="W217" s="123"/>
      <c r="X217" s="49"/>
      <c r="Y217" s="118"/>
      <c r="Z217" s="118"/>
      <c r="AA217" s="121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102"/>
      <c r="AO217" s="102"/>
      <c r="AP217" s="102"/>
      <c r="AQ217" s="102"/>
      <c r="AR217" s="43"/>
      <c r="AS217" s="43"/>
      <c r="AT217" s="43"/>
      <c r="AU217" s="43"/>
      <c r="AV217" s="43"/>
      <c r="AW217" s="43"/>
      <c r="AX217" s="43"/>
      <c r="AY217" s="43"/>
    </row>
    <row r="218" spans="1:51" x14ac:dyDescent="0.35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123"/>
      <c r="X218" s="49"/>
      <c r="Y218" s="118"/>
      <c r="Z218" s="118"/>
      <c r="AA218" s="121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</row>
    <row r="219" spans="1:51" x14ac:dyDescent="0.35">
      <c r="A219" s="49"/>
      <c r="B219" s="49"/>
      <c r="C219" s="49"/>
      <c r="E219" s="19" t="s">
        <v>7</v>
      </c>
      <c r="F219" s="20" t="s">
        <v>11</v>
      </c>
      <c r="G219" s="20" t="s">
        <v>14</v>
      </c>
      <c r="H219" s="20" t="s">
        <v>11</v>
      </c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123"/>
      <c r="X219" s="49"/>
      <c r="Y219" s="118"/>
      <c r="Z219" s="118"/>
      <c r="AA219" s="121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</row>
    <row r="220" spans="1:51" s="92" customFormat="1" x14ac:dyDescent="0.3">
      <c r="A220" s="49"/>
      <c r="B220" s="49"/>
      <c r="C220" s="49"/>
      <c r="E220" s="137">
        <v>184.44768851000001</v>
      </c>
      <c r="F220" s="137">
        <v>210.31438595000012</v>
      </c>
      <c r="G220" s="137">
        <v>132.18689777000003</v>
      </c>
      <c r="H220" s="137">
        <v>0.4699275000000398</v>
      </c>
      <c r="I220"/>
      <c r="J220"/>
      <c r="K220" s="84"/>
      <c r="L220"/>
      <c r="M220"/>
      <c r="N220"/>
      <c r="O220"/>
      <c r="P220"/>
      <c r="Q220" s="148"/>
      <c r="R220" s="148"/>
      <c r="S220" s="149"/>
      <c r="T220" s="149"/>
      <c r="U220" s="49"/>
      <c r="V220" s="49"/>
      <c r="W220" s="123"/>
      <c r="X220" s="49"/>
      <c r="Y220" s="121"/>
      <c r="Z220" s="121"/>
      <c r="AA220" s="121"/>
      <c r="AB220" s="49"/>
      <c r="AC220" s="49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105"/>
      <c r="AS220" s="105"/>
      <c r="AT220" s="105"/>
      <c r="AU220" s="105"/>
      <c r="AV220" s="105"/>
      <c r="AW220" s="105"/>
      <c r="AX220" s="105"/>
      <c r="AY220" s="105"/>
    </row>
    <row r="221" spans="1:51" x14ac:dyDescent="0.35"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</row>
    <row r="222" spans="1:51" x14ac:dyDescent="0.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123"/>
      <c r="X222" s="121"/>
      <c r="Y222" s="121"/>
      <c r="Z222" s="121"/>
      <c r="AA222" s="121"/>
      <c r="AB222" s="121"/>
      <c r="AC222" s="121"/>
      <c r="AD222" s="121"/>
      <c r="AE222" s="103"/>
      <c r="AF222" s="103"/>
      <c r="AG222" s="103"/>
      <c r="AH222" s="103"/>
      <c r="AI222" s="103"/>
      <c r="AJ222" s="103"/>
      <c r="AK222" s="103"/>
      <c r="AL222" s="103"/>
      <c r="AM222" s="102"/>
      <c r="AN222" s="102"/>
      <c r="AO222" s="102"/>
      <c r="AP222" s="102"/>
      <c r="AQ222" s="102"/>
      <c r="AR222" s="43"/>
      <c r="AS222" s="43"/>
      <c r="AT222" s="43"/>
      <c r="AU222" s="43"/>
      <c r="AV222" s="43"/>
      <c r="AW222" s="43"/>
      <c r="AX222" s="43"/>
      <c r="AY222" s="43"/>
    </row>
    <row r="223" spans="1:51" x14ac:dyDescent="0.2">
      <c r="A223" s="49"/>
      <c r="B223" s="49"/>
      <c r="C223" s="49"/>
      <c r="D223" s="49"/>
      <c r="E223" s="49"/>
      <c r="F223" s="49"/>
      <c r="G223" s="49">
        <f>SUM(G178:G187)</f>
        <v>3333.0362804799997</v>
      </c>
      <c r="H223" s="49">
        <f t="shared" ref="H223:T223" si="153">SUM(H178:H187)</f>
        <v>5143.1685788199993</v>
      </c>
      <c r="I223" s="49">
        <f t="shared" si="153"/>
        <v>498.04620255000009</v>
      </c>
      <c r="J223" s="49">
        <f t="shared" si="153"/>
        <v>0.51502000000000003</v>
      </c>
      <c r="K223" s="49">
        <f t="shared" si="153"/>
        <v>5641.729801370001</v>
      </c>
      <c r="L223" s="49">
        <f t="shared" si="153"/>
        <v>992.93856598000002</v>
      </c>
      <c r="M223" s="49">
        <f t="shared" si="153"/>
        <v>42.830509210000002</v>
      </c>
      <c r="N223" s="49">
        <f t="shared" si="153"/>
        <v>140.85229140000001</v>
      </c>
      <c r="O223" s="49">
        <f t="shared" si="153"/>
        <v>31.295274720000002</v>
      </c>
      <c r="P223" s="49">
        <f t="shared" si="153"/>
        <v>723.68761862000008</v>
      </c>
      <c r="Q223" s="49">
        <f t="shared" si="153"/>
        <v>1931.6042599299999</v>
      </c>
      <c r="R223" s="49">
        <f t="shared" si="153"/>
        <v>246.16136864999999</v>
      </c>
      <c r="S223" s="49">
        <f t="shared" si="153"/>
        <v>11152.531710429997</v>
      </c>
      <c r="T223" s="49">
        <f t="shared" si="153"/>
        <v>10545.835959464537</v>
      </c>
      <c r="U223" s="49"/>
      <c r="V223" s="49"/>
      <c r="W223" s="123"/>
      <c r="X223" s="121"/>
      <c r="Y223" s="121"/>
      <c r="Z223" s="121"/>
      <c r="AA223" s="121"/>
      <c r="AB223" s="121"/>
      <c r="AC223" s="121"/>
      <c r="AD223" s="121"/>
    </row>
    <row r="224" spans="1:51" x14ac:dyDescent="0.2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123"/>
      <c r="X224" s="121"/>
      <c r="Y224" s="121"/>
      <c r="Z224" s="121"/>
      <c r="AA224" s="121"/>
      <c r="AB224" s="121"/>
      <c r="AC224" s="121"/>
      <c r="AD224" s="121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</row>
    <row r="225" spans="1:46" x14ac:dyDescent="0.2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123"/>
      <c r="X225" s="121"/>
      <c r="Y225" s="121"/>
      <c r="Z225" s="121"/>
      <c r="AA225" s="121"/>
      <c r="AB225" s="121"/>
      <c r="AC225" s="121"/>
      <c r="AD225" s="121"/>
      <c r="AE225" s="49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</row>
    <row r="226" spans="1:46" x14ac:dyDescent="0.2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123"/>
      <c r="X226" s="121"/>
      <c r="Y226" s="121"/>
      <c r="Z226" s="121"/>
      <c r="AA226" s="121"/>
      <c r="AB226" s="121"/>
      <c r="AC226" s="121"/>
      <c r="AD226" s="121"/>
      <c r="AE226" s="49"/>
      <c r="AH226" s="43"/>
      <c r="AI226" s="102"/>
      <c r="AJ226" s="102"/>
      <c r="AK226" s="102"/>
      <c r="AL226" s="102"/>
      <c r="AM226" s="102"/>
      <c r="AN226" s="102"/>
      <c r="AO226" s="43"/>
      <c r="AP226" s="43"/>
      <c r="AQ226" s="43"/>
      <c r="AR226" s="43"/>
      <c r="AS226" s="43"/>
      <c r="AT226" s="43"/>
    </row>
    <row r="227" spans="1:46" x14ac:dyDescent="0.2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123"/>
      <c r="X227" s="121"/>
      <c r="Y227" s="121"/>
      <c r="Z227" s="121"/>
      <c r="AA227" s="121"/>
      <c r="AB227" s="121"/>
      <c r="AC227" s="121"/>
      <c r="AD227" s="121"/>
      <c r="AE227" s="49"/>
      <c r="AF227" s="43"/>
      <c r="AG227" s="43"/>
      <c r="AH227" s="43"/>
      <c r="AI227" s="102"/>
      <c r="AJ227" s="102"/>
      <c r="AK227" s="102"/>
      <c r="AL227" s="102"/>
      <c r="AM227" s="102"/>
      <c r="AN227" s="102"/>
      <c r="AO227" s="43"/>
      <c r="AP227" s="43"/>
      <c r="AQ227" s="43"/>
      <c r="AR227" s="43"/>
      <c r="AS227" s="43"/>
      <c r="AT227" s="43"/>
    </row>
    <row r="228" spans="1:46" x14ac:dyDescent="0.3">
      <c r="A228" s="49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49"/>
      <c r="V228" s="49"/>
      <c r="W228" s="49"/>
      <c r="X228" s="121"/>
      <c r="Y228" s="121"/>
      <c r="Z228" s="121"/>
      <c r="AA228" s="121"/>
      <c r="AB228" s="121"/>
      <c r="AC228" s="121"/>
      <c r="AD228" s="121"/>
    </row>
    <row r="229" spans="1:46" x14ac:dyDescent="0.2">
      <c r="A229" s="49"/>
      <c r="U229" s="49"/>
      <c r="V229" s="49"/>
      <c r="W229" s="49"/>
      <c r="X229" s="121"/>
      <c r="Y229" s="121"/>
      <c r="Z229" s="121"/>
      <c r="AA229" s="121"/>
      <c r="AB229" s="121"/>
      <c r="AC229" s="121"/>
      <c r="AD229" s="121"/>
    </row>
    <row r="230" spans="1:46" x14ac:dyDescent="0.2">
      <c r="A230" s="49"/>
      <c r="U230" s="49"/>
      <c r="V230" s="49"/>
      <c r="W230" s="49"/>
      <c r="X230" s="121"/>
      <c r="Y230" s="121"/>
      <c r="Z230" s="121"/>
      <c r="AA230" s="121"/>
      <c r="AB230" s="121"/>
      <c r="AC230" s="121"/>
      <c r="AD230" s="121"/>
      <c r="AE230" s="49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</row>
    <row r="231" spans="1:46" x14ac:dyDescent="0.2">
      <c r="A231" s="49"/>
      <c r="U231" s="49"/>
      <c r="V231" s="49"/>
      <c r="W231" s="49"/>
      <c r="X231" s="121"/>
      <c r="Y231" s="121"/>
      <c r="Z231" s="121"/>
      <c r="AA231" s="121"/>
      <c r="AB231" s="121"/>
      <c r="AC231" s="121"/>
      <c r="AD231" s="121"/>
      <c r="AH231" s="43"/>
      <c r="AI231" s="102"/>
      <c r="AJ231" s="102"/>
      <c r="AK231" s="102"/>
      <c r="AL231" s="102"/>
      <c r="AM231" s="102"/>
      <c r="AN231" s="102"/>
      <c r="AO231" s="102"/>
      <c r="AP231" s="102"/>
      <c r="AQ231" s="102"/>
      <c r="AR231" s="43"/>
      <c r="AS231" s="43"/>
    </row>
    <row r="232" spans="1:46" x14ac:dyDescent="0.2">
      <c r="A232" s="49"/>
      <c r="U232" s="49"/>
      <c r="V232" s="49"/>
      <c r="W232" s="49"/>
      <c r="X232" s="121"/>
      <c r="Y232" s="121"/>
      <c r="Z232" s="121"/>
      <c r="AA232" s="121"/>
      <c r="AB232" s="121"/>
      <c r="AC232" s="121"/>
      <c r="AD232" s="121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</row>
    <row r="233" spans="1:46" x14ac:dyDescent="0.2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121"/>
      <c r="AA233" s="49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</row>
    <row r="234" spans="1:46" x14ac:dyDescent="0.2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121"/>
      <c r="AA234" s="49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</row>
    <row r="235" spans="1:46" x14ac:dyDescent="0.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</row>
    <row r="236" spans="1:46" x14ac:dyDescent="0.35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</row>
    <row r="237" spans="1:46" x14ac:dyDescent="0.35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</row>
    <row r="238" spans="1:46" x14ac:dyDescent="0.35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</row>
    <row r="239" spans="1:46" x14ac:dyDescent="0.35"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</row>
    <row r="240" spans="1:46" x14ac:dyDescent="0.35"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</row>
    <row r="241" spans="1:34" x14ac:dyDescent="0.35"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</row>
    <row r="242" spans="1:34" x14ac:dyDescent="0.35"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</row>
    <row r="243" spans="1:34" x14ac:dyDescent="0.35"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</row>
    <row r="244" spans="1:34" x14ac:dyDescent="0.35"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</row>
    <row r="245" spans="1:34" x14ac:dyDescent="0.35"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</row>
    <row r="246" spans="1:34" x14ac:dyDescent="0.35">
      <c r="B246" s="122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</row>
    <row r="247" spans="1:34" x14ac:dyDescent="0.35">
      <c r="A247" s="49"/>
      <c r="V247" s="49"/>
    </row>
    <row r="248" spans="1:34" x14ac:dyDescent="0.25"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T248" s="49"/>
      <c r="U248" s="49"/>
      <c r="V248" s="49"/>
      <c r="W248" s="49"/>
      <c r="X248" s="49"/>
      <c r="Y248" s="49"/>
      <c r="Z248" s="121"/>
      <c r="AA248" s="49"/>
      <c r="AB248" s="49"/>
      <c r="AC248" s="49"/>
      <c r="AD248" s="49"/>
      <c r="AE248" s="49"/>
      <c r="AF248" s="49"/>
      <c r="AG248" s="49"/>
      <c r="AH248" s="49"/>
    </row>
    <row r="249" spans="1:34" s="49" customFormat="1" x14ac:dyDescent="0.2">
      <c r="Z249" s="121"/>
    </row>
    <row r="250" spans="1:34" x14ac:dyDescent="0.2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T250" s="49"/>
      <c r="U250" s="49"/>
      <c r="V250" s="49"/>
      <c r="W250" s="49"/>
      <c r="X250" s="49"/>
      <c r="Y250" s="49"/>
      <c r="Z250" s="121"/>
      <c r="AA250" s="49"/>
      <c r="AB250" s="49"/>
      <c r="AC250" s="49"/>
      <c r="AD250" s="49"/>
      <c r="AE250" s="49"/>
      <c r="AF250" s="49"/>
      <c r="AG250" s="49"/>
      <c r="AH250" s="49"/>
    </row>
    <row r="251" spans="1:34" x14ac:dyDescent="0.2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T251" s="49"/>
      <c r="U251" s="49"/>
      <c r="V251" s="49"/>
      <c r="W251" s="49"/>
      <c r="X251" s="49"/>
      <c r="Y251" s="49"/>
      <c r="Z251" s="121"/>
      <c r="AA251" s="49"/>
      <c r="AB251" s="49"/>
      <c r="AC251" s="49"/>
      <c r="AD251" s="49"/>
      <c r="AE251" s="49"/>
      <c r="AF251" s="49"/>
      <c r="AG251" s="49"/>
      <c r="AH251" s="49"/>
    </row>
    <row r="252" spans="1:34" x14ac:dyDescent="0.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121"/>
      <c r="AA252" s="49"/>
      <c r="AB252" s="49"/>
      <c r="AC252" s="49"/>
      <c r="AD252" s="49"/>
      <c r="AE252" s="49"/>
      <c r="AF252" s="49"/>
      <c r="AG252" s="49"/>
      <c r="AH252" s="49"/>
    </row>
    <row r="253" spans="1:34" x14ac:dyDescent="0.25"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121"/>
      <c r="AA253" s="49"/>
      <c r="AB253" s="49"/>
      <c r="AC253" s="49"/>
      <c r="AD253" s="49"/>
      <c r="AE253" s="49"/>
      <c r="AF253" s="49"/>
      <c r="AG253" s="49"/>
      <c r="AH253" s="49"/>
    </row>
    <row r="254" spans="1:34" x14ac:dyDescent="0.2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121"/>
      <c r="AA254" s="49"/>
      <c r="AB254" s="49"/>
      <c r="AC254" s="49"/>
      <c r="AD254" s="49"/>
      <c r="AE254" s="49"/>
      <c r="AF254" s="49"/>
      <c r="AG254" s="49"/>
      <c r="AH254" s="49"/>
    </row>
    <row r="255" spans="1:34" x14ac:dyDescent="0.2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121"/>
      <c r="AA255" s="49"/>
      <c r="AB255" s="49"/>
      <c r="AC255" s="49"/>
      <c r="AD255" s="49"/>
      <c r="AE255" s="49"/>
      <c r="AF255" s="49"/>
      <c r="AG255" s="49"/>
      <c r="AH255" s="49"/>
    </row>
    <row r="256" spans="1:34" x14ac:dyDescent="0.25"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121"/>
      <c r="AA256" s="49"/>
      <c r="AB256" s="49"/>
      <c r="AC256" s="49"/>
      <c r="AD256" s="49"/>
      <c r="AE256" s="49"/>
      <c r="AF256" s="49"/>
      <c r="AG256" s="49"/>
      <c r="AH256" s="49"/>
    </row>
    <row r="257" spans="2:34" x14ac:dyDescent="0.25"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121"/>
      <c r="AA257" s="49"/>
      <c r="AB257" s="49"/>
      <c r="AC257" s="49"/>
      <c r="AD257" s="49"/>
      <c r="AE257" s="49"/>
      <c r="AF257" s="49"/>
      <c r="AG257" s="49"/>
      <c r="AH257" s="49"/>
    </row>
    <row r="258" spans="2:34" x14ac:dyDescent="0.25"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121"/>
      <c r="AA258" s="49"/>
      <c r="AB258" s="49"/>
      <c r="AC258" s="49"/>
      <c r="AD258" s="49"/>
      <c r="AE258" s="49"/>
      <c r="AF258" s="49"/>
      <c r="AG258" s="49"/>
      <c r="AH258" s="49"/>
    </row>
    <row r="259" spans="2:34" x14ac:dyDescent="0.25"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121"/>
      <c r="AA259" s="49"/>
      <c r="AB259" s="49"/>
      <c r="AC259" s="49"/>
      <c r="AD259" s="49"/>
      <c r="AE259" s="49"/>
      <c r="AF259" s="49"/>
      <c r="AG259" s="49"/>
      <c r="AH259" s="49"/>
    </row>
    <row r="260" spans="2:34" x14ac:dyDescent="0.35"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</row>
    <row r="261" spans="2:34" x14ac:dyDescent="0.35"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</row>
    <row r="262" spans="2:34" x14ac:dyDescent="0.35"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</row>
    <row r="263" spans="2:34" x14ac:dyDescent="0.35"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</row>
    <row r="264" spans="2:34" x14ac:dyDescent="0.35"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</row>
    <row r="265" spans="2:34" x14ac:dyDescent="0.35"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</row>
    <row r="266" spans="2:34" x14ac:dyDescent="0.35"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</row>
    <row r="267" spans="2:34" x14ac:dyDescent="0.35"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</row>
    <row r="268" spans="2:34" x14ac:dyDescent="0.35"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</row>
    <row r="269" spans="2:34" x14ac:dyDescent="0.35"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</row>
    <row r="270" spans="2:34" x14ac:dyDescent="0.35"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</row>
    <row r="271" spans="2:34" x14ac:dyDescent="0.35"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</row>
    <row r="272" spans="2:34" x14ac:dyDescent="0.35"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</row>
    <row r="273" spans="2:22" x14ac:dyDescent="0.35"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</row>
    <row r="274" spans="2:22" x14ac:dyDescent="0.35"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</row>
    <row r="275" spans="2:22" x14ac:dyDescent="0.35"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</row>
    <row r="276" spans="2:22" x14ac:dyDescent="0.35"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</row>
    <row r="277" spans="2:22" x14ac:dyDescent="0.35"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</row>
    <row r="278" spans="2:22" x14ac:dyDescent="0.35"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</row>
    <row r="279" spans="2:22" x14ac:dyDescent="0.35"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</row>
    <row r="280" spans="2:22" x14ac:dyDescent="0.35"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</row>
    <row r="281" spans="2:22" x14ac:dyDescent="0.35"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</row>
  </sheetData>
  <mergeCells count="3">
    <mergeCell ref="S6:T6"/>
    <mergeCell ref="A3:T3"/>
    <mergeCell ref="AK139:AL139"/>
  </mergeCells>
  <phoneticPr fontId="0" type="noConversion"/>
  <printOptions horizontalCentered="1" verticalCentered="1"/>
  <pageMargins left="0.54500000000000004" right="0" top="0" bottom="0.39370078740157483" header="0" footer="0"/>
  <pageSetup paperSize="9" scale="36" orientation="landscape" r:id="rId1"/>
  <headerFooter alignWithMargins="0"/>
  <ignoredErrors>
    <ignoredError sqref="Q135:T138 Q151:T151 Q139:Q150 S139:S150 S152:S154 K164 G177:T189 O190" formula="1"/>
    <ignoredError sqref="A125 A27:A124 A20:A22 A23:A2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9"/>
  <sheetViews>
    <sheetView view="pageBreakPreview" topLeftCell="A4" zoomScale="55" zoomScaleNormal="55" zoomScaleSheetLayoutView="55" workbookViewId="0">
      <selection activeCell="U9" sqref="U9"/>
    </sheetView>
  </sheetViews>
  <sheetFormatPr baseColWidth="10" defaultRowHeight="18" x14ac:dyDescent="0.25"/>
  <cols>
    <col min="1" max="1" width="18.140625" style="66" customWidth="1"/>
    <col min="2" max="19" width="15.7109375" customWidth="1"/>
    <col min="20" max="20" width="19.7109375" customWidth="1"/>
    <col min="21" max="21" width="10.28515625" customWidth="1"/>
    <col min="22" max="22" width="25.5703125" customWidth="1"/>
    <col min="23" max="23" width="27.7109375" customWidth="1"/>
    <col min="24" max="24" width="25.5703125" customWidth="1"/>
    <col min="25" max="25" width="15.5703125" style="97" customWidth="1"/>
    <col min="26" max="26" width="13.5703125" bestFit="1" customWidth="1"/>
    <col min="27" max="27" width="14.7109375" bestFit="1" customWidth="1"/>
    <col min="31" max="31" width="12.140625" bestFit="1" customWidth="1"/>
    <col min="34" max="35" width="11.42578125" customWidth="1"/>
    <col min="36" max="36" width="22.5703125" customWidth="1"/>
    <col min="37" max="37" width="24.85546875" bestFit="1" customWidth="1"/>
    <col min="38" max="38" width="27" bestFit="1" customWidth="1"/>
    <col min="39" max="39" width="29.140625" bestFit="1" customWidth="1"/>
    <col min="40" max="40" width="12.28515625" customWidth="1"/>
    <col min="41" max="41" width="11.42578125" customWidth="1"/>
  </cols>
  <sheetData>
    <row r="1" spans="1:41" ht="25.5" x14ac:dyDescent="0.2">
      <c r="A1" s="129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41" ht="18.75" x14ac:dyDescent="0.2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41" ht="33" x14ac:dyDescent="0.2">
      <c r="A3" s="212" t="s">
        <v>0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159"/>
      <c r="V3" s="125"/>
      <c r="W3" s="6"/>
    </row>
    <row r="4" spans="1:41" ht="26.25" x14ac:dyDescent="0.25">
      <c r="A4" s="72"/>
      <c r="B4" s="3"/>
      <c r="C4" s="4"/>
      <c r="D4" s="4"/>
      <c r="E4" s="4"/>
      <c r="F4" s="7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7"/>
      <c r="S4" s="7"/>
      <c r="T4" s="7"/>
      <c r="U4" s="7"/>
      <c r="V4" s="7"/>
      <c r="W4" s="6"/>
    </row>
    <row r="5" spans="1:41" ht="20.25" x14ac:dyDescent="0.2">
      <c r="A5" s="62"/>
      <c r="B5" s="8"/>
      <c r="C5" s="8"/>
      <c r="D5" s="8"/>
      <c r="E5" s="8"/>
      <c r="F5" s="7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14" t="s">
        <v>1</v>
      </c>
      <c r="S5" s="214"/>
      <c r="T5" s="214"/>
      <c r="U5" s="158"/>
      <c r="V5" s="158"/>
      <c r="W5" s="8"/>
    </row>
    <row r="6" spans="1:41" ht="21" x14ac:dyDescent="0.2">
      <c r="A6" s="63"/>
      <c r="B6" s="10" t="s">
        <v>2</v>
      </c>
      <c r="C6" s="11"/>
      <c r="D6" s="11"/>
      <c r="E6" s="11"/>
      <c r="F6" s="11"/>
      <c r="G6" s="11"/>
      <c r="H6" s="10" t="s">
        <v>3</v>
      </c>
      <c r="I6" s="12"/>
      <c r="J6" s="11"/>
      <c r="K6" s="11"/>
      <c r="L6" s="10" t="s">
        <v>4</v>
      </c>
      <c r="M6" s="11"/>
      <c r="N6" s="11"/>
      <c r="O6" s="11"/>
      <c r="P6" s="11"/>
      <c r="Q6" s="11"/>
      <c r="R6" s="13"/>
      <c r="S6" s="210" t="s">
        <v>46</v>
      </c>
      <c r="T6" s="211"/>
      <c r="U6" s="126"/>
      <c r="V6" s="126"/>
      <c r="W6" s="14"/>
    </row>
    <row r="7" spans="1:41" x14ac:dyDescent="0.2">
      <c r="A7" s="19"/>
      <c r="B7" s="9"/>
      <c r="C7" s="15"/>
      <c r="D7" s="15"/>
      <c r="E7" s="15"/>
      <c r="F7" s="15"/>
      <c r="G7" s="16"/>
      <c r="H7" s="9"/>
      <c r="I7" s="16"/>
      <c r="J7" s="15"/>
      <c r="K7" s="16"/>
      <c r="L7" s="9"/>
      <c r="M7" s="15"/>
      <c r="N7" s="15"/>
      <c r="O7" s="15"/>
      <c r="P7" s="15"/>
      <c r="Q7" s="16"/>
      <c r="R7" s="17" t="s">
        <v>5</v>
      </c>
      <c r="S7" s="16"/>
      <c r="T7" s="18"/>
      <c r="U7" s="127"/>
      <c r="V7" s="127"/>
      <c r="W7" s="14"/>
    </row>
    <row r="8" spans="1:41" ht="42" customHeight="1" x14ac:dyDescent="0.2">
      <c r="A8" s="19" t="s">
        <v>6</v>
      </c>
      <c r="B8" s="19" t="s">
        <v>7</v>
      </c>
      <c r="C8" s="20" t="s">
        <v>8</v>
      </c>
      <c r="D8" s="20" t="s">
        <v>9</v>
      </c>
      <c r="E8" s="20" t="s">
        <v>10</v>
      </c>
      <c r="F8" s="20" t="s">
        <v>11</v>
      </c>
      <c r="G8" s="20" t="s">
        <v>12</v>
      </c>
      <c r="H8" s="19" t="s">
        <v>13</v>
      </c>
      <c r="I8" s="20" t="s">
        <v>14</v>
      </c>
      <c r="J8" s="20" t="s">
        <v>11</v>
      </c>
      <c r="K8" s="20" t="s">
        <v>12</v>
      </c>
      <c r="L8" s="19" t="s">
        <v>15</v>
      </c>
      <c r="M8" s="20" t="s">
        <v>16</v>
      </c>
      <c r="N8" s="20" t="s">
        <v>17</v>
      </c>
      <c r="O8" s="20" t="s">
        <v>18</v>
      </c>
      <c r="P8" s="20" t="s">
        <v>11</v>
      </c>
      <c r="Q8" s="20" t="s">
        <v>12</v>
      </c>
      <c r="R8" s="17" t="s">
        <v>19</v>
      </c>
      <c r="S8" s="20" t="s">
        <v>20</v>
      </c>
      <c r="T8" s="21" t="s">
        <v>73</v>
      </c>
      <c r="U8" s="20"/>
      <c r="V8" s="160" t="s">
        <v>2</v>
      </c>
      <c r="W8" s="161" t="s">
        <v>101</v>
      </c>
      <c r="X8" s="160" t="s">
        <v>102</v>
      </c>
      <c r="Y8" s="160" t="s">
        <v>89</v>
      </c>
    </row>
    <row r="9" spans="1:41" s="115" customFormat="1" ht="36.75" customHeight="1" x14ac:dyDescent="0.3">
      <c r="A9" s="111">
        <v>2003</v>
      </c>
      <c r="B9" s="79">
        <v>73.286402910000007</v>
      </c>
      <c r="C9" s="78">
        <v>124.17614291999999</v>
      </c>
      <c r="D9" s="78">
        <v>75.856719260000006</v>
      </c>
      <c r="E9" s="78">
        <v>71.841166619999996</v>
      </c>
      <c r="F9" s="78">
        <v>23.235527169999976</v>
      </c>
      <c r="G9" s="80">
        <v>368.39595888000008</v>
      </c>
      <c r="H9" s="79">
        <v>389.56204966000001</v>
      </c>
      <c r="I9" s="78">
        <v>95.815830320000018</v>
      </c>
      <c r="J9" s="78">
        <v>3.8724871100000002</v>
      </c>
      <c r="K9" s="80">
        <v>489.25036709</v>
      </c>
      <c r="L9" s="79">
        <v>296.59554114000002</v>
      </c>
      <c r="M9" s="78">
        <v>15.94538163</v>
      </c>
      <c r="N9" s="78">
        <v>37.673732490000006</v>
      </c>
      <c r="O9" s="78">
        <v>41.511796960000005</v>
      </c>
      <c r="P9" s="78">
        <v>233.56528221000005</v>
      </c>
      <c r="Q9" s="80">
        <v>625.29173443000002</v>
      </c>
      <c r="R9" s="81">
        <v>193.62317867999997</v>
      </c>
      <c r="S9" s="79">
        <v>1676.5612390799997</v>
      </c>
      <c r="T9" s="82">
        <v>1597.3791845124642</v>
      </c>
      <c r="U9" s="78">
        <f>V9+W9</f>
        <v>26.302424972676953</v>
      </c>
      <c r="V9" s="112">
        <f>(SUM(B9:E9)/$S9*100)</f>
        <v>20.587403768168002</v>
      </c>
      <c r="W9" s="112">
        <f>I9/$S9*100</f>
        <v>5.7150212045089521</v>
      </c>
      <c r="X9" s="112">
        <f>(L9+M9+N9)/$S9*100</f>
        <v>20.888867468520129</v>
      </c>
      <c r="Y9" s="112">
        <f>+V9+W9+X9</f>
        <v>47.191292441197078</v>
      </c>
      <c r="Z9" s="112"/>
      <c r="AK9" s="112"/>
      <c r="AN9" s="112"/>
      <c r="AO9" s="112"/>
    </row>
    <row r="10" spans="1:41" ht="36.75" customHeight="1" x14ac:dyDescent="0.3">
      <c r="A10" s="87">
        <v>2004</v>
      </c>
      <c r="B10" s="30">
        <v>145.35187492</v>
      </c>
      <c r="C10" s="31">
        <v>151.42896296000001</v>
      </c>
      <c r="D10" s="31">
        <v>91.224077390000005</v>
      </c>
      <c r="E10" s="31">
        <v>33.692179969999998</v>
      </c>
      <c r="F10" s="31">
        <v>34.154560689999968</v>
      </c>
      <c r="G10" s="32">
        <v>455.85165592999999</v>
      </c>
      <c r="H10" s="30">
        <v>619.72023345000014</v>
      </c>
      <c r="I10" s="31">
        <v>172.49830555</v>
      </c>
      <c r="J10" s="31">
        <v>3.0900819200000003</v>
      </c>
      <c r="K10" s="32">
        <v>795.30862092000007</v>
      </c>
      <c r="L10" s="30">
        <v>366.02223144000004</v>
      </c>
      <c r="M10" s="31">
        <v>22.222654850000001</v>
      </c>
      <c r="N10" s="31">
        <v>51.592155590000004</v>
      </c>
      <c r="O10" s="31">
        <v>44.536465499999998</v>
      </c>
      <c r="P10" s="31">
        <v>348.43108198999994</v>
      </c>
      <c r="Q10" s="32">
        <v>832.80458937000003</v>
      </c>
      <c r="R10" s="34">
        <v>181.22287185999997</v>
      </c>
      <c r="S10" s="30">
        <v>2265.1877380800001</v>
      </c>
      <c r="T10" s="33">
        <v>2165.8374754813422</v>
      </c>
      <c r="U10" s="78">
        <f t="shared" ref="U10:U21" si="0">V10+W10</f>
        <v>26.231618280507163</v>
      </c>
      <c r="V10" s="112">
        <f t="shared" ref="V10:V21" si="1">(SUM(B10:E10)/$S10*100)</f>
        <v>18.616430247739</v>
      </c>
      <c r="W10" s="112">
        <f t="shared" ref="W10:W21" si="2">I10/$S10*100</f>
        <v>7.6151880327681623</v>
      </c>
      <c r="X10" s="112">
        <f t="shared" ref="X10:X21" si="3">(L10+M10+N10)/$S10*100</f>
        <v>19.417244517348976</v>
      </c>
      <c r="Y10" s="112">
        <f t="shared" ref="Y10:Y21" si="4">+V10+W10+X10</f>
        <v>45.64886279785614</v>
      </c>
      <c r="Z10" s="31"/>
      <c r="AK10" s="31"/>
      <c r="AN10" s="31"/>
      <c r="AO10" s="31"/>
    </row>
    <row r="11" spans="1:41" ht="36.75" customHeight="1" x14ac:dyDescent="0.3">
      <c r="A11" s="87">
        <v>2005</v>
      </c>
      <c r="B11" s="30">
        <v>124.89754918000003</v>
      </c>
      <c r="C11" s="31">
        <v>200.78183851</v>
      </c>
      <c r="D11" s="31">
        <v>92.585627509999995</v>
      </c>
      <c r="E11" s="31">
        <v>77.772941540000005</v>
      </c>
      <c r="F11" s="31">
        <v>48.788607830000018</v>
      </c>
      <c r="G11" s="32">
        <v>544.82656457000007</v>
      </c>
      <c r="H11" s="30">
        <v>1086.5033162900002</v>
      </c>
      <c r="I11" s="31">
        <v>313.70272995999994</v>
      </c>
      <c r="J11" s="31">
        <v>2.5856927400000003</v>
      </c>
      <c r="K11" s="32">
        <v>1402.7917389900001</v>
      </c>
      <c r="L11" s="30">
        <v>258.90572237999999</v>
      </c>
      <c r="M11" s="31">
        <v>26.192867019999998</v>
      </c>
      <c r="N11" s="31">
        <v>65.943096880000013</v>
      </c>
      <c r="O11" s="31">
        <v>49.281954720000009</v>
      </c>
      <c r="P11" s="31">
        <v>339.91515686000002</v>
      </c>
      <c r="Q11" s="32">
        <v>740.23879785999998</v>
      </c>
      <c r="R11" s="34">
        <v>260.22671720999995</v>
      </c>
      <c r="S11" s="30">
        <v>2948.0838186299998</v>
      </c>
      <c r="T11" s="33">
        <v>2826.7175148945171</v>
      </c>
      <c r="U11" s="78">
        <f t="shared" si="0"/>
        <v>27.466677900504656</v>
      </c>
      <c r="V11" s="112">
        <f t="shared" si="1"/>
        <v>16.82577522407464</v>
      </c>
      <c r="W11" s="112">
        <f t="shared" si="2"/>
        <v>10.640902676430018</v>
      </c>
      <c r="X11" s="112">
        <f t="shared" si="3"/>
        <v>11.90745270068787</v>
      </c>
      <c r="Y11" s="112">
        <f t="shared" si="4"/>
        <v>39.374130601192526</v>
      </c>
      <c r="Z11" s="31"/>
      <c r="AK11" s="31"/>
      <c r="AN11" s="31"/>
      <c r="AO11" s="31"/>
    </row>
    <row r="12" spans="1:41" ht="36.75" customHeight="1" x14ac:dyDescent="0.3">
      <c r="A12" s="87">
        <v>2006</v>
      </c>
      <c r="B12" s="30">
        <v>140.62113136000002</v>
      </c>
      <c r="C12" s="31">
        <v>525.64776408</v>
      </c>
      <c r="D12" s="31">
        <v>169.89296565000001</v>
      </c>
      <c r="E12" s="31">
        <v>121.87636415999999</v>
      </c>
      <c r="F12" s="31">
        <v>70.407205140000002</v>
      </c>
      <c r="G12" s="32">
        <v>1028.44543039</v>
      </c>
      <c r="H12" s="30">
        <v>1667.76216563</v>
      </c>
      <c r="I12" s="31">
        <v>343.47362156000003</v>
      </c>
      <c r="J12" s="31">
        <v>2.7807671799999998</v>
      </c>
      <c r="K12" s="32">
        <v>2014.01655437</v>
      </c>
      <c r="L12" s="30">
        <v>224.19210164999998</v>
      </c>
      <c r="M12" s="31">
        <v>38.578295349999998</v>
      </c>
      <c r="N12" s="31">
        <v>65.234683880000006</v>
      </c>
      <c r="O12" s="31">
        <v>51.166919470000003</v>
      </c>
      <c r="P12" s="31">
        <v>422.45717182999994</v>
      </c>
      <c r="Q12" s="32">
        <v>801.62917218000007</v>
      </c>
      <c r="R12" s="34">
        <v>387.82649613000007</v>
      </c>
      <c r="S12" s="30">
        <v>4231.9176530700006</v>
      </c>
      <c r="T12" s="33">
        <v>3951.5456579421366</v>
      </c>
      <c r="U12" s="78">
        <f t="shared" si="0"/>
        <v>30.754659081464681</v>
      </c>
      <c r="V12" s="112">
        <f t="shared" si="1"/>
        <v>22.638394784336153</v>
      </c>
      <c r="W12" s="112">
        <f t="shared" si="2"/>
        <v>8.116264297128529</v>
      </c>
      <c r="X12" s="112">
        <f t="shared" si="3"/>
        <v>7.7507434635939134</v>
      </c>
      <c r="Y12" s="112">
        <f t="shared" si="4"/>
        <v>38.505402545058594</v>
      </c>
      <c r="Z12" s="31"/>
      <c r="AH12" s="28"/>
      <c r="AI12" s="31"/>
      <c r="AK12" s="31"/>
      <c r="AL12" s="31"/>
      <c r="AN12" s="31"/>
      <c r="AO12" s="31"/>
    </row>
    <row r="13" spans="1:41" ht="36.75" customHeight="1" x14ac:dyDescent="0.3">
      <c r="A13" s="87">
        <v>2007</v>
      </c>
      <c r="B13" s="30">
        <v>213.21772246</v>
      </c>
      <c r="C13" s="31">
        <v>696.54424182999992</v>
      </c>
      <c r="D13" s="31">
        <v>226.55223491000004</v>
      </c>
      <c r="E13" s="31">
        <v>122.90265362000001</v>
      </c>
      <c r="F13" s="31">
        <v>128.25927938000001</v>
      </c>
      <c r="G13" s="32">
        <v>1387.4761322000002</v>
      </c>
      <c r="H13" s="30">
        <v>1971.2384951300003</v>
      </c>
      <c r="I13" s="31">
        <v>268.79218025</v>
      </c>
      <c r="J13" s="31">
        <v>1.9497561299999999</v>
      </c>
      <c r="K13" s="32">
        <v>2241.98043151</v>
      </c>
      <c r="L13" s="30">
        <v>283.63305825000003</v>
      </c>
      <c r="M13" s="31">
        <v>66.628315850000007</v>
      </c>
      <c r="N13" s="31">
        <v>70.656735929999996</v>
      </c>
      <c r="O13" s="31">
        <v>53.449067550000002</v>
      </c>
      <c r="P13" s="31">
        <v>485.63490796999997</v>
      </c>
      <c r="Q13" s="32">
        <v>960.00208555000006</v>
      </c>
      <c r="R13" s="34">
        <v>300.24627233999996</v>
      </c>
      <c r="S13" s="30">
        <v>4889.7049216000005</v>
      </c>
      <c r="T13" s="33">
        <v>4504.1568578655215</v>
      </c>
      <c r="U13" s="78">
        <f t="shared" si="0"/>
        <v>31.249514184794766</v>
      </c>
      <c r="V13" s="112">
        <f t="shared" si="1"/>
        <v>25.75240986950929</v>
      </c>
      <c r="W13" s="112">
        <f t="shared" si="2"/>
        <v>5.497104315285477</v>
      </c>
      <c r="X13" s="112">
        <f t="shared" si="3"/>
        <v>8.6082517611771934</v>
      </c>
      <c r="Y13" s="112">
        <f t="shared" si="4"/>
        <v>39.857765945971963</v>
      </c>
      <c r="Z13" s="31"/>
      <c r="AH13" s="28"/>
      <c r="AI13" s="31"/>
      <c r="AK13" s="31"/>
      <c r="AL13" s="31"/>
      <c r="AN13" s="31"/>
      <c r="AO13" s="31"/>
    </row>
    <row r="14" spans="1:41" ht="36.75" customHeight="1" x14ac:dyDescent="0.3">
      <c r="A14" s="87">
        <v>2008</v>
      </c>
      <c r="B14" s="30">
        <v>281.69603253000002</v>
      </c>
      <c r="C14" s="31">
        <v>740.7525028099999</v>
      </c>
      <c r="D14" s="31">
        <v>525.61261610000008</v>
      </c>
      <c r="E14" s="31">
        <v>142.20571472</v>
      </c>
      <c r="F14" s="31">
        <v>242.03146294999993</v>
      </c>
      <c r="G14" s="32">
        <v>1932.2983291099997</v>
      </c>
      <c r="H14" s="30">
        <v>3159.0860222500005</v>
      </c>
      <c r="I14" s="31">
        <v>324.29147179999995</v>
      </c>
      <c r="J14" s="31">
        <v>3.2454422999999997</v>
      </c>
      <c r="K14" s="32">
        <v>3486.6229363499997</v>
      </c>
      <c r="L14" s="30">
        <v>339.62040360000003</v>
      </c>
      <c r="M14" s="31">
        <v>72.252723230000001</v>
      </c>
      <c r="N14" s="31">
        <v>83.530059080000001</v>
      </c>
      <c r="O14" s="31">
        <v>23.745836360000006</v>
      </c>
      <c r="P14" s="31">
        <v>692.45627637999985</v>
      </c>
      <c r="Q14" s="32">
        <v>1211.6052986500001</v>
      </c>
      <c r="R14" s="34">
        <v>427.48153803000002</v>
      </c>
      <c r="S14" s="30">
        <v>7058.0081021399992</v>
      </c>
      <c r="T14" s="33">
        <v>6525.1351274461076</v>
      </c>
      <c r="U14" s="78">
        <f t="shared" si="0"/>
        <v>28.542873694763578</v>
      </c>
      <c r="V14" s="112">
        <f t="shared" si="1"/>
        <v>23.948213741034223</v>
      </c>
      <c r="W14" s="112">
        <f t="shared" si="2"/>
        <v>4.5946599537293569</v>
      </c>
      <c r="X14" s="112">
        <f t="shared" si="3"/>
        <v>7.0190226299087559</v>
      </c>
      <c r="Y14" s="112">
        <f t="shared" si="4"/>
        <v>35.561896324672333</v>
      </c>
      <c r="Z14" s="31"/>
      <c r="AK14" s="31"/>
    </row>
    <row r="15" spans="1:41" ht="36.75" customHeight="1" x14ac:dyDescent="0.3">
      <c r="A15" s="88">
        <v>2009</v>
      </c>
      <c r="B15" s="30">
        <v>233.53729878999997</v>
      </c>
      <c r="C15" s="31">
        <v>689.63514475000011</v>
      </c>
      <c r="D15" s="31">
        <v>610.59743793999996</v>
      </c>
      <c r="E15" s="31">
        <v>116.45217231000001</v>
      </c>
      <c r="F15" s="31">
        <v>195.89858804000008</v>
      </c>
      <c r="G15" s="32">
        <v>1846.1206418300001</v>
      </c>
      <c r="H15" s="30">
        <v>1967.5741105699999</v>
      </c>
      <c r="I15" s="31">
        <v>139.71549261999999</v>
      </c>
      <c r="J15" s="31">
        <v>2.9267450100000003</v>
      </c>
      <c r="K15" s="32">
        <v>2110.2163482000001</v>
      </c>
      <c r="L15" s="30">
        <v>487.92073609000005</v>
      </c>
      <c r="M15" s="31">
        <v>63.707234370000016</v>
      </c>
      <c r="N15" s="31">
        <v>64.243353200000001</v>
      </c>
      <c r="O15" s="31">
        <v>2.1008386600000013</v>
      </c>
      <c r="P15" s="31">
        <v>575.67942004000008</v>
      </c>
      <c r="Q15" s="32">
        <v>1193.6515823600002</v>
      </c>
      <c r="R15" s="34">
        <v>336.41714846000002</v>
      </c>
      <c r="S15" s="30">
        <v>5486.4057208499999</v>
      </c>
      <c r="T15" s="33">
        <v>4960.3579093277149</v>
      </c>
      <c r="U15" s="78">
        <f t="shared" si="0"/>
        <v>32.624957713347669</v>
      </c>
      <c r="V15" s="112">
        <f t="shared" si="1"/>
        <v>30.078381690195776</v>
      </c>
      <c r="W15" s="112">
        <f t="shared" si="2"/>
        <v>2.546576023151895</v>
      </c>
      <c r="X15" s="112">
        <f t="shared" si="3"/>
        <v>11.225406121889653</v>
      </c>
      <c r="Y15" s="112">
        <f t="shared" si="4"/>
        <v>43.850363835237324</v>
      </c>
      <c r="Z15" s="31"/>
      <c r="AK15" s="31"/>
      <c r="AL15" s="31"/>
      <c r="AM15" s="31"/>
      <c r="AN15" s="31"/>
    </row>
    <row r="16" spans="1:41" ht="36.75" customHeight="1" x14ac:dyDescent="0.3">
      <c r="A16" s="77">
        <v>2010</v>
      </c>
      <c r="B16" s="79">
        <v>350.28381181000003</v>
      </c>
      <c r="C16" s="78">
        <v>892.48420972000008</v>
      </c>
      <c r="D16" s="78">
        <v>799.59421985999995</v>
      </c>
      <c r="E16" s="78">
        <v>95.280486170000003</v>
      </c>
      <c r="F16" s="78">
        <v>257.86632319999995</v>
      </c>
      <c r="G16" s="80">
        <v>2395.5090507599998</v>
      </c>
      <c r="H16" s="79">
        <v>2797.7741385500003</v>
      </c>
      <c r="I16" s="78">
        <v>186.64410745999999</v>
      </c>
      <c r="J16" s="78">
        <v>2.8329944199999999</v>
      </c>
      <c r="K16" s="80">
        <v>2987.2512404299996</v>
      </c>
      <c r="L16" s="79">
        <v>519.36356956000009</v>
      </c>
      <c r="M16" s="78">
        <v>70.303490960000019</v>
      </c>
      <c r="N16" s="78">
        <v>91.80550691000002</v>
      </c>
      <c r="O16" s="78">
        <v>17.620433670000001</v>
      </c>
      <c r="P16" s="78">
        <v>698.19344376000004</v>
      </c>
      <c r="Q16" s="80">
        <v>1397.2864448600001</v>
      </c>
      <c r="R16" s="81">
        <v>272.08091820999999</v>
      </c>
      <c r="S16" s="79">
        <v>7052.1276542599999</v>
      </c>
      <c r="T16" s="82">
        <v>6401.8927027469836</v>
      </c>
      <c r="U16" s="78">
        <f t="shared" si="0"/>
        <v>32.958660832181067</v>
      </c>
      <c r="V16" s="112">
        <f t="shared" si="1"/>
        <v>30.312025424961046</v>
      </c>
      <c r="W16" s="112">
        <f t="shared" si="2"/>
        <v>2.6466354072200224</v>
      </c>
      <c r="X16" s="112">
        <f t="shared" si="3"/>
        <v>9.6633611987772348</v>
      </c>
      <c r="Y16" s="112">
        <f t="shared" si="4"/>
        <v>42.622022030958306</v>
      </c>
      <c r="Z16" s="31"/>
      <c r="AK16" s="31"/>
    </row>
    <row r="17" spans="1:52" ht="36.75" customHeight="1" x14ac:dyDescent="0.3">
      <c r="A17" s="77">
        <v>2011</v>
      </c>
      <c r="B17" s="78">
        <v>453.81043895000005</v>
      </c>
      <c r="C17" s="78">
        <v>946.45387802999994</v>
      </c>
      <c r="D17" s="78">
        <v>1379.8174863500003</v>
      </c>
      <c r="E17" s="78">
        <v>272.59578724999994</v>
      </c>
      <c r="F17" s="78">
        <v>376.37079085000005</v>
      </c>
      <c r="G17" s="80">
        <v>3429.0483814300001</v>
      </c>
      <c r="H17" s="78">
        <v>3884.8835933099999</v>
      </c>
      <c r="I17" s="78">
        <v>227.56172473000004</v>
      </c>
      <c r="J17" s="78">
        <v>2.0403324899999999</v>
      </c>
      <c r="K17" s="80">
        <v>4114.4856505299995</v>
      </c>
      <c r="L17" s="78">
        <v>628.26941968999995</v>
      </c>
      <c r="M17" s="78">
        <v>59.942625810000017</v>
      </c>
      <c r="N17" s="78">
        <v>135.43965101999999</v>
      </c>
      <c r="O17" s="78">
        <v>23.098794579999996</v>
      </c>
      <c r="P17" s="78">
        <v>566.75649862</v>
      </c>
      <c r="Q17" s="78">
        <v>1413.5069897200001</v>
      </c>
      <c r="R17" s="81">
        <v>258.23921774999997</v>
      </c>
      <c r="S17" s="78">
        <v>9215.2802394299997</v>
      </c>
      <c r="T17" s="82">
        <v>8358.2201978310368</v>
      </c>
      <c r="U17" s="78">
        <f t="shared" si="0"/>
        <v>35.59565450082173</v>
      </c>
      <c r="V17" s="112">
        <f t="shared" si="1"/>
        <v>33.126258901148944</v>
      </c>
      <c r="W17" s="112">
        <f t="shared" si="2"/>
        <v>2.4693955996727843</v>
      </c>
      <c r="X17" s="112">
        <f t="shared" si="3"/>
        <v>8.9378909281107859</v>
      </c>
      <c r="Y17" s="112">
        <f t="shared" si="4"/>
        <v>44.533545428932513</v>
      </c>
      <c r="Z17" s="31"/>
      <c r="AK17" s="49"/>
      <c r="AL17" s="92"/>
      <c r="AM17" s="92"/>
      <c r="AN17" s="92"/>
    </row>
    <row r="18" spans="1:52" ht="36.75" customHeight="1" x14ac:dyDescent="0.3">
      <c r="A18" s="77">
        <v>2012</v>
      </c>
      <c r="B18" s="78">
        <v>348.23423162999995</v>
      </c>
      <c r="C18" s="78">
        <v>739.43820572000016</v>
      </c>
      <c r="D18" s="78">
        <v>1198.2009155700002</v>
      </c>
      <c r="E18" s="78">
        <v>1095.1746974600001</v>
      </c>
      <c r="F18" s="78">
        <v>363.35443097000001</v>
      </c>
      <c r="G18" s="78">
        <v>3744.40248135</v>
      </c>
      <c r="H18" s="79">
        <v>5478.5228182600003</v>
      </c>
      <c r="I18" s="78">
        <v>392.42939130999997</v>
      </c>
      <c r="J18" s="78">
        <v>0.73072727999999998</v>
      </c>
      <c r="K18" s="80">
        <v>5871.6829368500012</v>
      </c>
      <c r="L18" s="78">
        <v>976.88048624999999</v>
      </c>
      <c r="M18" s="78">
        <v>52.983847500000032</v>
      </c>
      <c r="N18" s="78">
        <v>139.17933593999999</v>
      </c>
      <c r="O18" s="78">
        <v>22.166925450000004</v>
      </c>
      <c r="P18" s="78">
        <v>847.67905463</v>
      </c>
      <c r="Q18" s="78">
        <v>2038.8896497699998</v>
      </c>
      <c r="R18" s="81">
        <v>336.15788389999949</v>
      </c>
      <c r="S18" s="78">
        <v>11991.13295187</v>
      </c>
      <c r="T18" s="82">
        <v>11253.955144150596</v>
      </c>
      <c r="U18" s="78">
        <f t="shared" si="0"/>
        <v>31.468898367118278</v>
      </c>
      <c r="V18" s="112">
        <f t="shared" si="1"/>
        <v>28.196235201051046</v>
      </c>
      <c r="W18" s="112">
        <f t="shared" si="2"/>
        <v>3.272663166067233</v>
      </c>
      <c r="X18" s="112">
        <f t="shared" si="3"/>
        <v>9.7492344917057192</v>
      </c>
      <c r="Y18" s="112">
        <f t="shared" si="4"/>
        <v>41.218132858823999</v>
      </c>
      <c r="Z18" s="91"/>
      <c r="AA18" s="90"/>
      <c r="AB18" s="90"/>
      <c r="AC18" s="101"/>
      <c r="AD18" s="49"/>
      <c r="AE18" s="49"/>
      <c r="AF18" s="49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</row>
    <row r="19" spans="1:52" ht="36.75" customHeight="1" x14ac:dyDescent="0.3">
      <c r="A19" s="77">
        <v>2013</v>
      </c>
      <c r="B19" s="78">
        <v>370.14793777</v>
      </c>
      <c r="C19" s="78">
        <v>762.37473477999993</v>
      </c>
      <c r="D19" s="78">
        <v>1007.68045893</v>
      </c>
      <c r="E19" s="78">
        <v>561.36869841000009</v>
      </c>
      <c r="F19" s="78">
        <v>375.30855820000005</v>
      </c>
      <c r="G19" s="78">
        <v>3076.88038809</v>
      </c>
      <c r="H19" s="79">
        <v>6113.44797062</v>
      </c>
      <c r="I19" s="78">
        <v>511.48356891999998</v>
      </c>
      <c r="J19" s="78">
        <v>1.2514152300000001</v>
      </c>
      <c r="K19" s="80">
        <v>6626.1829547699999</v>
      </c>
      <c r="L19" s="78">
        <v>1211.0515279899998</v>
      </c>
      <c r="M19" s="78">
        <v>49.323945479999999</v>
      </c>
      <c r="N19" s="78">
        <v>122.805768</v>
      </c>
      <c r="O19" s="78">
        <v>73.141681820000002</v>
      </c>
      <c r="P19" s="78">
        <v>925.61944397999991</v>
      </c>
      <c r="Q19" s="78">
        <v>2381.94236727</v>
      </c>
      <c r="R19" s="81">
        <v>286.73792186000003</v>
      </c>
      <c r="S19" s="78">
        <v>12371.743631989997</v>
      </c>
      <c r="T19" s="157">
        <v>11697.703275731641</v>
      </c>
      <c r="U19" s="78">
        <f t="shared" si="0"/>
        <v>25.970918040217903</v>
      </c>
      <c r="V19" s="112">
        <f t="shared" si="1"/>
        <v>21.836629583112785</v>
      </c>
      <c r="W19" s="112">
        <f t="shared" si="2"/>
        <v>4.1342884571051179</v>
      </c>
      <c r="X19" s="112">
        <f t="shared" si="3"/>
        <v>11.180164111172379</v>
      </c>
      <c r="Y19" s="112">
        <f t="shared" si="4"/>
        <v>37.151082151390284</v>
      </c>
      <c r="AC19" s="101"/>
      <c r="AD19" s="104"/>
      <c r="AE19" s="49"/>
      <c r="AF19" s="49"/>
      <c r="AH19" s="102"/>
      <c r="AS19" s="43"/>
      <c r="AT19" s="43"/>
      <c r="AU19" s="43"/>
      <c r="AV19" s="43"/>
      <c r="AW19" s="43"/>
      <c r="AX19" s="43"/>
      <c r="AY19" s="43"/>
      <c r="AZ19" s="43"/>
    </row>
    <row r="20" spans="1:52" ht="36.75" customHeight="1" x14ac:dyDescent="0.3">
      <c r="A20" s="77" t="s">
        <v>75</v>
      </c>
      <c r="B20" s="78">
        <v>365.49448917999996</v>
      </c>
      <c r="C20" s="78">
        <v>984.4846166599998</v>
      </c>
      <c r="D20" s="78">
        <v>832.83947757999988</v>
      </c>
      <c r="E20" s="78">
        <v>1384.2543387499998</v>
      </c>
      <c r="F20" s="78">
        <v>361.75929254999994</v>
      </c>
      <c r="G20" s="78">
        <v>3928.8322147199997</v>
      </c>
      <c r="H20" s="79">
        <v>6012.2387144199993</v>
      </c>
      <c r="I20" s="78">
        <v>584.12939060999997</v>
      </c>
      <c r="J20" s="78">
        <v>0.55388302</v>
      </c>
      <c r="K20" s="80">
        <v>6596.9219880500013</v>
      </c>
      <c r="L20" s="78">
        <v>1083.1837963799999</v>
      </c>
      <c r="M20" s="78">
        <v>51.509219390000005</v>
      </c>
      <c r="N20" s="78">
        <v>171.29345806000001</v>
      </c>
      <c r="O20" s="78">
        <v>41.238615480000007</v>
      </c>
      <c r="P20" s="78">
        <v>858.13833667000006</v>
      </c>
      <c r="Q20" s="78">
        <v>2205.3634259799996</v>
      </c>
      <c r="R20" s="81">
        <v>296.78804961999992</v>
      </c>
      <c r="S20" s="78">
        <v>13027.905678369998</v>
      </c>
      <c r="T20" s="157">
        <v>12300.838588860526</v>
      </c>
      <c r="U20" s="78">
        <f t="shared" si="0"/>
        <v>31.86392667604408</v>
      </c>
      <c r="V20" s="112">
        <f t="shared" si="1"/>
        <v>27.380248293417935</v>
      </c>
      <c r="W20" s="112">
        <f t="shared" si="2"/>
        <v>4.483678382626147</v>
      </c>
      <c r="X20" s="112">
        <f t="shared" si="3"/>
        <v>10.024531233737024</v>
      </c>
      <c r="Y20" s="112">
        <f t="shared" si="4"/>
        <v>41.888457909781103</v>
      </c>
      <c r="Z20" s="91"/>
      <c r="AA20" s="90"/>
      <c r="AE20" s="107"/>
      <c r="AF20" s="107"/>
      <c r="AG20" s="43"/>
      <c r="AH20" s="43"/>
      <c r="AS20" s="43"/>
      <c r="AT20" s="43"/>
      <c r="AU20" s="43"/>
      <c r="AV20" s="43"/>
      <c r="AW20" s="43"/>
      <c r="AX20" s="43"/>
      <c r="AY20" s="43"/>
      <c r="AZ20" s="43"/>
    </row>
    <row r="21" spans="1:52" s="142" customFormat="1" ht="36.75" customHeight="1" x14ac:dyDescent="0.3">
      <c r="A21" s="77" t="s">
        <v>100</v>
      </c>
      <c r="B21" s="137">
        <v>208.23068734</v>
      </c>
      <c r="C21" s="137">
        <v>659.87139785000011</v>
      </c>
      <c r="D21" s="137">
        <v>505.24427311999995</v>
      </c>
      <c r="E21" s="137">
        <v>572.38206115000003</v>
      </c>
      <c r="F21" s="137">
        <v>233.7674674300001</v>
      </c>
      <c r="G21" s="137">
        <v>2179.4958868900003</v>
      </c>
      <c r="H21" s="138">
        <v>3015.8821678400004</v>
      </c>
      <c r="I21" s="137">
        <v>157.90670412000003</v>
      </c>
      <c r="J21" s="137">
        <v>0.4699275000000398</v>
      </c>
      <c r="K21" s="139">
        <v>3174.2587994600003</v>
      </c>
      <c r="L21" s="137">
        <v>604.66590565000001</v>
      </c>
      <c r="M21" s="137">
        <v>35.016810240000005</v>
      </c>
      <c r="N21" s="137">
        <v>128.49060728000001</v>
      </c>
      <c r="O21" s="137">
        <v>57.795965620000004</v>
      </c>
      <c r="P21" s="137">
        <v>479.38309598000006</v>
      </c>
      <c r="Q21" s="137">
        <v>1305.3523847700001</v>
      </c>
      <c r="R21" s="140">
        <v>265.09974764999998</v>
      </c>
      <c r="S21" s="137">
        <v>6924.2068187699997</v>
      </c>
      <c r="T21" s="155">
        <v>6460.312724422377</v>
      </c>
      <c r="U21" s="78">
        <f t="shared" si="0"/>
        <v>30.380882296547075</v>
      </c>
      <c r="V21" s="112">
        <f t="shared" si="1"/>
        <v>28.10037987579399</v>
      </c>
      <c r="W21" s="112">
        <f t="shared" si="2"/>
        <v>2.2805024207530851</v>
      </c>
      <c r="X21" s="112">
        <f t="shared" si="3"/>
        <v>11.094026265761608</v>
      </c>
      <c r="Y21" s="112">
        <f t="shared" si="4"/>
        <v>41.474908562308684</v>
      </c>
      <c r="Z21" s="144"/>
      <c r="AA21" s="145"/>
      <c r="AE21" s="103"/>
      <c r="AF21" s="103"/>
      <c r="AG21" s="146"/>
      <c r="AH21" s="146"/>
      <c r="AS21" s="146"/>
      <c r="AT21" s="146"/>
      <c r="AU21" s="146"/>
      <c r="AV21" s="146"/>
      <c r="AW21" s="146"/>
      <c r="AX21" s="146"/>
      <c r="AY21" s="146"/>
      <c r="AZ21" s="146"/>
    </row>
    <row r="22" spans="1:52" ht="23.25" x14ac:dyDescent="0.35">
      <c r="B22" s="49"/>
      <c r="C22" s="49"/>
      <c r="D22" s="49"/>
      <c r="E22" s="4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150"/>
      <c r="W22" s="49"/>
      <c r="X22" s="49"/>
      <c r="Y22" s="49"/>
      <c r="Z22" s="118"/>
      <c r="AA22" s="119"/>
      <c r="AB22" s="121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102"/>
      <c r="AP22" s="102"/>
      <c r="AQ22" s="102"/>
      <c r="AR22" s="102"/>
      <c r="AS22" s="43"/>
      <c r="AT22" s="43"/>
      <c r="AU22" s="43"/>
      <c r="AV22" s="43"/>
      <c r="AW22" s="43"/>
      <c r="AX22" s="43"/>
      <c r="AY22" s="43"/>
      <c r="AZ22" s="43"/>
    </row>
    <row r="23" spans="1:52" ht="23.25" x14ac:dyDescent="0.35"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151"/>
      <c r="W23" s="49"/>
      <c r="X23" s="49"/>
      <c r="Y23" s="49"/>
      <c r="Z23" s="118"/>
      <c r="AA23" s="118"/>
      <c r="AB23" s="121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102"/>
      <c r="AP23" s="102"/>
      <c r="AQ23" s="102"/>
      <c r="AR23" s="102"/>
      <c r="AS23" s="43"/>
      <c r="AT23" s="43"/>
      <c r="AU23" s="43"/>
      <c r="AV23" s="43"/>
      <c r="AW23" s="43"/>
      <c r="AX23" s="43"/>
      <c r="AY23" s="43"/>
      <c r="AZ23" s="43"/>
    </row>
    <row r="24" spans="1:52" ht="23.25" x14ac:dyDescent="0.35">
      <c r="A24" s="49"/>
      <c r="B24" s="20" t="s">
        <v>8</v>
      </c>
      <c r="C24" s="20" t="s">
        <v>9</v>
      </c>
      <c r="D24" s="20" t="s">
        <v>10</v>
      </c>
      <c r="E24" s="19" t="s">
        <v>13</v>
      </c>
      <c r="F24" s="19" t="s">
        <v>92</v>
      </c>
      <c r="G24" s="19" t="s">
        <v>90</v>
      </c>
      <c r="H24" s="19" t="s">
        <v>93</v>
      </c>
      <c r="I24" s="19" t="s">
        <v>89</v>
      </c>
      <c r="K24" s="19" t="s">
        <v>16</v>
      </c>
      <c r="L24" s="19" t="s">
        <v>17</v>
      </c>
      <c r="M24" s="19" t="s">
        <v>18</v>
      </c>
      <c r="N24" s="19" t="s">
        <v>11</v>
      </c>
      <c r="O24" s="19" t="s">
        <v>19</v>
      </c>
      <c r="P24" s="19"/>
      <c r="Q24" s="19"/>
      <c r="R24" s="152"/>
      <c r="S24" s="152"/>
      <c r="T24" s="152"/>
      <c r="U24" s="152"/>
      <c r="V24" s="151"/>
      <c r="W24" s="49"/>
      <c r="X24" s="123"/>
      <c r="Y24" s="49"/>
      <c r="Z24" s="118"/>
      <c r="AA24" s="118"/>
      <c r="AB24" s="121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102"/>
      <c r="AP24" s="102"/>
      <c r="AQ24" s="102"/>
      <c r="AR24" s="102"/>
      <c r="AS24" s="43"/>
      <c r="AT24" s="43"/>
      <c r="AU24" s="43"/>
      <c r="AV24" s="43"/>
      <c r="AW24" s="43"/>
      <c r="AX24" s="43"/>
      <c r="AY24" s="43"/>
      <c r="AZ24" s="43"/>
    </row>
    <row r="25" spans="1:52" ht="23.25" x14ac:dyDescent="0.35">
      <c r="A25" s="49"/>
      <c r="B25" s="137">
        <f>C21</f>
        <v>659.87139785000011</v>
      </c>
      <c r="C25" s="137">
        <f>D21</f>
        <v>505.24427311999995</v>
      </c>
      <c r="D25" s="137">
        <f>E21</f>
        <v>572.38206115000003</v>
      </c>
      <c r="E25" s="138">
        <f>H21</f>
        <v>3015.8821678400004</v>
      </c>
      <c r="F25" s="138">
        <f>E28+F28+G28+H28</f>
        <v>845.99041494000016</v>
      </c>
      <c r="G25" s="138">
        <v>530.70810817000006</v>
      </c>
      <c r="H25" s="138">
        <f>SUM(K25:O25)</f>
        <v>965.78622676999998</v>
      </c>
      <c r="I25" s="138">
        <f>SUM(B25:H25)</f>
        <v>7095.8646498400003</v>
      </c>
      <c r="K25" s="138">
        <f>M21</f>
        <v>35.016810240000005</v>
      </c>
      <c r="L25" s="138">
        <f>N21</f>
        <v>128.49060728000001</v>
      </c>
      <c r="M25" s="138">
        <f>O21</f>
        <v>57.795965620000004</v>
      </c>
      <c r="N25" s="138">
        <f>P21</f>
        <v>479.38309598000006</v>
      </c>
      <c r="O25" s="138">
        <f>R21</f>
        <v>265.09974764999998</v>
      </c>
      <c r="P25" s="138"/>
      <c r="Q25" s="138"/>
      <c r="R25" s="49"/>
      <c r="S25" s="44"/>
      <c r="T25" s="49"/>
      <c r="U25" s="49"/>
      <c r="V25" s="151"/>
      <c r="W25" s="49"/>
      <c r="X25" s="123"/>
      <c r="Y25" s="49"/>
      <c r="Z25" s="118"/>
      <c r="AA25" s="118"/>
      <c r="AB25" s="121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102"/>
      <c r="AP25" s="102"/>
      <c r="AQ25" s="102"/>
      <c r="AR25" s="102"/>
      <c r="AS25" s="43"/>
      <c r="AT25" s="43"/>
      <c r="AU25" s="43"/>
      <c r="AV25" s="43"/>
      <c r="AW25" s="43"/>
      <c r="AX25" s="43"/>
      <c r="AY25" s="43"/>
      <c r="AZ25" s="43"/>
    </row>
    <row r="26" spans="1:52" ht="23.25" x14ac:dyDescent="0.3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123"/>
      <c r="Y26" s="49"/>
      <c r="Z26" s="118"/>
      <c r="AA26" s="118"/>
      <c r="AB26" s="121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</row>
    <row r="27" spans="1:52" ht="23.25" x14ac:dyDescent="0.35">
      <c r="A27" s="49"/>
      <c r="B27" s="49"/>
      <c r="C27" s="49"/>
      <c r="E27" s="19" t="s">
        <v>7</v>
      </c>
      <c r="F27" s="20" t="s">
        <v>11</v>
      </c>
      <c r="G27" s="20" t="s">
        <v>14</v>
      </c>
      <c r="H27" s="20" t="s">
        <v>11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123"/>
      <c r="Y27" s="49"/>
      <c r="Z27" s="118"/>
      <c r="AA27" s="118"/>
      <c r="AB27" s="121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</row>
    <row r="28" spans="1:52" s="92" customFormat="1" ht="23.25" x14ac:dyDescent="0.3">
      <c r="A28" s="49"/>
      <c r="B28" s="49"/>
      <c r="C28" s="49"/>
      <c r="E28" s="137">
        <f>B21</f>
        <v>208.23068734</v>
      </c>
      <c r="F28" s="137">
        <f>P21</f>
        <v>479.38309598000006</v>
      </c>
      <c r="G28" s="137">
        <f>I21</f>
        <v>157.90670412000003</v>
      </c>
      <c r="H28" s="137">
        <f>J21</f>
        <v>0.4699275000000398</v>
      </c>
      <c r="I28"/>
      <c r="J28"/>
      <c r="K28" s="84"/>
      <c r="L28"/>
      <c r="M28"/>
      <c r="N28"/>
      <c r="O28"/>
      <c r="P28"/>
      <c r="Q28" s="148"/>
      <c r="R28" s="148"/>
      <c r="S28" s="149"/>
      <c r="T28" s="149"/>
      <c r="U28" s="149"/>
      <c r="V28" s="49"/>
      <c r="W28" s="49"/>
      <c r="X28" s="123"/>
      <c r="Y28" s="49"/>
      <c r="Z28" s="121"/>
      <c r="AA28" s="121"/>
      <c r="AB28" s="121"/>
      <c r="AC28" s="49"/>
      <c r="AD28" s="49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105"/>
      <c r="AT28" s="105"/>
      <c r="AU28" s="105"/>
      <c r="AV28" s="105"/>
      <c r="AW28" s="105"/>
      <c r="AX28" s="105"/>
      <c r="AY28" s="105"/>
      <c r="AZ28" s="105"/>
    </row>
    <row r="29" spans="1:52" ht="20.25" x14ac:dyDescent="0.25"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</row>
    <row r="30" spans="1:52" ht="23.25" x14ac:dyDescent="0.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123"/>
      <c r="Y30" s="121"/>
      <c r="Z30" s="121"/>
      <c r="AA30" s="121"/>
      <c r="AB30" s="121"/>
      <c r="AC30" s="121"/>
      <c r="AD30" s="121"/>
      <c r="AE30" s="121"/>
      <c r="AF30" s="103"/>
      <c r="AG30" s="103"/>
      <c r="AH30" s="103"/>
      <c r="AI30" s="103"/>
      <c r="AJ30" s="103"/>
      <c r="AK30" s="103"/>
      <c r="AL30" s="103"/>
      <c r="AM30" s="103"/>
      <c r="AN30" s="102"/>
      <c r="AO30" s="102"/>
      <c r="AP30" s="102"/>
      <c r="AQ30" s="102"/>
      <c r="AR30" s="102"/>
      <c r="AS30" s="43"/>
      <c r="AT30" s="43"/>
      <c r="AU30" s="43"/>
      <c r="AV30" s="43"/>
      <c r="AW30" s="43"/>
      <c r="AX30" s="43"/>
      <c r="AY30" s="43"/>
      <c r="AZ30" s="43"/>
    </row>
    <row r="31" spans="1:52" ht="23.25" x14ac:dyDescent="0.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123"/>
      <c r="Y31" s="121"/>
      <c r="Z31" s="121"/>
      <c r="AA31" s="121"/>
      <c r="AB31" s="121"/>
      <c r="AC31" s="121"/>
      <c r="AD31" s="121"/>
      <c r="AE31" s="121"/>
    </row>
    <row r="32" spans="1:52" ht="23.25" x14ac:dyDescent="0.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123"/>
      <c r="Y32" s="121"/>
      <c r="Z32" s="121"/>
      <c r="AA32" s="121"/>
      <c r="AB32" s="121"/>
      <c r="AC32" s="121"/>
      <c r="AD32" s="121"/>
      <c r="AE32" s="121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</row>
    <row r="33" spans="1:47" ht="23.25" x14ac:dyDescent="0.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123"/>
      <c r="Y33" s="121"/>
      <c r="Z33" s="121"/>
      <c r="AA33" s="121"/>
      <c r="AB33" s="121"/>
      <c r="AC33" s="121"/>
      <c r="AD33" s="121"/>
      <c r="AE33" s="121"/>
      <c r="AF33" s="49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</row>
    <row r="34" spans="1:47" ht="23.25" x14ac:dyDescent="0.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123"/>
      <c r="Y34" s="121"/>
      <c r="Z34" s="121"/>
      <c r="AA34" s="121"/>
      <c r="AB34" s="121"/>
      <c r="AC34" s="121"/>
      <c r="AD34" s="121"/>
      <c r="AE34" s="121"/>
      <c r="AF34" s="49"/>
      <c r="AI34" s="43"/>
      <c r="AJ34" s="102"/>
      <c r="AK34" s="102"/>
      <c r="AL34" s="102"/>
      <c r="AM34" s="102"/>
      <c r="AN34" s="102"/>
      <c r="AO34" s="102"/>
      <c r="AP34" s="43"/>
      <c r="AQ34" s="43"/>
      <c r="AR34" s="43"/>
      <c r="AS34" s="43"/>
      <c r="AT34" s="43"/>
      <c r="AU34" s="43"/>
    </row>
    <row r="35" spans="1:47" ht="23.25" x14ac:dyDescent="0.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123"/>
      <c r="Y35" s="121"/>
      <c r="Z35" s="121"/>
      <c r="AA35" s="121"/>
      <c r="AB35" s="121"/>
      <c r="AC35" s="121"/>
      <c r="AD35" s="121"/>
      <c r="AE35" s="121"/>
      <c r="AF35" s="49"/>
      <c r="AG35" s="43"/>
      <c r="AH35" s="43"/>
      <c r="AI35" s="43"/>
      <c r="AJ35" s="102"/>
      <c r="AK35" s="102"/>
      <c r="AL35" s="102"/>
      <c r="AM35" s="102"/>
      <c r="AN35" s="102"/>
      <c r="AO35" s="102"/>
      <c r="AP35" s="43"/>
      <c r="AQ35" s="43"/>
      <c r="AR35" s="43"/>
      <c r="AS35" s="43"/>
      <c r="AT35" s="43"/>
      <c r="AU35" s="43"/>
    </row>
    <row r="36" spans="1:47" ht="23.25" x14ac:dyDescent="0.2">
      <c r="A36" s="49"/>
      <c r="V36" s="49"/>
      <c r="W36" s="49"/>
      <c r="X36" s="49"/>
      <c r="Y36" s="121"/>
      <c r="Z36" s="121"/>
      <c r="AA36" s="121"/>
      <c r="AB36" s="121"/>
      <c r="AC36" s="121"/>
      <c r="AD36" s="121"/>
      <c r="AE36" s="121"/>
    </row>
    <row r="37" spans="1:47" ht="23.25" x14ac:dyDescent="0.2">
      <c r="A37" s="49"/>
      <c r="V37" s="49"/>
      <c r="W37" s="49"/>
      <c r="X37" s="49"/>
      <c r="Y37" s="121"/>
      <c r="Z37" s="121"/>
      <c r="AA37" s="121"/>
      <c r="AB37" s="121"/>
      <c r="AC37" s="121"/>
      <c r="AD37" s="121"/>
      <c r="AE37" s="121"/>
    </row>
    <row r="38" spans="1:47" ht="23.25" x14ac:dyDescent="0.2">
      <c r="A38" s="49"/>
      <c r="V38" s="49"/>
      <c r="W38" s="49"/>
      <c r="X38" s="49"/>
      <c r="Y38" s="121"/>
      <c r="Z38" s="121"/>
      <c r="AA38" s="121"/>
      <c r="AB38" s="121"/>
      <c r="AC38" s="121"/>
      <c r="AD38" s="121"/>
      <c r="AE38" s="121"/>
      <c r="AF38" s="49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</row>
    <row r="39" spans="1:47" ht="23.25" x14ac:dyDescent="0.2">
      <c r="A39" s="49"/>
      <c r="V39" s="49"/>
      <c r="W39" s="49"/>
      <c r="X39" s="49"/>
      <c r="Y39" s="121"/>
      <c r="Z39" s="121"/>
      <c r="AA39" s="121"/>
      <c r="AB39" s="121"/>
      <c r="AC39" s="121"/>
      <c r="AD39" s="121"/>
      <c r="AE39" s="121"/>
      <c r="AI39" s="43"/>
      <c r="AJ39" s="102"/>
      <c r="AK39" s="102"/>
      <c r="AL39" s="102"/>
      <c r="AM39" s="102"/>
      <c r="AN39" s="102"/>
      <c r="AO39" s="102"/>
      <c r="AP39" s="102"/>
      <c r="AQ39" s="102"/>
      <c r="AR39" s="102"/>
      <c r="AS39" s="43"/>
      <c r="AT39" s="43"/>
    </row>
    <row r="40" spans="1:47" ht="23.25" x14ac:dyDescent="0.2">
      <c r="A40" s="49"/>
      <c r="V40" s="49"/>
      <c r="W40" s="49"/>
      <c r="X40" s="49"/>
      <c r="Y40" s="121"/>
      <c r="Z40" s="121"/>
      <c r="AA40" s="121"/>
      <c r="AB40" s="121"/>
      <c r="AC40" s="121"/>
      <c r="AD40" s="121"/>
      <c r="AE40" s="121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</row>
    <row r="41" spans="1:47" ht="20.25" x14ac:dyDescent="0.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</row>
    <row r="42" spans="1:47" ht="20.25" x14ac:dyDescent="0.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</row>
    <row r="43" spans="1:47" ht="20.25" x14ac:dyDescent="0.2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</row>
    <row r="44" spans="1:47" ht="20.25" x14ac:dyDescent="0.2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</row>
    <row r="45" spans="1:47" ht="20.25" x14ac:dyDescent="0.2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</row>
    <row r="46" spans="1:47" ht="20.25" x14ac:dyDescent="0.2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</row>
    <row r="47" spans="1:47" ht="20.25" x14ac:dyDescent="0.25"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</row>
    <row r="48" spans="1:47" ht="20.25" x14ac:dyDescent="0.25"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</row>
    <row r="49" spans="1:35" ht="20.25" x14ac:dyDescent="0.25"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</row>
    <row r="50" spans="1:35" ht="20.25" x14ac:dyDescent="0.25"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</row>
    <row r="51" spans="1:35" ht="20.25" x14ac:dyDescent="0.25"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</row>
    <row r="52" spans="1:35" ht="20.25" x14ac:dyDescent="0.25"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</row>
    <row r="53" spans="1:35" ht="20.25" x14ac:dyDescent="0.25"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</row>
    <row r="54" spans="1:35" ht="23.25" x14ac:dyDescent="0.35">
      <c r="B54" s="122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</row>
    <row r="55" spans="1:35" ht="20.25" x14ac:dyDescent="0.2">
      <c r="A55" s="49"/>
      <c r="W55" s="49"/>
    </row>
    <row r="56" spans="1:35" ht="20.25" x14ac:dyDescent="0.25"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</row>
    <row r="57" spans="1:35" s="49" customFormat="1" ht="20.25" x14ac:dyDescent="0.2"/>
    <row r="58" spans="1:35" ht="20.25" x14ac:dyDescent="0.2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</row>
    <row r="59" spans="1:35" ht="20.25" x14ac:dyDescent="0.2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</row>
    <row r="60" spans="1:35" ht="20.25" x14ac:dyDescent="0.2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</row>
    <row r="61" spans="1:35" ht="20.25" x14ac:dyDescent="0.25"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</row>
    <row r="62" spans="1:35" ht="20.25" x14ac:dyDescent="0.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</row>
    <row r="63" spans="1:35" ht="20.25" x14ac:dyDescent="0.2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</row>
    <row r="64" spans="1:35" ht="20.25" x14ac:dyDescent="0.25"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</row>
    <row r="65" spans="2:35" ht="20.25" x14ac:dyDescent="0.25"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</row>
    <row r="66" spans="2:35" ht="20.25" x14ac:dyDescent="0.25"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</row>
    <row r="67" spans="2:35" ht="20.25" x14ac:dyDescent="0.25"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</row>
    <row r="68" spans="2:35" ht="20.25" x14ac:dyDescent="0.25"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</row>
    <row r="69" spans="2:35" ht="20.25" x14ac:dyDescent="0.25"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</row>
    <row r="70" spans="2:35" ht="20.25" x14ac:dyDescent="0.25"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</row>
    <row r="71" spans="2:35" ht="20.25" x14ac:dyDescent="0.25"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</row>
    <row r="72" spans="2:35" ht="20.25" x14ac:dyDescent="0.25"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</row>
    <row r="73" spans="2:35" ht="20.25" x14ac:dyDescent="0.25"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</row>
    <row r="74" spans="2:35" ht="20.25" x14ac:dyDescent="0.25"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</row>
    <row r="75" spans="2:35" ht="20.25" x14ac:dyDescent="0.25"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</row>
    <row r="76" spans="2:35" ht="20.25" x14ac:dyDescent="0.25"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</row>
    <row r="77" spans="2:35" ht="20.25" x14ac:dyDescent="0.25"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</row>
    <row r="78" spans="2:35" ht="20.25" x14ac:dyDescent="0.25"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</row>
    <row r="79" spans="2:35" ht="20.25" x14ac:dyDescent="0.25"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</row>
    <row r="80" spans="2:35" ht="20.25" x14ac:dyDescent="0.25"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</row>
    <row r="81" spans="2:23" ht="20.25" x14ac:dyDescent="0.25"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</row>
    <row r="82" spans="2:23" ht="20.25" x14ac:dyDescent="0.25"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</row>
    <row r="83" spans="2:23" ht="20.25" x14ac:dyDescent="0.25"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</row>
    <row r="84" spans="2:23" ht="20.25" x14ac:dyDescent="0.25"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</row>
    <row r="85" spans="2:23" ht="20.25" x14ac:dyDescent="0.25"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</row>
    <row r="86" spans="2:23" ht="20.25" x14ac:dyDescent="0.25"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</row>
    <row r="87" spans="2:23" ht="20.25" x14ac:dyDescent="0.25"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 spans="2:23" ht="20.25" x14ac:dyDescent="0.25"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</row>
    <row r="89" spans="2:23" ht="20.25" x14ac:dyDescent="0.25"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</row>
  </sheetData>
  <mergeCells count="3">
    <mergeCell ref="A3:T3"/>
    <mergeCell ref="R5:T5"/>
    <mergeCell ref="S6:T6"/>
  </mergeCells>
  <printOptions horizontalCentered="1"/>
  <pageMargins left="0" right="0" top="1.1811023622047245" bottom="0.39370078740157483" header="0" footer="0"/>
  <pageSetup scale="3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47"/>
  <sheetViews>
    <sheetView zoomScale="90" zoomScaleNormal="90" workbookViewId="0">
      <selection activeCell="F47" sqref="F36:F47"/>
    </sheetView>
  </sheetViews>
  <sheetFormatPr baseColWidth="10" defaultRowHeight="12.75" x14ac:dyDescent="0.2"/>
  <cols>
    <col min="7" max="7" width="8.85546875" customWidth="1"/>
    <col min="9" max="10" width="12.85546875" customWidth="1"/>
  </cols>
  <sheetData>
    <row r="2" spans="3:9" ht="15.75" x14ac:dyDescent="0.25">
      <c r="E2" s="215" t="s">
        <v>99</v>
      </c>
      <c r="F2" s="215"/>
      <c r="G2" s="215"/>
      <c r="H2" s="215"/>
      <c r="I2" s="215"/>
    </row>
    <row r="4" spans="3:9" ht="47.25" x14ac:dyDescent="0.2">
      <c r="C4" s="170"/>
      <c r="D4" s="170"/>
      <c r="E4" s="175" t="s">
        <v>95</v>
      </c>
      <c r="F4" s="175" t="s">
        <v>96</v>
      </c>
      <c r="G4" s="175"/>
      <c r="H4" s="175" t="s">
        <v>97</v>
      </c>
      <c r="I4" s="175" t="s">
        <v>98</v>
      </c>
    </row>
    <row r="5" spans="3:9" ht="15.75" x14ac:dyDescent="0.2">
      <c r="C5" s="170"/>
      <c r="D5" s="170"/>
      <c r="E5" s="167"/>
      <c r="F5" s="167"/>
      <c r="G5" s="167"/>
      <c r="H5" s="167"/>
      <c r="I5" s="167"/>
    </row>
    <row r="6" spans="3:9" ht="15" x14ac:dyDescent="0.2">
      <c r="C6" s="170">
        <v>2014</v>
      </c>
      <c r="D6" s="174">
        <v>41640</v>
      </c>
      <c r="E6" s="168">
        <v>1020.80961732</v>
      </c>
      <c r="F6" s="172">
        <v>963.58940584438005</v>
      </c>
      <c r="G6" s="172"/>
      <c r="H6" s="171">
        <v>836.91479400000003</v>
      </c>
      <c r="I6" s="171">
        <v>835.49468854000008</v>
      </c>
    </row>
    <row r="7" spans="3:9" ht="15" x14ac:dyDescent="0.2">
      <c r="C7" s="170"/>
      <c r="D7" s="174">
        <v>41671</v>
      </c>
      <c r="E7" s="168">
        <v>1029.197921</v>
      </c>
      <c r="F7" s="172">
        <v>978.131495208204</v>
      </c>
      <c r="G7" s="172"/>
      <c r="H7" s="171">
        <v>821.46100799999999</v>
      </c>
      <c r="I7" s="171">
        <v>821.46100799999999</v>
      </c>
    </row>
    <row r="8" spans="3:9" ht="15" x14ac:dyDescent="0.2">
      <c r="C8" s="170"/>
      <c r="D8" s="174">
        <v>41699</v>
      </c>
      <c r="E8" s="168">
        <v>1153.89639422</v>
      </c>
      <c r="F8" s="172">
        <v>1087.1084436636743</v>
      </c>
      <c r="G8" s="172"/>
      <c r="H8" s="171">
        <v>747.67475999999999</v>
      </c>
      <c r="I8" s="171">
        <v>742.47475999999995</v>
      </c>
    </row>
    <row r="9" spans="3:9" ht="15" x14ac:dyDescent="0.2">
      <c r="C9" s="170"/>
      <c r="D9" s="174">
        <v>41730</v>
      </c>
      <c r="E9" s="168">
        <v>1061.7518045100001</v>
      </c>
      <c r="F9" s="172">
        <v>1004.053197609417</v>
      </c>
      <c r="G9" s="172"/>
      <c r="H9" s="171">
        <v>808.22040500000003</v>
      </c>
      <c r="I9" s="171">
        <v>808.22040500000003</v>
      </c>
    </row>
    <row r="10" spans="3:9" ht="15" x14ac:dyDescent="0.2">
      <c r="C10" s="170"/>
      <c r="D10" s="174">
        <v>41760</v>
      </c>
      <c r="E10" s="168">
        <v>1213.0962548100001</v>
      </c>
      <c r="F10" s="172">
        <v>1156.3392055868771</v>
      </c>
      <c r="G10" s="172"/>
      <c r="H10" s="171">
        <v>791.54381999999998</v>
      </c>
      <c r="I10" s="171">
        <v>790.65981999999997</v>
      </c>
    </row>
    <row r="11" spans="3:9" ht="15" x14ac:dyDescent="0.2">
      <c r="C11" s="170"/>
      <c r="D11" s="174">
        <v>41791</v>
      </c>
      <c r="E11" s="168">
        <v>1178.5518261999998</v>
      </c>
      <c r="F11" s="172">
        <v>1125.3188015132098</v>
      </c>
      <c r="G11" s="172"/>
      <c r="H11" s="171">
        <v>778.21337499999993</v>
      </c>
      <c r="I11" s="171">
        <v>778.21337499999993</v>
      </c>
    </row>
    <row r="12" spans="3:9" ht="15" x14ac:dyDescent="0.2">
      <c r="C12" s="170"/>
      <c r="D12" s="174">
        <v>41821</v>
      </c>
      <c r="E12" s="168">
        <v>1209.76848172</v>
      </c>
      <c r="F12" s="172">
        <v>1144.9038528492611</v>
      </c>
      <c r="G12" s="172"/>
      <c r="H12" s="171">
        <v>979.039624</v>
      </c>
      <c r="I12" s="171">
        <v>971.81162400000005</v>
      </c>
    </row>
    <row r="13" spans="3:9" ht="15" x14ac:dyDescent="0.2">
      <c r="C13" s="170"/>
      <c r="D13" s="174">
        <v>41852</v>
      </c>
      <c r="E13" s="168">
        <v>1150.8820930900001</v>
      </c>
      <c r="F13" s="172">
        <v>1082.3621973350771</v>
      </c>
      <c r="G13" s="172"/>
      <c r="H13" s="171">
        <v>945.16821600000003</v>
      </c>
      <c r="I13" s="171">
        <v>943.08821599999999</v>
      </c>
    </row>
    <row r="14" spans="3:9" ht="15" x14ac:dyDescent="0.2">
      <c r="C14" s="170"/>
      <c r="D14" s="174">
        <v>41883</v>
      </c>
      <c r="E14" s="168">
        <v>1113.3495104200001</v>
      </c>
      <c r="F14" s="172">
        <v>1043.0165541270703</v>
      </c>
      <c r="G14" s="172"/>
      <c r="H14" s="171">
        <v>956.19576199999995</v>
      </c>
      <c r="I14" s="171">
        <v>946.17259719999993</v>
      </c>
    </row>
    <row r="15" spans="3:9" ht="15" x14ac:dyDescent="0.2">
      <c r="C15" s="170"/>
      <c r="D15" s="174">
        <v>41913</v>
      </c>
      <c r="E15" s="168">
        <v>1021.22780714</v>
      </c>
      <c r="F15" s="172">
        <v>961.01280572736596</v>
      </c>
      <c r="G15" s="172"/>
      <c r="H15" s="171">
        <v>1065.572048</v>
      </c>
      <c r="I15" s="171">
        <v>1060.3720479999999</v>
      </c>
    </row>
    <row r="16" spans="3:9" ht="15" x14ac:dyDescent="0.2">
      <c r="C16" s="170"/>
      <c r="D16" s="174">
        <v>41944</v>
      </c>
      <c r="E16" s="168">
        <v>936.15381737999996</v>
      </c>
      <c r="F16" s="172">
        <v>874.09553146745191</v>
      </c>
      <c r="G16" s="172"/>
      <c r="H16" s="171">
        <v>885.71219600000006</v>
      </c>
      <c r="I16" s="171">
        <v>877.45703120000007</v>
      </c>
    </row>
    <row r="17" spans="3:9" ht="15" x14ac:dyDescent="0.2">
      <c r="C17" s="170"/>
      <c r="D17" s="174">
        <v>41974</v>
      </c>
      <c r="E17" s="168">
        <v>939.22015056000009</v>
      </c>
      <c r="F17" s="172">
        <v>880.90709792853795</v>
      </c>
      <c r="G17" s="172"/>
      <c r="H17" s="171">
        <v>944.64162799999997</v>
      </c>
      <c r="I17" s="171">
        <v>942.39521793999995</v>
      </c>
    </row>
    <row r="18" spans="3:9" ht="15" x14ac:dyDescent="0.2">
      <c r="C18" s="170">
        <v>2015</v>
      </c>
      <c r="D18" s="174">
        <v>42005</v>
      </c>
      <c r="E18" s="169">
        <v>805.88053757</v>
      </c>
      <c r="F18" s="169">
        <v>749.31418487115195</v>
      </c>
      <c r="G18" s="173"/>
      <c r="H18" s="171">
        <v>753.49881800000003</v>
      </c>
      <c r="I18" s="171">
        <v>748.45481800000005</v>
      </c>
    </row>
    <row r="19" spans="3:9" ht="15" x14ac:dyDescent="0.2">
      <c r="C19" s="170"/>
      <c r="D19" s="174">
        <v>42036</v>
      </c>
      <c r="E19" s="169">
        <v>717.34991936999995</v>
      </c>
      <c r="F19" s="168">
        <v>672.11925339967195</v>
      </c>
      <c r="G19" s="172"/>
      <c r="H19" s="171">
        <v>775.46554300000003</v>
      </c>
      <c r="I19" s="171">
        <v>775.46554300000003</v>
      </c>
    </row>
    <row r="20" spans="3:9" ht="15" x14ac:dyDescent="0.2">
      <c r="C20" s="170"/>
      <c r="D20" s="174">
        <v>42064</v>
      </c>
      <c r="E20" s="169">
        <v>809.36367920000009</v>
      </c>
      <c r="F20" s="168">
        <v>761.84074015454314</v>
      </c>
      <c r="G20" s="172"/>
      <c r="H20" s="171">
        <v>854.77892899999995</v>
      </c>
      <c r="I20" s="171">
        <v>839.72802899999999</v>
      </c>
    </row>
    <row r="21" spans="3:9" ht="15" x14ac:dyDescent="0.2">
      <c r="C21" s="170"/>
      <c r="D21" s="174">
        <v>42095</v>
      </c>
      <c r="E21" s="169">
        <v>774.4488644700001</v>
      </c>
      <c r="F21" s="168">
        <v>723.70072473794312</v>
      </c>
      <c r="G21" s="172"/>
      <c r="H21" s="171">
        <v>759.65344400000004</v>
      </c>
      <c r="I21" s="171">
        <v>753.41344400000003</v>
      </c>
    </row>
    <row r="22" spans="3:9" ht="15" x14ac:dyDescent="0.2">
      <c r="C22" s="170"/>
      <c r="D22" s="174">
        <v>42125</v>
      </c>
      <c r="E22" s="169">
        <v>806.4283170299999</v>
      </c>
      <c r="F22" s="168">
        <v>746.33806083263994</v>
      </c>
      <c r="G22" s="172"/>
      <c r="H22" s="171">
        <v>772.86280999999997</v>
      </c>
      <c r="I22" s="171">
        <v>759.00999993999994</v>
      </c>
    </row>
    <row r="23" spans="3:9" ht="15" x14ac:dyDescent="0.2">
      <c r="C23" s="170"/>
      <c r="D23" s="174">
        <v>42156</v>
      </c>
      <c r="E23" s="169">
        <v>787.23496109000007</v>
      </c>
      <c r="F23" s="168">
        <v>724.60450408332815</v>
      </c>
      <c r="G23" s="172"/>
      <c r="H23" s="171">
        <v>744.46291799999995</v>
      </c>
      <c r="I23" s="171">
        <v>744.46291799999995</v>
      </c>
    </row>
    <row r="24" spans="3:9" ht="15" x14ac:dyDescent="0.2">
      <c r="C24" s="170"/>
      <c r="D24" s="174">
        <v>42186</v>
      </c>
      <c r="E24" s="169">
        <v>768.44649978000018</v>
      </c>
      <c r="F24" s="168">
        <v>720.46277747974511</v>
      </c>
      <c r="G24" s="172"/>
      <c r="H24" s="171">
        <v>854.19577100000015</v>
      </c>
      <c r="I24" s="171">
        <v>854.19577100000015</v>
      </c>
    </row>
    <row r="25" spans="3:9" ht="15" x14ac:dyDescent="0.2">
      <c r="C25" s="170"/>
      <c r="D25" s="174">
        <v>42217</v>
      </c>
      <c r="E25" s="169">
        <v>723.70300939000015</v>
      </c>
      <c r="F25" s="168">
        <v>678.18495602006408</v>
      </c>
      <c r="G25" s="172"/>
      <c r="H25" s="171">
        <v>752.51603299999999</v>
      </c>
      <c r="I25" s="171">
        <v>741.65842294000004</v>
      </c>
    </row>
    <row r="26" spans="3:9" ht="15" x14ac:dyDescent="0.2">
      <c r="C26" s="170"/>
      <c r="D26" s="174">
        <v>42248</v>
      </c>
      <c r="E26" s="169">
        <v>738.83799120999993</v>
      </c>
      <c r="F26" s="168">
        <v>689.98961249749493</v>
      </c>
      <c r="G26" s="172"/>
      <c r="H26" s="171">
        <v>793.88822100000004</v>
      </c>
      <c r="I26" s="171">
        <v>793.88822100000004</v>
      </c>
    </row>
    <row r="27" spans="3:9" ht="15" x14ac:dyDescent="0.2">
      <c r="C27" s="170"/>
      <c r="D27" s="174">
        <v>42278</v>
      </c>
      <c r="E27" s="190">
        <v>696.54946712999981</v>
      </c>
      <c r="F27" s="190">
        <v>642.7817853385568</v>
      </c>
      <c r="G27" s="170"/>
      <c r="H27" s="171">
        <v>884.03043899999989</v>
      </c>
      <c r="I27" s="171">
        <v>883.81643899999983</v>
      </c>
    </row>
    <row r="28" spans="3:9" ht="15" x14ac:dyDescent="0.2">
      <c r="C28" s="166"/>
      <c r="D28" s="174">
        <v>42309</v>
      </c>
      <c r="E28" s="90">
        <v>616.08938583999986</v>
      </c>
      <c r="F28" s="90">
        <v>574.40771346755889</v>
      </c>
      <c r="G28" s="166"/>
      <c r="H28">
        <v>753.06142200000011</v>
      </c>
      <c r="I28">
        <v>740.48157200000014</v>
      </c>
    </row>
    <row r="33" spans="4:11" ht="13.5" thickBot="1" x14ac:dyDescent="0.25"/>
    <row r="34" spans="4:11" ht="31.5" x14ac:dyDescent="0.2">
      <c r="D34" s="192"/>
      <c r="E34" s="193" t="s">
        <v>96</v>
      </c>
      <c r="F34" s="193" t="s">
        <v>96</v>
      </c>
      <c r="G34" s="193" t="s">
        <v>115</v>
      </c>
      <c r="H34" s="201"/>
      <c r="I34" s="193" t="s">
        <v>97</v>
      </c>
      <c r="J34" s="193" t="s">
        <v>97</v>
      </c>
      <c r="K34" s="194" t="s">
        <v>115</v>
      </c>
    </row>
    <row r="35" spans="4:11" ht="16.5" thickBot="1" x14ac:dyDescent="0.25">
      <c r="D35" s="199"/>
      <c r="E35" s="200">
        <v>2014</v>
      </c>
      <c r="F35" s="200">
        <v>2015</v>
      </c>
      <c r="G35" s="202"/>
      <c r="H35" s="202"/>
      <c r="I35" s="200">
        <v>2014</v>
      </c>
      <c r="J35" s="200">
        <v>2015</v>
      </c>
      <c r="K35" s="203"/>
    </row>
    <row r="36" spans="4:11" ht="15" x14ac:dyDescent="0.2">
      <c r="D36" s="195" t="s">
        <v>103</v>
      </c>
      <c r="E36" s="168">
        <v>963.58940584438005</v>
      </c>
      <c r="F36" s="169">
        <v>749.31418487115195</v>
      </c>
      <c r="G36" s="191">
        <f>F36/E36-1</f>
        <v>-0.22237191450383542</v>
      </c>
      <c r="H36" s="171"/>
      <c r="I36" s="204">
        <v>835.49468854000008</v>
      </c>
      <c r="J36" s="204">
        <v>748.45481800000005</v>
      </c>
      <c r="K36" s="205">
        <f>J36/I36-1</f>
        <v>-0.10417764676888541</v>
      </c>
    </row>
    <row r="37" spans="4:11" ht="15" x14ac:dyDescent="0.2">
      <c r="D37" s="195" t="s">
        <v>104</v>
      </c>
      <c r="E37" s="168">
        <v>978.131495208204</v>
      </c>
      <c r="F37" s="169">
        <v>672.11925339967195</v>
      </c>
      <c r="G37" s="191">
        <f t="shared" ref="G37:G46" si="0">F37/E37-1</f>
        <v>-0.31285388856985397</v>
      </c>
      <c r="H37" s="171"/>
      <c r="I37" s="204">
        <v>821.46100799999999</v>
      </c>
      <c r="J37" s="204">
        <v>775.46554300000003</v>
      </c>
      <c r="K37" s="205">
        <f t="shared" ref="K37:K46" si="1">J37/I37-1</f>
        <v>-5.5992268107751708E-2</v>
      </c>
    </row>
    <row r="38" spans="4:11" ht="15" x14ac:dyDescent="0.2">
      <c r="D38" s="195" t="s">
        <v>105</v>
      </c>
      <c r="E38" s="168">
        <v>1087.1084436636743</v>
      </c>
      <c r="F38" s="169">
        <v>761.84074015454314</v>
      </c>
      <c r="G38" s="191">
        <f t="shared" si="0"/>
        <v>-0.29920446796728339</v>
      </c>
      <c r="H38" s="171"/>
      <c r="I38" s="204">
        <v>742.47475999999995</v>
      </c>
      <c r="J38" s="204">
        <v>839.72802899999999</v>
      </c>
      <c r="K38" s="205">
        <f t="shared" si="1"/>
        <v>0.13098528628771167</v>
      </c>
    </row>
    <row r="39" spans="4:11" ht="15" x14ac:dyDescent="0.2">
      <c r="D39" s="195" t="s">
        <v>106</v>
      </c>
      <c r="E39" s="168">
        <v>1004.053197609417</v>
      </c>
      <c r="F39" s="169">
        <v>723.70072473794312</v>
      </c>
      <c r="G39" s="191">
        <f t="shared" si="0"/>
        <v>-0.2792207360516098</v>
      </c>
      <c r="H39" s="171"/>
      <c r="I39" s="204">
        <v>808.22040500000003</v>
      </c>
      <c r="J39" s="204">
        <v>753.41344400000003</v>
      </c>
      <c r="K39" s="205">
        <f t="shared" si="1"/>
        <v>-6.7811899651308627E-2</v>
      </c>
    </row>
    <row r="40" spans="4:11" ht="15" x14ac:dyDescent="0.2">
      <c r="D40" s="195" t="s">
        <v>107</v>
      </c>
      <c r="E40" s="168">
        <v>1156.3392055868771</v>
      </c>
      <c r="F40" s="169">
        <v>746.33806083263994</v>
      </c>
      <c r="G40" s="191">
        <f t="shared" si="0"/>
        <v>-0.3545682294376149</v>
      </c>
      <c r="H40" s="171"/>
      <c r="I40" s="204">
        <v>790.65981999999997</v>
      </c>
      <c r="J40" s="204">
        <v>759.00999993999994</v>
      </c>
      <c r="K40" s="205">
        <f t="shared" si="1"/>
        <v>-4.0029630012057504E-2</v>
      </c>
    </row>
    <row r="41" spans="4:11" ht="15" x14ac:dyDescent="0.2">
      <c r="D41" s="195" t="s">
        <v>108</v>
      </c>
      <c r="E41" s="168">
        <v>1125.3188015132098</v>
      </c>
      <c r="F41" s="169">
        <v>724.60450408332815</v>
      </c>
      <c r="G41" s="191">
        <f t="shared" si="0"/>
        <v>-0.35608957825199705</v>
      </c>
      <c r="H41" s="171"/>
      <c r="I41" s="204">
        <v>778.21337499999993</v>
      </c>
      <c r="J41" s="204">
        <v>744.46291799999995</v>
      </c>
      <c r="K41" s="205">
        <f t="shared" si="1"/>
        <v>-4.3369155663766312E-2</v>
      </c>
    </row>
    <row r="42" spans="4:11" ht="15" x14ac:dyDescent="0.2">
      <c r="D42" s="195" t="s">
        <v>109</v>
      </c>
      <c r="E42" s="168">
        <v>1144.9038528492611</v>
      </c>
      <c r="F42" s="169">
        <v>720.46277747974511</v>
      </c>
      <c r="G42" s="191">
        <f t="shared" si="0"/>
        <v>-0.37072202553361322</v>
      </c>
      <c r="H42" s="171"/>
      <c r="I42" s="204">
        <v>971.81162400000005</v>
      </c>
      <c r="J42" s="204">
        <v>854.19577100000015</v>
      </c>
      <c r="K42" s="205">
        <f t="shared" si="1"/>
        <v>-0.12102741940448314</v>
      </c>
    </row>
    <row r="43" spans="4:11" ht="15" x14ac:dyDescent="0.2">
      <c r="D43" s="195" t="s">
        <v>110</v>
      </c>
      <c r="E43" s="168">
        <v>1082.3621973350771</v>
      </c>
      <c r="F43" s="169">
        <v>678.18495602006408</v>
      </c>
      <c r="G43" s="191">
        <f t="shared" si="0"/>
        <v>-0.37342143167061115</v>
      </c>
      <c r="H43" s="171"/>
      <c r="I43" s="204">
        <v>943.08821599999999</v>
      </c>
      <c r="J43" s="204">
        <v>741.65842294000004</v>
      </c>
      <c r="K43" s="205">
        <f t="shared" si="1"/>
        <v>-0.21358531433500594</v>
      </c>
    </row>
    <row r="44" spans="4:11" ht="15" x14ac:dyDescent="0.2">
      <c r="D44" s="195" t="s">
        <v>111</v>
      </c>
      <c r="E44" s="168">
        <v>1043.0165541270703</v>
      </c>
      <c r="F44" s="169">
        <v>689.98961249749493</v>
      </c>
      <c r="G44" s="191">
        <f t="shared" si="0"/>
        <v>-0.33846724697963537</v>
      </c>
      <c r="H44" s="171"/>
      <c r="I44" s="204">
        <v>946.17259719999993</v>
      </c>
      <c r="J44" s="204">
        <v>793.88822100000004</v>
      </c>
      <c r="K44" s="205">
        <f t="shared" si="1"/>
        <v>-0.16094777702361462</v>
      </c>
    </row>
    <row r="45" spans="4:11" ht="15" x14ac:dyDescent="0.2">
      <c r="D45" s="195" t="s">
        <v>112</v>
      </c>
      <c r="E45" s="168">
        <v>961.01280572736596</v>
      </c>
      <c r="F45" s="169">
        <v>642.7817853385568</v>
      </c>
      <c r="G45" s="191">
        <f t="shared" si="0"/>
        <v>-0.33114129020158922</v>
      </c>
      <c r="H45" s="171"/>
      <c r="I45" s="204">
        <v>1060.3720479999999</v>
      </c>
      <c r="J45" s="204">
        <v>883.81643899999983</v>
      </c>
      <c r="K45" s="205">
        <f t="shared" si="1"/>
        <v>-0.1665034544554499</v>
      </c>
    </row>
    <row r="46" spans="4:11" ht="15" x14ac:dyDescent="0.2">
      <c r="D46" s="195" t="s">
        <v>113</v>
      </c>
      <c r="E46" s="168">
        <v>874.09553146745191</v>
      </c>
      <c r="F46" s="169">
        <v>574.40771346755889</v>
      </c>
      <c r="G46" s="191">
        <f t="shared" si="0"/>
        <v>-0.34285476496690259</v>
      </c>
      <c r="H46" s="171"/>
      <c r="I46" s="204">
        <v>877.45703120000007</v>
      </c>
      <c r="J46" s="204">
        <v>740.48157200000014</v>
      </c>
      <c r="K46" s="205">
        <f t="shared" si="1"/>
        <v>-0.15610503344269044</v>
      </c>
    </row>
    <row r="47" spans="4:11" ht="16.5" thickBot="1" x14ac:dyDescent="0.3">
      <c r="D47" s="196" t="s">
        <v>114</v>
      </c>
      <c r="E47" s="197">
        <v>880.90709792853795</v>
      </c>
      <c r="F47" s="208">
        <f>E47*(1+G47)</f>
        <v>594.13855735235916</v>
      </c>
      <c r="G47" s="198">
        <f>AVERAGE(G36:G46)</f>
        <v>-0.32553777946677692</v>
      </c>
      <c r="H47" s="202"/>
      <c r="I47" s="206">
        <v>942.39521793999995</v>
      </c>
      <c r="J47" s="209">
        <f>I47*(1+K47)</f>
        <v>856.84592403287331</v>
      </c>
      <c r="K47" s="207">
        <f>AVERAGE(K36:K46)</f>
        <v>-9.0778573870663806E-2</v>
      </c>
    </row>
  </sheetData>
  <mergeCells count="1">
    <mergeCell ref="E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26</vt:lpstr>
      <vt:lpstr>26 (2)</vt:lpstr>
      <vt:lpstr>Hoja1</vt:lpstr>
      <vt:lpstr>'26'!Área_de_impresión</vt:lpstr>
      <vt:lpstr>'26 (2)'!Área_de_impresión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JRocabado</dc:creator>
  <cp:lastModifiedBy>Valued Acer Customer</cp:lastModifiedBy>
  <cp:lastPrinted>2016-03-14T21:46:25Z</cp:lastPrinted>
  <dcterms:created xsi:type="dcterms:W3CDTF">2006-09-19T20:48:32Z</dcterms:created>
  <dcterms:modified xsi:type="dcterms:W3CDTF">2016-03-14T21:46:58Z</dcterms:modified>
</cp:coreProperties>
</file>