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485" yWindow="570" windowWidth="13650" windowHeight="9180"/>
  </bookViews>
  <sheets>
    <sheet name="8.04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Print_Area" localSheetId="0">'8.04'!$A$1:$LO$97</definedName>
  </definedNames>
  <calcPr calcId="145621"/>
</workbook>
</file>

<file path=xl/calcChain.xml><?xml version="1.0" encoding="utf-8"?>
<calcChain xmlns="http://schemas.openxmlformats.org/spreadsheetml/2006/main">
  <c r="GV41" i="1" l="1"/>
  <c r="GW41" i="1"/>
  <c r="GZ44" i="1"/>
  <c r="IF77" i="1" l="1"/>
  <c r="IE77" i="1"/>
  <c r="ID77" i="1"/>
  <c r="IF73" i="1"/>
  <c r="IF71" i="1" s="1"/>
  <c r="IE73" i="1"/>
  <c r="IE71" i="1" s="1"/>
  <c r="ID73" i="1"/>
  <c r="ID71" i="1" s="1"/>
  <c r="IF67" i="1"/>
  <c r="IE67" i="1"/>
  <c r="ID67" i="1"/>
  <c r="IF63" i="1"/>
  <c r="IE63" i="1"/>
  <c r="IE62" i="1" s="1"/>
  <c r="ID63" i="1"/>
  <c r="ID62" i="1" s="1"/>
  <c r="IF55" i="1"/>
  <c r="IE55" i="1"/>
  <c r="ID55" i="1"/>
  <c r="IF49" i="1"/>
  <c r="IF48" i="1" s="1"/>
  <c r="IE49" i="1"/>
  <c r="ID49" i="1"/>
  <c r="ID48" i="1" s="1"/>
  <c r="IE48" i="1"/>
  <c r="IF41" i="1"/>
  <c r="IE41" i="1"/>
  <c r="ID41" i="1"/>
  <c r="IF32" i="1"/>
  <c r="IF31" i="1" s="1"/>
  <c r="IE32" i="1"/>
  <c r="IE31" i="1" s="1"/>
  <c r="ID32" i="1"/>
  <c r="ID31" i="1" s="1"/>
  <c r="IF30" i="1"/>
  <c r="IF28" i="1" s="1"/>
  <c r="IE30" i="1"/>
  <c r="IE28" i="1" s="1"/>
  <c r="ID30" i="1"/>
  <c r="ID28" i="1" s="1"/>
  <c r="IF23" i="1"/>
  <c r="IE23" i="1"/>
  <c r="ID23" i="1"/>
  <c r="IE18" i="1"/>
  <c r="ID18" i="1"/>
  <c r="ID13" i="1" s="1"/>
  <c r="IF14" i="1"/>
  <c r="IF13" i="1" s="1"/>
  <c r="IF12" i="1" s="1"/>
  <c r="IE14" i="1"/>
  <c r="ID14" i="1"/>
  <c r="IB77" i="1"/>
  <c r="IA77" i="1"/>
  <c r="HZ77" i="1"/>
  <c r="IB73" i="1"/>
  <c r="IB71" i="1" s="1"/>
  <c r="IA73" i="1"/>
  <c r="IA71" i="1" s="1"/>
  <c r="HZ73" i="1"/>
  <c r="HZ71" i="1" s="1"/>
  <c r="IB67" i="1"/>
  <c r="IA67" i="1"/>
  <c r="IA62" i="1" s="1"/>
  <c r="HZ67" i="1"/>
  <c r="IB63" i="1"/>
  <c r="IA63" i="1"/>
  <c r="HZ63" i="1"/>
  <c r="HZ62" i="1" s="1"/>
  <c r="IB55" i="1"/>
  <c r="IA55" i="1"/>
  <c r="HZ55" i="1"/>
  <c r="IB49" i="1"/>
  <c r="IB48" i="1" s="1"/>
  <c r="IA49" i="1"/>
  <c r="IA48" i="1" s="1"/>
  <c r="IA47" i="1" s="1"/>
  <c r="HZ49" i="1"/>
  <c r="HZ48" i="1" s="1"/>
  <c r="IB41" i="1"/>
  <c r="IA41" i="1"/>
  <c r="HZ41" i="1"/>
  <c r="IB32" i="1"/>
  <c r="IB31" i="1" s="1"/>
  <c r="IA32" i="1"/>
  <c r="IA31" i="1" s="1"/>
  <c r="HZ32" i="1"/>
  <c r="HZ31" i="1" s="1"/>
  <c r="IB30" i="1"/>
  <c r="IB28" i="1" s="1"/>
  <c r="IA30" i="1"/>
  <c r="IA28" i="1" s="1"/>
  <c r="HZ30" i="1"/>
  <c r="HZ28" i="1" s="1"/>
  <c r="IB23" i="1"/>
  <c r="IA23" i="1"/>
  <c r="HZ23" i="1"/>
  <c r="IB18" i="1"/>
  <c r="IA18" i="1"/>
  <c r="HZ18" i="1"/>
  <c r="IB14" i="1"/>
  <c r="IA14" i="1"/>
  <c r="IA13" i="1" s="1"/>
  <c r="HZ14" i="1"/>
  <c r="HX77" i="1"/>
  <c r="HW77" i="1"/>
  <c r="HV77" i="1"/>
  <c r="HX73" i="1"/>
  <c r="HX71" i="1" s="1"/>
  <c r="HW73" i="1"/>
  <c r="HW71" i="1" s="1"/>
  <c r="HV73" i="1"/>
  <c r="HV71" i="1" s="1"/>
  <c r="HX67" i="1"/>
  <c r="HW67" i="1"/>
  <c r="HV67" i="1"/>
  <c r="HX63" i="1"/>
  <c r="HW63" i="1"/>
  <c r="HV63" i="1"/>
  <c r="HX55" i="1"/>
  <c r="HW55" i="1"/>
  <c r="HV55" i="1"/>
  <c r="HX49" i="1"/>
  <c r="HX48" i="1" s="1"/>
  <c r="HW49" i="1"/>
  <c r="HW48" i="1" s="1"/>
  <c r="HV49" i="1"/>
  <c r="HV48" i="1" s="1"/>
  <c r="HV47" i="1" s="1"/>
  <c r="HX41" i="1"/>
  <c r="HW41" i="1"/>
  <c r="HV41" i="1"/>
  <c r="HX32" i="1"/>
  <c r="HX31" i="1" s="1"/>
  <c r="HW32" i="1"/>
  <c r="HW31" i="1" s="1"/>
  <c r="HV32" i="1"/>
  <c r="HV31" i="1" s="1"/>
  <c r="HX30" i="1"/>
  <c r="HX28" i="1" s="1"/>
  <c r="HW30" i="1"/>
  <c r="HW28" i="1" s="1"/>
  <c r="HV30" i="1"/>
  <c r="HV28" i="1"/>
  <c r="HX23" i="1"/>
  <c r="HW23" i="1"/>
  <c r="HV23" i="1"/>
  <c r="HX18" i="1"/>
  <c r="HW18" i="1"/>
  <c r="HV18" i="1"/>
  <c r="HX14" i="1"/>
  <c r="HW14" i="1"/>
  <c r="HV14" i="1"/>
  <c r="HT77" i="1"/>
  <c r="HS77" i="1"/>
  <c r="HR77" i="1"/>
  <c r="HT73" i="1"/>
  <c r="HT71" i="1" s="1"/>
  <c r="HS73" i="1"/>
  <c r="HR73" i="1"/>
  <c r="HR71" i="1" s="1"/>
  <c r="HS71" i="1"/>
  <c r="HT67" i="1"/>
  <c r="HS67" i="1"/>
  <c r="HR67" i="1"/>
  <c r="HT63" i="1"/>
  <c r="HT62" i="1" s="1"/>
  <c r="HS63" i="1"/>
  <c r="HR63" i="1"/>
  <c r="HT55" i="1"/>
  <c r="HS55" i="1"/>
  <c r="HR55" i="1"/>
  <c r="HT49" i="1"/>
  <c r="HT48" i="1" s="1"/>
  <c r="HS49" i="1"/>
  <c r="HS48" i="1" s="1"/>
  <c r="HS47" i="1" s="1"/>
  <c r="HR49" i="1"/>
  <c r="HR48" i="1" s="1"/>
  <c r="HT41" i="1"/>
  <c r="HS41" i="1"/>
  <c r="HR41" i="1"/>
  <c r="HT32" i="1"/>
  <c r="HT31" i="1" s="1"/>
  <c r="HS32" i="1"/>
  <c r="HS31" i="1" s="1"/>
  <c r="HR32" i="1"/>
  <c r="HR31" i="1" s="1"/>
  <c r="HT30" i="1"/>
  <c r="HT28" i="1" s="1"/>
  <c r="HS30" i="1"/>
  <c r="HS28" i="1" s="1"/>
  <c r="HR30" i="1"/>
  <c r="HR28" i="1" s="1"/>
  <c r="HT23" i="1"/>
  <c r="HS23" i="1"/>
  <c r="HR23" i="1"/>
  <c r="HT18" i="1"/>
  <c r="HS18" i="1"/>
  <c r="HS13" i="1" s="1"/>
  <c r="HR18" i="1"/>
  <c r="HT14" i="1"/>
  <c r="HS14" i="1"/>
  <c r="HR14" i="1"/>
  <c r="HR13" i="1" s="1"/>
  <c r="HR12" i="1" s="1"/>
  <c r="IF47" i="1" l="1"/>
  <c r="IB47" i="1"/>
  <c r="IF10" i="1"/>
  <c r="ID12" i="1"/>
  <c r="HR62" i="1"/>
  <c r="HW62" i="1"/>
  <c r="HX62" i="1"/>
  <c r="HZ13" i="1"/>
  <c r="HZ12" i="1" s="1"/>
  <c r="HZ10" i="1" s="1"/>
  <c r="ID47" i="1"/>
  <c r="ID45" i="1" s="1"/>
  <c r="HW13" i="1"/>
  <c r="HW12" i="1" s="1"/>
  <c r="HW10" i="1" s="1"/>
  <c r="IB13" i="1"/>
  <c r="IB12" i="1" s="1"/>
  <c r="HT13" i="1"/>
  <c r="HT12" i="1" s="1"/>
  <c r="HT10" i="1" s="1"/>
  <c r="IE13" i="1"/>
  <c r="IE12" i="1" s="1"/>
  <c r="IE10" i="1" s="1"/>
  <c r="HT47" i="1"/>
  <c r="HX47" i="1"/>
  <c r="HX45" i="1" s="1"/>
  <c r="IE47" i="1"/>
  <c r="HS12" i="1"/>
  <c r="HS10" i="1" s="1"/>
  <c r="IF62" i="1"/>
  <c r="IB62" i="1"/>
  <c r="IB45" i="1" s="1"/>
  <c r="HT45" i="1"/>
  <c r="IE45" i="1"/>
  <c r="HS62" i="1"/>
  <c r="HS45" i="1" s="1"/>
  <c r="HV62" i="1"/>
  <c r="HV45" i="1" s="1"/>
  <c r="IA45" i="1"/>
  <c r="HR47" i="1"/>
  <c r="HV13" i="1"/>
  <c r="HV12" i="1" s="1"/>
  <c r="HV10" i="1" s="1"/>
  <c r="HW47" i="1"/>
  <c r="HW45" i="1" s="1"/>
  <c r="HZ47" i="1"/>
  <c r="HZ45" i="1" s="1"/>
  <c r="IA12" i="1"/>
  <c r="HX13" i="1"/>
  <c r="HX12" i="1" s="1"/>
  <c r="HX10" i="1" s="1"/>
  <c r="ID10" i="1"/>
  <c r="HR10" i="1"/>
  <c r="IB10" i="1"/>
  <c r="IF45" i="1"/>
  <c r="IA10" i="1"/>
  <c r="IF85" i="1" l="1"/>
  <c r="HW85" i="1"/>
  <c r="HX85" i="1"/>
  <c r="HZ85" i="1"/>
  <c r="ID85" i="1"/>
  <c r="HR45" i="1"/>
  <c r="HR85" i="1" s="1"/>
  <c r="IE85" i="1"/>
  <c r="IA85" i="1"/>
  <c r="IB85" i="1"/>
  <c r="HS85" i="1"/>
  <c r="HV85" i="1"/>
  <c r="HT85" i="1"/>
  <c r="IG10" i="1"/>
  <c r="GY37" i="1" l="1"/>
  <c r="GU37" i="1"/>
  <c r="GQ37" i="1"/>
  <c r="HU83" i="1" l="1"/>
  <c r="IG82" i="1"/>
  <c r="IC82" i="1"/>
  <c r="HY82" i="1"/>
  <c r="HU82" i="1"/>
  <c r="IG80" i="1"/>
  <c r="IC80" i="1"/>
  <c r="HY80" i="1"/>
  <c r="HU80" i="1"/>
  <c r="IG79" i="1"/>
  <c r="IC79" i="1"/>
  <c r="HY79" i="1"/>
  <c r="HU79" i="1"/>
  <c r="IG78" i="1"/>
  <c r="IC78" i="1"/>
  <c r="HY78" i="1"/>
  <c r="HU78" i="1"/>
  <c r="IG77" i="1"/>
  <c r="IC77" i="1"/>
  <c r="HY77" i="1"/>
  <c r="HU77" i="1"/>
  <c r="IG76" i="1"/>
  <c r="IC76" i="1"/>
  <c r="HY76" i="1"/>
  <c r="HU76" i="1"/>
  <c r="IG75" i="1"/>
  <c r="IC75" i="1"/>
  <c r="HY75" i="1"/>
  <c r="HU75" i="1"/>
  <c r="IG74" i="1"/>
  <c r="IC74" i="1"/>
  <c r="HY74" i="1"/>
  <c r="HU74" i="1"/>
  <c r="IG73" i="1"/>
  <c r="IC73" i="1"/>
  <c r="HY73" i="1"/>
  <c r="HU73" i="1"/>
  <c r="IG72" i="1"/>
  <c r="IC72" i="1"/>
  <c r="HY72" i="1"/>
  <c r="HU72" i="1"/>
  <c r="IG71" i="1"/>
  <c r="IC71" i="1"/>
  <c r="HY71" i="1"/>
  <c r="HU71" i="1"/>
  <c r="IG70" i="1"/>
  <c r="IC70" i="1"/>
  <c r="HY70" i="1"/>
  <c r="HU70" i="1"/>
  <c r="IG69" i="1"/>
  <c r="IC69" i="1"/>
  <c r="HY69" i="1"/>
  <c r="HU69" i="1"/>
  <c r="IG68" i="1"/>
  <c r="IC68" i="1"/>
  <c r="HY68" i="1"/>
  <c r="HU68" i="1"/>
  <c r="IG67" i="1"/>
  <c r="IC67" i="1"/>
  <c r="HY67" i="1"/>
  <c r="HU67" i="1"/>
  <c r="IG66" i="1"/>
  <c r="IC66" i="1"/>
  <c r="HY66" i="1"/>
  <c r="HU66" i="1"/>
  <c r="IG65" i="1"/>
  <c r="IC65" i="1"/>
  <c r="HY65" i="1"/>
  <c r="HU65" i="1"/>
  <c r="IG64" i="1"/>
  <c r="IC64" i="1"/>
  <c r="HY64" i="1"/>
  <c r="HU64" i="1"/>
  <c r="IG63" i="1"/>
  <c r="IC63" i="1"/>
  <c r="HY63" i="1"/>
  <c r="HU63" i="1"/>
  <c r="IG62" i="1"/>
  <c r="IC62" i="1"/>
  <c r="HY62" i="1"/>
  <c r="HU62" i="1"/>
  <c r="IG61" i="1"/>
  <c r="IC61" i="1"/>
  <c r="HY61" i="1"/>
  <c r="HU61" i="1"/>
  <c r="IG60" i="1"/>
  <c r="IC60" i="1"/>
  <c r="HY60" i="1"/>
  <c r="HU60" i="1"/>
  <c r="IG59" i="1"/>
  <c r="IC59" i="1"/>
  <c r="HY59" i="1"/>
  <c r="HU59" i="1"/>
  <c r="IG58" i="1"/>
  <c r="IC58" i="1"/>
  <c r="HY58" i="1"/>
  <c r="HU58" i="1"/>
  <c r="IG57" i="1"/>
  <c r="IC57" i="1"/>
  <c r="HY57" i="1"/>
  <c r="HU57" i="1"/>
  <c r="IG56" i="1"/>
  <c r="IC56" i="1"/>
  <c r="HY56" i="1"/>
  <c r="HU56" i="1"/>
  <c r="IG55" i="1"/>
  <c r="IC55" i="1"/>
  <c r="HY55" i="1"/>
  <c r="IG54" i="1"/>
  <c r="IC54" i="1"/>
  <c r="HY54" i="1"/>
  <c r="HU54" i="1"/>
  <c r="IG53" i="1"/>
  <c r="IC53" i="1"/>
  <c r="HY53" i="1"/>
  <c r="HU53" i="1"/>
  <c r="IG52" i="1"/>
  <c r="IC52" i="1"/>
  <c r="HY52" i="1"/>
  <c r="HU52" i="1"/>
  <c r="IG51" i="1"/>
  <c r="IC51" i="1"/>
  <c r="HY51" i="1"/>
  <c r="HU51" i="1"/>
  <c r="IG50" i="1"/>
  <c r="IC50" i="1"/>
  <c r="HY50" i="1"/>
  <c r="HU50" i="1"/>
  <c r="IG49" i="1"/>
  <c r="IC49" i="1"/>
  <c r="HY49" i="1"/>
  <c r="HU49" i="1"/>
  <c r="IG48" i="1"/>
  <c r="IC48" i="1"/>
  <c r="HY48" i="1"/>
  <c r="HU48" i="1"/>
  <c r="IG47" i="1"/>
  <c r="IC47" i="1"/>
  <c r="HY47" i="1"/>
  <c r="IG43" i="1"/>
  <c r="IC43" i="1"/>
  <c r="HY43" i="1"/>
  <c r="HU43" i="1"/>
  <c r="IG42" i="1"/>
  <c r="IC42" i="1"/>
  <c r="HY42" i="1"/>
  <c r="HU42" i="1"/>
  <c r="IG41" i="1"/>
  <c r="IC41" i="1"/>
  <c r="HY41" i="1"/>
  <c r="IG39" i="1"/>
  <c r="IC39" i="1"/>
  <c r="HY39" i="1"/>
  <c r="HU39" i="1"/>
  <c r="IG38" i="1"/>
  <c r="IC38" i="1"/>
  <c r="HY38" i="1"/>
  <c r="HU38" i="1"/>
  <c r="IG37" i="1"/>
  <c r="IC37" i="1"/>
  <c r="HY37" i="1"/>
  <c r="HU37" i="1"/>
  <c r="IG36" i="1"/>
  <c r="IC36" i="1"/>
  <c r="HY36" i="1"/>
  <c r="HU36" i="1"/>
  <c r="IG35" i="1"/>
  <c r="IC35" i="1"/>
  <c r="HY35" i="1"/>
  <c r="HU35" i="1"/>
  <c r="IG34" i="1"/>
  <c r="IC34" i="1"/>
  <c r="HY34" i="1"/>
  <c r="HU34" i="1"/>
  <c r="IG33" i="1"/>
  <c r="IC33" i="1"/>
  <c r="HY33" i="1"/>
  <c r="HU33" i="1"/>
  <c r="IG32" i="1"/>
  <c r="IC32" i="1"/>
  <c r="HY32" i="1"/>
  <c r="IG31" i="1"/>
  <c r="IC31" i="1"/>
  <c r="HY31" i="1"/>
  <c r="IG29" i="1"/>
  <c r="IC29" i="1"/>
  <c r="HY29" i="1"/>
  <c r="HU29" i="1"/>
  <c r="IG28" i="1"/>
  <c r="IC28" i="1"/>
  <c r="HY28" i="1"/>
  <c r="IG27" i="1"/>
  <c r="IC27" i="1"/>
  <c r="HY27" i="1"/>
  <c r="HU27" i="1"/>
  <c r="IG26" i="1"/>
  <c r="IC26" i="1"/>
  <c r="HY26" i="1"/>
  <c r="HU26" i="1"/>
  <c r="IG25" i="1"/>
  <c r="IC25" i="1"/>
  <c r="HY25" i="1"/>
  <c r="HU25" i="1"/>
  <c r="IG24" i="1"/>
  <c r="IC24" i="1"/>
  <c r="HY24" i="1"/>
  <c r="HU24" i="1"/>
  <c r="IG23" i="1"/>
  <c r="IC23" i="1"/>
  <c r="HY23" i="1"/>
  <c r="IG22" i="1"/>
  <c r="IC22" i="1"/>
  <c r="HY22" i="1"/>
  <c r="HU22" i="1"/>
  <c r="IG21" i="1"/>
  <c r="IC21" i="1"/>
  <c r="HY21" i="1"/>
  <c r="HU21" i="1"/>
  <c r="IG20" i="1"/>
  <c r="IC20" i="1"/>
  <c r="HY20" i="1"/>
  <c r="HU20" i="1"/>
  <c r="IG19" i="1"/>
  <c r="IC19" i="1"/>
  <c r="HY19" i="1"/>
  <c r="HU19" i="1"/>
  <c r="IG18" i="1"/>
  <c r="IC18" i="1"/>
  <c r="HY18" i="1"/>
  <c r="IG17" i="1"/>
  <c r="IC17" i="1"/>
  <c r="HY17" i="1"/>
  <c r="HU17" i="1"/>
  <c r="IG16" i="1"/>
  <c r="IC16" i="1"/>
  <c r="HY16" i="1"/>
  <c r="HU16" i="1"/>
  <c r="IG15" i="1"/>
  <c r="IC15" i="1"/>
  <c r="HY15" i="1"/>
  <c r="HU15" i="1"/>
  <c r="IG14" i="1"/>
  <c r="IC14" i="1"/>
  <c r="HY14" i="1"/>
  <c r="IG13" i="1"/>
  <c r="IC13" i="1"/>
  <c r="HY13" i="1"/>
  <c r="IG12" i="1"/>
  <c r="IC12" i="1"/>
  <c r="HY12" i="1"/>
  <c r="IC10" i="1"/>
  <c r="HY10" i="1"/>
  <c r="IG45" i="1" l="1"/>
  <c r="IC45" i="1"/>
  <c r="HY45" i="1"/>
  <c r="HU12" i="1"/>
  <c r="HU13" i="1"/>
  <c r="HU18" i="1"/>
  <c r="HU28" i="1"/>
  <c r="HU31" i="1"/>
  <c r="HU41" i="1"/>
  <c r="HU14" i="1"/>
  <c r="HU23" i="1"/>
  <c r="HU32" i="1"/>
  <c r="HU47" i="1"/>
  <c r="HU45" i="1" s="1"/>
  <c r="HU55" i="1"/>
  <c r="HU85" i="1"/>
  <c r="HY85" i="1"/>
  <c r="IC85" i="1"/>
  <c r="IG85" i="1"/>
  <c r="HU10" i="1" l="1"/>
  <c r="HO77" i="1" l="1"/>
  <c r="HN77" i="1"/>
  <c r="HM77" i="1"/>
  <c r="HO73" i="1"/>
  <c r="HO71" i="1" s="1"/>
  <c r="HN73" i="1"/>
  <c r="HN71" i="1" s="1"/>
  <c r="HM73" i="1"/>
  <c r="HM71" i="1"/>
  <c r="HO67" i="1"/>
  <c r="HN67" i="1"/>
  <c r="HM67" i="1"/>
  <c r="HO63" i="1"/>
  <c r="HO62" i="1" s="1"/>
  <c r="HN63" i="1"/>
  <c r="HM63" i="1"/>
  <c r="HO55" i="1"/>
  <c r="HN55" i="1"/>
  <c r="HM55" i="1"/>
  <c r="HO49" i="1"/>
  <c r="HO48" i="1" s="1"/>
  <c r="HN49" i="1"/>
  <c r="HN48" i="1" s="1"/>
  <c r="HM49" i="1"/>
  <c r="HM48" i="1" s="1"/>
  <c r="HM47" i="1" s="1"/>
  <c r="HO41" i="1"/>
  <c r="HN41" i="1"/>
  <c r="HM41" i="1"/>
  <c r="HO32" i="1"/>
  <c r="HO31" i="1" s="1"/>
  <c r="HN32" i="1"/>
  <c r="HN31" i="1" s="1"/>
  <c r="HM32" i="1"/>
  <c r="HM31" i="1" s="1"/>
  <c r="HO30" i="1"/>
  <c r="HO28" i="1" s="1"/>
  <c r="HN30" i="1"/>
  <c r="HN28" i="1" s="1"/>
  <c r="HM30" i="1"/>
  <c r="HM28" i="1" s="1"/>
  <c r="HO23" i="1"/>
  <c r="HN23" i="1"/>
  <c r="HM23" i="1"/>
  <c r="HO18" i="1"/>
  <c r="HN18" i="1"/>
  <c r="HM18" i="1"/>
  <c r="HP18" i="1" s="1"/>
  <c r="HO14" i="1"/>
  <c r="HN14" i="1"/>
  <c r="HM14" i="1"/>
  <c r="HP14" i="1" s="1"/>
  <c r="HN13" i="1"/>
  <c r="HN12" i="1" s="1"/>
  <c r="M14" i="1"/>
  <c r="N14" i="1"/>
  <c r="P14" i="1"/>
  <c r="Q14" i="1"/>
  <c r="R14" i="1"/>
  <c r="U14" i="1"/>
  <c r="V14" i="1"/>
  <c r="W14" i="1"/>
  <c r="Y14" i="1"/>
  <c r="Z14" i="1"/>
  <c r="AD14" i="1"/>
  <c r="AE14" i="1"/>
  <c r="AL14" i="1"/>
  <c r="AM14" i="1"/>
  <c r="AP14" i="1"/>
  <c r="AQ14" i="1"/>
  <c r="AR14" i="1"/>
  <c r="AU14" i="1"/>
  <c r="AV14" i="1"/>
  <c r="AX14" i="1"/>
  <c r="BA14" i="1" s="1"/>
  <c r="AY14" i="1"/>
  <c r="AZ14" i="1"/>
  <c r="BC14" i="1"/>
  <c r="BD14" i="1"/>
  <c r="BE14" i="1"/>
  <c r="BG14" i="1"/>
  <c r="BH14" i="1"/>
  <c r="BI14" i="1"/>
  <c r="BK14" i="1"/>
  <c r="BL14" i="1"/>
  <c r="BM14" i="1"/>
  <c r="BO14" i="1"/>
  <c r="BP14" i="1"/>
  <c r="BQ14" i="1"/>
  <c r="BT14" i="1"/>
  <c r="BU14" i="1"/>
  <c r="BV14" i="1"/>
  <c r="BX14" i="1"/>
  <c r="BY14" i="1"/>
  <c r="BZ14" i="1"/>
  <c r="CB14" i="1"/>
  <c r="CC14" i="1"/>
  <c r="CD14" i="1"/>
  <c r="CF14" i="1"/>
  <c r="CI14" i="1" s="1"/>
  <c r="CG14" i="1"/>
  <c r="CH14" i="1"/>
  <c r="CK14" i="1"/>
  <c r="CL14" i="1"/>
  <c r="CM14" i="1"/>
  <c r="CO14" i="1"/>
  <c r="CP14" i="1"/>
  <c r="CQ14" i="1"/>
  <c r="CS14" i="1"/>
  <c r="CT14" i="1"/>
  <c r="CU14" i="1"/>
  <c r="CW14" i="1"/>
  <c r="CX14" i="1"/>
  <c r="CY14" i="1"/>
  <c r="DB14" i="1"/>
  <c r="DC14" i="1"/>
  <c r="DD14" i="1"/>
  <c r="DF14" i="1"/>
  <c r="DG14" i="1"/>
  <c r="DH14" i="1"/>
  <c r="DJ14" i="1"/>
  <c r="DK14" i="1"/>
  <c r="DL14" i="1"/>
  <c r="DN14" i="1"/>
  <c r="DQ14" i="1" s="1"/>
  <c r="DO14" i="1"/>
  <c r="DP14" i="1"/>
  <c r="DS14" i="1"/>
  <c r="DT14" i="1"/>
  <c r="DU14" i="1"/>
  <c r="DW14" i="1"/>
  <c r="DX14" i="1"/>
  <c r="DY14" i="1"/>
  <c r="EA14" i="1"/>
  <c r="EB14" i="1"/>
  <c r="EC14" i="1"/>
  <c r="EE14" i="1"/>
  <c r="EF14" i="1"/>
  <c r="EG14" i="1"/>
  <c r="EJ14" i="1"/>
  <c r="EK14" i="1"/>
  <c r="EL14" i="1"/>
  <c r="EN14" i="1"/>
  <c r="EO14" i="1"/>
  <c r="EP14" i="1"/>
  <c r="ER14" i="1"/>
  <c r="ES14" i="1"/>
  <c r="ET14" i="1"/>
  <c r="EV14" i="1"/>
  <c r="EY14" i="1" s="1"/>
  <c r="EW14" i="1"/>
  <c r="EX14" i="1"/>
  <c r="FB14" i="1"/>
  <c r="FC14" i="1"/>
  <c r="FD14" i="1"/>
  <c r="FF14" i="1"/>
  <c r="FG14" i="1"/>
  <c r="FH14" i="1"/>
  <c r="FJ14" i="1"/>
  <c r="FK14" i="1"/>
  <c r="FL14" i="1"/>
  <c r="FN14" i="1"/>
  <c r="FQ14" i="1" s="1"/>
  <c r="FO14" i="1"/>
  <c r="FP14" i="1"/>
  <c r="FS14" i="1"/>
  <c r="FT14" i="1"/>
  <c r="FU14" i="1"/>
  <c r="FW14" i="1"/>
  <c r="FX14" i="1"/>
  <c r="FZ14" i="1"/>
  <c r="GA14" i="1"/>
  <c r="GB14" i="1"/>
  <c r="GC14" i="1"/>
  <c r="GD14" i="1"/>
  <c r="GE14" i="1"/>
  <c r="GF14" i="1"/>
  <c r="GG14" i="1"/>
  <c r="GH14" i="1"/>
  <c r="GJ14" i="1"/>
  <c r="GK14" i="1"/>
  <c r="GL14" i="1"/>
  <c r="GN14" i="1"/>
  <c r="GO14" i="1"/>
  <c r="GP14" i="1"/>
  <c r="GR14" i="1"/>
  <c r="GS14" i="1"/>
  <c r="GT14" i="1"/>
  <c r="GV14" i="1"/>
  <c r="GW14" i="1"/>
  <c r="GX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O15" i="1"/>
  <c r="S15" i="1"/>
  <c r="X15" i="1"/>
  <c r="AB15" i="1"/>
  <c r="AC15" i="1"/>
  <c r="AC14" i="1" s="1"/>
  <c r="AG15" i="1"/>
  <c r="AG14" i="1" s="1"/>
  <c r="AH15" i="1"/>
  <c r="AH14" i="1" s="1"/>
  <c r="AI15" i="1"/>
  <c r="AI14" i="1" s="1"/>
  <c r="AN15" i="1"/>
  <c r="AN14" i="1" s="1"/>
  <c r="AS15" i="1"/>
  <c r="AW15" i="1"/>
  <c r="BA15" i="1"/>
  <c r="BF15" i="1"/>
  <c r="BJ15" i="1"/>
  <c r="BN15" i="1"/>
  <c r="BS15" i="1" s="1"/>
  <c r="BR15" i="1"/>
  <c r="BW15" i="1"/>
  <c r="CA15" i="1"/>
  <c r="CE15" i="1"/>
  <c r="CI15" i="1"/>
  <c r="CN15" i="1"/>
  <c r="CR15" i="1"/>
  <c r="CV15" i="1"/>
  <c r="CZ15" i="1"/>
  <c r="DE15" i="1"/>
  <c r="DI15" i="1"/>
  <c r="DM15" i="1"/>
  <c r="DQ15" i="1"/>
  <c r="DV15" i="1"/>
  <c r="DZ15" i="1"/>
  <c r="ED15" i="1"/>
  <c r="EH15" i="1"/>
  <c r="EM15" i="1"/>
  <c r="EQ15" i="1"/>
  <c r="EU15" i="1"/>
  <c r="EY15" i="1"/>
  <c r="FE15" i="1"/>
  <c r="FI15" i="1"/>
  <c r="FM15" i="1"/>
  <c r="FQ15" i="1"/>
  <c r="FV15" i="1"/>
  <c r="FZ15" i="1"/>
  <c r="GD15" i="1"/>
  <c r="GH15" i="1"/>
  <c r="GM15" i="1"/>
  <c r="GQ15" i="1"/>
  <c r="GU15" i="1"/>
  <c r="GY15" i="1"/>
  <c r="HD15" i="1"/>
  <c r="HH15" i="1"/>
  <c r="HL15" i="1"/>
  <c r="HP15" i="1"/>
  <c r="O16" i="1"/>
  <c r="S16" i="1"/>
  <c r="T16" i="1" s="1"/>
  <c r="X16" i="1"/>
  <c r="AB16" i="1"/>
  <c r="AF16" i="1"/>
  <c r="AJ16" i="1"/>
  <c r="AS16" i="1"/>
  <c r="AT16" i="1"/>
  <c r="AT14" i="1" s="1"/>
  <c r="BA16" i="1"/>
  <c r="BF16" i="1"/>
  <c r="BJ16" i="1"/>
  <c r="BN16" i="1"/>
  <c r="BR16" i="1"/>
  <c r="BW16" i="1"/>
  <c r="CA16" i="1"/>
  <c r="CE16" i="1"/>
  <c r="CI16" i="1"/>
  <c r="CN16" i="1"/>
  <c r="CR16" i="1"/>
  <c r="CV16" i="1"/>
  <c r="CZ16" i="1"/>
  <c r="DE16" i="1"/>
  <c r="DI16" i="1"/>
  <c r="DR16" i="1" s="1"/>
  <c r="DM16" i="1"/>
  <c r="DQ16" i="1"/>
  <c r="DV16" i="1"/>
  <c r="DZ16" i="1"/>
  <c r="ED16" i="1"/>
  <c r="EH16" i="1"/>
  <c r="EM16" i="1"/>
  <c r="EQ16" i="1"/>
  <c r="EU16" i="1"/>
  <c r="EY16" i="1"/>
  <c r="FE16" i="1"/>
  <c r="FI16" i="1"/>
  <c r="FM16" i="1"/>
  <c r="FQ16" i="1"/>
  <c r="FV16" i="1"/>
  <c r="FZ16" i="1"/>
  <c r="GD16" i="1"/>
  <c r="GH16" i="1"/>
  <c r="GM16" i="1"/>
  <c r="GQ16" i="1"/>
  <c r="GU16" i="1"/>
  <c r="GY16" i="1"/>
  <c r="HD16" i="1"/>
  <c r="HH16" i="1"/>
  <c r="HL16" i="1"/>
  <c r="HP16" i="1"/>
  <c r="O17" i="1"/>
  <c r="S17" i="1"/>
  <c r="X17" i="1"/>
  <c r="AA17" i="1"/>
  <c r="AA14" i="1" s="1"/>
  <c r="AF17" i="1"/>
  <c r="AJ17" i="1"/>
  <c r="AS17" i="1"/>
  <c r="AW17" i="1"/>
  <c r="BA17" i="1"/>
  <c r="BF17" i="1"/>
  <c r="BJ17" i="1"/>
  <c r="BN17" i="1"/>
  <c r="BR17" i="1"/>
  <c r="BW17" i="1"/>
  <c r="CA17" i="1"/>
  <c r="CE17" i="1"/>
  <c r="CI17" i="1"/>
  <c r="CN17" i="1"/>
  <c r="CR17" i="1"/>
  <c r="CV17" i="1"/>
  <c r="CZ17" i="1"/>
  <c r="DE17" i="1"/>
  <c r="DI17" i="1"/>
  <c r="DM17" i="1"/>
  <c r="DQ17" i="1"/>
  <c r="DV17" i="1"/>
  <c r="DZ17" i="1"/>
  <c r="ED17" i="1"/>
  <c r="EH17" i="1"/>
  <c r="EM17" i="1"/>
  <c r="EQ17" i="1"/>
  <c r="EU17" i="1"/>
  <c r="EY17" i="1"/>
  <c r="FE17" i="1"/>
  <c r="FI17" i="1"/>
  <c r="FM17" i="1"/>
  <c r="FQ17" i="1"/>
  <c r="FV17" i="1"/>
  <c r="FZ17" i="1"/>
  <c r="GD17" i="1"/>
  <c r="GH17" i="1"/>
  <c r="GM17" i="1"/>
  <c r="GQ17" i="1"/>
  <c r="GU17" i="1"/>
  <c r="GY17" i="1"/>
  <c r="HD17" i="1"/>
  <c r="HH17" i="1"/>
  <c r="HL17" i="1"/>
  <c r="HP17" i="1"/>
  <c r="Q18" i="1"/>
  <c r="R18" i="1"/>
  <c r="W18" i="1"/>
  <c r="Y18" i="1"/>
  <c r="Z18" i="1"/>
  <c r="AA18" i="1"/>
  <c r="AC18" i="1"/>
  <c r="AD18" i="1"/>
  <c r="AE18" i="1"/>
  <c r="AH18" i="1"/>
  <c r="AL18" i="1"/>
  <c r="AP18" i="1"/>
  <c r="AQ18" i="1"/>
  <c r="AR18" i="1"/>
  <c r="AT18" i="1"/>
  <c r="AU18" i="1"/>
  <c r="AV18" i="1"/>
  <c r="AX18" i="1"/>
  <c r="AY18" i="1"/>
  <c r="AZ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FB18" i="1"/>
  <c r="FC18" i="1"/>
  <c r="FD18" i="1"/>
  <c r="FF18" i="1"/>
  <c r="FG18" i="1"/>
  <c r="FH18" i="1"/>
  <c r="FJ18" i="1"/>
  <c r="FK18" i="1"/>
  <c r="FL18" i="1"/>
  <c r="FN18" i="1"/>
  <c r="FO18" i="1"/>
  <c r="FP18" i="1"/>
  <c r="FS18" i="1"/>
  <c r="FT18" i="1"/>
  <c r="FU18" i="1"/>
  <c r="FW18" i="1"/>
  <c r="FX18" i="1"/>
  <c r="GA18" i="1"/>
  <c r="GB18" i="1"/>
  <c r="GE18" i="1"/>
  <c r="GF18" i="1"/>
  <c r="GG18" i="1"/>
  <c r="GJ18" i="1"/>
  <c r="GK18" i="1"/>
  <c r="GL18" i="1"/>
  <c r="GN18" i="1"/>
  <c r="GO18" i="1"/>
  <c r="GP18" i="1"/>
  <c r="GR18" i="1"/>
  <c r="GS18" i="1"/>
  <c r="GT18" i="1"/>
  <c r="GV18" i="1"/>
  <c r="GW18" i="1"/>
  <c r="GX18" i="1"/>
  <c r="HA18" i="1"/>
  <c r="HB18" i="1"/>
  <c r="HC18" i="1"/>
  <c r="HE18" i="1"/>
  <c r="HF18" i="1"/>
  <c r="HG18" i="1"/>
  <c r="HI18" i="1"/>
  <c r="HJ18" i="1"/>
  <c r="HK18" i="1"/>
  <c r="M19" i="1"/>
  <c r="O19" i="1" s="1"/>
  <c r="S19" i="1"/>
  <c r="X19" i="1"/>
  <c r="AB19" i="1"/>
  <c r="AF19" i="1"/>
  <c r="AG19" i="1"/>
  <c r="AG18" i="1" s="1"/>
  <c r="AI19" i="1"/>
  <c r="AI18" i="1" s="1"/>
  <c r="AM19" i="1"/>
  <c r="AM18" i="1" s="1"/>
  <c r="AN19" i="1"/>
  <c r="AN18" i="1" s="1"/>
  <c r="AS19" i="1"/>
  <c r="AW19" i="1"/>
  <c r="BA19" i="1"/>
  <c r="BF19" i="1"/>
  <c r="BJ19" i="1"/>
  <c r="BN19" i="1"/>
  <c r="BR19" i="1"/>
  <c r="BW19" i="1"/>
  <c r="CA19" i="1"/>
  <c r="CE19" i="1"/>
  <c r="CI19" i="1"/>
  <c r="CN19" i="1"/>
  <c r="CR19" i="1"/>
  <c r="CV19" i="1"/>
  <c r="CZ19" i="1"/>
  <c r="DE19" i="1"/>
  <c r="DI19" i="1"/>
  <c r="DM19" i="1"/>
  <c r="DQ19" i="1"/>
  <c r="DV19" i="1"/>
  <c r="DZ19" i="1"/>
  <c r="ED19" i="1"/>
  <c r="EH19" i="1"/>
  <c r="EM19" i="1"/>
  <c r="EQ19" i="1"/>
  <c r="EU19" i="1"/>
  <c r="EY19" i="1"/>
  <c r="FE19" i="1"/>
  <c r="FI19" i="1"/>
  <c r="FM19" i="1"/>
  <c r="FQ19" i="1"/>
  <c r="FV19" i="1"/>
  <c r="FZ19" i="1"/>
  <c r="GD19" i="1"/>
  <c r="GH19" i="1"/>
  <c r="GM19" i="1"/>
  <c r="GQ19" i="1"/>
  <c r="GU19" i="1"/>
  <c r="GY19" i="1"/>
  <c r="HD19" i="1"/>
  <c r="HH19" i="1"/>
  <c r="HL19" i="1"/>
  <c r="HP19" i="1"/>
  <c r="M20" i="1"/>
  <c r="N20" i="1"/>
  <c r="N18" i="1" s="1"/>
  <c r="S20" i="1"/>
  <c r="U20" i="1"/>
  <c r="AB20" i="1"/>
  <c r="AF20" i="1"/>
  <c r="AJ20" i="1"/>
  <c r="AO20" i="1"/>
  <c r="AS20" i="1"/>
  <c r="AW20" i="1"/>
  <c r="BA20" i="1"/>
  <c r="BN20" i="1"/>
  <c r="BR20" i="1"/>
  <c r="BW20" i="1"/>
  <c r="CA20" i="1"/>
  <c r="CE20" i="1"/>
  <c r="CI20" i="1"/>
  <c r="CN20" i="1"/>
  <c r="CR20" i="1"/>
  <c r="CV20" i="1"/>
  <c r="CZ20" i="1"/>
  <c r="DE20" i="1"/>
  <c r="DI20" i="1"/>
  <c r="DM20" i="1"/>
  <c r="DQ20" i="1"/>
  <c r="DV20" i="1"/>
  <c r="DZ20" i="1"/>
  <c r="ED20" i="1"/>
  <c r="EH20" i="1"/>
  <c r="EM20" i="1"/>
  <c r="EQ20" i="1"/>
  <c r="EU20" i="1"/>
  <c r="EY20" i="1"/>
  <c r="FE20" i="1"/>
  <c r="FI20" i="1"/>
  <c r="FM20" i="1"/>
  <c r="FQ20" i="1"/>
  <c r="FV20" i="1"/>
  <c r="FZ20" i="1"/>
  <c r="GD20" i="1"/>
  <c r="GH20" i="1"/>
  <c r="GM20" i="1"/>
  <c r="GQ20" i="1"/>
  <c r="GU20" i="1"/>
  <c r="GY20" i="1"/>
  <c r="HD20" i="1"/>
  <c r="HH20" i="1"/>
  <c r="HL20" i="1"/>
  <c r="HP20" i="1"/>
  <c r="M21" i="1"/>
  <c r="O21" i="1" s="1"/>
  <c r="P21" i="1"/>
  <c r="P18" i="1" s="1"/>
  <c r="S18" i="1" s="1"/>
  <c r="U21" i="1"/>
  <c r="V21" i="1"/>
  <c r="V18" i="1" s="1"/>
  <c r="AB21" i="1"/>
  <c r="AF21" i="1"/>
  <c r="AJ21" i="1"/>
  <c r="AO21" i="1"/>
  <c r="AS21" i="1"/>
  <c r="AW21" i="1"/>
  <c r="BA21" i="1"/>
  <c r="BF21" i="1"/>
  <c r="BJ21" i="1"/>
  <c r="BN21" i="1"/>
  <c r="BR21" i="1"/>
  <c r="BW21" i="1"/>
  <c r="CA21" i="1"/>
  <c r="CE21" i="1"/>
  <c r="CI21" i="1"/>
  <c r="CN21" i="1"/>
  <c r="CR21" i="1"/>
  <c r="CV21" i="1"/>
  <c r="CZ21" i="1"/>
  <c r="DE21" i="1"/>
  <c r="DI21" i="1"/>
  <c r="DM21" i="1"/>
  <c r="DQ21" i="1"/>
  <c r="DV21" i="1"/>
  <c r="DZ21" i="1"/>
  <c r="ED21" i="1"/>
  <c r="EH21" i="1"/>
  <c r="EM21" i="1"/>
  <c r="EQ21" i="1"/>
  <c r="EU21" i="1"/>
  <c r="EY21" i="1"/>
  <c r="FE21" i="1"/>
  <c r="FI21" i="1"/>
  <c r="FM21" i="1"/>
  <c r="FQ21" i="1"/>
  <c r="FV21" i="1"/>
  <c r="FZ21" i="1"/>
  <c r="GC21" i="1"/>
  <c r="GC18" i="1" s="1"/>
  <c r="GH21" i="1"/>
  <c r="GM21" i="1"/>
  <c r="GQ21" i="1"/>
  <c r="GU21" i="1"/>
  <c r="GY21" i="1"/>
  <c r="HD21" i="1"/>
  <c r="HH21" i="1"/>
  <c r="HL21" i="1"/>
  <c r="HP21" i="1"/>
  <c r="O22" i="1"/>
  <c r="S22" i="1"/>
  <c r="X22" i="1"/>
  <c r="Z22" i="1"/>
  <c r="AB22" i="1" s="1"/>
  <c r="AC22" i="1"/>
  <c r="AD22" i="1"/>
  <c r="AE22" i="1"/>
  <c r="AG22" i="1"/>
  <c r="AH22" i="1"/>
  <c r="AI22" i="1"/>
  <c r="AM22" i="1"/>
  <c r="AO22" i="1" s="1"/>
  <c r="AP22" i="1"/>
  <c r="AQ22" i="1"/>
  <c r="AS22" i="1"/>
  <c r="AW22" i="1"/>
  <c r="BA22" i="1"/>
  <c r="BF22" i="1"/>
  <c r="BJ22" i="1"/>
  <c r="BN22" i="1"/>
  <c r="BR22" i="1"/>
  <c r="BW22" i="1"/>
  <c r="CA22" i="1"/>
  <c r="CE22" i="1"/>
  <c r="CI22" i="1"/>
  <c r="CN22" i="1"/>
  <c r="CR22" i="1"/>
  <c r="CV22" i="1"/>
  <c r="CX22" i="1"/>
  <c r="CZ22" i="1" s="1"/>
  <c r="DE22" i="1"/>
  <c r="DI22" i="1"/>
  <c r="DM22" i="1"/>
  <c r="DQ22" i="1"/>
  <c r="DV22" i="1"/>
  <c r="DZ22" i="1"/>
  <c r="ED22" i="1"/>
  <c r="EH22" i="1"/>
  <c r="EM22" i="1"/>
  <c r="EQ22" i="1"/>
  <c r="EU22" i="1"/>
  <c r="EY22" i="1"/>
  <c r="FE22" i="1"/>
  <c r="FI22" i="1"/>
  <c r="FM22" i="1"/>
  <c r="FQ22" i="1"/>
  <c r="FV22" i="1"/>
  <c r="FZ22" i="1"/>
  <c r="GD22" i="1"/>
  <c r="GH22" i="1"/>
  <c r="GM22" i="1"/>
  <c r="GQ22" i="1"/>
  <c r="GU22" i="1"/>
  <c r="GY22" i="1"/>
  <c r="HD22" i="1"/>
  <c r="HH22" i="1"/>
  <c r="HL22" i="1"/>
  <c r="HP22" i="1"/>
  <c r="M23" i="1"/>
  <c r="N23" i="1"/>
  <c r="P23" i="1"/>
  <c r="Q23" i="1"/>
  <c r="R23" i="1"/>
  <c r="U23" i="1"/>
  <c r="V23" i="1"/>
  <c r="W23" i="1"/>
  <c r="Y23" i="1"/>
  <c r="Z23" i="1"/>
  <c r="AA23" i="1"/>
  <c r="AC23" i="1"/>
  <c r="AD23" i="1"/>
  <c r="AG23" i="1"/>
  <c r="AH23" i="1"/>
  <c r="AI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C23" i="1"/>
  <c r="BD23" i="1"/>
  <c r="BE23" i="1"/>
  <c r="BG23" i="1"/>
  <c r="BH23" i="1"/>
  <c r="BI23" i="1"/>
  <c r="BK23" i="1"/>
  <c r="BL23" i="1"/>
  <c r="BM23" i="1"/>
  <c r="BO23" i="1"/>
  <c r="BP23" i="1"/>
  <c r="BQ23" i="1"/>
  <c r="BT23" i="1"/>
  <c r="BU23" i="1"/>
  <c r="BV23" i="1"/>
  <c r="BX23" i="1"/>
  <c r="BY23" i="1"/>
  <c r="BZ23" i="1"/>
  <c r="CB23" i="1"/>
  <c r="CC23" i="1"/>
  <c r="CD23" i="1"/>
  <c r="CF23" i="1"/>
  <c r="CG23" i="1"/>
  <c r="CH23" i="1"/>
  <c r="CK23" i="1"/>
  <c r="CL23" i="1"/>
  <c r="CM23" i="1"/>
  <c r="CO23" i="1"/>
  <c r="CP23" i="1"/>
  <c r="CQ23" i="1"/>
  <c r="CS23" i="1"/>
  <c r="CT23" i="1"/>
  <c r="CU23" i="1"/>
  <c r="CW23" i="1"/>
  <c r="CX23" i="1"/>
  <c r="CY23" i="1"/>
  <c r="DB23" i="1"/>
  <c r="DC23" i="1"/>
  <c r="DD23" i="1"/>
  <c r="DF23" i="1"/>
  <c r="DG23" i="1"/>
  <c r="DH23" i="1"/>
  <c r="DJ23" i="1"/>
  <c r="DK23" i="1"/>
  <c r="DL23" i="1"/>
  <c r="DN23" i="1"/>
  <c r="DO23" i="1"/>
  <c r="DP23" i="1"/>
  <c r="DS23" i="1"/>
  <c r="DT23" i="1"/>
  <c r="DU23" i="1"/>
  <c r="DW23" i="1"/>
  <c r="DX23" i="1"/>
  <c r="DY23" i="1"/>
  <c r="EA23" i="1"/>
  <c r="EB23" i="1"/>
  <c r="EC23" i="1"/>
  <c r="EE23" i="1"/>
  <c r="EF23" i="1"/>
  <c r="EG23" i="1"/>
  <c r="EJ23" i="1"/>
  <c r="EK23" i="1"/>
  <c r="EL23" i="1"/>
  <c r="EN23" i="1"/>
  <c r="EO23" i="1"/>
  <c r="EP23" i="1"/>
  <c r="ER23" i="1"/>
  <c r="ES23" i="1"/>
  <c r="ET23" i="1"/>
  <c r="EV23" i="1"/>
  <c r="EW23" i="1"/>
  <c r="EX23" i="1"/>
  <c r="FB23" i="1"/>
  <c r="FC23" i="1"/>
  <c r="FD23" i="1"/>
  <c r="FF23" i="1"/>
  <c r="FG23" i="1"/>
  <c r="FH23" i="1"/>
  <c r="FJ23" i="1"/>
  <c r="FK23" i="1"/>
  <c r="FL23" i="1"/>
  <c r="FN23" i="1"/>
  <c r="FO23" i="1"/>
  <c r="FP23" i="1"/>
  <c r="FS23" i="1"/>
  <c r="FT23" i="1"/>
  <c r="FU23" i="1"/>
  <c r="FW23" i="1"/>
  <c r="FX23" i="1"/>
  <c r="GA23" i="1"/>
  <c r="GB23" i="1"/>
  <c r="GC23" i="1"/>
  <c r="GE23" i="1"/>
  <c r="GF23" i="1"/>
  <c r="GG23" i="1"/>
  <c r="GJ23" i="1"/>
  <c r="GK23" i="1"/>
  <c r="GL23" i="1"/>
  <c r="GN23" i="1"/>
  <c r="GO23" i="1"/>
  <c r="GP23" i="1"/>
  <c r="GR23" i="1"/>
  <c r="GS23" i="1"/>
  <c r="GT23" i="1"/>
  <c r="GV23" i="1"/>
  <c r="GW23" i="1"/>
  <c r="GX23" i="1"/>
  <c r="HA23" i="1"/>
  <c r="HB23" i="1"/>
  <c r="HC23" i="1"/>
  <c r="HE23" i="1"/>
  <c r="HF23" i="1"/>
  <c r="HG23" i="1"/>
  <c r="HI23" i="1"/>
  <c r="HJ23" i="1"/>
  <c r="HK23" i="1"/>
  <c r="O24" i="1"/>
  <c r="S24" i="1"/>
  <c r="X24" i="1"/>
  <c r="AB24" i="1"/>
  <c r="AF24" i="1"/>
  <c r="AJ24" i="1"/>
  <c r="AS24" i="1"/>
  <c r="AW24" i="1"/>
  <c r="BA24" i="1"/>
  <c r="BF24" i="1"/>
  <c r="BJ24" i="1"/>
  <c r="BN24" i="1"/>
  <c r="BR24" i="1"/>
  <c r="BW24" i="1"/>
  <c r="CA24" i="1"/>
  <c r="CE24" i="1"/>
  <c r="CI24" i="1"/>
  <c r="CN24" i="1"/>
  <c r="CR24" i="1"/>
  <c r="CV24" i="1"/>
  <c r="CZ24" i="1"/>
  <c r="DE24" i="1"/>
  <c r="DI24" i="1"/>
  <c r="DM24" i="1"/>
  <c r="DQ24" i="1"/>
  <c r="DV24" i="1"/>
  <c r="DZ24" i="1"/>
  <c r="ED24" i="1"/>
  <c r="EH24" i="1"/>
  <c r="EM24" i="1"/>
  <c r="EQ24" i="1"/>
  <c r="EU24" i="1"/>
  <c r="EY24" i="1"/>
  <c r="FE24" i="1"/>
  <c r="FI24" i="1"/>
  <c r="FM24" i="1"/>
  <c r="FQ24" i="1"/>
  <c r="FV24" i="1"/>
  <c r="FZ24" i="1"/>
  <c r="GD24" i="1"/>
  <c r="GH24" i="1"/>
  <c r="GM24" i="1"/>
  <c r="GQ24" i="1"/>
  <c r="GU24" i="1"/>
  <c r="GY24" i="1"/>
  <c r="HD24" i="1"/>
  <c r="HH24" i="1"/>
  <c r="HL24" i="1"/>
  <c r="HP24" i="1"/>
  <c r="O25" i="1"/>
  <c r="S25" i="1"/>
  <c r="X25" i="1"/>
  <c r="AB25" i="1"/>
  <c r="AF25" i="1"/>
  <c r="AJ25" i="1"/>
  <c r="AO25" i="1"/>
  <c r="AS25" i="1"/>
  <c r="AW25" i="1"/>
  <c r="BA25" i="1"/>
  <c r="BF25" i="1"/>
  <c r="BJ25" i="1"/>
  <c r="BN25" i="1"/>
  <c r="BR25" i="1"/>
  <c r="BW25" i="1"/>
  <c r="CA25" i="1"/>
  <c r="CE25" i="1"/>
  <c r="CI25" i="1"/>
  <c r="CN25" i="1"/>
  <c r="CR25" i="1"/>
  <c r="CV25" i="1"/>
  <c r="CZ25" i="1"/>
  <c r="DE25" i="1"/>
  <c r="DI25" i="1"/>
  <c r="DM25" i="1"/>
  <c r="DQ25" i="1"/>
  <c r="DV25" i="1"/>
  <c r="DZ25" i="1"/>
  <c r="ED25" i="1"/>
  <c r="EH25" i="1"/>
  <c r="EM25" i="1"/>
  <c r="EQ25" i="1"/>
  <c r="EU25" i="1"/>
  <c r="EY25" i="1"/>
  <c r="FE25" i="1"/>
  <c r="FI25" i="1"/>
  <c r="FM25" i="1"/>
  <c r="FQ25" i="1"/>
  <c r="FV25" i="1"/>
  <c r="FZ25" i="1"/>
  <c r="GD25" i="1"/>
  <c r="GH25" i="1"/>
  <c r="GM25" i="1"/>
  <c r="GQ25" i="1"/>
  <c r="GU25" i="1"/>
  <c r="GY25" i="1"/>
  <c r="HD25" i="1"/>
  <c r="HH25" i="1"/>
  <c r="HL25" i="1"/>
  <c r="HP25" i="1"/>
  <c r="HD26" i="1"/>
  <c r="HH26" i="1"/>
  <c r="HL26" i="1"/>
  <c r="HP26" i="1"/>
  <c r="O27" i="1"/>
  <c r="S27" i="1"/>
  <c r="X27" i="1"/>
  <c r="AB27" i="1"/>
  <c r="AF27" i="1"/>
  <c r="AJ27" i="1"/>
  <c r="AM27" i="1"/>
  <c r="AO27" i="1" s="1"/>
  <c r="AP27" i="1"/>
  <c r="AR27" i="1"/>
  <c r="AU27" i="1"/>
  <c r="AV27" i="1"/>
  <c r="AW27" i="1"/>
  <c r="AX27" i="1"/>
  <c r="AY27" i="1"/>
  <c r="AZ27" i="1"/>
  <c r="BD27" i="1"/>
  <c r="BF27" i="1" s="1"/>
  <c r="BI27" i="1"/>
  <c r="BJ27" i="1" s="1"/>
  <c r="BN27" i="1"/>
  <c r="BR27" i="1"/>
  <c r="BW27" i="1"/>
  <c r="CA27" i="1"/>
  <c r="CE27" i="1"/>
  <c r="CI27" i="1"/>
  <c r="CN27" i="1"/>
  <c r="CR27" i="1"/>
  <c r="CV27" i="1"/>
  <c r="CZ27" i="1"/>
  <c r="DE27" i="1"/>
  <c r="DI27" i="1"/>
  <c r="DM27" i="1"/>
  <c r="DQ27" i="1"/>
  <c r="DV27" i="1"/>
  <c r="DZ27" i="1"/>
  <c r="ED27" i="1"/>
  <c r="EH27" i="1"/>
  <c r="EM27" i="1"/>
  <c r="EQ27" i="1"/>
  <c r="EU27" i="1"/>
  <c r="EY27" i="1"/>
  <c r="FE27" i="1"/>
  <c r="FI27" i="1"/>
  <c r="FM27" i="1"/>
  <c r="FQ27" i="1"/>
  <c r="FV27" i="1"/>
  <c r="FZ27" i="1"/>
  <c r="GD27" i="1"/>
  <c r="GH27" i="1"/>
  <c r="GM27" i="1"/>
  <c r="GQ27" i="1"/>
  <c r="GU27" i="1"/>
  <c r="GY27" i="1"/>
  <c r="HD27" i="1"/>
  <c r="HH27" i="1"/>
  <c r="HL27" i="1"/>
  <c r="HP27" i="1"/>
  <c r="GR28" i="1"/>
  <c r="GT28" i="1"/>
  <c r="M29" i="1"/>
  <c r="N29" i="1"/>
  <c r="O29" i="1" s="1"/>
  <c r="S29" i="1"/>
  <c r="U29" i="1"/>
  <c r="W29" i="1"/>
  <c r="Y29" i="1"/>
  <c r="Z29" i="1"/>
  <c r="AA29" i="1"/>
  <c r="AC29" i="1"/>
  <c r="AD29" i="1"/>
  <c r="AE29" i="1"/>
  <c r="AE28" i="1" s="1"/>
  <c r="AG29" i="1"/>
  <c r="AH29" i="1"/>
  <c r="AI29" i="1"/>
  <c r="AI28" i="1" s="1"/>
  <c r="AL29" i="1"/>
  <c r="AM29" i="1"/>
  <c r="AM28" i="1" s="1"/>
  <c r="AN29" i="1"/>
  <c r="AN28" i="1" s="1"/>
  <c r="AP29" i="1"/>
  <c r="AP28" i="1" s="1"/>
  <c r="AQ29" i="1"/>
  <c r="AS29" i="1" s="1"/>
  <c r="AR29" i="1"/>
  <c r="AT29" i="1"/>
  <c r="AT28" i="1" s="1"/>
  <c r="AU29" i="1"/>
  <c r="AU28" i="1" s="1"/>
  <c r="AV29" i="1"/>
  <c r="AX29" i="1"/>
  <c r="AX28" i="1" s="1"/>
  <c r="AY29" i="1"/>
  <c r="AY28" i="1" s="1"/>
  <c r="AZ29" i="1"/>
  <c r="BC29" i="1"/>
  <c r="BD29" i="1"/>
  <c r="BE29" i="1"/>
  <c r="BG29" i="1"/>
  <c r="BH29" i="1"/>
  <c r="BH28" i="1" s="1"/>
  <c r="BI29" i="1"/>
  <c r="BI28" i="1" s="1"/>
  <c r="BK29" i="1"/>
  <c r="BL29" i="1"/>
  <c r="BM29" i="1"/>
  <c r="BO29" i="1"/>
  <c r="BP29" i="1"/>
  <c r="BQ29" i="1"/>
  <c r="BT29" i="1"/>
  <c r="BU29" i="1"/>
  <c r="BV29" i="1"/>
  <c r="BX29" i="1"/>
  <c r="BY29" i="1"/>
  <c r="CA29" i="1" s="1"/>
  <c r="BZ29" i="1"/>
  <c r="CB29" i="1"/>
  <c r="CC29" i="1"/>
  <c r="CD29" i="1"/>
  <c r="CF29" i="1"/>
  <c r="CI29" i="1" s="1"/>
  <c r="CN29" i="1"/>
  <c r="CR29" i="1"/>
  <c r="CV29" i="1"/>
  <c r="CZ29" i="1"/>
  <c r="DE29" i="1"/>
  <c r="DI29" i="1"/>
  <c r="DM29" i="1"/>
  <c r="DQ29" i="1"/>
  <c r="DV29" i="1"/>
  <c r="DZ29" i="1"/>
  <c r="ED29" i="1"/>
  <c r="EH29" i="1"/>
  <c r="EM29" i="1"/>
  <c r="EQ29" i="1"/>
  <c r="EU29" i="1"/>
  <c r="EY29" i="1"/>
  <c r="FE29" i="1"/>
  <c r="FI29" i="1"/>
  <c r="FM29" i="1"/>
  <c r="FQ29" i="1"/>
  <c r="FV29" i="1"/>
  <c r="FZ29" i="1"/>
  <c r="GD29" i="1"/>
  <c r="GH29" i="1"/>
  <c r="GM29" i="1"/>
  <c r="GQ29" i="1"/>
  <c r="GU29" i="1"/>
  <c r="GY29" i="1"/>
  <c r="HD29" i="1"/>
  <c r="HH29" i="1"/>
  <c r="HL29" i="1"/>
  <c r="HP29" i="1"/>
  <c r="M30" i="1"/>
  <c r="N30" i="1"/>
  <c r="O30" i="1" s="1"/>
  <c r="P30" i="1"/>
  <c r="P28" i="1" s="1"/>
  <c r="Q30" i="1"/>
  <c r="Q28" i="1" s="1"/>
  <c r="R30" i="1"/>
  <c r="R28" i="1" s="1"/>
  <c r="U30" i="1"/>
  <c r="V30" i="1"/>
  <c r="V28" i="1" s="1"/>
  <c r="W30" i="1"/>
  <c r="Y30" i="1"/>
  <c r="Z30" i="1"/>
  <c r="AA30" i="1"/>
  <c r="AC30" i="1"/>
  <c r="AD30" i="1"/>
  <c r="AF30" i="1"/>
  <c r="AG30" i="1"/>
  <c r="AH30" i="1"/>
  <c r="AL30" i="1"/>
  <c r="AO30" i="1"/>
  <c r="AQ30" i="1"/>
  <c r="AR30" i="1"/>
  <c r="AV30" i="1"/>
  <c r="AW30" i="1" s="1"/>
  <c r="AZ30" i="1"/>
  <c r="BA30" i="1" s="1"/>
  <c r="BC30" i="1"/>
  <c r="BF30" i="1" s="1"/>
  <c r="BD30" i="1"/>
  <c r="BE30" i="1"/>
  <c r="BG30" i="1"/>
  <c r="BJ30" i="1" s="1"/>
  <c r="BK30" i="1"/>
  <c r="BL30" i="1"/>
  <c r="BM30" i="1"/>
  <c r="BO30" i="1"/>
  <c r="BP30" i="1"/>
  <c r="BQ30" i="1"/>
  <c r="BT30" i="1"/>
  <c r="BU30" i="1"/>
  <c r="BX30" i="1"/>
  <c r="BY30" i="1"/>
  <c r="BZ30" i="1"/>
  <c r="CB30" i="1"/>
  <c r="CC30" i="1"/>
  <c r="CD30" i="1"/>
  <c r="CF30" i="1"/>
  <c r="CG30" i="1"/>
  <c r="CG28" i="1" s="1"/>
  <c r="CH30" i="1"/>
  <c r="CH28" i="1" s="1"/>
  <c r="CK30" i="1"/>
  <c r="CK28" i="1" s="1"/>
  <c r="CL30" i="1"/>
  <c r="CL28" i="1" s="1"/>
  <c r="CM30" i="1"/>
  <c r="CM28" i="1" s="1"/>
  <c r="CO30" i="1"/>
  <c r="CO28" i="1" s="1"/>
  <c r="CP30" i="1"/>
  <c r="CP28" i="1" s="1"/>
  <c r="CQ30" i="1"/>
  <c r="CQ28" i="1" s="1"/>
  <c r="CS30" i="1"/>
  <c r="CS28" i="1" s="1"/>
  <c r="CT30" i="1"/>
  <c r="CT28" i="1" s="1"/>
  <c r="CU30" i="1"/>
  <c r="CU28" i="1" s="1"/>
  <c r="CW30" i="1"/>
  <c r="CW28" i="1" s="1"/>
  <c r="CX30" i="1"/>
  <c r="CX28" i="1" s="1"/>
  <c r="CY30" i="1"/>
  <c r="CY28" i="1" s="1"/>
  <c r="DB30" i="1"/>
  <c r="DB28" i="1" s="1"/>
  <c r="DC30" i="1"/>
  <c r="DC28" i="1" s="1"/>
  <c r="DD30" i="1"/>
  <c r="DD28" i="1" s="1"/>
  <c r="DF30" i="1"/>
  <c r="DF28" i="1" s="1"/>
  <c r="DJ30" i="1"/>
  <c r="DJ28" i="1" s="1"/>
  <c r="DN30" i="1"/>
  <c r="DN28" i="1" s="1"/>
  <c r="DO30" i="1"/>
  <c r="DO28" i="1" s="1"/>
  <c r="DP30" i="1"/>
  <c r="DP28" i="1" s="1"/>
  <c r="DU30" i="1"/>
  <c r="DU28" i="1" s="1"/>
  <c r="DW30" i="1"/>
  <c r="DW28" i="1" s="1"/>
  <c r="DX30" i="1"/>
  <c r="DX28" i="1" s="1"/>
  <c r="DY30" i="1"/>
  <c r="DY28" i="1" s="1"/>
  <c r="EA30" i="1"/>
  <c r="EA28" i="1" s="1"/>
  <c r="EF30" i="1"/>
  <c r="EF28" i="1" s="1"/>
  <c r="EG30" i="1"/>
  <c r="EG28" i="1" s="1"/>
  <c r="EJ30" i="1"/>
  <c r="EJ28" i="1" s="1"/>
  <c r="EK30" i="1"/>
  <c r="EK28" i="1" s="1"/>
  <c r="EL30" i="1"/>
  <c r="EL28" i="1" s="1"/>
  <c r="EN30" i="1"/>
  <c r="EN28" i="1" s="1"/>
  <c r="EO30" i="1"/>
  <c r="EO28" i="1" s="1"/>
  <c r="EP30" i="1"/>
  <c r="EP28" i="1" s="1"/>
  <c r="ER30" i="1"/>
  <c r="ER28" i="1" s="1"/>
  <c r="ES30" i="1"/>
  <c r="ES28" i="1" s="1"/>
  <c r="ET30" i="1"/>
  <c r="ET28" i="1" s="1"/>
  <c r="EV30" i="1"/>
  <c r="EV28" i="1" s="1"/>
  <c r="EW30" i="1"/>
  <c r="EW28" i="1" s="1"/>
  <c r="EX30" i="1"/>
  <c r="EX28" i="1" s="1"/>
  <c r="FB30" i="1"/>
  <c r="FB28" i="1" s="1"/>
  <c r="FC30" i="1"/>
  <c r="FC28" i="1" s="1"/>
  <c r="FD30" i="1"/>
  <c r="FD28" i="1" s="1"/>
  <c r="FF30" i="1"/>
  <c r="FF28" i="1" s="1"/>
  <c r="FG30" i="1"/>
  <c r="FG28" i="1" s="1"/>
  <c r="FH30" i="1"/>
  <c r="FH28" i="1" s="1"/>
  <c r="FJ30" i="1"/>
  <c r="FJ28" i="1" s="1"/>
  <c r="FK30" i="1"/>
  <c r="FK28" i="1" s="1"/>
  <c r="FL30" i="1"/>
  <c r="FL28" i="1" s="1"/>
  <c r="FN30" i="1"/>
  <c r="FN28" i="1" s="1"/>
  <c r="FO30" i="1"/>
  <c r="FO28" i="1" s="1"/>
  <c r="FP30" i="1"/>
  <c r="FP28" i="1" s="1"/>
  <c r="FS30" i="1"/>
  <c r="FS28" i="1" s="1"/>
  <c r="FT30" i="1"/>
  <c r="FT28" i="1" s="1"/>
  <c r="FU30" i="1"/>
  <c r="FU28" i="1" s="1"/>
  <c r="FW30" i="1"/>
  <c r="FW28" i="1" s="1"/>
  <c r="FX30" i="1"/>
  <c r="FX28" i="1" s="1"/>
  <c r="FY30" i="1"/>
  <c r="FY28" i="1" s="1"/>
  <c r="GA30" i="1"/>
  <c r="GA28" i="1" s="1"/>
  <c r="GB30" i="1"/>
  <c r="GB28" i="1" s="1"/>
  <c r="GC30" i="1"/>
  <c r="GC28" i="1" s="1"/>
  <c r="GE30" i="1"/>
  <c r="GE28" i="1" s="1"/>
  <c r="GF30" i="1"/>
  <c r="GF28" i="1" s="1"/>
  <c r="GG30" i="1"/>
  <c r="GG28" i="1" s="1"/>
  <c r="GJ30" i="1"/>
  <c r="GJ28" i="1" s="1"/>
  <c r="GK30" i="1"/>
  <c r="GK28" i="1" s="1"/>
  <c r="GL30" i="1"/>
  <c r="GL28" i="1" s="1"/>
  <c r="GN30" i="1"/>
  <c r="GN28" i="1" s="1"/>
  <c r="GO30" i="1"/>
  <c r="GO28" i="1" s="1"/>
  <c r="GP30" i="1"/>
  <c r="GP28" i="1" s="1"/>
  <c r="GS30" i="1"/>
  <c r="GS28" i="1" s="1"/>
  <c r="GV30" i="1"/>
  <c r="GV28" i="1" s="1"/>
  <c r="GW30" i="1"/>
  <c r="GW28" i="1" s="1"/>
  <c r="GX30" i="1"/>
  <c r="GX28" i="1" s="1"/>
  <c r="HA30" i="1"/>
  <c r="HA28" i="1" s="1"/>
  <c r="HB30" i="1"/>
  <c r="HB28" i="1" s="1"/>
  <c r="HC30" i="1"/>
  <c r="HC28" i="1" s="1"/>
  <c r="HE30" i="1"/>
  <c r="HE28" i="1" s="1"/>
  <c r="HF30" i="1"/>
  <c r="HF28" i="1" s="1"/>
  <c r="HG30" i="1"/>
  <c r="HG28" i="1" s="1"/>
  <c r="HI30" i="1"/>
  <c r="HI28" i="1" s="1"/>
  <c r="HJ30" i="1"/>
  <c r="HJ28" i="1" s="1"/>
  <c r="HK30" i="1"/>
  <c r="HK28" i="1" s="1"/>
  <c r="EL31" i="1"/>
  <c r="M32" i="1"/>
  <c r="M31" i="1" s="1"/>
  <c r="N32" i="1"/>
  <c r="N31" i="1" s="1"/>
  <c r="P32" i="1"/>
  <c r="P31" i="1" s="1"/>
  <c r="Q32" i="1"/>
  <c r="Q31" i="1" s="1"/>
  <c r="R32" i="1"/>
  <c r="R31" i="1" s="1"/>
  <c r="U32" i="1"/>
  <c r="U31" i="1" s="1"/>
  <c r="V32" i="1"/>
  <c r="V31" i="1" s="1"/>
  <c r="W32" i="1"/>
  <c r="W31" i="1" s="1"/>
  <c r="Y32" i="1"/>
  <c r="Y31" i="1" s="1"/>
  <c r="Z32" i="1"/>
  <c r="Z31" i="1" s="1"/>
  <c r="AA32" i="1"/>
  <c r="AA31" i="1" s="1"/>
  <c r="AD32" i="1"/>
  <c r="AD31" i="1" s="1"/>
  <c r="AE32" i="1"/>
  <c r="AE31" i="1" s="1"/>
  <c r="AG32" i="1"/>
  <c r="AI32" i="1"/>
  <c r="AI31" i="1" s="1"/>
  <c r="AN32" i="1"/>
  <c r="AN31" i="1" s="1"/>
  <c r="AQ32" i="1"/>
  <c r="AQ31" i="1" s="1"/>
  <c r="AT32" i="1"/>
  <c r="AT31" i="1" s="1"/>
  <c r="BC32" i="1"/>
  <c r="BC31" i="1" s="1"/>
  <c r="BG32" i="1"/>
  <c r="BG31" i="1" s="1"/>
  <c r="BH32" i="1"/>
  <c r="BH31" i="1" s="1"/>
  <c r="BK32" i="1"/>
  <c r="BK31" i="1" s="1"/>
  <c r="BL32" i="1"/>
  <c r="BL31" i="1" s="1"/>
  <c r="BM32" i="1"/>
  <c r="BM31" i="1" s="1"/>
  <c r="BO32" i="1"/>
  <c r="BO31" i="1" s="1"/>
  <c r="BP32" i="1"/>
  <c r="BP31" i="1" s="1"/>
  <c r="BQ32" i="1"/>
  <c r="BQ31" i="1" s="1"/>
  <c r="BT32" i="1"/>
  <c r="BT31" i="1" s="1"/>
  <c r="BU32" i="1"/>
  <c r="BU31" i="1" s="1"/>
  <c r="BV32" i="1"/>
  <c r="BV31" i="1" s="1"/>
  <c r="BX32" i="1"/>
  <c r="BX31" i="1" s="1"/>
  <c r="BY32" i="1"/>
  <c r="BY31" i="1" s="1"/>
  <c r="BZ32" i="1"/>
  <c r="BZ31" i="1" s="1"/>
  <c r="CB32" i="1"/>
  <c r="CB31" i="1" s="1"/>
  <c r="CC32" i="1"/>
  <c r="CC31" i="1" s="1"/>
  <c r="CD32" i="1"/>
  <c r="CD31" i="1" s="1"/>
  <c r="CF32" i="1"/>
  <c r="CF31" i="1" s="1"/>
  <c r="CG32" i="1"/>
  <c r="CG31" i="1" s="1"/>
  <c r="CH32" i="1"/>
  <c r="CH31" i="1" s="1"/>
  <c r="CK32" i="1"/>
  <c r="CK31" i="1" s="1"/>
  <c r="CL32" i="1"/>
  <c r="CL31" i="1" s="1"/>
  <c r="CM32" i="1"/>
  <c r="CM31" i="1" s="1"/>
  <c r="CO32" i="1"/>
  <c r="CO31" i="1" s="1"/>
  <c r="CP32" i="1"/>
  <c r="CP31" i="1" s="1"/>
  <c r="CQ32" i="1"/>
  <c r="CQ31" i="1" s="1"/>
  <c r="CS32" i="1"/>
  <c r="CS31" i="1" s="1"/>
  <c r="CT32" i="1"/>
  <c r="CT31" i="1" s="1"/>
  <c r="CU32" i="1"/>
  <c r="CU31" i="1" s="1"/>
  <c r="CW32" i="1"/>
  <c r="CW31" i="1" s="1"/>
  <c r="CX32" i="1"/>
  <c r="CX31" i="1" s="1"/>
  <c r="CY32" i="1"/>
  <c r="CY31" i="1" s="1"/>
  <c r="DC32" i="1"/>
  <c r="DC31" i="1" s="1"/>
  <c r="DD32" i="1"/>
  <c r="DD31" i="1" s="1"/>
  <c r="DF32" i="1"/>
  <c r="DF31" i="1" s="1"/>
  <c r="DG32" i="1"/>
  <c r="DG31" i="1" s="1"/>
  <c r="DK32" i="1"/>
  <c r="DK31" i="1" s="1"/>
  <c r="DL32" i="1"/>
  <c r="DL31" i="1" s="1"/>
  <c r="DN32" i="1"/>
  <c r="DN31" i="1" s="1"/>
  <c r="DO32" i="1"/>
  <c r="DO31" i="1" s="1"/>
  <c r="DS32" i="1"/>
  <c r="DS31" i="1" s="1"/>
  <c r="DT32" i="1"/>
  <c r="DT31" i="1" s="1"/>
  <c r="DW32" i="1"/>
  <c r="DW31" i="1" s="1"/>
  <c r="DX32" i="1"/>
  <c r="DX31" i="1" s="1"/>
  <c r="DY32" i="1"/>
  <c r="DY31" i="1" s="1"/>
  <c r="EA32" i="1"/>
  <c r="EA31" i="1" s="1"/>
  <c r="EB32" i="1"/>
  <c r="EB31" i="1" s="1"/>
  <c r="EC32" i="1"/>
  <c r="EC31" i="1" s="1"/>
  <c r="EE32" i="1"/>
  <c r="EE31" i="1" s="1"/>
  <c r="EF32" i="1"/>
  <c r="EF31" i="1" s="1"/>
  <c r="EG32" i="1"/>
  <c r="EG31" i="1" s="1"/>
  <c r="EJ32" i="1"/>
  <c r="EJ31" i="1" s="1"/>
  <c r="EK32" i="1"/>
  <c r="EK31" i="1" s="1"/>
  <c r="EN32" i="1"/>
  <c r="EN31" i="1" s="1"/>
  <c r="EO32" i="1"/>
  <c r="EO31" i="1" s="1"/>
  <c r="EP32" i="1"/>
  <c r="EP31" i="1" s="1"/>
  <c r="ER32" i="1"/>
  <c r="ER31" i="1" s="1"/>
  <c r="ES32" i="1"/>
  <c r="ES31" i="1" s="1"/>
  <c r="ET32" i="1"/>
  <c r="ET31" i="1" s="1"/>
  <c r="EV32" i="1"/>
  <c r="EV31" i="1" s="1"/>
  <c r="EW32" i="1"/>
  <c r="EW31" i="1" s="1"/>
  <c r="EX32" i="1"/>
  <c r="EX31" i="1" s="1"/>
  <c r="FB32" i="1"/>
  <c r="FB31" i="1" s="1"/>
  <c r="FC32" i="1"/>
  <c r="FC31" i="1" s="1"/>
  <c r="FD32" i="1"/>
  <c r="FD31" i="1" s="1"/>
  <c r="FF32" i="1"/>
  <c r="FF31" i="1" s="1"/>
  <c r="FG32" i="1"/>
  <c r="FG31" i="1" s="1"/>
  <c r="FH32" i="1"/>
  <c r="FH31" i="1" s="1"/>
  <c r="FJ32" i="1"/>
  <c r="FJ31" i="1" s="1"/>
  <c r="FK32" i="1"/>
  <c r="FK31" i="1" s="1"/>
  <c r="FL32" i="1"/>
  <c r="FL31" i="1" s="1"/>
  <c r="FN32" i="1"/>
  <c r="FN31" i="1" s="1"/>
  <c r="FO32" i="1"/>
  <c r="FO31" i="1" s="1"/>
  <c r="FP32" i="1"/>
  <c r="FP31" i="1" s="1"/>
  <c r="FS32" i="1"/>
  <c r="FT32" i="1"/>
  <c r="FT31" i="1" s="1"/>
  <c r="FU32" i="1"/>
  <c r="FU31" i="1" s="1"/>
  <c r="FW32" i="1"/>
  <c r="FW31" i="1" s="1"/>
  <c r="FX32" i="1"/>
  <c r="FX31" i="1" s="1"/>
  <c r="GA32" i="1"/>
  <c r="GA31" i="1" s="1"/>
  <c r="GB32" i="1"/>
  <c r="GB31" i="1" s="1"/>
  <c r="GC32" i="1"/>
  <c r="GC31" i="1" s="1"/>
  <c r="GE32" i="1"/>
  <c r="GE31" i="1" s="1"/>
  <c r="GF32" i="1"/>
  <c r="GF31" i="1" s="1"/>
  <c r="GG32" i="1"/>
  <c r="GG31" i="1" s="1"/>
  <c r="GJ32" i="1"/>
  <c r="GK32" i="1"/>
  <c r="GK31" i="1" s="1"/>
  <c r="GL32" i="1"/>
  <c r="GL31" i="1" s="1"/>
  <c r="GN32" i="1"/>
  <c r="GO32" i="1"/>
  <c r="GO31" i="1" s="1"/>
  <c r="GP32" i="1"/>
  <c r="GP31" i="1" s="1"/>
  <c r="GR32" i="1"/>
  <c r="GS32" i="1"/>
  <c r="GS31" i="1" s="1"/>
  <c r="GT32" i="1"/>
  <c r="GT31" i="1" s="1"/>
  <c r="GV32" i="1"/>
  <c r="GW32" i="1"/>
  <c r="GW31" i="1" s="1"/>
  <c r="GX32" i="1"/>
  <c r="GX31" i="1" s="1"/>
  <c r="HA32" i="1"/>
  <c r="HA31" i="1" s="1"/>
  <c r="HB32" i="1"/>
  <c r="HB31" i="1" s="1"/>
  <c r="HC32" i="1"/>
  <c r="HC31" i="1" s="1"/>
  <c r="HE32" i="1"/>
  <c r="HE31" i="1" s="1"/>
  <c r="HF32" i="1"/>
  <c r="HF31" i="1" s="1"/>
  <c r="HG32" i="1"/>
  <c r="HG31" i="1" s="1"/>
  <c r="HI32" i="1"/>
  <c r="HI31" i="1" s="1"/>
  <c r="HJ32" i="1"/>
  <c r="HJ31" i="1" s="1"/>
  <c r="HK32" i="1"/>
  <c r="HK31" i="1" s="1"/>
  <c r="O33" i="1"/>
  <c r="S33" i="1"/>
  <c r="X33" i="1"/>
  <c r="AB33" i="1"/>
  <c r="AC33" i="1"/>
  <c r="AC32" i="1" s="1"/>
  <c r="AF33" i="1"/>
  <c r="AH33" i="1"/>
  <c r="AH32" i="1" s="1"/>
  <c r="AH31" i="1" s="1"/>
  <c r="AL33" i="1"/>
  <c r="AL32" i="1" s="1"/>
  <c r="AM33" i="1"/>
  <c r="AM32" i="1" s="1"/>
  <c r="AM31" i="1" s="1"/>
  <c r="AP33" i="1"/>
  <c r="AP32" i="1" s="1"/>
  <c r="AR33" i="1"/>
  <c r="AR32" i="1" s="1"/>
  <c r="AR31" i="1" s="1"/>
  <c r="AU33" i="1"/>
  <c r="AU32" i="1" s="1"/>
  <c r="AV33" i="1"/>
  <c r="AV32" i="1" s="1"/>
  <c r="AV31" i="1" s="1"/>
  <c r="AX33" i="1"/>
  <c r="AX32" i="1" s="1"/>
  <c r="AY33" i="1"/>
  <c r="AY32" i="1" s="1"/>
  <c r="AY31" i="1" s="1"/>
  <c r="AZ33" i="1"/>
  <c r="AZ32" i="1" s="1"/>
  <c r="AZ31" i="1" s="1"/>
  <c r="BD33" i="1"/>
  <c r="BD32" i="1" s="1"/>
  <c r="BI33" i="1"/>
  <c r="BJ33" i="1" s="1"/>
  <c r="BN33" i="1"/>
  <c r="BR33" i="1"/>
  <c r="BW33" i="1"/>
  <c r="CA33" i="1"/>
  <c r="CE33" i="1"/>
  <c r="CI33" i="1"/>
  <c r="CN33" i="1"/>
  <c r="CR33" i="1"/>
  <c r="CV33" i="1"/>
  <c r="CZ33" i="1"/>
  <c r="DB33" i="1"/>
  <c r="DB32" i="1" s="1"/>
  <c r="DH33" i="1"/>
  <c r="DH32" i="1" s="1"/>
  <c r="DJ33" i="1"/>
  <c r="DJ32" i="1" s="1"/>
  <c r="DP33" i="1"/>
  <c r="DP32" i="1" s="1"/>
  <c r="DU33" i="1"/>
  <c r="DV33" i="1" s="1"/>
  <c r="DZ33" i="1"/>
  <c r="ED33" i="1"/>
  <c r="EH33" i="1"/>
  <c r="EM33" i="1"/>
  <c r="EQ33" i="1"/>
  <c r="EU33" i="1"/>
  <c r="EY33" i="1"/>
  <c r="FE33" i="1"/>
  <c r="FI33" i="1"/>
  <c r="FM33" i="1"/>
  <c r="FQ33" i="1"/>
  <c r="FV33" i="1"/>
  <c r="FZ33" i="1"/>
  <c r="GD33" i="1"/>
  <c r="GH33" i="1"/>
  <c r="GM33" i="1"/>
  <c r="GQ33" i="1"/>
  <c r="GU33" i="1"/>
  <c r="GY33" i="1"/>
  <c r="HD33" i="1"/>
  <c r="HH33" i="1"/>
  <c r="HL33" i="1"/>
  <c r="HP33" i="1"/>
  <c r="O34" i="1"/>
  <c r="S34" i="1"/>
  <c r="X34" i="1"/>
  <c r="AB34" i="1"/>
  <c r="AF34" i="1"/>
  <c r="AJ34" i="1"/>
  <c r="AO34" i="1"/>
  <c r="AS34" i="1"/>
  <c r="AW34" i="1"/>
  <c r="BA34" i="1"/>
  <c r="BE34" i="1"/>
  <c r="BE32" i="1" s="1"/>
  <c r="BE31" i="1" s="1"/>
  <c r="BJ34" i="1"/>
  <c r="BN34" i="1"/>
  <c r="BR34" i="1"/>
  <c r="BW34" i="1"/>
  <c r="CA34" i="1"/>
  <c r="CE34" i="1"/>
  <c r="CI34" i="1"/>
  <c r="CN34" i="1"/>
  <c r="CR34" i="1"/>
  <c r="CV34" i="1"/>
  <c r="CZ34" i="1"/>
  <c r="DE34" i="1"/>
  <c r="DI34" i="1"/>
  <c r="DM34" i="1"/>
  <c r="DQ34" i="1"/>
  <c r="DV34" i="1"/>
  <c r="DZ34" i="1"/>
  <c r="ED34" i="1"/>
  <c r="EH34" i="1"/>
  <c r="EM34" i="1"/>
  <c r="EQ34" i="1"/>
  <c r="EU34" i="1"/>
  <c r="EY34" i="1"/>
  <c r="FE34" i="1"/>
  <c r="FI34" i="1"/>
  <c r="FM34" i="1"/>
  <c r="FQ34" i="1"/>
  <c r="FV34" i="1"/>
  <c r="FZ34" i="1"/>
  <c r="GD34" i="1"/>
  <c r="GH34" i="1"/>
  <c r="GM34" i="1"/>
  <c r="GQ34" i="1"/>
  <c r="GU34" i="1"/>
  <c r="GY34" i="1"/>
  <c r="HD34" i="1"/>
  <c r="HH34" i="1"/>
  <c r="HL34" i="1"/>
  <c r="HP34" i="1"/>
  <c r="O35" i="1"/>
  <c r="S35" i="1"/>
  <c r="X35" i="1"/>
  <c r="AB35" i="1"/>
  <c r="AF35" i="1"/>
  <c r="AG35" i="1"/>
  <c r="AJ35" i="1" s="1"/>
  <c r="AO35" i="1"/>
  <c r="AS35" i="1"/>
  <c r="AW35" i="1"/>
  <c r="BA35" i="1"/>
  <c r="BD35" i="1"/>
  <c r="BF35" i="1" s="1"/>
  <c r="BJ35" i="1"/>
  <c r="BN35" i="1"/>
  <c r="BR35" i="1"/>
  <c r="BW35" i="1"/>
  <c r="CA35" i="1"/>
  <c r="CE35" i="1"/>
  <c r="CI35" i="1"/>
  <c r="CN35" i="1"/>
  <c r="CR35" i="1"/>
  <c r="CV35" i="1"/>
  <c r="CZ35" i="1"/>
  <c r="DE35" i="1"/>
  <c r="DI35" i="1"/>
  <c r="DM35" i="1"/>
  <c r="DQ35" i="1"/>
  <c r="DV35" i="1"/>
  <c r="DZ35" i="1"/>
  <c r="ED35" i="1"/>
  <c r="EH35" i="1"/>
  <c r="EM35" i="1"/>
  <c r="EQ35" i="1"/>
  <c r="EU35" i="1"/>
  <c r="EY35" i="1"/>
  <c r="FE35" i="1"/>
  <c r="FI35" i="1"/>
  <c r="FM35" i="1"/>
  <c r="FQ35" i="1"/>
  <c r="FV35" i="1"/>
  <c r="FZ35" i="1"/>
  <c r="GD35" i="1"/>
  <c r="GH35" i="1"/>
  <c r="GM35" i="1"/>
  <c r="GQ35" i="1"/>
  <c r="GU35" i="1"/>
  <c r="GY35" i="1"/>
  <c r="HD35" i="1"/>
  <c r="HH35" i="1"/>
  <c r="HL35" i="1"/>
  <c r="HP35" i="1"/>
  <c r="CV36" i="1"/>
  <c r="CZ36" i="1"/>
  <c r="DE36" i="1"/>
  <c r="DI36" i="1"/>
  <c r="DM36" i="1"/>
  <c r="DQ36" i="1"/>
  <c r="DV36" i="1"/>
  <c r="DZ36" i="1"/>
  <c r="ED36" i="1"/>
  <c r="EH36" i="1"/>
  <c r="EM36" i="1"/>
  <c r="EQ36" i="1"/>
  <c r="EU36" i="1"/>
  <c r="EY36" i="1"/>
  <c r="FE36" i="1"/>
  <c r="FI36" i="1"/>
  <c r="FM36" i="1"/>
  <c r="FQ36" i="1"/>
  <c r="FV36" i="1"/>
  <c r="FZ36" i="1"/>
  <c r="GD36" i="1"/>
  <c r="GH36" i="1"/>
  <c r="GM36" i="1"/>
  <c r="GQ36" i="1"/>
  <c r="GU36" i="1"/>
  <c r="GY36" i="1"/>
  <c r="HD36" i="1"/>
  <c r="HH36" i="1"/>
  <c r="HL36" i="1"/>
  <c r="HP36" i="1"/>
  <c r="GM37" i="1"/>
  <c r="GZ37" i="1" s="1"/>
  <c r="HD37" i="1"/>
  <c r="HH37" i="1"/>
  <c r="HL37" i="1"/>
  <c r="HP37" i="1"/>
  <c r="O38" i="1"/>
  <c r="S38" i="1"/>
  <c r="X38" i="1"/>
  <c r="AB38" i="1"/>
  <c r="AF38" i="1"/>
  <c r="AJ38" i="1"/>
  <c r="AO38" i="1"/>
  <c r="AS38" i="1"/>
  <c r="AW38" i="1"/>
  <c r="BA38" i="1"/>
  <c r="BF38" i="1"/>
  <c r="BJ38" i="1"/>
  <c r="BN38" i="1"/>
  <c r="BR38" i="1"/>
  <c r="BW38" i="1"/>
  <c r="CA38" i="1"/>
  <c r="CE38" i="1"/>
  <c r="CI38" i="1"/>
  <c r="CN38" i="1"/>
  <c r="CR38" i="1"/>
  <c r="CV38" i="1"/>
  <c r="CZ38" i="1"/>
  <c r="DE38" i="1"/>
  <c r="DI38" i="1"/>
  <c r="DM38" i="1"/>
  <c r="DQ38" i="1"/>
  <c r="DV38" i="1"/>
  <c r="DZ38" i="1"/>
  <c r="ED38" i="1"/>
  <c r="EH38" i="1"/>
  <c r="EM38" i="1"/>
  <c r="EQ38" i="1"/>
  <c r="EU38" i="1"/>
  <c r="EY38" i="1"/>
  <c r="FE38" i="1"/>
  <c r="FI38" i="1"/>
  <c r="FM38" i="1"/>
  <c r="FQ38" i="1"/>
  <c r="FV38" i="1"/>
  <c r="FZ38" i="1"/>
  <c r="GD38" i="1"/>
  <c r="GH38" i="1"/>
  <c r="GM38" i="1"/>
  <c r="GQ38" i="1"/>
  <c r="GU38" i="1"/>
  <c r="GY38" i="1"/>
  <c r="HD38" i="1"/>
  <c r="HH38" i="1"/>
  <c r="HL38" i="1"/>
  <c r="HP38" i="1"/>
  <c r="O39" i="1"/>
  <c r="S39" i="1"/>
  <c r="T39" i="1" s="1"/>
  <c r="X39" i="1"/>
  <c r="AB39" i="1"/>
  <c r="AF39" i="1"/>
  <c r="AJ39" i="1"/>
  <c r="AO39" i="1"/>
  <c r="AS39" i="1"/>
  <c r="AW39" i="1"/>
  <c r="AZ39" i="1"/>
  <c r="BA39" i="1" s="1"/>
  <c r="BF39" i="1"/>
  <c r="BJ39" i="1"/>
  <c r="BN39" i="1"/>
  <c r="BR39" i="1"/>
  <c r="BV39" i="1"/>
  <c r="BV30" i="1" s="1"/>
  <c r="CA39" i="1"/>
  <c r="CE39" i="1"/>
  <c r="CI39" i="1"/>
  <c r="CN39" i="1"/>
  <c r="CR39" i="1"/>
  <c r="CV39" i="1"/>
  <c r="CZ39" i="1"/>
  <c r="DE39" i="1"/>
  <c r="DG39" i="1"/>
  <c r="DG30" i="1" s="1"/>
  <c r="DG28" i="1" s="1"/>
  <c r="DH39" i="1"/>
  <c r="DH30" i="1" s="1"/>
  <c r="DH28" i="1" s="1"/>
  <c r="DK39" i="1"/>
  <c r="DK30" i="1" s="1"/>
  <c r="DK28" i="1" s="1"/>
  <c r="DL39" i="1"/>
  <c r="DQ39" i="1"/>
  <c r="DS39" i="1"/>
  <c r="DS30" i="1" s="1"/>
  <c r="DT39" i="1"/>
  <c r="DT30" i="1" s="1"/>
  <c r="DT28" i="1" s="1"/>
  <c r="DZ39" i="1"/>
  <c r="EB39" i="1"/>
  <c r="EC39" i="1"/>
  <c r="EH39" i="1"/>
  <c r="EM39" i="1"/>
  <c r="EQ39" i="1"/>
  <c r="EU39" i="1"/>
  <c r="EY39" i="1"/>
  <c r="FE39" i="1"/>
  <c r="FI39" i="1"/>
  <c r="FM39" i="1"/>
  <c r="FQ39" i="1"/>
  <c r="FV39" i="1"/>
  <c r="FZ39" i="1"/>
  <c r="GI39" i="1" s="1"/>
  <c r="GD39" i="1"/>
  <c r="GH39" i="1"/>
  <c r="GM39" i="1"/>
  <c r="GQ39" i="1"/>
  <c r="GU39" i="1"/>
  <c r="GY39" i="1"/>
  <c r="HD39" i="1"/>
  <c r="HH39" i="1"/>
  <c r="HL39" i="1"/>
  <c r="HP39" i="1"/>
  <c r="BW40" i="1"/>
  <c r="CA40" i="1"/>
  <c r="CE40" i="1"/>
  <c r="CI40" i="1"/>
  <c r="CN40" i="1"/>
  <c r="CR40" i="1"/>
  <c r="CV40" i="1"/>
  <c r="CZ40" i="1"/>
  <c r="DE40" i="1"/>
  <c r="DI40" i="1"/>
  <c r="DM40" i="1"/>
  <c r="DQ40" i="1"/>
  <c r="DV40" i="1"/>
  <c r="DZ40" i="1"/>
  <c r="EB40" i="1"/>
  <c r="EC40" i="1"/>
  <c r="EE40" i="1"/>
  <c r="EM40" i="1"/>
  <c r="EQ40" i="1"/>
  <c r="EU40" i="1"/>
  <c r="EY40" i="1"/>
  <c r="FE40" i="1"/>
  <c r="FI40" i="1"/>
  <c r="FM40" i="1"/>
  <c r="FQ40" i="1"/>
  <c r="FV40" i="1"/>
  <c r="FZ40" i="1"/>
  <c r="GD40" i="1"/>
  <c r="GH40" i="1"/>
  <c r="GM40" i="1"/>
  <c r="GQ40" i="1"/>
  <c r="GU40" i="1"/>
  <c r="GY40" i="1"/>
  <c r="HD40" i="1"/>
  <c r="HH40" i="1"/>
  <c r="HL40" i="1"/>
  <c r="HP40" i="1"/>
  <c r="M41" i="1"/>
  <c r="N41" i="1"/>
  <c r="P41" i="1"/>
  <c r="Q41" i="1"/>
  <c r="U41" i="1"/>
  <c r="V41" i="1"/>
  <c r="Z41" i="1"/>
  <c r="AA41" i="1"/>
  <c r="AE41" i="1"/>
  <c r="AH41" i="1"/>
  <c r="AL41" i="1"/>
  <c r="AN41" i="1"/>
  <c r="AR41" i="1"/>
  <c r="AX41" i="1"/>
  <c r="AY41" i="1"/>
  <c r="AZ41" i="1"/>
  <c r="BG41" i="1"/>
  <c r="BH41" i="1"/>
  <c r="BI41" i="1"/>
  <c r="BK41" i="1"/>
  <c r="BL41" i="1"/>
  <c r="BM41" i="1"/>
  <c r="BO41" i="1"/>
  <c r="BP41" i="1"/>
  <c r="BQ41" i="1"/>
  <c r="BT41" i="1"/>
  <c r="BU41" i="1"/>
  <c r="BV41" i="1"/>
  <c r="BX41" i="1"/>
  <c r="BY41" i="1"/>
  <c r="BZ41" i="1"/>
  <c r="CB41" i="1"/>
  <c r="CD41" i="1"/>
  <c r="CF41" i="1"/>
  <c r="CG41" i="1"/>
  <c r="CH41" i="1"/>
  <c r="CK41" i="1"/>
  <c r="CL41" i="1"/>
  <c r="CM41" i="1"/>
  <c r="CO41" i="1"/>
  <c r="CP41" i="1"/>
  <c r="CQ41" i="1"/>
  <c r="CS41" i="1"/>
  <c r="CU41" i="1"/>
  <c r="CW41" i="1"/>
  <c r="CX41" i="1"/>
  <c r="CY41" i="1"/>
  <c r="DB41" i="1"/>
  <c r="DC41" i="1"/>
  <c r="DG41" i="1"/>
  <c r="DH41" i="1"/>
  <c r="DJ41" i="1"/>
  <c r="DL41" i="1"/>
  <c r="DO41" i="1"/>
  <c r="DP41" i="1"/>
  <c r="DS41" i="1"/>
  <c r="DT41" i="1"/>
  <c r="DU41" i="1"/>
  <c r="DW41" i="1"/>
  <c r="DX41" i="1"/>
  <c r="DY41" i="1"/>
  <c r="EB41" i="1"/>
  <c r="EC41" i="1"/>
  <c r="EE41" i="1"/>
  <c r="EF41" i="1"/>
  <c r="EG41" i="1"/>
  <c r="EK41" i="1"/>
  <c r="EL41" i="1"/>
  <c r="EO41" i="1"/>
  <c r="EP41" i="1"/>
  <c r="ET41" i="1"/>
  <c r="EX41" i="1"/>
  <c r="FB41" i="1"/>
  <c r="FC41" i="1"/>
  <c r="FD41" i="1"/>
  <c r="FF41" i="1"/>
  <c r="FG41" i="1"/>
  <c r="FH41" i="1"/>
  <c r="FJ41" i="1"/>
  <c r="FK41" i="1"/>
  <c r="FL41" i="1"/>
  <c r="FN41" i="1"/>
  <c r="FO41" i="1"/>
  <c r="FP41" i="1"/>
  <c r="FS41" i="1"/>
  <c r="FT41" i="1"/>
  <c r="FU41" i="1"/>
  <c r="FW41" i="1"/>
  <c r="FX41" i="1"/>
  <c r="GA41" i="1"/>
  <c r="GB41" i="1"/>
  <c r="GC41" i="1"/>
  <c r="GE41" i="1"/>
  <c r="GF41" i="1"/>
  <c r="GG41" i="1"/>
  <c r="GJ41" i="1"/>
  <c r="GK41" i="1"/>
  <c r="GL41" i="1"/>
  <c r="GN41" i="1"/>
  <c r="GO41" i="1"/>
  <c r="GP41" i="1"/>
  <c r="GR41" i="1"/>
  <c r="GS41" i="1"/>
  <c r="GT41" i="1"/>
  <c r="GX41" i="1"/>
  <c r="GY41" i="1" s="1"/>
  <c r="HA41" i="1"/>
  <c r="HB41" i="1"/>
  <c r="HC41" i="1"/>
  <c r="HE41" i="1"/>
  <c r="HF41" i="1"/>
  <c r="HG41" i="1"/>
  <c r="HI41" i="1"/>
  <c r="HJ41" i="1"/>
  <c r="HK41" i="1"/>
  <c r="HP41" i="1"/>
  <c r="O42" i="1"/>
  <c r="S42" i="1"/>
  <c r="T42" i="1" s="1"/>
  <c r="X42" i="1"/>
  <c r="AB42" i="1"/>
  <c r="AF42" i="1"/>
  <c r="AJ42" i="1"/>
  <c r="AM42" i="1"/>
  <c r="AS42" i="1"/>
  <c r="AW42" i="1"/>
  <c r="BA42" i="1"/>
  <c r="BF42" i="1"/>
  <c r="BJ42" i="1"/>
  <c r="BN42" i="1"/>
  <c r="BR42" i="1"/>
  <c r="BW42" i="1"/>
  <c r="CA42" i="1"/>
  <c r="CE42" i="1"/>
  <c r="CI42" i="1"/>
  <c r="CN42" i="1"/>
  <c r="CR42" i="1"/>
  <c r="CV42" i="1"/>
  <c r="CZ42" i="1"/>
  <c r="DE42" i="1"/>
  <c r="DI42" i="1"/>
  <c r="DM42" i="1"/>
  <c r="DQ42" i="1"/>
  <c r="DV42" i="1"/>
  <c r="DZ42" i="1"/>
  <c r="ED42" i="1"/>
  <c r="EH42" i="1"/>
  <c r="EM42" i="1"/>
  <c r="EQ42" i="1"/>
  <c r="EU42" i="1"/>
  <c r="EY42" i="1"/>
  <c r="FE42" i="1"/>
  <c r="FI42" i="1"/>
  <c r="FM42" i="1"/>
  <c r="FQ42" i="1"/>
  <c r="FV42" i="1"/>
  <c r="FZ42" i="1"/>
  <c r="GD42" i="1"/>
  <c r="GH42" i="1"/>
  <c r="GM42" i="1"/>
  <c r="GQ42" i="1"/>
  <c r="GU42" i="1"/>
  <c r="GY42" i="1"/>
  <c r="HD42" i="1"/>
  <c r="HH42" i="1"/>
  <c r="HL42" i="1"/>
  <c r="HP42" i="1"/>
  <c r="O43" i="1"/>
  <c r="R43" i="1"/>
  <c r="R41" i="1" s="1"/>
  <c r="W43" i="1"/>
  <c r="W41" i="1" s="1"/>
  <c r="X41" i="1" s="1"/>
  <c r="Y43" i="1"/>
  <c r="Y41" i="1" s="1"/>
  <c r="AC43" i="1"/>
  <c r="AC41" i="1" s="1"/>
  <c r="AD43" i="1"/>
  <c r="AD41" i="1" s="1"/>
  <c r="AG43" i="1"/>
  <c r="AG41" i="1" s="1"/>
  <c r="AI43" i="1"/>
  <c r="AI41" i="1" s="1"/>
  <c r="AM43" i="1"/>
  <c r="AO43" i="1" s="1"/>
  <c r="AP43" i="1"/>
  <c r="AP41" i="1" s="1"/>
  <c r="AQ43" i="1"/>
  <c r="AQ41" i="1" s="1"/>
  <c r="AT43" i="1"/>
  <c r="AU43" i="1"/>
  <c r="AU41" i="1" s="1"/>
  <c r="AV43" i="1"/>
  <c r="AV41" i="1" s="1"/>
  <c r="BA43" i="1"/>
  <c r="BC43" i="1"/>
  <c r="BC41" i="1" s="1"/>
  <c r="BD43" i="1"/>
  <c r="BD41" i="1" s="1"/>
  <c r="BE43" i="1"/>
  <c r="BE41" i="1" s="1"/>
  <c r="BJ43" i="1"/>
  <c r="BN43" i="1"/>
  <c r="BR43" i="1"/>
  <c r="BW43" i="1"/>
  <c r="CA43" i="1"/>
  <c r="CC43" i="1"/>
  <c r="CC41" i="1" s="1"/>
  <c r="CI43" i="1"/>
  <c r="CN43" i="1"/>
  <c r="CR43" i="1"/>
  <c r="CT43" i="1"/>
  <c r="CV43" i="1" s="1"/>
  <c r="CZ43" i="1"/>
  <c r="DD43" i="1"/>
  <c r="DE43" i="1" s="1"/>
  <c r="DF43" i="1"/>
  <c r="DI43" i="1" s="1"/>
  <c r="DK43" i="1"/>
  <c r="DK41" i="1" s="1"/>
  <c r="DN43" i="1"/>
  <c r="DQ43" i="1" s="1"/>
  <c r="DV43" i="1"/>
  <c r="DZ43" i="1"/>
  <c r="EA43" i="1"/>
  <c r="EA41" i="1" s="1"/>
  <c r="EH43" i="1"/>
  <c r="EJ43" i="1"/>
  <c r="EJ41" i="1" s="1"/>
  <c r="EM43" i="1"/>
  <c r="EN43" i="1"/>
  <c r="EN41" i="1" s="1"/>
  <c r="EQ43" i="1"/>
  <c r="ER43" i="1"/>
  <c r="ER41" i="1" s="1"/>
  <c r="ES43" i="1"/>
  <c r="ES41" i="1" s="1"/>
  <c r="EV43" i="1"/>
  <c r="EV41" i="1" s="1"/>
  <c r="EW43" i="1"/>
  <c r="EW41" i="1" s="1"/>
  <c r="FE43" i="1"/>
  <c r="FI43" i="1"/>
  <c r="FM43" i="1"/>
  <c r="FQ43" i="1"/>
  <c r="FV43" i="1"/>
  <c r="FZ43" i="1"/>
  <c r="GD43" i="1"/>
  <c r="GH43" i="1"/>
  <c r="GM43" i="1"/>
  <c r="GQ43" i="1"/>
  <c r="GU43" i="1"/>
  <c r="GY43" i="1"/>
  <c r="HD43" i="1"/>
  <c r="HH43" i="1"/>
  <c r="HL43" i="1"/>
  <c r="HP43" i="1"/>
  <c r="CJ44" i="1"/>
  <c r="DA44" i="1"/>
  <c r="DR44" i="1"/>
  <c r="EI44" i="1"/>
  <c r="EZ44" i="1"/>
  <c r="FR44" i="1"/>
  <c r="GI44" i="1"/>
  <c r="HQ44" i="1"/>
  <c r="FA45" i="1"/>
  <c r="CJ46" i="1"/>
  <c r="DA46" i="1"/>
  <c r="DR46" i="1"/>
  <c r="EI46" i="1"/>
  <c r="EZ46" i="1"/>
  <c r="FR46" i="1"/>
  <c r="GI46" i="1"/>
  <c r="GZ46" i="1"/>
  <c r="HQ46" i="1"/>
  <c r="M49" i="1"/>
  <c r="M48" i="1" s="1"/>
  <c r="N49" i="1"/>
  <c r="O49" i="1" s="1"/>
  <c r="P49" i="1"/>
  <c r="P48" i="1" s="1"/>
  <c r="Q49" i="1"/>
  <c r="Q48" i="1" s="1"/>
  <c r="R49" i="1"/>
  <c r="R48" i="1" s="1"/>
  <c r="U49" i="1"/>
  <c r="U48" i="1" s="1"/>
  <c r="V49" i="1"/>
  <c r="W49" i="1"/>
  <c r="W48" i="1" s="1"/>
  <c r="Y49" i="1"/>
  <c r="Y48" i="1" s="1"/>
  <c r="Z49" i="1"/>
  <c r="Z48" i="1" s="1"/>
  <c r="AA49" i="1"/>
  <c r="AA48" i="1" s="1"/>
  <c r="AC49" i="1"/>
  <c r="AD49" i="1"/>
  <c r="AD48" i="1" s="1"/>
  <c r="AE49" i="1"/>
  <c r="AE48" i="1" s="1"/>
  <c r="AG49" i="1"/>
  <c r="AG48" i="1" s="1"/>
  <c r="AM49" i="1"/>
  <c r="AM48" i="1" s="1"/>
  <c r="AN49" i="1"/>
  <c r="AN48" i="1" s="1"/>
  <c r="AP49" i="1"/>
  <c r="AP48" i="1" s="1"/>
  <c r="AQ49" i="1"/>
  <c r="AQ48" i="1" s="1"/>
  <c r="AR49" i="1"/>
  <c r="AR48" i="1" s="1"/>
  <c r="AT49" i="1"/>
  <c r="AU49" i="1"/>
  <c r="AU48" i="1" s="1"/>
  <c r="AV49" i="1"/>
  <c r="AV48" i="1" s="1"/>
  <c r="AX49" i="1"/>
  <c r="AY49" i="1"/>
  <c r="AY48" i="1" s="1"/>
  <c r="AZ49" i="1"/>
  <c r="AZ48" i="1" s="1"/>
  <c r="BC49" i="1"/>
  <c r="BC48" i="1" s="1"/>
  <c r="BD49" i="1"/>
  <c r="BD48" i="1" s="1"/>
  <c r="BE49" i="1"/>
  <c r="BE48" i="1" s="1"/>
  <c r="BG49" i="1"/>
  <c r="BG48" i="1" s="1"/>
  <c r="BH49" i="1"/>
  <c r="BH48" i="1" s="1"/>
  <c r="BI49" i="1"/>
  <c r="BI48" i="1" s="1"/>
  <c r="BK49" i="1"/>
  <c r="BK48" i="1" s="1"/>
  <c r="BL49" i="1"/>
  <c r="BM49" i="1"/>
  <c r="BM48" i="1" s="1"/>
  <c r="BO49" i="1"/>
  <c r="BO48" i="1" s="1"/>
  <c r="BP49" i="1"/>
  <c r="BP48" i="1" s="1"/>
  <c r="BQ49" i="1"/>
  <c r="BQ48" i="1" s="1"/>
  <c r="BT49" i="1"/>
  <c r="BT48" i="1" s="1"/>
  <c r="BU49" i="1"/>
  <c r="BU48" i="1" s="1"/>
  <c r="BV49" i="1"/>
  <c r="BV48" i="1" s="1"/>
  <c r="BX49" i="1"/>
  <c r="BX48" i="1" s="1"/>
  <c r="BY49" i="1"/>
  <c r="BY48" i="1" s="1"/>
  <c r="BZ49" i="1"/>
  <c r="BZ48" i="1" s="1"/>
  <c r="CB49" i="1"/>
  <c r="CB48" i="1" s="1"/>
  <c r="CC49" i="1"/>
  <c r="CC48" i="1" s="1"/>
  <c r="CD49" i="1"/>
  <c r="CD48" i="1" s="1"/>
  <c r="CF49" i="1"/>
  <c r="CF48" i="1" s="1"/>
  <c r="CG49" i="1"/>
  <c r="CG48" i="1" s="1"/>
  <c r="CH49" i="1"/>
  <c r="CH48" i="1" s="1"/>
  <c r="CK49" i="1"/>
  <c r="CL49" i="1"/>
  <c r="CL48" i="1" s="1"/>
  <c r="CM49" i="1"/>
  <c r="CM48" i="1" s="1"/>
  <c r="CO49" i="1"/>
  <c r="CP49" i="1"/>
  <c r="CP48" i="1" s="1"/>
  <c r="CQ49" i="1"/>
  <c r="CQ48" i="1" s="1"/>
  <c r="CS49" i="1"/>
  <c r="CT49" i="1"/>
  <c r="CT48" i="1" s="1"/>
  <c r="CU49" i="1"/>
  <c r="CU48" i="1" s="1"/>
  <c r="CW49" i="1"/>
  <c r="CX49" i="1"/>
  <c r="CX48" i="1" s="1"/>
  <c r="CY49" i="1"/>
  <c r="CY48" i="1" s="1"/>
  <c r="DB49" i="1"/>
  <c r="DB48" i="1" s="1"/>
  <c r="DC49" i="1"/>
  <c r="DC48" i="1" s="1"/>
  <c r="DD49" i="1"/>
  <c r="DD48" i="1" s="1"/>
  <c r="DF49" i="1"/>
  <c r="DF48" i="1" s="1"/>
  <c r="DG49" i="1"/>
  <c r="DG48" i="1" s="1"/>
  <c r="DH49" i="1"/>
  <c r="DH48" i="1" s="1"/>
  <c r="DJ49" i="1"/>
  <c r="DJ48" i="1" s="1"/>
  <c r="DK49" i="1"/>
  <c r="DK48" i="1" s="1"/>
  <c r="DL49" i="1"/>
  <c r="DL48" i="1" s="1"/>
  <c r="DN49" i="1"/>
  <c r="DN48" i="1" s="1"/>
  <c r="DO49" i="1"/>
  <c r="DO48" i="1" s="1"/>
  <c r="DP49" i="1"/>
  <c r="DP48" i="1" s="1"/>
  <c r="DS49" i="1"/>
  <c r="DT49" i="1"/>
  <c r="DT48" i="1" s="1"/>
  <c r="DU49" i="1"/>
  <c r="DU48" i="1" s="1"/>
  <c r="DW49" i="1"/>
  <c r="DX49" i="1"/>
  <c r="DX48" i="1" s="1"/>
  <c r="DY49" i="1"/>
  <c r="DY48" i="1" s="1"/>
  <c r="EA49" i="1"/>
  <c r="EB49" i="1"/>
  <c r="EB48" i="1" s="1"/>
  <c r="EC49" i="1"/>
  <c r="EC48" i="1" s="1"/>
  <c r="EE49" i="1"/>
  <c r="EF49" i="1"/>
  <c r="EF48" i="1" s="1"/>
  <c r="EG49" i="1"/>
  <c r="EG48" i="1" s="1"/>
  <c r="EJ49" i="1"/>
  <c r="EJ48" i="1" s="1"/>
  <c r="EK49" i="1"/>
  <c r="EK48" i="1" s="1"/>
  <c r="EL49" i="1"/>
  <c r="EL48" i="1" s="1"/>
  <c r="EN49" i="1"/>
  <c r="EN48" i="1" s="1"/>
  <c r="EO49" i="1"/>
  <c r="EO48" i="1" s="1"/>
  <c r="EP49" i="1"/>
  <c r="EP48" i="1" s="1"/>
  <c r="ER49" i="1"/>
  <c r="ER48" i="1" s="1"/>
  <c r="ES49" i="1"/>
  <c r="ES48" i="1" s="1"/>
  <c r="ET49" i="1"/>
  <c r="ET48" i="1" s="1"/>
  <c r="EV49" i="1"/>
  <c r="EV48" i="1" s="1"/>
  <c r="EW49" i="1"/>
  <c r="EW48" i="1" s="1"/>
  <c r="EX49" i="1"/>
  <c r="EX48" i="1" s="1"/>
  <c r="FB49" i="1"/>
  <c r="FC49" i="1"/>
  <c r="FC48" i="1" s="1"/>
  <c r="FD49" i="1"/>
  <c r="FD48" i="1" s="1"/>
  <c r="FF49" i="1"/>
  <c r="FG49" i="1"/>
  <c r="FG48" i="1" s="1"/>
  <c r="FH49" i="1"/>
  <c r="FH48" i="1" s="1"/>
  <c r="FJ49" i="1"/>
  <c r="FK49" i="1"/>
  <c r="FK48" i="1" s="1"/>
  <c r="FL49" i="1"/>
  <c r="FL48" i="1" s="1"/>
  <c r="FN49" i="1"/>
  <c r="FO49" i="1"/>
  <c r="FO48" i="1" s="1"/>
  <c r="FP49" i="1"/>
  <c r="FP48" i="1" s="1"/>
  <c r="FS49" i="1"/>
  <c r="FS48" i="1" s="1"/>
  <c r="FT49" i="1"/>
  <c r="FT48" i="1" s="1"/>
  <c r="FU49" i="1"/>
  <c r="FU48" i="1" s="1"/>
  <c r="FW49" i="1"/>
  <c r="FW48" i="1" s="1"/>
  <c r="FX49" i="1"/>
  <c r="FX48" i="1" s="1"/>
  <c r="FY49" i="1"/>
  <c r="FY48" i="1" s="1"/>
  <c r="GA49" i="1"/>
  <c r="GA48" i="1" s="1"/>
  <c r="GB49" i="1"/>
  <c r="GB48" i="1" s="1"/>
  <c r="GC49" i="1"/>
  <c r="GC48" i="1" s="1"/>
  <c r="GE49" i="1"/>
  <c r="GE48" i="1" s="1"/>
  <c r="GF49" i="1"/>
  <c r="GF48" i="1" s="1"/>
  <c r="GG49" i="1"/>
  <c r="GG48" i="1" s="1"/>
  <c r="GJ49" i="1"/>
  <c r="GK49" i="1"/>
  <c r="GK48" i="1" s="1"/>
  <c r="GL49" i="1"/>
  <c r="GL48" i="1" s="1"/>
  <c r="GN49" i="1"/>
  <c r="GO49" i="1"/>
  <c r="GO48" i="1" s="1"/>
  <c r="GP49" i="1"/>
  <c r="GP48" i="1" s="1"/>
  <c r="GR49" i="1"/>
  <c r="GS49" i="1"/>
  <c r="GS48" i="1" s="1"/>
  <c r="GT49" i="1"/>
  <c r="GT48" i="1" s="1"/>
  <c r="GV49" i="1"/>
  <c r="GW49" i="1"/>
  <c r="GW48" i="1" s="1"/>
  <c r="GX49" i="1"/>
  <c r="GX48" i="1" s="1"/>
  <c r="HA49" i="1"/>
  <c r="HA48" i="1" s="1"/>
  <c r="HB49" i="1"/>
  <c r="HB48" i="1" s="1"/>
  <c r="HC49" i="1"/>
  <c r="HC48" i="1" s="1"/>
  <c r="HE49" i="1"/>
  <c r="HE48" i="1" s="1"/>
  <c r="HF49" i="1"/>
  <c r="HF48" i="1" s="1"/>
  <c r="HG49" i="1"/>
  <c r="HG48" i="1" s="1"/>
  <c r="HI49" i="1"/>
  <c r="HI48" i="1" s="1"/>
  <c r="HJ49" i="1"/>
  <c r="HJ48" i="1" s="1"/>
  <c r="HK49" i="1"/>
  <c r="HK48" i="1" s="1"/>
  <c r="HP49" i="1"/>
  <c r="O50" i="1"/>
  <c r="S50" i="1"/>
  <c r="T50" i="1" s="1"/>
  <c r="X50" i="1"/>
  <c r="AB50" i="1"/>
  <c r="AF50" i="1"/>
  <c r="AJ50" i="1"/>
  <c r="AO50" i="1"/>
  <c r="AS50" i="1"/>
  <c r="AW50" i="1"/>
  <c r="BA50" i="1"/>
  <c r="BJ50" i="1"/>
  <c r="BN50" i="1"/>
  <c r="BR50" i="1"/>
  <c r="BW50" i="1"/>
  <c r="CA50" i="1"/>
  <c r="CE50" i="1"/>
  <c r="CI50" i="1"/>
  <c r="CN50" i="1"/>
  <c r="CR50" i="1"/>
  <c r="CV50" i="1"/>
  <c r="CZ50" i="1"/>
  <c r="DE50" i="1"/>
  <c r="DI50" i="1"/>
  <c r="DM50" i="1"/>
  <c r="DQ50" i="1"/>
  <c r="DV50" i="1"/>
  <c r="DZ50" i="1"/>
  <c r="ED50" i="1"/>
  <c r="EH50" i="1"/>
  <c r="EM50" i="1"/>
  <c r="EQ50" i="1"/>
  <c r="EU50" i="1"/>
  <c r="EY50" i="1"/>
  <c r="FE50" i="1"/>
  <c r="FI50" i="1"/>
  <c r="FM50" i="1"/>
  <c r="FQ50" i="1"/>
  <c r="FV50" i="1"/>
  <c r="FZ50" i="1"/>
  <c r="GD50" i="1"/>
  <c r="GH50" i="1"/>
  <c r="GM50" i="1"/>
  <c r="GQ50" i="1"/>
  <c r="GU50" i="1"/>
  <c r="GY50" i="1"/>
  <c r="HD50" i="1"/>
  <c r="HH50" i="1"/>
  <c r="HL50" i="1"/>
  <c r="HP50" i="1"/>
  <c r="O51" i="1"/>
  <c r="S51" i="1"/>
  <c r="X51" i="1"/>
  <c r="AB51" i="1"/>
  <c r="AF51" i="1"/>
  <c r="AJ51" i="1"/>
  <c r="AO51" i="1"/>
  <c r="AS51" i="1"/>
  <c r="AW51" i="1"/>
  <c r="BA51" i="1"/>
  <c r="BJ51" i="1"/>
  <c r="BN51" i="1"/>
  <c r="BR51" i="1"/>
  <c r="BW51" i="1"/>
  <c r="CA51" i="1"/>
  <c r="CE51" i="1"/>
  <c r="CI51" i="1"/>
  <c r="CN51" i="1"/>
  <c r="CR51" i="1"/>
  <c r="CV51" i="1"/>
  <c r="CZ51" i="1"/>
  <c r="DE51" i="1"/>
  <c r="DI51" i="1"/>
  <c r="DM51" i="1"/>
  <c r="DQ51" i="1"/>
  <c r="DV51" i="1"/>
  <c r="DZ51" i="1"/>
  <c r="ED51" i="1"/>
  <c r="EH51" i="1"/>
  <c r="EM51" i="1"/>
  <c r="EQ51" i="1"/>
  <c r="EU51" i="1"/>
  <c r="EY51" i="1"/>
  <c r="FE51" i="1"/>
  <c r="FI51" i="1"/>
  <c r="FM51" i="1"/>
  <c r="FQ51" i="1"/>
  <c r="FV51" i="1"/>
  <c r="FZ51" i="1"/>
  <c r="GD51" i="1"/>
  <c r="GH51" i="1"/>
  <c r="GM51" i="1"/>
  <c r="GQ51" i="1"/>
  <c r="GZ51" i="1" s="1"/>
  <c r="GU51" i="1"/>
  <c r="GY51" i="1"/>
  <c r="HD51" i="1"/>
  <c r="HH51" i="1"/>
  <c r="HL51" i="1"/>
  <c r="HP51" i="1"/>
  <c r="O52" i="1"/>
  <c r="S52" i="1"/>
  <c r="T52" i="1" s="1"/>
  <c r="X52" i="1"/>
  <c r="AB52" i="1"/>
  <c r="AF52" i="1"/>
  <c r="AH52" i="1"/>
  <c r="AH49" i="1" s="1"/>
  <c r="AI52" i="1"/>
  <c r="AI49" i="1" s="1"/>
  <c r="AL52" i="1"/>
  <c r="AL49" i="1" s="1"/>
  <c r="AS52" i="1"/>
  <c r="AW52" i="1"/>
  <c r="BA52" i="1"/>
  <c r="BF52" i="1"/>
  <c r="BJ52" i="1"/>
  <c r="BN52" i="1"/>
  <c r="BR52" i="1"/>
  <c r="BW52" i="1"/>
  <c r="CA52" i="1"/>
  <c r="CE52" i="1"/>
  <c r="CI52" i="1"/>
  <c r="CN52" i="1"/>
  <c r="CR52" i="1"/>
  <c r="CV52" i="1"/>
  <c r="CZ52" i="1"/>
  <c r="DE52" i="1"/>
  <c r="DI52" i="1"/>
  <c r="DM52" i="1"/>
  <c r="DQ52" i="1"/>
  <c r="DV52" i="1"/>
  <c r="DZ52" i="1"/>
  <c r="ED52" i="1"/>
  <c r="EH52" i="1"/>
  <c r="EM52" i="1"/>
  <c r="EQ52" i="1"/>
  <c r="EU52" i="1"/>
  <c r="EY52" i="1"/>
  <c r="FE52" i="1"/>
  <c r="FI52" i="1"/>
  <c r="FM52" i="1"/>
  <c r="FQ52" i="1"/>
  <c r="FV52" i="1"/>
  <c r="FZ52" i="1"/>
  <c r="GD52" i="1"/>
  <c r="GH52" i="1"/>
  <c r="GM52" i="1"/>
  <c r="GQ52" i="1"/>
  <c r="GU52" i="1"/>
  <c r="GZ52" i="1" s="1"/>
  <c r="GY52" i="1"/>
  <c r="HD52" i="1"/>
  <c r="HH52" i="1"/>
  <c r="HL52" i="1"/>
  <c r="HP52" i="1"/>
  <c r="N53" i="1"/>
  <c r="O53" i="1" s="1"/>
  <c r="S53" i="1"/>
  <c r="V53" i="1"/>
  <c r="X53" i="1" s="1"/>
  <c r="AB53" i="1"/>
  <c r="AC53" i="1"/>
  <c r="AF53" i="1"/>
  <c r="AJ53" i="1"/>
  <c r="AO53" i="1"/>
  <c r="AS53" i="1"/>
  <c r="AW53" i="1"/>
  <c r="AX53" i="1"/>
  <c r="BA53" i="1" s="1"/>
  <c r="BF53" i="1"/>
  <c r="BJ53" i="1"/>
  <c r="BN53" i="1"/>
  <c r="BR53" i="1"/>
  <c r="BW53" i="1"/>
  <c r="CA53" i="1"/>
  <c r="CE53" i="1"/>
  <c r="CI53" i="1"/>
  <c r="CN53" i="1"/>
  <c r="CR53" i="1"/>
  <c r="CV53" i="1"/>
  <c r="CZ53" i="1"/>
  <c r="DE53" i="1"/>
  <c r="DI53" i="1"/>
  <c r="DM53" i="1"/>
  <c r="DQ53" i="1"/>
  <c r="DV53" i="1"/>
  <c r="DZ53" i="1"/>
  <c r="ED53" i="1"/>
  <c r="EH53" i="1"/>
  <c r="EM53" i="1"/>
  <c r="EQ53" i="1"/>
  <c r="EU53" i="1"/>
  <c r="EY53" i="1"/>
  <c r="FE53" i="1"/>
  <c r="FI53" i="1"/>
  <c r="FM53" i="1"/>
  <c r="FQ53" i="1"/>
  <c r="FV53" i="1"/>
  <c r="FZ53" i="1"/>
  <c r="GD53" i="1"/>
  <c r="GH53" i="1"/>
  <c r="GM53" i="1"/>
  <c r="GQ53" i="1"/>
  <c r="GU53" i="1"/>
  <c r="GY53" i="1"/>
  <c r="HD53" i="1"/>
  <c r="HH53" i="1"/>
  <c r="HL53" i="1"/>
  <c r="HP53" i="1"/>
  <c r="O54" i="1"/>
  <c r="S54" i="1"/>
  <c r="X54" i="1"/>
  <c r="AB54" i="1"/>
  <c r="AF54" i="1"/>
  <c r="AH54" i="1"/>
  <c r="AI54" i="1"/>
  <c r="AO54" i="1"/>
  <c r="AS54" i="1"/>
  <c r="AT54" i="1"/>
  <c r="AW54" i="1"/>
  <c r="BA54" i="1"/>
  <c r="BF54" i="1"/>
  <c r="BJ54" i="1"/>
  <c r="BL54" i="1"/>
  <c r="BN54" i="1"/>
  <c r="BS54" i="1" s="1"/>
  <c r="BR54" i="1"/>
  <c r="BW54" i="1"/>
  <c r="CA54" i="1"/>
  <c r="CE54" i="1"/>
  <c r="CI54" i="1"/>
  <c r="CN54" i="1"/>
  <c r="CR54" i="1"/>
  <c r="CV54" i="1"/>
  <c r="CZ54" i="1"/>
  <c r="DE54" i="1"/>
  <c r="DI54" i="1"/>
  <c r="DM54" i="1"/>
  <c r="DQ54" i="1"/>
  <c r="DV54" i="1"/>
  <c r="DZ54" i="1"/>
  <c r="ED54" i="1"/>
  <c r="EH54" i="1"/>
  <c r="EM54" i="1"/>
  <c r="EQ54" i="1"/>
  <c r="EU54" i="1"/>
  <c r="EY54" i="1"/>
  <c r="FE54" i="1"/>
  <c r="FI54" i="1"/>
  <c r="FM54" i="1"/>
  <c r="FQ54" i="1"/>
  <c r="FV54" i="1"/>
  <c r="FZ54" i="1"/>
  <c r="GD54" i="1"/>
  <c r="GH54" i="1"/>
  <c r="GM54" i="1"/>
  <c r="GQ54" i="1"/>
  <c r="GU54" i="1"/>
  <c r="GY54" i="1"/>
  <c r="HD54" i="1"/>
  <c r="HH54" i="1"/>
  <c r="HL54" i="1"/>
  <c r="HP54" i="1"/>
  <c r="M55" i="1"/>
  <c r="N55" i="1"/>
  <c r="O55" i="1" s="1"/>
  <c r="P55" i="1"/>
  <c r="Q55" i="1"/>
  <c r="R55" i="1"/>
  <c r="U55" i="1"/>
  <c r="V55" i="1"/>
  <c r="W55" i="1"/>
  <c r="Y55" i="1"/>
  <c r="Z55" i="1"/>
  <c r="AA55" i="1"/>
  <c r="AD55" i="1"/>
  <c r="AE55" i="1"/>
  <c r="AG55" i="1"/>
  <c r="AL55" i="1"/>
  <c r="AM55" i="1"/>
  <c r="AN55" i="1"/>
  <c r="AP55" i="1"/>
  <c r="AQ55" i="1"/>
  <c r="AR55" i="1"/>
  <c r="AT55" i="1"/>
  <c r="AU55" i="1"/>
  <c r="AV55" i="1"/>
  <c r="AX55" i="1"/>
  <c r="AY55" i="1"/>
  <c r="AZ55" i="1"/>
  <c r="BC55" i="1"/>
  <c r="BD55" i="1"/>
  <c r="BE55" i="1"/>
  <c r="BG55" i="1"/>
  <c r="BH55" i="1"/>
  <c r="BI55" i="1"/>
  <c r="BK55" i="1"/>
  <c r="BL55" i="1"/>
  <c r="BM55" i="1"/>
  <c r="BO55" i="1"/>
  <c r="BP55" i="1"/>
  <c r="BQ55" i="1"/>
  <c r="BT55" i="1"/>
  <c r="BU55" i="1"/>
  <c r="BV55" i="1"/>
  <c r="BX55" i="1"/>
  <c r="BY55" i="1"/>
  <c r="BZ55" i="1"/>
  <c r="CB55" i="1"/>
  <c r="CC55" i="1"/>
  <c r="CD55" i="1"/>
  <c r="CF55" i="1"/>
  <c r="CG55" i="1"/>
  <c r="CH55" i="1"/>
  <c r="CK55" i="1"/>
  <c r="CL55" i="1"/>
  <c r="CO55" i="1"/>
  <c r="CP55" i="1"/>
  <c r="CQ55" i="1"/>
  <c r="CS55" i="1"/>
  <c r="CT55" i="1"/>
  <c r="CU55" i="1"/>
  <c r="CW55" i="1"/>
  <c r="CX55" i="1"/>
  <c r="CY55" i="1"/>
  <c r="DB55" i="1"/>
  <c r="DC55" i="1"/>
  <c r="DD55" i="1"/>
  <c r="DF55" i="1"/>
  <c r="DJ55" i="1"/>
  <c r="DK55" i="1"/>
  <c r="DL55" i="1"/>
  <c r="DN55" i="1"/>
  <c r="DO55" i="1"/>
  <c r="DP55" i="1"/>
  <c r="DS55" i="1"/>
  <c r="DT55" i="1"/>
  <c r="DW55" i="1"/>
  <c r="DX55" i="1"/>
  <c r="DY55" i="1"/>
  <c r="EA55" i="1"/>
  <c r="EB55" i="1"/>
  <c r="EC55" i="1"/>
  <c r="EE55" i="1"/>
  <c r="EF55" i="1"/>
  <c r="EJ55" i="1"/>
  <c r="EK55" i="1"/>
  <c r="EL55" i="1"/>
  <c r="EO55" i="1"/>
  <c r="EP55" i="1"/>
  <c r="ER55" i="1"/>
  <c r="ES55" i="1"/>
  <c r="ET55" i="1"/>
  <c r="EV55" i="1"/>
  <c r="EW55" i="1"/>
  <c r="EX55" i="1"/>
  <c r="FC55" i="1"/>
  <c r="FD55" i="1"/>
  <c r="FF55" i="1"/>
  <c r="FG55" i="1"/>
  <c r="FH55" i="1"/>
  <c r="FJ55" i="1"/>
  <c r="FK55" i="1"/>
  <c r="FL55" i="1"/>
  <c r="FN55" i="1"/>
  <c r="FO55" i="1"/>
  <c r="FP55" i="1"/>
  <c r="FS55" i="1"/>
  <c r="FT55" i="1"/>
  <c r="FU55" i="1"/>
  <c r="FW55" i="1"/>
  <c r="FX55" i="1"/>
  <c r="FY55" i="1"/>
  <c r="GA55" i="1"/>
  <c r="GB55" i="1"/>
  <c r="GC55" i="1"/>
  <c r="GE55" i="1"/>
  <c r="GF55" i="1"/>
  <c r="GG55" i="1"/>
  <c r="GJ55" i="1"/>
  <c r="GK55" i="1"/>
  <c r="GL55" i="1"/>
  <c r="GN55" i="1"/>
  <c r="GO55" i="1"/>
  <c r="GP55" i="1"/>
  <c r="GR55" i="1"/>
  <c r="GS55" i="1"/>
  <c r="GT55" i="1"/>
  <c r="GV55" i="1"/>
  <c r="GW55" i="1"/>
  <c r="GX55" i="1"/>
  <c r="HA55" i="1"/>
  <c r="HB55" i="1"/>
  <c r="HC55" i="1"/>
  <c r="HE55" i="1"/>
  <c r="HF55" i="1"/>
  <c r="HG55" i="1"/>
  <c r="HI55" i="1"/>
  <c r="HJ55" i="1"/>
  <c r="HK55" i="1"/>
  <c r="HP55" i="1"/>
  <c r="O56" i="1"/>
  <c r="S56" i="1"/>
  <c r="X56" i="1"/>
  <c r="AB56" i="1"/>
  <c r="AF56" i="1"/>
  <c r="AH56" i="1"/>
  <c r="AJ56" i="1" s="1"/>
  <c r="AI56" i="1"/>
  <c r="AI55" i="1" s="1"/>
  <c r="AO56" i="1"/>
  <c r="AS56" i="1"/>
  <c r="AW56" i="1"/>
  <c r="BA56" i="1"/>
  <c r="BF56" i="1"/>
  <c r="BJ56" i="1"/>
  <c r="BN56" i="1"/>
  <c r="BR56" i="1"/>
  <c r="BW56" i="1"/>
  <c r="CA56" i="1"/>
  <c r="CE56" i="1"/>
  <c r="CI56" i="1"/>
  <c r="CN56" i="1"/>
  <c r="CR56" i="1"/>
  <c r="CV56" i="1"/>
  <c r="CZ56" i="1"/>
  <c r="DE56" i="1"/>
  <c r="DI56" i="1"/>
  <c r="DM56" i="1"/>
  <c r="DQ56" i="1"/>
  <c r="DV56" i="1"/>
  <c r="DZ56" i="1"/>
  <c r="ED56" i="1"/>
  <c r="EH56" i="1"/>
  <c r="EM56" i="1"/>
  <c r="EQ56" i="1"/>
  <c r="EU56" i="1"/>
  <c r="EY56" i="1"/>
  <c r="FE56" i="1"/>
  <c r="FI56" i="1"/>
  <c r="FM56" i="1"/>
  <c r="FQ56" i="1"/>
  <c r="FV56" i="1"/>
  <c r="FZ56" i="1"/>
  <c r="GD56" i="1"/>
  <c r="GH56" i="1"/>
  <c r="GM56" i="1"/>
  <c r="GQ56" i="1"/>
  <c r="GU56" i="1"/>
  <c r="GY56" i="1"/>
  <c r="HD56" i="1"/>
  <c r="HH56" i="1"/>
  <c r="HQ56" i="1" s="1"/>
  <c r="HL56" i="1"/>
  <c r="HP56" i="1"/>
  <c r="O57" i="1"/>
  <c r="S57" i="1"/>
  <c r="X57" i="1"/>
  <c r="AB57" i="1"/>
  <c r="AF57" i="1"/>
  <c r="AJ57" i="1"/>
  <c r="AO57" i="1"/>
  <c r="AS57" i="1"/>
  <c r="AW57" i="1"/>
  <c r="BA57" i="1"/>
  <c r="BJ57" i="1"/>
  <c r="BN57" i="1"/>
  <c r="BR57" i="1"/>
  <c r="BW57" i="1"/>
  <c r="CA57" i="1"/>
  <c r="CE57" i="1"/>
  <c r="CI57" i="1"/>
  <c r="CN57" i="1"/>
  <c r="CR57" i="1"/>
  <c r="CV57" i="1"/>
  <c r="CZ57" i="1"/>
  <c r="DE57" i="1"/>
  <c r="DI57" i="1"/>
  <c r="DM57" i="1"/>
  <c r="DQ57" i="1"/>
  <c r="DV57" i="1"/>
  <c r="DZ57" i="1"/>
  <c r="ED57" i="1"/>
  <c r="EH57" i="1"/>
  <c r="EM57" i="1"/>
  <c r="EQ57" i="1"/>
  <c r="EU57" i="1"/>
  <c r="EY57" i="1"/>
  <c r="FE57" i="1"/>
  <c r="FI57" i="1"/>
  <c r="FM57" i="1"/>
  <c r="FQ57" i="1"/>
  <c r="FV57" i="1"/>
  <c r="FZ57" i="1"/>
  <c r="GD57" i="1"/>
  <c r="GH57" i="1"/>
  <c r="GM57" i="1"/>
  <c r="GQ57" i="1"/>
  <c r="GU57" i="1"/>
  <c r="GY57" i="1"/>
  <c r="HD57" i="1"/>
  <c r="HH57" i="1"/>
  <c r="HL57" i="1"/>
  <c r="HP57" i="1"/>
  <c r="O58" i="1"/>
  <c r="S58" i="1"/>
  <c r="T58" i="1" s="1"/>
  <c r="X58" i="1"/>
  <c r="AB58" i="1"/>
  <c r="AF58" i="1"/>
  <c r="AJ58" i="1"/>
  <c r="AO58" i="1"/>
  <c r="AS58" i="1"/>
  <c r="AW58" i="1"/>
  <c r="BA58" i="1"/>
  <c r="BJ58" i="1"/>
  <c r="BN58" i="1"/>
  <c r="BR58" i="1"/>
  <c r="BW58" i="1"/>
  <c r="CA58" i="1"/>
  <c r="CE58" i="1"/>
  <c r="CI58" i="1"/>
  <c r="CN58" i="1"/>
  <c r="CR58" i="1"/>
  <c r="CV58" i="1"/>
  <c r="CZ58" i="1"/>
  <c r="DE58" i="1"/>
  <c r="DI58" i="1"/>
  <c r="DM58" i="1"/>
  <c r="DQ58" i="1"/>
  <c r="DV58" i="1"/>
  <c r="DZ58" i="1"/>
  <c r="ED58" i="1"/>
  <c r="EH58" i="1"/>
  <c r="EM58" i="1"/>
  <c r="EQ58" i="1"/>
  <c r="EU58" i="1"/>
  <c r="EY58" i="1"/>
  <c r="FE58" i="1"/>
  <c r="FI58" i="1"/>
  <c r="FM58" i="1"/>
  <c r="FQ58" i="1"/>
  <c r="FV58" i="1"/>
  <c r="FZ58" i="1"/>
  <c r="GD58" i="1"/>
  <c r="GH58" i="1"/>
  <c r="GM58" i="1"/>
  <c r="GQ58" i="1"/>
  <c r="GU58" i="1"/>
  <c r="GY58" i="1"/>
  <c r="HD58" i="1"/>
  <c r="HH58" i="1"/>
  <c r="HL58" i="1"/>
  <c r="HP58" i="1"/>
  <c r="O59" i="1"/>
  <c r="S59" i="1"/>
  <c r="X59" i="1"/>
  <c r="AB59" i="1"/>
  <c r="AF59" i="1"/>
  <c r="AJ59" i="1"/>
  <c r="AO59" i="1"/>
  <c r="AS59" i="1"/>
  <c r="AW59" i="1"/>
  <c r="BA59" i="1"/>
  <c r="BJ59" i="1"/>
  <c r="BN59" i="1"/>
  <c r="BR59" i="1"/>
  <c r="BW59" i="1"/>
  <c r="CA59" i="1"/>
  <c r="CE59" i="1"/>
  <c r="CI59" i="1"/>
  <c r="CN59" i="1"/>
  <c r="CR59" i="1"/>
  <c r="CV59" i="1"/>
  <c r="CZ59" i="1"/>
  <c r="DE59" i="1"/>
  <c r="DI59" i="1"/>
  <c r="DM59" i="1"/>
  <c r="DQ59" i="1"/>
  <c r="DV59" i="1"/>
  <c r="DZ59" i="1"/>
  <c r="ED59" i="1"/>
  <c r="EH59" i="1"/>
  <c r="EM59" i="1"/>
  <c r="EQ59" i="1"/>
  <c r="EU59" i="1"/>
  <c r="EY59" i="1"/>
  <c r="FE59" i="1"/>
  <c r="FI59" i="1"/>
  <c r="FM59" i="1"/>
  <c r="FQ59" i="1"/>
  <c r="FV59" i="1"/>
  <c r="FZ59" i="1"/>
  <c r="GD59" i="1"/>
  <c r="GH59" i="1"/>
  <c r="GM59" i="1"/>
  <c r="GQ59" i="1"/>
  <c r="GU59" i="1"/>
  <c r="GY59" i="1"/>
  <c r="HD59" i="1"/>
  <c r="HH59" i="1"/>
  <c r="HL59" i="1"/>
  <c r="HP59" i="1"/>
  <c r="O60" i="1"/>
  <c r="S60" i="1"/>
  <c r="X60" i="1"/>
  <c r="AB60" i="1"/>
  <c r="AF60" i="1"/>
  <c r="AJ60" i="1"/>
  <c r="AO60" i="1"/>
  <c r="AS60" i="1"/>
  <c r="AW60" i="1"/>
  <c r="BA60" i="1"/>
  <c r="BJ60" i="1"/>
  <c r="BN60" i="1"/>
  <c r="BR60" i="1"/>
  <c r="BW60" i="1"/>
  <c r="CA60" i="1"/>
  <c r="CE60" i="1"/>
  <c r="CI60" i="1"/>
  <c r="CN60" i="1"/>
  <c r="CR60" i="1"/>
  <c r="CV60" i="1"/>
  <c r="CZ60" i="1"/>
  <c r="DE60" i="1"/>
  <c r="DI60" i="1"/>
  <c r="DM60" i="1"/>
  <c r="DQ60" i="1"/>
  <c r="DV60" i="1"/>
  <c r="DZ60" i="1"/>
  <c r="ED60" i="1"/>
  <c r="EH60" i="1"/>
  <c r="EM60" i="1"/>
  <c r="EQ60" i="1"/>
  <c r="EU60" i="1"/>
  <c r="EY60" i="1"/>
  <c r="FE60" i="1"/>
  <c r="FI60" i="1"/>
  <c r="FM60" i="1"/>
  <c r="FQ60" i="1"/>
  <c r="FV60" i="1"/>
  <c r="FZ60" i="1"/>
  <c r="GD60" i="1"/>
  <c r="GH60" i="1"/>
  <c r="GM60" i="1"/>
  <c r="GQ60" i="1"/>
  <c r="GU60" i="1"/>
  <c r="GY60" i="1"/>
  <c r="HD60" i="1"/>
  <c r="HH60" i="1"/>
  <c r="HL60" i="1"/>
  <c r="HP60" i="1"/>
  <c r="O61" i="1"/>
  <c r="S61" i="1"/>
  <c r="X61" i="1"/>
  <c r="AB61" i="1"/>
  <c r="AC61" i="1"/>
  <c r="AF61" i="1" s="1"/>
  <c r="AH61" i="1"/>
  <c r="AJ61" i="1" s="1"/>
  <c r="AO61" i="1"/>
  <c r="AS61" i="1"/>
  <c r="AW61" i="1"/>
  <c r="BA61" i="1"/>
  <c r="BF61" i="1"/>
  <c r="BJ61" i="1"/>
  <c r="BN61" i="1"/>
  <c r="BR61" i="1"/>
  <c r="BW61" i="1"/>
  <c r="CA61" i="1"/>
  <c r="CE61" i="1"/>
  <c r="CI61" i="1"/>
  <c r="CM61" i="1"/>
  <c r="CN61" i="1" s="1"/>
  <c r="CR61" i="1"/>
  <c r="CV61" i="1"/>
  <c r="CZ61" i="1"/>
  <c r="DE61" i="1"/>
  <c r="DG61" i="1"/>
  <c r="DG55" i="1" s="1"/>
  <c r="DH61" i="1"/>
  <c r="DH55" i="1" s="1"/>
  <c r="DM61" i="1"/>
  <c r="DQ61" i="1"/>
  <c r="DU61" i="1"/>
  <c r="DU55" i="1" s="1"/>
  <c r="DZ61" i="1"/>
  <c r="ED61" i="1"/>
  <c r="EG61" i="1"/>
  <c r="EG55" i="1" s="1"/>
  <c r="EM61" i="1"/>
  <c r="EN61" i="1"/>
  <c r="EN55" i="1" s="1"/>
  <c r="EU61" i="1"/>
  <c r="EY61" i="1"/>
  <c r="FB61" i="1"/>
  <c r="FE61" i="1" s="1"/>
  <c r="FI61" i="1"/>
  <c r="FM61" i="1"/>
  <c r="FQ61" i="1"/>
  <c r="FV61" i="1"/>
  <c r="FZ61" i="1"/>
  <c r="GD61" i="1"/>
  <c r="GH61" i="1"/>
  <c r="GM61" i="1"/>
  <c r="GQ61" i="1"/>
  <c r="GU61" i="1"/>
  <c r="GY61" i="1"/>
  <c r="HD61" i="1"/>
  <c r="HH61" i="1"/>
  <c r="HL61" i="1"/>
  <c r="HP61" i="1"/>
  <c r="M63" i="1"/>
  <c r="N63" i="1"/>
  <c r="O63" i="1" s="1"/>
  <c r="P63" i="1"/>
  <c r="Q63" i="1"/>
  <c r="R63" i="1"/>
  <c r="U63" i="1"/>
  <c r="V63" i="1"/>
  <c r="W63" i="1"/>
  <c r="Y63" i="1"/>
  <c r="AD63" i="1"/>
  <c r="AE63" i="1"/>
  <c r="AH63" i="1"/>
  <c r="AI63" i="1"/>
  <c r="AL63" i="1"/>
  <c r="AM63" i="1"/>
  <c r="AN63" i="1"/>
  <c r="AP63" i="1"/>
  <c r="AQ63" i="1"/>
  <c r="AR63" i="1"/>
  <c r="AT63" i="1"/>
  <c r="AU63" i="1"/>
  <c r="AV63" i="1"/>
  <c r="AX63" i="1"/>
  <c r="AY63" i="1"/>
  <c r="BD63" i="1"/>
  <c r="BE63" i="1"/>
  <c r="BH63" i="1"/>
  <c r="BI63" i="1"/>
  <c r="BL63" i="1"/>
  <c r="BM63" i="1"/>
  <c r="BQ63" i="1"/>
  <c r="BT63" i="1"/>
  <c r="BU63" i="1"/>
  <c r="BX63" i="1"/>
  <c r="BY63" i="1"/>
  <c r="BZ63" i="1"/>
  <c r="CB63" i="1"/>
  <c r="CC63" i="1"/>
  <c r="CD63" i="1"/>
  <c r="CF63" i="1"/>
  <c r="CG63" i="1"/>
  <c r="CH63" i="1"/>
  <c r="CK63" i="1"/>
  <c r="CL63" i="1"/>
  <c r="CM63" i="1"/>
  <c r="CO63" i="1"/>
  <c r="CP63" i="1"/>
  <c r="CQ63" i="1"/>
  <c r="CS63" i="1"/>
  <c r="CT63" i="1"/>
  <c r="CU63" i="1"/>
  <c r="CW63" i="1"/>
  <c r="CX63" i="1"/>
  <c r="CY63" i="1"/>
  <c r="DB63" i="1"/>
  <c r="DC63" i="1"/>
  <c r="DD63" i="1"/>
  <c r="DF63" i="1"/>
  <c r="DG63" i="1"/>
  <c r="DH63" i="1"/>
  <c r="DJ63" i="1"/>
  <c r="DK63" i="1"/>
  <c r="DL63" i="1"/>
  <c r="DN63" i="1"/>
  <c r="DO63" i="1"/>
  <c r="DP63" i="1"/>
  <c r="DS63" i="1"/>
  <c r="DT63" i="1"/>
  <c r="DU63" i="1"/>
  <c r="DW63" i="1"/>
  <c r="DX63" i="1"/>
  <c r="DY63" i="1"/>
  <c r="EA63" i="1"/>
  <c r="EB63" i="1"/>
  <c r="EC63" i="1"/>
  <c r="EE63" i="1"/>
  <c r="EF63" i="1"/>
  <c r="EG63" i="1"/>
  <c r="EJ63" i="1"/>
  <c r="EK63" i="1"/>
  <c r="EL63" i="1"/>
  <c r="EN63" i="1"/>
  <c r="EO63" i="1"/>
  <c r="EP63" i="1"/>
  <c r="ER63" i="1"/>
  <c r="ES63" i="1"/>
  <c r="ET63" i="1"/>
  <c r="EV63" i="1"/>
  <c r="EW63" i="1"/>
  <c r="EX63" i="1"/>
  <c r="FA63" i="1"/>
  <c r="FB63" i="1"/>
  <c r="FC63" i="1"/>
  <c r="FD63" i="1"/>
  <c r="FF63" i="1"/>
  <c r="FG63" i="1"/>
  <c r="FH63" i="1"/>
  <c r="FJ63" i="1"/>
  <c r="FK63" i="1"/>
  <c r="FL63" i="1"/>
  <c r="FN63" i="1"/>
  <c r="FO63" i="1"/>
  <c r="FP63" i="1"/>
  <c r="FS63" i="1"/>
  <c r="FT63" i="1"/>
  <c r="FU63" i="1"/>
  <c r="FV63" i="1" s="1"/>
  <c r="FW63" i="1"/>
  <c r="FX63" i="1"/>
  <c r="FY63" i="1"/>
  <c r="GA63" i="1"/>
  <c r="GB63" i="1"/>
  <c r="GC63" i="1"/>
  <c r="GE63" i="1"/>
  <c r="GF63" i="1"/>
  <c r="GG63" i="1"/>
  <c r="GJ63" i="1"/>
  <c r="GK63" i="1"/>
  <c r="GL63" i="1"/>
  <c r="GN63" i="1"/>
  <c r="GO63" i="1"/>
  <c r="GP63" i="1"/>
  <c r="GR63" i="1"/>
  <c r="GS63" i="1"/>
  <c r="GT63" i="1"/>
  <c r="GV63" i="1"/>
  <c r="GW63" i="1"/>
  <c r="GX63" i="1"/>
  <c r="HA63" i="1"/>
  <c r="HB63" i="1"/>
  <c r="HC63" i="1"/>
  <c r="HD63" i="1" s="1"/>
  <c r="HE63" i="1"/>
  <c r="HF63" i="1"/>
  <c r="HG63" i="1"/>
  <c r="HI63" i="1"/>
  <c r="HJ63" i="1"/>
  <c r="HK63" i="1"/>
  <c r="O64" i="1"/>
  <c r="S64" i="1"/>
  <c r="T64" i="1" s="1"/>
  <c r="X64" i="1"/>
  <c r="Z64" i="1"/>
  <c r="Z63" i="1" s="1"/>
  <c r="AA64" i="1"/>
  <c r="AA63" i="1" s="1"/>
  <c r="AC64" i="1"/>
  <c r="AC63" i="1" s="1"/>
  <c r="AG64" i="1"/>
  <c r="AG63" i="1" s="1"/>
  <c r="AO64" i="1"/>
  <c r="AS64" i="1"/>
  <c r="AW64" i="1"/>
  <c r="AZ64" i="1"/>
  <c r="AZ63" i="1" s="1"/>
  <c r="BC64" i="1"/>
  <c r="BC63" i="1" s="1"/>
  <c r="BG64" i="1"/>
  <c r="BG63" i="1" s="1"/>
  <c r="BK64" i="1"/>
  <c r="BK63" i="1" s="1"/>
  <c r="BO64" i="1"/>
  <c r="BO63" i="1" s="1"/>
  <c r="BP64" i="1"/>
  <c r="BP63" i="1" s="1"/>
  <c r="BV64" i="1"/>
  <c r="BW64" i="1" s="1"/>
  <c r="CA64" i="1"/>
  <c r="CE64" i="1"/>
  <c r="CI64" i="1"/>
  <c r="CN64" i="1"/>
  <c r="CR64" i="1"/>
  <c r="CV64" i="1"/>
  <c r="CZ64" i="1"/>
  <c r="DE64" i="1"/>
  <c r="DI64" i="1"/>
  <c r="DM64" i="1"/>
  <c r="DQ64" i="1"/>
  <c r="DV64" i="1"/>
  <c r="DZ64" i="1"/>
  <c r="ED64" i="1"/>
  <c r="EH64" i="1"/>
  <c r="EM64" i="1"/>
  <c r="EQ64" i="1"/>
  <c r="EU64" i="1"/>
  <c r="EY64" i="1"/>
  <c r="FE64" i="1"/>
  <c r="FI64" i="1"/>
  <c r="FR64" i="1" s="1"/>
  <c r="FM64" i="1"/>
  <c r="FQ64" i="1"/>
  <c r="FV64" i="1"/>
  <c r="FZ64" i="1"/>
  <c r="GD64" i="1"/>
  <c r="GH64" i="1"/>
  <c r="GM64" i="1"/>
  <c r="GQ64" i="1"/>
  <c r="GU64" i="1"/>
  <c r="GY64" i="1"/>
  <c r="HD64" i="1"/>
  <c r="HH64" i="1"/>
  <c r="HL64" i="1"/>
  <c r="HP64" i="1"/>
  <c r="CZ65" i="1"/>
  <c r="DA65" i="1" s="1"/>
  <c r="DE65" i="1"/>
  <c r="DI65" i="1"/>
  <c r="DM65" i="1"/>
  <c r="DQ65" i="1"/>
  <c r="DV65" i="1"/>
  <c r="DZ65" i="1"/>
  <c r="ED65" i="1"/>
  <c r="EH65" i="1"/>
  <c r="EM65" i="1"/>
  <c r="EQ65" i="1"/>
  <c r="EU65" i="1"/>
  <c r="EY65" i="1"/>
  <c r="FE65" i="1"/>
  <c r="FI65" i="1"/>
  <c r="FM65" i="1"/>
  <c r="FQ65" i="1"/>
  <c r="FV65" i="1"/>
  <c r="FZ65" i="1"/>
  <c r="GD65" i="1"/>
  <c r="GH65" i="1"/>
  <c r="GM65" i="1"/>
  <c r="GQ65" i="1"/>
  <c r="GU65" i="1"/>
  <c r="GY65" i="1"/>
  <c r="HD65" i="1"/>
  <c r="HH65" i="1"/>
  <c r="HL65" i="1"/>
  <c r="HP65" i="1"/>
  <c r="BV66" i="1"/>
  <c r="BW66" i="1" s="1"/>
  <c r="CA66" i="1"/>
  <c r="CE66" i="1"/>
  <c r="CI66" i="1"/>
  <c r="CN66" i="1"/>
  <c r="CR66" i="1"/>
  <c r="CV66" i="1"/>
  <c r="CZ66" i="1"/>
  <c r="DE66" i="1"/>
  <c r="DI66" i="1"/>
  <c r="DM66" i="1"/>
  <c r="DQ66" i="1"/>
  <c r="DV66" i="1"/>
  <c r="DZ66" i="1"/>
  <c r="ED66" i="1"/>
  <c r="EH66" i="1"/>
  <c r="EM66" i="1"/>
  <c r="EQ66" i="1"/>
  <c r="EU66" i="1"/>
  <c r="EY66" i="1"/>
  <c r="FE66" i="1"/>
  <c r="FI66" i="1"/>
  <c r="FM66" i="1"/>
  <c r="FQ66" i="1"/>
  <c r="FV66" i="1"/>
  <c r="FZ66" i="1"/>
  <c r="GD66" i="1"/>
  <c r="GH66" i="1"/>
  <c r="GM66" i="1"/>
  <c r="GQ66" i="1"/>
  <c r="GU66" i="1"/>
  <c r="GY66" i="1"/>
  <c r="HD66" i="1"/>
  <c r="HH66" i="1"/>
  <c r="HL66" i="1"/>
  <c r="HP66" i="1"/>
  <c r="N67" i="1"/>
  <c r="P67" i="1"/>
  <c r="Q67" i="1"/>
  <c r="R67" i="1"/>
  <c r="U67" i="1"/>
  <c r="V67" i="1"/>
  <c r="AD67" i="1"/>
  <c r="AE67" i="1"/>
  <c r="AH67" i="1"/>
  <c r="AI67" i="1"/>
  <c r="AL67" i="1"/>
  <c r="AM67" i="1"/>
  <c r="AN67" i="1"/>
  <c r="AP67" i="1"/>
  <c r="AQ67" i="1"/>
  <c r="AR67" i="1"/>
  <c r="AT67" i="1"/>
  <c r="AU67" i="1"/>
  <c r="AV67" i="1"/>
  <c r="AX67" i="1"/>
  <c r="AY67" i="1"/>
  <c r="BC67" i="1"/>
  <c r="BD67" i="1"/>
  <c r="BE67" i="1"/>
  <c r="BG67" i="1"/>
  <c r="BH67" i="1"/>
  <c r="BK67" i="1"/>
  <c r="BL67" i="1"/>
  <c r="BM67" i="1"/>
  <c r="BO67" i="1"/>
  <c r="BU67" i="1"/>
  <c r="BV67" i="1"/>
  <c r="BX67" i="1"/>
  <c r="BY67" i="1"/>
  <c r="BZ67" i="1"/>
  <c r="CB67" i="1"/>
  <c r="CC67" i="1"/>
  <c r="CD67" i="1"/>
  <c r="CF67" i="1"/>
  <c r="CG67" i="1"/>
  <c r="CH67" i="1"/>
  <c r="CK67" i="1"/>
  <c r="CL67" i="1"/>
  <c r="CM67" i="1"/>
  <c r="CO67" i="1"/>
  <c r="CP67" i="1"/>
  <c r="CQ67" i="1"/>
  <c r="CS67" i="1"/>
  <c r="CT67" i="1"/>
  <c r="CU67" i="1"/>
  <c r="CW67" i="1"/>
  <c r="CX67" i="1"/>
  <c r="CY67" i="1"/>
  <c r="DB67" i="1"/>
  <c r="DC67" i="1"/>
  <c r="DD67" i="1"/>
  <c r="DF67" i="1"/>
  <c r="DG67" i="1"/>
  <c r="DH67" i="1"/>
  <c r="DJ67" i="1"/>
  <c r="DK67" i="1"/>
  <c r="DL67" i="1"/>
  <c r="DN67" i="1"/>
  <c r="DO67" i="1"/>
  <c r="DP67" i="1"/>
  <c r="DS67" i="1"/>
  <c r="DT67" i="1"/>
  <c r="DU67" i="1"/>
  <c r="DW67" i="1"/>
  <c r="DX67" i="1"/>
  <c r="DY67" i="1"/>
  <c r="EA67" i="1"/>
  <c r="EB67" i="1"/>
  <c r="EC67" i="1"/>
  <c r="EE67" i="1"/>
  <c r="EF67" i="1"/>
  <c r="EG67" i="1"/>
  <c r="EJ67" i="1"/>
  <c r="EK67" i="1"/>
  <c r="EL67" i="1"/>
  <c r="EN67" i="1"/>
  <c r="EO67" i="1"/>
  <c r="EP67" i="1"/>
  <c r="ER67" i="1"/>
  <c r="ES67" i="1"/>
  <c r="ET67" i="1"/>
  <c r="EV67" i="1"/>
  <c r="EW67" i="1"/>
  <c r="EX67" i="1"/>
  <c r="FA67" i="1"/>
  <c r="FB67" i="1"/>
  <c r="FC67" i="1"/>
  <c r="FD67" i="1"/>
  <c r="FF67" i="1"/>
  <c r="FG67" i="1"/>
  <c r="FH67" i="1"/>
  <c r="FJ67" i="1"/>
  <c r="FK67" i="1"/>
  <c r="FL67" i="1"/>
  <c r="FN67" i="1"/>
  <c r="FO67" i="1"/>
  <c r="FP67" i="1"/>
  <c r="FS67" i="1"/>
  <c r="FT67" i="1"/>
  <c r="FU67" i="1"/>
  <c r="FW67" i="1"/>
  <c r="FX67" i="1"/>
  <c r="FY67" i="1"/>
  <c r="GA67" i="1"/>
  <c r="GB67" i="1"/>
  <c r="GC67" i="1"/>
  <c r="GE67" i="1"/>
  <c r="GF67" i="1"/>
  <c r="GG67" i="1"/>
  <c r="GJ67" i="1"/>
  <c r="GK67" i="1"/>
  <c r="GL67" i="1"/>
  <c r="GN67" i="1"/>
  <c r="GO67" i="1"/>
  <c r="GP67" i="1"/>
  <c r="GR67" i="1"/>
  <c r="GS67" i="1"/>
  <c r="GT67" i="1"/>
  <c r="GV67" i="1"/>
  <c r="GW67" i="1"/>
  <c r="GX67" i="1"/>
  <c r="HA67" i="1"/>
  <c r="HB67" i="1"/>
  <c r="HC67" i="1"/>
  <c r="HE67" i="1"/>
  <c r="HF67" i="1"/>
  <c r="HG67" i="1"/>
  <c r="HI67" i="1"/>
  <c r="HJ67" i="1"/>
  <c r="HK67" i="1"/>
  <c r="HP67" i="1"/>
  <c r="M68" i="1"/>
  <c r="M67" i="1" s="1"/>
  <c r="S68" i="1"/>
  <c r="W68" i="1"/>
  <c r="W67" i="1" s="1"/>
  <c r="Y68" i="1"/>
  <c r="Y67" i="1" s="1"/>
  <c r="Z68" i="1"/>
  <c r="Z67" i="1" s="1"/>
  <c r="AA68" i="1"/>
  <c r="AA67" i="1" s="1"/>
  <c r="AC68" i="1"/>
  <c r="AC67" i="1" s="1"/>
  <c r="AG68" i="1"/>
  <c r="AG67" i="1" s="1"/>
  <c r="AO68" i="1"/>
  <c r="AS68" i="1"/>
  <c r="AW68" i="1"/>
  <c r="AZ68" i="1"/>
  <c r="BA68" i="1" s="1"/>
  <c r="BF68" i="1"/>
  <c r="BI68" i="1"/>
  <c r="BI67" i="1" s="1"/>
  <c r="BJ67" i="1" s="1"/>
  <c r="BN68" i="1"/>
  <c r="BP68" i="1"/>
  <c r="BP67" i="1" s="1"/>
  <c r="BQ68" i="1"/>
  <c r="BQ67" i="1" s="1"/>
  <c r="BT68" i="1"/>
  <c r="BT67" i="1" s="1"/>
  <c r="CA68" i="1"/>
  <c r="CE68" i="1"/>
  <c r="CI68" i="1"/>
  <c r="CN68" i="1"/>
  <c r="CR68" i="1"/>
  <c r="CV68" i="1"/>
  <c r="CZ68" i="1"/>
  <c r="DE68" i="1"/>
  <c r="DI68" i="1"/>
  <c r="DR68" i="1" s="1"/>
  <c r="DM68" i="1"/>
  <c r="DQ68" i="1"/>
  <c r="DV68" i="1"/>
  <c r="DZ68" i="1"/>
  <c r="ED68" i="1"/>
  <c r="EH68" i="1"/>
  <c r="EM68" i="1"/>
  <c r="EQ68" i="1"/>
  <c r="EU68" i="1"/>
  <c r="EY68" i="1"/>
  <c r="FE68" i="1"/>
  <c r="FI68" i="1"/>
  <c r="FM68" i="1"/>
  <c r="FQ68" i="1"/>
  <c r="FV68" i="1"/>
  <c r="FZ68" i="1"/>
  <c r="GD68" i="1"/>
  <c r="GH68" i="1"/>
  <c r="GM68" i="1"/>
  <c r="GQ68" i="1"/>
  <c r="GU68" i="1"/>
  <c r="GY68" i="1"/>
  <c r="HD68" i="1"/>
  <c r="HH68" i="1"/>
  <c r="HL68" i="1"/>
  <c r="HP68" i="1"/>
  <c r="O69" i="1"/>
  <c r="S69" i="1"/>
  <c r="X69" i="1"/>
  <c r="AB69" i="1"/>
  <c r="AF69" i="1"/>
  <c r="AJ69" i="1"/>
  <c r="AO69" i="1"/>
  <c r="AS69" i="1"/>
  <c r="AW69" i="1"/>
  <c r="BA69" i="1"/>
  <c r="BJ69" i="1"/>
  <c r="BN69" i="1"/>
  <c r="BR69" i="1"/>
  <c r="BW69" i="1"/>
  <c r="CA69" i="1"/>
  <c r="CE69" i="1"/>
  <c r="CI69" i="1"/>
  <c r="CN69" i="1"/>
  <c r="CR69" i="1"/>
  <c r="CV69" i="1"/>
  <c r="CZ69" i="1"/>
  <c r="DE69" i="1"/>
  <c r="DI69" i="1"/>
  <c r="DM69" i="1"/>
  <c r="DQ69" i="1"/>
  <c r="DV69" i="1"/>
  <c r="DZ69" i="1"/>
  <c r="ED69" i="1"/>
  <c r="EH69" i="1"/>
  <c r="EM69" i="1"/>
  <c r="EQ69" i="1"/>
  <c r="EU69" i="1"/>
  <c r="EY69" i="1"/>
  <c r="FE69" i="1"/>
  <c r="FI69" i="1"/>
  <c r="FM69" i="1"/>
  <c r="FQ69" i="1"/>
  <c r="FV69" i="1"/>
  <c r="FZ69" i="1"/>
  <c r="GD69" i="1"/>
  <c r="GH69" i="1"/>
  <c r="GM69" i="1"/>
  <c r="GQ69" i="1"/>
  <c r="GU69" i="1"/>
  <c r="GY69" i="1"/>
  <c r="HD69" i="1"/>
  <c r="HH69" i="1"/>
  <c r="HL69" i="1"/>
  <c r="HP69" i="1"/>
  <c r="BW70" i="1"/>
  <c r="CA70" i="1"/>
  <c r="CE70" i="1"/>
  <c r="CI70" i="1"/>
  <c r="CR70" i="1"/>
  <c r="CZ70" i="1"/>
  <c r="DQ70" i="1"/>
  <c r="DR70" i="1" s="1"/>
  <c r="DV70" i="1"/>
  <c r="DZ70" i="1"/>
  <c r="ED70" i="1"/>
  <c r="EH70" i="1"/>
  <c r="EM70" i="1"/>
  <c r="EQ70" i="1"/>
  <c r="EU70" i="1"/>
  <c r="EY70" i="1"/>
  <c r="FE70" i="1"/>
  <c r="FI70" i="1"/>
  <c r="FM70" i="1"/>
  <c r="FQ70" i="1"/>
  <c r="FV70" i="1"/>
  <c r="FZ70" i="1"/>
  <c r="GD70" i="1"/>
  <c r="GH70" i="1"/>
  <c r="GM70" i="1"/>
  <c r="GQ70" i="1"/>
  <c r="GU70" i="1"/>
  <c r="GY70" i="1"/>
  <c r="HD70" i="1"/>
  <c r="HH70" i="1"/>
  <c r="HL70" i="1"/>
  <c r="HP70" i="1"/>
  <c r="O72" i="1"/>
  <c r="R72" i="1"/>
  <c r="U72" i="1"/>
  <c r="W72" i="1"/>
  <c r="X72" i="1" s="1"/>
  <c r="Z72" i="1"/>
  <c r="AA72" i="1"/>
  <c r="AC72" i="1"/>
  <c r="AD72" i="1"/>
  <c r="AE72" i="1"/>
  <c r="AG72" i="1"/>
  <c r="AH72" i="1"/>
  <c r="AI72" i="1"/>
  <c r="AL72" i="1"/>
  <c r="AM72" i="1"/>
  <c r="AN72" i="1"/>
  <c r="AP72" i="1"/>
  <c r="AQ72" i="1"/>
  <c r="AR72" i="1"/>
  <c r="AT72" i="1"/>
  <c r="AU72" i="1"/>
  <c r="AV72" i="1"/>
  <c r="AX72" i="1"/>
  <c r="AY72" i="1"/>
  <c r="AZ72" i="1"/>
  <c r="BD72" i="1"/>
  <c r="BE72" i="1"/>
  <c r="BG72" i="1"/>
  <c r="BH72" i="1"/>
  <c r="BI72" i="1"/>
  <c r="BK72" i="1"/>
  <c r="BL72" i="1"/>
  <c r="BM72" i="1"/>
  <c r="BO72" i="1"/>
  <c r="BP72" i="1"/>
  <c r="BQ72" i="1"/>
  <c r="BT72" i="1"/>
  <c r="BU72" i="1"/>
  <c r="BV72" i="1"/>
  <c r="BX72" i="1"/>
  <c r="BY72" i="1"/>
  <c r="BZ72" i="1"/>
  <c r="CB72" i="1"/>
  <c r="CB71" i="1" s="1"/>
  <c r="CC72" i="1"/>
  <c r="CD72" i="1"/>
  <c r="CF72" i="1"/>
  <c r="CN72" i="1"/>
  <c r="CR72" i="1"/>
  <c r="CV72" i="1"/>
  <c r="CZ72" i="1"/>
  <c r="DE72" i="1"/>
  <c r="DI72" i="1"/>
  <c r="DM72" i="1"/>
  <c r="DQ72" i="1"/>
  <c r="DV72" i="1"/>
  <c r="DZ72" i="1"/>
  <c r="ED72" i="1"/>
  <c r="EH72" i="1"/>
  <c r="EM72" i="1"/>
  <c r="EQ72" i="1"/>
  <c r="EU72" i="1"/>
  <c r="EY72" i="1"/>
  <c r="FE72" i="1"/>
  <c r="FI72" i="1"/>
  <c r="FM72" i="1"/>
  <c r="FQ72" i="1"/>
  <c r="FV72" i="1"/>
  <c r="FZ72" i="1"/>
  <c r="GD72" i="1"/>
  <c r="GH72" i="1"/>
  <c r="GM72" i="1"/>
  <c r="GQ72" i="1"/>
  <c r="GU72" i="1"/>
  <c r="GY72" i="1"/>
  <c r="HD72" i="1"/>
  <c r="HH72" i="1"/>
  <c r="HL72" i="1"/>
  <c r="HP72" i="1"/>
  <c r="M73" i="1"/>
  <c r="M71" i="1" s="1"/>
  <c r="N73" i="1"/>
  <c r="N71" i="1" s="1"/>
  <c r="P73" i="1"/>
  <c r="P71" i="1" s="1"/>
  <c r="Q73" i="1"/>
  <c r="Q71" i="1" s="1"/>
  <c r="R73" i="1"/>
  <c r="U73" i="1"/>
  <c r="V73" i="1"/>
  <c r="V71" i="1" s="1"/>
  <c r="W73" i="1"/>
  <c r="Y73" i="1"/>
  <c r="Y71" i="1" s="1"/>
  <c r="Z73" i="1"/>
  <c r="AA73" i="1"/>
  <c r="AC73" i="1"/>
  <c r="AD73" i="1"/>
  <c r="AE73" i="1"/>
  <c r="AG73" i="1"/>
  <c r="AH73" i="1"/>
  <c r="AI73" i="1"/>
  <c r="AM73" i="1"/>
  <c r="AP73" i="1"/>
  <c r="AQ73" i="1"/>
  <c r="AR73" i="1"/>
  <c r="AT73" i="1"/>
  <c r="AU73" i="1"/>
  <c r="AV73" i="1"/>
  <c r="AY73" i="1"/>
  <c r="AZ73" i="1"/>
  <c r="BC73" i="1"/>
  <c r="BC71" i="1" s="1"/>
  <c r="BD73" i="1"/>
  <c r="BE73" i="1"/>
  <c r="BG73" i="1"/>
  <c r="BH73" i="1"/>
  <c r="BI73" i="1"/>
  <c r="BK73" i="1"/>
  <c r="BL73" i="1"/>
  <c r="BM73" i="1"/>
  <c r="BO73" i="1"/>
  <c r="BP73" i="1"/>
  <c r="BQ73" i="1"/>
  <c r="BT73" i="1"/>
  <c r="BU73" i="1"/>
  <c r="BV73" i="1"/>
  <c r="BX73" i="1"/>
  <c r="BY73" i="1"/>
  <c r="BZ73" i="1"/>
  <c r="CC73" i="1"/>
  <c r="CD73" i="1"/>
  <c r="CF73" i="1"/>
  <c r="CG73" i="1"/>
  <c r="CG71" i="1" s="1"/>
  <c r="CH73" i="1"/>
  <c r="CH71" i="1" s="1"/>
  <c r="CK73" i="1"/>
  <c r="CL73" i="1"/>
  <c r="CL71" i="1" s="1"/>
  <c r="CM73" i="1"/>
  <c r="CM71" i="1" s="1"/>
  <c r="CO73" i="1"/>
  <c r="CP73" i="1"/>
  <c r="CP71" i="1" s="1"/>
  <c r="CU73" i="1"/>
  <c r="CU71" i="1" s="1"/>
  <c r="CW73" i="1"/>
  <c r="CY73" i="1"/>
  <c r="CY71" i="1" s="1"/>
  <c r="DB73" i="1"/>
  <c r="DC73" i="1"/>
  <c r="DC71" i="1" s="1"/>
  <c r="DD73" i="1"/>
  <c r="DD71" i="1" s="1"/>
  <c r="DF73" i="1"/>
  <c r="DG73" i="1"/>
  <c r="DG71" i="1" s="1"/>
  <c r="DH73" i="1"/>
  <c r="DH71" i="1" s="1"/>
  <c r="DJ73" i="1"/>
  <c r="DK73" i="1"/>
  <c r="DK71" i="1" s="1"/>
  <c r="DL73" i="1"/>
  <c r="DL71" i="1" s="1"/>
  <c r="DS73" i="1"/>
  <c r="DT73" i="1"/>
  <c r="DT71" i="1" s="1"/>
  <c r="DU73" i="1"/>
  <c r="DU71" i="1" s="1"/>
  <c r="DW73" i="1"/>
  <c r="DX73" i="1"/>
  <c r="DX71" i="1" s="1"/>
  <c r="DY73" i="1"/>
  <c r="DY71" i="1" s="1"/>
  <c r="EA73" i="1"/>
  <c r="EB73" i="1"/>
  <c r="EB71" i="1" s="1"/>
  <c r="EC73" i="1"/>
  <c r="EC71" i="1" s="1"/>
  <c r="EE73" i="1"/>
  <c r="EF73" i="1"/>
  <c r="EF71" i="1" s="1"/>
  <c r="EG73" i="1"/>
  <c r="EG71" i="1" s="1"/>
  <c r="EJ73" i="1"/>
  <c r="EK73" i="1"/>
  <c r="EK71" i="1" s="1"/>
  <c r="EL73" i="1"/>
  <c r="EL71" i="1" s="1"/>
  <c r="EN73" i="1"/>
  <c r="EO73" i="1"/>
  <c r="EO71" i="1" s="1"/>
  <c r="EP73" i="1"/>
  <c r="EP71" i="1" s="1"/>
  <c r="ER73" i="1"/>
  <c r="ES73" i="1"/>
  <c r="ES71" i="1" s="1"/>
  <c r="ET73" i="1"/>
  <c r="ET71" i="1" s="1"/>
  <c r="EV73" i="1"/>
  <c r="EW73" i="1"/>
  <c r="EW71" i="1" s="1"/>
  <c r="EX73" i="1"/>
  <c r="EX71" i="1" s="1"/>
  <c r="FB73" i="1"/>
  <c r="FC73" i="1"/>
  <c r="FC71" i="1" s="1"/>
  <c r="FD73" i="1"/>
  <c r="FD71" i="1" s="1"/>
  <c r="FF73" i="1"/>
  <c r="FG73" i="1"/>
  <c r="FG71" i="1" s="1"/>
  <c r="FH73" i="1"/>
  <c r="FH71" i="1" s="1"/>
  <c r="FJ73" i="1"/>
  <c r="FK73" i="1"/>
  <c r="FK71" i="1" s="1"/>
  <c r="FL73" i="1"/>
  <c r="FL71" i="1" s="1"/>
  <c r="FN73" i="1"/>
  <c r="FO73" i="1"/>
  <c r="FO71" i="1" s="1"/>
  <c r="FP73" i="1"/>
  <c r="FP71" i="1" s="1"/>
  <c r="FS73" i="1"/>
  <c r="FT73" i="1"/>
  <c r="FT71" i="1" s="1"/>
  <c r="FU73" i="1"/>
  <c r="FU71" i="1" s="1"/>
  <c r="FW73" i="1"/>
  <c r="FX73" i="1"/>
  <c r="FX71" i="1" s="1"/>
  <c r="FY73" i="1"/>
  <c r="FY71" i="1" s="1"/>
  <c r="GA73" i="1"/>
  <c r="GB73" i="1"/>
  <c r="GB71" i="1" s="1"/>
  <c r="GC73" i="1"/>
  <c r="GC71" i="1" s="1"/>
  <c r="GE73" i="1"/>
  <c r="GF73" i="1"/>
  <c r="GF71" i="1" s="1"/>
  <c r="GG73" i="1"/>
  <c r="GG71" i="1" s="1"/>
  <c r="GJ73" i="1"/>
  <c r="GJ71" i="1" s="1"/>
  <c r="GK73" i="1"/>
  <c r="GK71" i="1" s="1"/>
  <c r="GL73" i="1"/>
  <c r="GN73" i="1"/>
  <c r="GN71" i="1" s="1"/>
  <c r="GO73" i="1"/>
  <c r="GO71" i="1" s="1"/>
  <c r="GP73" i="1"/>
  <c r="GQ73" i="1" s="1"/>
  <c r="GR73" i="1"/>
  <c r="GS73" i="1"/>
  <c r="GS71" i="1" s="1"/>
  <c r="GT73" i="1"/>
  <c r="GT71" i="1" s="1"/>
  <c r="GV73" i="1"/>
  <c r="GW73" i="1"/>
  <c r="GW71" i="1" s="1"/>
  <c r="GX73" i="1"/>
  <c r="GX71" i="1" s="1"/>
  <c r="HA73" i="1"/>
  <c r="HB73" i="1"/>
  <c r="HB71" i="1" s="1"/>
  <c r="HC73" i="1"/>
  <c r="HC71" i="1" s="1"/>
  <c r="HE73" i="1"/>
  <c r="HF73" i="1"/>
  <c r="HF71" i="1" s="1"/>
  <c r="HG73" i="1"/>
  <c r="HG71" i="1" s="1"/>
  <c r="HI73" i="1"/>
  <c r="HI71" i="1" s="1"/>
  <c r="HJ73" i="1"/>
  <c r="HJ71" i="1" s="1"/>
  <c r="HK73" i="1"/>
  <c r="HK71" i="1" s="1"/>
  <c r="O74" i="1"/>
  <c r="S74" i="1"/>
  <c r="X74" i="1"/>
  <c r="AB74" i="1"/>
  <c r="AF74" i="1"/>
  <c r="AJ74" i="1"/>
  <c r="AO74" i="1"/>
  <c r="AS74" i="1"/>
  <c r="AW74" i="1"/>
  <c r="BA74" i="1"/>
  <c r="BF74" i="1"/>
  <c r="BJ74" i="1"/>
  <c r="BN74" i="1"/>
  <c r="BR74" i="1"/>
  <c r="BW74" i="1"/>
  <c r="CA74" i="1"/>
  <c r="CE74" i="1"/>
  <c r="CI74" i="1"/>
  <c r="CN74" i="1"/>
  <c r="CR74" i="1"/>
  <c r="CV74" i="1"/>
  <c r="CZ74" i="1"/>
  <c r="DE74" i="1"/>
  <c r="DI74" i="1"/>
  <c r="DM74" i="1"/>
  <c r="DQ74" i="1"/>
  <c r="DV74" i="1"/>
  <c r="DZ74" i="1"/>
  <c r="ED74" i="1"/>
  <c r="EH74" i="1"/>
  <c r="EM74" i="1"/>
  <c r="EQ74" i="1"/>
  <c r="EU74" i="1"/>
  <c r="EY74" i="1"/>
  <c r="FE74" i="1"/>
  <c r="FI74" i="1"/>
  <c r="FM74" i="1"/>
  <c r="FQ74" i="1"/>
  <c r="FV74" i="1"/>
  <c r="FZ74" i="1"/>
  <c r="GD74" i="1"/>
  <c r="GH74" i="1"/>
  <c r="GM74" i="1"/>
  <c r="GQ74" i="1"/>
  <c r="GU74" i="1"/>
  <c r="GY74" i="1"/>
  <c r="HD74" i="1"/>
  <c r="HH74" i="1"/>
  <c r="HL74" i="1"/>
  <c r="HP74" i="1"/>
  <c r="O75" i="1"/>
  <c r="S75" i="1"/>
  <c r="T75" i="1" s="1"/>
  <c r="V75" i="1"/>
  <c r="X75" i="1" s="1"/>
  <c r="Y75" i="1"/>
  <c r="AA75" i="1"/>
  <c r="AC75" i="1"/>
  <c r="AF75" i="1" s="1"/>
  <c r="AJ75" i="1"/>
  <c r="AO75" i="1"/>
  <c r="AS75" i="1"/>
  <c r="AW75" i="1"/>
  <c r="BA75" i="1"/>
  <c r="BF75" i="1"/>
  <c r="BJ75" i="1"/>
  <c r="BN75" i="1"/>
  <c r="BR75" i="1"/>
  <c r="BW75" i="1"/>
  <c r="CA75" i="1"/>
  <c r="CB75" i="1"/>
  <c r="CE75" i="1" s="1"/>
  <c r="CI75" i="1"/>
  <c r="CN75" i="1"/>
  <c r="CQ75" i="1"/>
  <c r="CS75" i="1"/>
  <c r="CS73" i="1" s="1"/>
  <c r="CT75" i="1"/>
  <c r="CX75" i="1"/>
  <c r="CX73" i="1" s="1"/>
  <c r="CX71" i="1" s="1"/>
  <c r="DE75" i="1"/>
  <c r="DI75" i="1"/>
  <c r="DM75" i="1"/>
  <c r="DN75" i="1"/>
  <c r="DN73" i="1" s="1"/>
  <c r="DO75" i="1"/>
  <c r="DO73" i="1" s="1"/>
  <c r="DO71" i="1" s="1"/>
  <c r="DP75" i="1"/>
  <c r="DP73" i="1" s="1"/>
  <c r="DP71" i="1" s="1"/>
  <c r="DV75" i="1"/>
  <c r="DZ75" i="1"/>
  <c r="ED75" i="1"/>
  <c r="EH75" i="1"/>
  <c r="EM75" i="1"/>
  <c r="EQ75" i="1"/>
  <c r="EU75" i="1"/>
  <c r="EY75" i="1"/>
  <c r="FE75" i="1"/>
  <c r="FI75" i="1"/>
  <c r="FM75" i="1"/>
  <c r="FQ75" i="1"/>
  <c r="FV75" i="1"/>
  <c r="FZ75" i="1"/>
  <c r="GD75" i="1"/>
  <c r="GH75" i="1"/>
  <c r="GM75" i="1"/>
  <c r="GQ75" i="1"/>
  <c r="GU75" i="1"/>
  <c r="GY75" i="1"/>
  <c r="HD75" i="1"/>
  <c r="HH75" i="1"/>
  <c r="HL75" i="1"/>
  <c r="HP75" i="1"/>
  <c r="CR76" i="1"/>
  <c r="CT76" i="1"/>
  <c r="CV76" i="1" s="1"/>
  <c r="CZ76" i="1"/>
  <c r="DE76" i="1"/>
  <c r="DI76" i="1"/>
  <c r="DM76" i="1"/>
  <c r="DQ76" i="1"/>
  <c r="DV76" i="1"/>
  <c r="DZ76" i="1"/>
  <c r="ED76" i="1"/>
  <c r="EH76" i="1"/>
  <c r="EM76" i="1"/>
  <c r="EQ76" i="1"/>
  <c r="EU76" i="1"/>
  <c r="EY76" i="1"/>
  <c r="FE76" i="1"/>
  <c r="FI76" i="1"/>
  <c r="FM76" i="1"/>
  <c r="FQ76" i="1"/>
  <c r="FV76" i="1"/>
  <c r="FZ76" i="1"/>
  <c r="GD76" i="1"/>
  <c r="GH76" i="1"/>
  <c r="GM76" i="1"/>
  <c r="GQ76" i="1"/>
  <c r="GU76" i="1"/>
  <c r="GY76" i="1"/>
  <c r="HD76" i="1"/>
  <c r="HH76" i="1"/>
  <c r="HL76" i="1"/>
  <c r="HP76" i="1"/>
  <c r="D77" i="1"/>
  <c r="E77" i="1"/>
  <c r="E45" i="1" s="1"/>
  <c r="F77" i="1"/>
  <c r="F45" i="1" s="1"/>
  <c r="F85" i="1" s="1"/>
  <c r="H77" i="1"/>
  <c r="I77" i="1"/>
  <c r="I45" i="1" s="1"/>
  <c r="I85" i="1" s="1"/>
  <c r="J77" i="1"/>
  <c r="J45" i="1" s="1"/>
  <c r="J85" i="1" s="1"/>
  <c r="M77" i="1"/>
  <c r="N77" i="1"/>
  <c r="P77" i="1"/>
  <c r="Q77" i="1"/>
  <c r="AD77" i="1"/>
  <c r="AE77" i="1"/>
  <c r="AQ77" i="1"/>
  <c r="AT77" i="1"/>
  <c r="AU77" i="1"/>
  <c r="AX77" i="1"/>
  <c r="AY77" i="1"/>
  <c r="AZ77" i="1"/>
  <c r="BC77" i="1"/>
  <c r="BG77" i="1"/>
  <c r="BH77" i="1"/>
  <c r="BI77" i="1"/>
  <c r="BK77" i="1"/>
  <c r="BL77" i="1"/>
  <c r="BM77" i="1"/>
  <c r="BO77" i="1"/>
  <c r="BP77" i="1"/>
  <c r="BQ77" i="1"/>
  <c r="BT77" i="1"/>
  <c r="BU77" i="1"/>
  <c r="BV77" i="1"/>
  <c r="BX77" i="1"/>
  <c r="BY77" i="1"/>
  <c r="BZ77" i="1"/>
  <c r="CB77" i="1"/>
  <c r="CF77" i="1"/>
  <c r="CG77" i="1"/>
  <c r="CH77" i="1"/>
  <c r="CK77" i="1"/>
  <c r="CL77" i="1"/>
  <c r="CM77" i="1"/>
  <c r="CO77" i="1"/>
  <c r="CP77" i="1"/>
  <c r="CQ77" i="1"/>
  <c r="CS77" i="1"/>
  <c r="CT77" i="1"/>
  <c r="CU77" i="1"/>
  <c r="CW77" i="1"/>
  <c r="CX77" i="1"/>
  <c r="DC77" i="1"/>
  <c r="DG77" i="1"/>
  <c r="DH77" i="1"/>
  <c r="DK77" i="1"/>
  <c r="DL77" i="1"/>
  <c r="DO77" i="1"/>
  <c r="DP77" i="1"/>
  <c r="DS77" i="1"/>
  <c r="DT77" i="1"/>
  <c r="DU77" i="1"/>
  <c r="DX77" i="1"/>
  <c r="EA77" i="1"/>
  <c r="EB77" i="1"/>
  <c r="EC77" i="1"/>
  <c r="EE77" i="1"/>
  <c r="EF77" i="1"/>
  <c r="EG77" i="1"/>
  <c r="EJ77" i="1"/>
  <c r="EK77" i="1"/>
  <c r="EN77" i="1"/>
  <c r="EO77" i="1"/>
  <c r="EP77" i="1"/>
  <c r="ES77" i="1"/>
  <c r="EW77" i="1"/>
  <c r="EX77" i="1"/>
  <c r="FC77" i="1"/>
  <c r="FG77" i="1"/>
  <c r="FH77" i="1"/>
  <c r="FJ77" i="1"/>
  <c r="FK77" i="1"/>
  <c r="FL77" i="1"/>
  <c r="FN77" i="1"/>
  <c r="FO77" i="1"/>
  <c r="FP77" i="1"/>
  <c r="FS77" i="1"/>
  <c r="FT77" i="1"/>
  <c r="FU77" i="1"/>
  <c r="FW77" i="1"/>
  <c r="FX77" i="1"/>
  <c r="FY77" i="1"/>
  <c r="GA77" i="1"/>
  <c r="GB77" i="1"/>
  <c r="GC77" i="1"/>
  <c r="GE77" i="1"/>
  <c r="GF77" i="1"/>
  <c r="GG77" i="1"/>
  <c r="GJ77" i="1"/>
  <c r="GK77" i="1"/>
  <c r="GL77" i="1"/>
  <c r="GN77" i="1"/>
  <c r="GO77" i="1"/>
  <c r="GP77" i="1"/>
  <c r="GR77" i="1"/>
  <c r="GS77" i="1"/>
  <c r="GT77" i="1"/>
  <c r="GV77" i="1"/>
  <c r="GW77" i="1"/>
  <c r="GX77" i="1"/>
  <c r="HA77" i="1"/>
  <c r="HB77" i="1"/>
  <c r="HC77" i="1"/>
  <c r="HE77" i="1"/>
  <c r="HF77" i="1"/>
  <c r="HG77" i="1"/>
  <c r="HI77" i="1"/>
  <c r="HJ77" i="1"/>
  <c r="HK77" i="1"/>
  <c r="HP77" i="1"/>
  <c r="O78" i="1"/>
  <c r="S78" i="1"/>
  <c r="X78" i="1"/>
  <c r="AB78" i="1"/>
  <c r="AF78" i="1"/>
  <c r="AJ78" i="1"/>
  <c r="AO78" i="1"/>
  <c r="AS78" i="1"/>
  <c r="AW78" i="1"/>
  <c r="BA78" i="1"/>
  <c r="BJ78" i="1"/>
  <c r="BN78" i="1"/>
  <c r="BR78" i="1"/>
  <c r="BW78" i="1"/>
  <c r="CA78" i="1"/>
  <c r="CE78" i="1"/>
  <c r="CI78" i="1"/>
  <c r="CN78" i="1"/>
  <c r="CR78" i="1"/>
  <c r="CV78" i="1"/>
  <c r="CZ78" i="1"/>
  <c r="DE78" i="1"/>
  <c r="DI78" i="1"/>
  <c r="DM78" i="1"/>
  <c r="DQ78" i="1"/>
  <c r="DV78" i="1"/>
  <c r="DZ78" i="1"/>
  <c r="ED78" i="1"/>
  <c r="EH78" i="1"/>
  <c r="EM78" i="1"/>
  <c r="EQ78" i="1"/>
  <c r="EU78" i="1"/>
  <c r="EY78" i="1"/>
  <c r="FE78" i="1"/>
  <c r="FI78" i="1"/>
  <c r="FM78" i="1"/>
  <c r="FQ78" i="1"/>
  <c r="FV78" i="1"/>
  <c r="FZ78" i="1"/>
  <c r="GD78" i="1"/>
  <c r="GH78" i="1"/>
  <c r="GM78" i="1"/>
  <c r="GQ78" i="1"/>
  <c r="GU78" i="1"/>
  <c r="GY78" i="1"/>
  <c r="HD78" i="1"/>
  <c r="HH78" i="1"/>
  <c r="HL78" i="1"/>
  <c r="HP78" i="1"/>
  <c r="C79" i="1"/>
  <c r="O79" i="1"/>
  <c r="R79" i="1"/>
  <c r="R77" i="1" s="1"/>
  <c r="U79" i="1"/>
  <c r="U77" i="1" s="1"/>
  <c r="V79" i="1"/>
  <c r="V77" i="1" s="1"/>
  <c r="W79" i="1"/>
  <c r="W77" i="1" s="1"/>
  <c r="Y79" i="1"/>
  <c r="Y77" i="1" s="1"/>
  <c r="Z79" i="1"/>
  <c r="Z77" i="1" s="1"/>
  <c r="AA79" i="1"/>
  <c r="AA77" i="1" s="1"/>
  <c r="AC79" i="1"/>
  <c r="AC77" i="1" s="1"/>
  <c r="AG79" i="1"/>
  <c r="AG77" i="1" s="1"/>
  <c r="AH79" i="1"/>
  <c r="AH77" i="1" s="1"/>
  <c r="AI79" i="1"/>
  <c r="AI77" i="1" s="1"/>
  <c r="AL79" i="1"/>
  <c r="AL77" i="1" s="1"/>
  <c r="AM79" i="1"/>
  <c r="AM77" i="1" s="1"/>
  <c r="AN79" i="1"/>
  <c r="AN77" i="1" s="1"/>
  <c r="AP79" i="1"/>
  <c r="AP77" i="1" s="1"/>
  <c r="AR79" i="1"/>
  <c r="AR77" i="1" s="1"/>
  <c r="AV79" i="1"/>
  <c r="AV77" i="1" s="1"/>
  <c r="BA79" i="1"/>
  <c r="BD79" i="1"/>
  <c r="BD77" i="1" s="1"/>
  <c r="BE79" i="1"/>
  <c r="BE77" i="1" s="1"/>
  <c r="BJ79" i="1"/>
  <c r="BN79" i="1"/>
  <c r="BR79" i="1"/>
  <c r="BW79" i="1"/>
  <c r="CA79" i="1"/>
  <c r="CC79" i="1"/>
  <c r="CC77" i="1" s="1"/>
  <c r="CD79" i="1"/>
  <c r="CD77" i="1" s="1"/>
  <c r="CI79" i="1"/>
  <c r="CN79" i="1"/>
  <c r="CR79" i="1"/>
  <c r="CV79" i="1"/>
  <c r="CY79" i="1"/>
  <c r="DB79" i="1"/>
  <c r="DB77" i="1" s="1"/>
  <c r="DD79" i="1"/>
  <c r="DD77" i="1" s="1"/>
  <c r="DF79" i="1"/>
  <c r="DF77" i="1" s="1"/>
  <c r="DJ79" i="1"/>
  <c r="DJ77" i="1" s="1"/>
  <c r="DN79" i="1"/>
  <c r="DN77" i="1" s="1"/>
  <c r="DV79" i="1"/>
  <c r="DW79" i="1"/>
  <c r="DW77" i="1" s="1"/>
  <c r="DY79" i="1"/>
  <c r="DY77" i="1" s="1"/>
  <c r="ED79" i="1"/>
  <c r="EH79" i="1"/>
  <c r="EL79" i="1"/>
  <c r="EQ79" i="1"/>
  <c r="ER79" i="1"/>
  <c r="ET79" i="1"/>
  <c r="ET77" i="1" s="1"/>
  <c r="EV79" i="1"/>
  <c r="EV77" i="1" s="1"/>
  <c r="FB79" i="1"/>
  <c r="FB77" i="1" s="1"/>
  <c r="FD79" i="1"/>
  <c r="FD77" i="1" s="1"/>
  <c r="FF79" i="1"/>
  <c r="FI79" i="1" s="1"/>
  <c r="FM79" i="1"/>
  <c r="FQ79" i="1"/>
  <c r="FV79" i="1"/>
  <c r="FZ79" i="1"/>
  <c r="GD79" i="1"/>
  <c r="GH79" i="1"/>
  <c r="GM79" i="1"/>
  <c r="GQ79" i="1"/>
  <c r="GU79" i="1"/>
  <c r="GY79" i="1"/>
  <c r="HD79" i="1"/>
  <c r="HH79" i="1"/>
  <c r="HL79" i="1"/>
  <c r="HP79" i="1"/>
  <c r="O80" i="1"/>
  <c r="S80" i="1"/>
  <c r="X80" i="1"/>
  <c r="AK80" i="1" s="1"/>
  <c r="AJ80" i="1"/>
  <c r="AO80" i="1"/>
  <c r="AP80" i="1"/>
  <c r="AS80" i="1" s="1"/>
  <c r="AW80" i="1"/>
  <c r="BA80" i="1"/>
  <c r="BF80" i="1"/>
  <c r="BJ80" i="1"/>
  <c r="BN80" i="1"/>
  <c r="BR80" i="1"/>
  <c r="BW80" i="1"/>
  <c r="CA80" i="1"/>
  <c r="CE80" i="1"/>
  <c r="CI80" i="1"/>
  <c r="CN80" i="1"/>
  <c r="CR80" i="1"/>
  <c r="CV80" i="1"/>
  <c r="CZ80" i="1"/>
  <c r="DE80" i="1"/>
  <c r="DI80" i="1"/>
  <c r="DM80" i="1"/>
  <c r="DQ80" i="1"/>
  <c r="DV80" i="1"/>
  <c r="DZ80" i="1"/>
  <c r="ED80" i="1"/>
  <c r="EH80" i="1"/>
  <c r="EM80" i="1"/>
  <c r="EQ80" i="1"/>
  <c r="EU80" i="1"/>
  <c r="EY80" i="1"/>
  <c r="FE80" i="1"/>
  <c r="FI80" i="1"/>
  <c r="FM80" i="1"/>
  <c r="FQ80" i="1"/>
  <c r="FV80" i="1"/>
  <c r="FZ80" i="1"/>
  <c r="GD80" i="1"/>
  <c r="GH80" i="1"/>
  <c r="GM80" i="1"/>
  <c r="GQ80" i="1"/>
  <c r="GU80" i="1"/>
  <c r="GY80" i="1"/>
  <c r="HD80" i="1"/>
  <c r="HH80" i="1"/>
  <c r="HL80" i="1"/>
  <c r="HP80" i="1"/>
  <c r="K81" i="1"/>
  <c r="L81" i="1"/>
  <c r="L45" i="1" s="1"/>
  <c r="L85" i="1" s="1"/>
  <c r="P81" i="1"/>
  <c r="S81" i="1" s="1"/>
  <c r="V81" i="1"/>
  <c r="X81" i="1" s="1"/>
  <c r="Y81" i="1"/>
  <c r="AA81" i="1"/>
  <c r="AC81" i="1"/>
  <c r="AE81" i="1"/>
  <c r="AG81" i="1"/>
  <c r="AI81" i="1"/>
  <c r="AL81" i="1"/>
  <c r="AL73" i="1" s="1"/>
  <c r="AN81" i="1"/>
  <c r="AN73" i="1" s="1"/>
  <c r="AP81" i="1"/>
  <c r="AS81" i="1" s="1"/>
  <c r="AT81" i="1"/>
  <c r="AW81" i="1" s="1"/>
  <c r="AX81" i="1"/>
  <c r="AX73" i="1" s="1"/>
  <c r="AZ81" i="1"/>
  <c r="BF81" i="1"/>
  <c r="BG81" i="1"/>
  <c r="BJ81" i="1" s="1"/>
  <c r="BN81" i="1"/>
  <c r="BR81" i="1"/>
  <c r="CI81" i="1"/>
  <c r="CN81" i="1"/>
  <c r="GH82" i="1"/>
  <c r="GI82" i="1" s="1"/>
  <c r="GM82" i="1"/>
  <c r="GQ82" i="1"/>
  <c r="GU82" i="1"/>
  <c r="GY82" i="1"/>
  <c r="HD82" i="1"/>
  <c r="HH82" i="1"/>
  <c r="HL82" i="1"/>
  <c r="HP82" i="1"/>
  <c r="T83" i="1"/>
  <c r="AJ83" i="1"/>
  <c r="AO83" i="1"/>
  <c r="AS83" i="1" s="1"/>
  <c r="AW83" i="1" s="1"/>
  <c r="BA83" i="1"/>
  <c r="BJ83" i="1"/>
  <c r="CJ83" i="1"/>
  <c r="DA83" i="1"/>
  <c r="DR83" i="1"/>
  <c r="EI83" i="1"/>
  <c r="FR83" i="1"/>
  <c r="GI83" i="1"/>
  <c r="GZ83" i="1"/>
  <c r="HD83" i="1"/>
  <c r="HQ83" i="1" s="1"/>
  <c r="AJ84" i="1"/>
  <c r="AO84" i="1"/>
  <c r="AS84" i="1" s="1"/>
  <c r="AW84" i="1" s="1"/>
  <c r="BA84" i="1"/>
  <c r="BJ84" i="1"/>
  <c r="CJ84" i="1"/>
  <c r="DA84" i="1"/>
  <c r="DR84" i="1"/>
  <c r="EI84" i="1"/>
  <c r="FR84" i="1"/>
  <c r="GI84" i="1"/>
  <c r="GZ84" i="1"/>
  <c r="HQ84" i="1"/>
  <c r="C85" i="1"/>
  <c r="E85" i="1"/>
  <c r="AJ86" i="1"/>
  <c r="AO86" i="1"/>
  <c r="AS86" i="1" s="1"/>
  <c r="AW86" i="1" s="1"/>
  <c r="BB86" i="1"/>
  <c r="CJ86" i="1"/>
  <c r="GA86" i="1"/>
  <c r="GB86" i="1"/>
  <c r="GC86" i="1"/>
  <c r="GE86" i="1"/>
  <c r="GF86" i="1"/>
  <c r="GR86" i="1"/>
  <c r="GS86" i="1"/>
  <c r="GT86" i="1"/>
  <c r="GV86" i="1"/>
  <c r="GW86" i="1"/>
  <c r="GX86" i="1"/>
  <c r="FZ41" i="1" l="1"/>
  <c r="CE73" i="1"/>
  <c r="HP23" i="1"/>
  <c r="BA73" i="1"/>
  <c r="AJ81" i="1"/>
  <c r="AB81" i="1"/>
  <c r="HH77" i="1"/>
  <c r="FZ77" i="1"/>
  <c r="AB73" i="1"/>
  <c r="DA69" i="1"/>
  <c r="AK69" i="1"/>
  <c r="HQ60" i="1"/>
  <c r="ED43" i="1"/>
  <c r="EI43" i="1" s="1"/>
  <c r="AS30" i="1"/>
  <c r="BA27" i="1"/>
  <c r="AJ22" i="1"/>
  <c r="GI19" i="1"/>
  <c r="DR19" i="1"/>
  <c r="CJ19" i="1"/>
  <c r="T19" i="1"/>
  <c r="EU14" i="1"/>
  <c r="DM14" i="1"/>
  <c r="CV14" i="1"/>
  <c r="GZ38" i="1"/>
  <c r="GH77" i="1"/>
  <c r="DV77" i="1"/>
  <c r="DA74" i="1"/>
  <c r="AO72" i="1"/>
  <c r="AF67" i="1"/>
  <c r="EZ58" i="1"/>
  <c r="GZ57" i="1"/>
  <c r="AK57" i="1"/>
  <c r="T56" i="1"/>
  <c r="CE55" i="1"/>
  <c r="AW55" i="1"/>
  <c r="GZ54" i="1"/>
  <c r="AJ54" i="1"/>
  <c r="BS52" i="1"/>
  <c r="EZ50" i="1"/>
  <c r="CJ50" i="1"/>
  <c r="GZ35" i="1"/>
  <c r="EI35" i="1"/>
  <c r="EI29" i="1"/>
  <c r="GU23" i="1"/>
  <c r="EY23" i="1"/>
  <c r="DQ23" i="1"/>
  <c r="CI23" i="1"/>
  <c r="HQ22" i="1"/>
  <c r="EZ22" i="1"/>
  <c r="GZ15" i="1"/>
  <c r="HN47" i="1"/>
  <c r="BF79" i="1"/>
  <c r="AJ73" i="1"/>
  <c r="GI68" i="1"/>
  <c r="BW67" i="1"/>
  <c r="DV67" i="1"/>
  <c r="EU55" i="1"/>
  <c r="HQ37" i="1"/>
  <c r="BN30" i="1"/>
  <c r="AF22" i="1"/>
  <c r="EI21" i="1"/>
  <c r="DA21" i="1"/>
  <c r="HQ20" i="1"/>
  <c r="EY18" i="1"/>
  <c r="BA18" i="1"/>
  <c r="FR17" i="1"/>
  <c r="HM62" i="1"/>
  <c r="HM45" i="1" s="1"/>
  <c r="HO13" i="1"/>
  <c r="HO12" i="1" s="1"/>
  <c r="DQ18" i="1"/>
  <c r="CI18" i="1"/>
  <c r="FR43" i="1"/>
  <c r="GZ42" i="1"/>
  <c r="FR42" i="1"/>
  <c r="BS42" i="1"/>
  <c r="BA23" i="1"/>
  <c r="GZ25" i="1"/>
  <c r="EI25" i="1"/>
  <c r="DA25" i="1"/>
  <c r="HN62" i="1"/>
  <c r="HN45" i="1" s="1"/>
  <c r="GI66" i="1"/>
  <c r="HP63" i="1"/>
  <c r="GH63" i="1"/>
  <c r="EZ33" i="1"/>
  <c r="EI36" i="1"/>
  <c r="CJ34" i="1"/>
  <c r="DR80" i="1"/>
  <c r="BS79" i="1"/>
  <c r="GI78" i="1"/>
  <c r="HD77" i="1"/>
  <c r="FV77" i="1"/>
  <c r="GZ74" i="1"/>
  <c r="T78" i="1"/>
  <c r="HL77" i="1"/>
  <c r="GD77" i="1"/>
  <c r="HQ75" i="1"/>
  <c r="DR76" i="1"/>
  <c r="AF73" i="1"/>
  <c r="GZ70" i="1"/>
  <c r="HN10" i="1"/>
  <c r="DZ67" i="1"/>
  <c r="DR66" i="1"/>
  <c r="GI65" i="1"/>
  <c r="EZ65" i="1"/>
  <c r="EQ55" i="1"/>
  <c r="EZ60" i="1"/>
  <c r="DR60" i="1"/>
  <c r="AK56" i="1"/>
  <c r="HD55" i="1"/>
  <c r="GY55" i="1"/>
  <c r="DQ55" i="1"/>
  <c r="CI55" i="1"/>
  <c r="BA55" i="1"/>
  <c r="EI54" i="1"/>
  <c r="DA54" i="1"/>
  <c r="CJ53" i="1"/>
  <c r="EI52" i="1"/>
  <c r="EM41" i="1"/>
  <c r="ED41" i="1"/>
  <c r="AF41" i="1"/>
  <c r="EZ40" i="1"/>
  <c r="BS38" i="1"/>
  <c r="GZ36" i="1"/>
  <c r="BB35" i="1"/>
  <c r="T33" i="1"/>
  <c r="O31" i="1"/>
  <c r="BR30" i="1"/>
  <c r="CE29" i="1"/>
  <c r="AK27" i="1"/>
  <c r="HQ26" i="1"/>
  <c r="EZ24" i="1"/>
  <c r="GY23" i="1"/>
  <c r="FV23" i="1"/>
  <c r="EM23" i="1"/>
  <c r="DE23" i="1"/>
  <c r="BW23" i="1"/>
  <c r="AO23" i="1"/>
  <c r="BS22" i="1"/>
  <c r="CJ20" i="1"/>
  <c r="FV18" i="1"/>
  <c r="EM18" i="1"/>
  <c r="DE18" i="1"/>
  <c r="BW18" i="1"/>
  <c r="DA17" i="1"/>
  <c r="BS17" i="1"/>
  <c r="EI15" i="1"/>
  <c r="DA15" i="1"/>
  <c r="FV14" i="1"/>
  <c r="GI14" i="1" s="1"/>
  <c r="FE14" i="1"/>
  <c r="EM14" i="1"/>
  <c r="DE14" i="1"/>
  <c r="BW14" i="1"/>
  <c r="CJ14" i="1" s="1"/>
  <c r="BF14" i="1"/>
  <c r="AS14" i="1"/>
  <c r="HM13" i="1"/>
  <c r="HM12" i="1" s="1"/>
  <c r="HM10" i="1" s="1"/>
  <c r="EI74" i="1"/>
  <c r="FR69" i="1"/>
  <c r="EY77" i="1"/>
  <c r="DI77" i="1"/>
  <c r="EZ75" i="1"/>
  <c r="GI72" i="1"/>
  <c r="EZ72" i="1"/>
  <c r="DR72" i="1"/>
  <c r="AW72" i="1"/>
  <c r="ED67" i="1"/>
  <c r="BF67" i="1"/>
  <c r="HH63" i="1"/>
  <c r="FZ63" i="1"/>
  <c r="GI63" i="1" s="1"/>
  <c r="BS61" i="1"/>
  <c r="GZ59" i="1"/>
  <c r="FR59" i="1"/>
  <c r="EI59" i="1"/>
  <c r="DA59" i="1"/>
  <c r="HH55" i="1"/>
  <c r="FV55" i="1"/>
  <c r="EY55" i="1"/>
  <c r="BW55" i="1"/>
  <c r="AO55" i="1"/>
  <c r="EZ53" i="1"/>
  <c r="DR53" i="1"/>
  <c r="EI51" i="1"/>
  <c r="DA51" i="1"/>
  <c r="AB41" i="1"/>
  <c r="HH41" i="1"/>
  <c r="GH41" i="1"/>
  <c r="FE41" i="1"/>
  <c r="CZ41" i="1"/>
  <c r="CN41" i="1"/>
  <c r="DA40" i="1"/>
  <c r="EI38" i="1"/>
  <c r="DA38" i="1"/>
  <c r="BS35" i="1"/>
  <c r="HQ34" i="1"/>
  <c r="HQ33" i="1"/>
  <c r="AJ33" i="1"/>
  <c r="HP32" i="1"/>
  <c r="AJ30" i="1"/>
  <c r="GZ27" i="1"/>
  <c r="HQ24" i="1"/>
  <c r="GI24" i="1"/>
  <c r="CJ24" i="1"/>
  <c r="GM23" i="1"/>
  <c r="EQ23" i="1"/>
  <c r="DI23" i="1"/>
  <c r="CA23" i="1"/>
  <c r="AS23" i="1"/>
  <c r="BB23" i="1" s="1"/>
  <c r="EZ20" i="1"/>
  <c r="DR20" i="1"/>
  <c r="GY18" i="1"/>
  <c r="EQ18" i="1"/>
  <c r="DI18" i="1"/>
  <c r="CA18" i="1"/>
  <c r="AS18" i="1"/>
  <c r="GI16" i="1"/>
  <c r="FI14" i="1"/>
  <c r="EQ14" i="1"/>
  <c r="DI14" i="1"/>
  <c r="CA14" i="1"/>
  <c r="BJ14" i="1"/>
  <c r="HO47" i="1"/>
  <c r="HO45" i="1" s="1"/>
  <c r="FR74" i="1"/>
  <c r="AK74" i="1"/>
  <c r="AS72" i="1"/>
  <c r="HQ79" i="1"/>
  <c r="GI79" i="1"/>
  <c r="DR78" i="1"/>
  <c r="BJ77" i="1"/>
  <c r="O77" i="1"/>
  <c r="BW73" i="1"/>
  <c r="BN73" i="1"/>
  <c r="X73" i="1"/>
  <c r="BA72" i="1"/>
  <c r="DA70" i="1"/>
  <c r="X67" i="1"/>
  <c r="HD67" i="1"/>
  <c r="FV67" i="1"/>
  <c r="EH67" i="1"/>
  <c r="BN67" i="1"/>
  <c r="DA64" i="1"/>
  <c r="AF64" i="1"/>
  <c r="HL63" i="1"/>
  <c r="GD63" i="1"/>
  <c r="HQ58" i="1"/>
  <c r="EZ56" i="1"/>
  <c r="DR56" i="1"/>
  <c r="HL55" i="1"/>
  <c r="FZ55" i="1"/>
  <c r="CA55" i="1"/>
  <c r="CJ55" i="1" s="1"/>
  <c r="AS55" i="1"/>
  <c r="BB54" i="1"/>
  <c r="HQ50" i="1"/>
  <c r="BB50" i="1"/>
  <c r="BF50" i="1" s="1"/>
  <c r="BS50" i="1" s="1"/>
  <c r="BA49" i="1"/>
  <c r="EI42" i="1"/>
  <c r="T35" i="1"/>
  <c r="EZ34" i="1"/>
  <c r="FZ31" i="1"/>
  <c r="FQ32" i="1"/>
  <c r="FM32" i="1"/>
  <c r="FI32" i="1"/>
  <c r="FE32" i="1"/>
  <c r="S32" i="1"/>
  <c r="O32" i="1"/>
  <c r="BW29" i="1"/>
  <c r="CJ29" i="1" s="1"/>
  <c r="BO28" i="1"/>
  <c r="EI27" i="1"/>
  <c r="T27" i="1"/>
  <c r="BS25" i="1"/>
  <c r="GQ23" i="1"/>
  <c r="EU23" i="1"/>
  <c r="EZ23" i="1" s="1"/>
  <c r="DM23" i="1"/>
  <c r="CE23" i="1"/>
  <c r="AW23" i="1"/>
  <c r="BS21" i="1"/>
  <c r="S21" i="1"/>
  <c r="T21" i="1" s="1"/>
  <c r="EU18" i="1"/>
  <c r="EZ18" i="1" s="1"/>
  <c r="DM18" i="1"/>
  <c r="CE18" i="1"/>
  <c r="AW18" i="1"/>
  <c r="FM14" i="1"/>
  <c r="CE14" i="1"/>
  <c r="H45" i="1"/>
  <c r="H85" i="1" s="1"/>
  <c r="K77" i="1"/>
  <c r="GA71" i="1"/>
  <c r="GD71" i="1" s="1"/>
  <c r="GD73" i="1"/>
  <c r="ER71" i="1"/>
  <c r="EU73" i="1"/>
  <c r="DF71" i="1"/>
  <c r="DI71" i="1" s="1"/>
  <c r="DI73" i="1"/>
  <c r="EZ66" i="1"/>
  <c r="GI61" i="1"/>
  <c r="EZ55" i="1"/>
  <c r="T60" i="1"/>
  <c r="AK59" i="1"/>
  <c r="DR58" i="1"/>
  <c r="CJ58" i="1"/>
  <c r="GI56" i="1"/>
  <c r="GM55" i="1"/>
  <c r="EM55" i="1"/>
  <c r="DM55" i="1"/>
  <c r="EL77" i="1"/>
  <c r="EM79" i="1"/>
  <c r="HQ82" i="1"/>
  <c r="AF77" i="1"/>
  <c r="CN77" i="1"/>
  <c r="GE71" i="1"/>
  <c r="GH73" i="1"/>
  <c r="EV71" i="1"/>
  <c r="EY71" i="1" s="1"/>
  <c r="EY73" i="1"/>
  <c r="DJ71" i="1"/>
  <c r="DM73" i="1"/>
  <c r="BR73" i="1"/>
  <c r="DE67" i="1"/>
  <c r="HH67" i="1"/>
  <c r="FZ67" i="1"/>
  <c r="DR65" i="1"/>
  <c r="CJ56" i="1"/>
  <c r="BB56" i="1"/>
  <c r="GQ55" i="1"/>
  <c r="BN77" i="1"/>
  <c r="ER77" i="1"/>
  <c r="EU77" i="1" s="1"/>
  <c r="EU79" i="1"/>
  <c r="DQ77" i="1"/>
  <c r="GI76" i="1"/>
  <c r="EZ76" i="1"/>
  <c r="DA76" i="1"/>
  <c r="HA71" i="1"/>
  <c r="HD73" i="1"/>
  <c r="FS71" i="1"/>
  <c r="FV73" i="1"/>
  <c r="EJ71" i="1"/>
  <c r="EM73" i="1"/>
  <c r="CI73" i="1"/>
  <c r="CJ70" i="1"/>
  <c r="GZ69" i="1"/>
  <c r="HQ68" i="1"/>
  <c r="O67" i="1"/>
  <c r="HL67" i="1"/>
  <c r="GD67" i="1"/>
  <c r="CJ66" i="1"/>
  <c r="EH61" i="1"/>
  <c r="DV61" i="1"/>
  <c r="GI60" i="1"/>
  <c r="BB60" i="1"/>
  <c r="BF60" i="1" s="1"/>
  <c r="BS60" i="1" s="1"/>
  <c r="FR57" i="1"/>
  <c r="EI57" i="1"/>
  <c r="DA57" i="1"/>
  <c r="HQ78" i="1"/>
  <c r="CJ80" i="1"/>
  <c r="EY79" i="1"/>
  <c r="CY77" i="1"/>
  <c r="CZ77" i="1" s="1"/>
  <c r="CZ79" i="1"/>
  <c r="DA79" i="1" s="1"/>
  <c r="CJ78" i="1"/>
  <c r="EH77" i="1"/>
  <c r="CV77" i="1"/>
  <c r="D45" i="1"/>
  <c r="D85" i="1" s="1"/>
  <c r="G77" i="1"/>
  <c r="CQ73" i="1"/>
  <c r="CQ71" i="1" s="1"/>
  <c r="CR75" i="1"/>
  <c r="BB75" i="1"/>
  <c r="AB75" i="1"/>
  <c r="HE71" i="1"/>
  <c r="HH73" i="1"/>
  <c r="FW71" i="1"/>
  <c r="FZ71" i="1" s="1"/>
  <c r="FZ73" i="1"/>
  <c r="EN71" i="1"/>
  <c r="EQ73" i="1"/>
  <c r="DB71" i="1"/>
  <c r="DE71" i="1" s="1"/>
  <c r="DE73" i="1"/>
  <c r="BJ73" i="1"/>
  <c r="HQ72" i="1"/>
  <c r="FR70" i="1"/>
  <c r="EI70" i="1"/>
  <c r="EI64" i="1"/>
  <c r="AJ64" i="1"/>
  <c r="AB64" i="1"/>
  <c r="AK64" i="1" s="1"/>
  <c r="CJ60" i="1"/>
  <c r="GI58" i="1"/>
  <c r="BB58" i="1"/>
  <c r="BF58" i="1" s="1"/>
  <c r="GH55" i="1"/>
  <c r="DE55" i="1"/>
  <c r="AK54" i="1"/>
  <c r="DA52" i="1"/>
  <c r="GI50" i="1"/>
  <c r="AF43" i="1"/>
  <c r="FM41" i="1"/>
  <c r="DZ41" i="1"/>
  <c r="EZ14" i="1"/>
  <c r="DR14" i="1"/>
  <c r="FR54" i="1"/>
  <c r="GI53" i="1"/>
  <c r="FR51" i="1"/>
  <c r="AK51" i="1"/>
  <c r="DR50" i="1"/>
  <c r="AW49" i="1"/>
  <c r="HD41" i="1"/>
  <c r="FR80" i="1"/>
  <c r="DM77" i="1"/>
  <c r="BF77" i="1"/>
  <c r="AS77" i="1"/>
  <c r="EZ78" i="1"/>
  <c r="BB78" i="1"/>
  <c r="BF78" i="1" s="1"/>
  <c r="BS78" i="1" s="1"/>
  <c r="FI77" i="1"/>
  <c r="ED77" i="1"/>
  <c r="CR77" i="1"/>
  <c r="BR77" i="1"/>
  <c r="HQ76" i="1"/>
  <c r="GI75" i="1"/>
  <c r="BS74" i="1"/>
  <c r="AB72" i="1"/>
  <c r="EI69" i="1"/>
  <c r="EZ68" i="1"/>
  <c r="DM67" i="1"/>
  <c r="BB68" i="1"/>
  <c r="AJ67" i="1"/>
  <c r="GH67" i="1"/>
  <c r="HQ66" i="1"/>
  <c r="GZ64" i="1"/>
  <c r="HQ61" i="1"/>
  <c r="T61" i="1"/>
  <c r="T59" i="1"/>
  <c r="T57" i="1"/>
  <c r="GU55" i="1"/>
  <c r="GZ55" i="1" s="1"/>
  <c r="GD55" i="1"/>
  <c r="S55" i="1"/>
  <c r="FR52" i="1"/>
  <c r="T51" i="1"/>
  <c r="GZ43" i="1"/>
  <c r="EQ41" i="1"/>
  <c r="DA42" i="1"/>
  <c r="HL41" i="1"/>
  <c r="HO10" i="1"/>
  <c r="GD41" i="1"/>
  <c r="FQ41" i="1"/>
  <c r="ED40" i="1"/>
  <c r="EI40" i="1" s="1"/>
  <c r="BS39" i="1"/>
  <c r="FR38" i="1"/>
  <c r="T38" i="1"/>
  <c r="DA35" i="1"/>
  <c r="AK34" i="1"/>
  <c r="DA33" i="1"/>
  <c r="FR25" i="1"/>
  <c r="T25" i="1"/>
  <c r="T24" i="1"/>
  <c r="DR22" i="1"/>
  <c r="FR21" i="1"/>
  <c r="GI20" i="1"/>
  <c r="BB20" i="1"/>
  <c r="BF20" i="1" s="1"/>
  <c r="EZ19" i="1"/>
  <c r="GU18" i="1"/>
  <c r="FZ18" i="1"/>
  <c r="EI17" i="1"/>
  <c r="HQ16" i="1"/>
  <c r="CJ16" i="1"/>
  <c r="AW16" i="1"/>
  <c r="BB16" i="1" s="1"/>
  <c r="FR15" i="1"/>
  <c r="HQ14" i="1"/>
  <c r="CR14" i="1"/>
  <c r="O14" i="1"/>
  <c r="FI41" i="1"/>
  <c r="EH41" i="1"/>
  <c r="DV41" i="1"/>
  <c r="CR41" i="1"/>
  <c r="AK38" i="1"/>
  <c r="DA36" i="1"/>
  <c r="GI34" i="1"/>
  <c r="T34" i="1"/>
  <c r="BA33" i="1"/>
  <c r="AW33" i="1"/>
  <c r="FR29" i="1"/>
  <c r="FR27" i="1"/>
  <c r="AK25" i="1"/>
  <c r="DR24" i="1"/>
  <c r="AK24" i="1"/>
  <c r="FZ23" i="1"/>
  <c r="X23" i="1"/>
  <c r="O23" i="1"/>
  <c r="GM18" i="1"/>
  <c r="T17" i="1"/>
  <c r="T15" i="1"/>
  <c r="FR36" i="1"/>
  <c r="FR35" i="1"/>
  <c r="DR34" i="1"/>
  <c r="GI33" i="1"/>
  <c r="HL32" i="1"/>
  <c r="HH32" i="1"/>
  <c r="HD32" i="1"/>
  <c r="GH32" i="1"/>
  <c r="GD32" i="1"/>
  <c r="FZ32" i="1"/>
  <c r="CI32" i="1"/>
  <c r="CE32" i="1"/>
  <c r="CA32" i="1"/>
  <c r="BW32" i="1"/>
  <c r="DZ30" i="1"/>
  <c r="DA29" i="1"/>
  <c r="BQ28" i="1"/>
  <c r="BG28" i="1"/>
  <c r="BA29" i="1"/>
  <c r="AW29" i="1"/>
  <c r="AO29" i="1"/>
  <c r="DA27" i="1"/>
  <c r="BB24" i="1"/>
  <c r="AB23" i="1"/>
  <c r="GI22" i="1"/>
  <c r="HQ19" i="1"/>
  <c r="AO19" i="1"/>
  <c r="BB19" i="1" s="1"/>
  <c r="GQ18" i="1"/>
  <c r="GZ17" i="1"/>
  <c r="EZ16" i="1"/>
  <c r="CN14" i="1"/>
  <c r="S14" i="1"/>
  <c r="DA77" i="1"/>
  <c r="EI80" i="1"/>
  <c r="BS80" i="1"/>
  <c r="BB80" i="1"/>
  <c r="EZ79" i="1"/>
  <c r="EI78" i="1"/>
  <c r="AK78" i="1"/>
  <c r="GY77" i="1"/>
  <c r="GQ77" i="1"/>
  <c r="GI77" i="1"/>
  <c r="FQ77" i="1"/>
  <c r="EQ77" i="1"/>
  <c r="BW77" i="1"/>
  <c r="BA77" i="1"/>
  <c r="EI76" i="1"/>
  <c r="FR75" i="1"/>
  <c r="CT73" i="1"/>
  <c r="CT71" i="1" s="1"/>
  <c r="GI74" i="1"/>
  <c r="DR74" i="1"/>
  <c r="BB74" i="1"/>
  <c r="GY73" i="1"/>
  <c r="FQ73" i="1"/>
  <c r="FI73" i="1"/>
  <c r="EH73" i="1"/>
  <c r="DZ73" i="1"/>
  <c r="AS73" i="1"/>
  <c r="EI72" i="1"/>
  <c r="CD71" i="1"/>
  <c r="BY71" i="1"/>
  <c r="BV71" i="1"/>
  <c r="BT71" i="1"/>
  <c r="BQ71" i="1"/>
  <c r="BO71" i="1"/>
  <c r="BM71" i="1"/>
  <c r="BK71" i="1"/>
  <c r="BI71" i="1"/>
  <c r="BG71" i="1"/>
  <c r="BE71" i="1"/>
  <c r="AY71" i="1"/>
  <c r="AU71" i="1"/>
  <c r="AQ71" i="1"/>
  <c r="AM71" i="1"/>
  <c r="AI71" i="1"/>
  <c r="AJ72" i="1"/>
  <c r="AD71" i="1"/>
  <c r="U71" i="1"/>
  <c r="R71" i="1"/>
  <c r="S71" i="1" s="1"/>
  <c r="EZ70" i="1"/>
  <c r="GI69" i="1"/>
  <c r="DR69" i="1"/>
  <c r="BB69" i="1"/>
  <c r="BF69" i="1" s="1"/>
  <c r="BS69" i="1" s="1"/>
  <c r="GZ68" i="1"/>
  <c r="EI68" i="1"/>
  <c r="CV67" i="1"/>
  <c r="CN67" i="1"/>
  <c r="GU67" i="1"/>
  <c r="GM67" i="1"/>
  <c r="FM67" i="1"/>
  <c r="FE67" i="1"/>
  <c r="EY67" i="1"/>
  <c r="EQ67" i="1"/>
  <c r="EI67" i="1"/>
  <c r="CI67" i="1"/>
  <c r="CA67" i="1"/>
  <c r="AW67" i="1"/>
  <c r="AO67" i="1"/>
  <c r="GZ66" i="1"/>
  <c r="EI66" i="1"/>
  <c r="FR65" i="1"/>
  <c r="GI64" i="1"/>
  <c r="DQ63" i="1"/>
  <c r="DI63" i="1"/>
  <c r="CV63" i="1"/>
  <c r="CN63" i="1"/>
  <c r="CJ64" i="1"/>
  <c r="HJ62" i="1"/>
  <c r="HF62" i="1"/>
  <c r="HB62" i="1"/>
  <c r="GX62" i="1"/>
  <c r="GV62" i="1"/>
  <c r="GS62" i="1"/>
  <c r="GP62" i="1"/>
  <c r="GN62" i="1"/>
  <c r="GK62" i="1"/>
  <c r="GF62" i="1"/>
  <c r="GB62" i="1"/>
  <c r="FX62" i="1"/>
  <c r="FT62" i="1"/>
  <c r="FP62" i="1"/>
  <c r="FN62" i="1"/>
  <c r="FK62" i="1"/>
  <c r="FH62" i="1"/>
  <c r="BS81" i="1"/>
  <c r="BA81" i="1"/>
  <c r="AO81" i="1"/>
  <c r="AF81" i="1"/>
  <c r="AK81" i="1" s="1"/>
  <c r="O81" i="1"/>
  <c r="T81" i="1" s="1"/>
  <c r="GI80" i="1"/>
  <c r="DA80" i="1"/>
  <c r="T80" i="1"/>
  <c r="FE79" i="1"/>
  <c r="FR79" i="1" s="1"/>
  <c r="DQ79" i="1"/>
  <c r="DM79" i="1"/>
  <c r="DI79" i="1"/>
  <c r="DE79" i="1"/>
  <c r="AO79" i="1"/>
  <c r="S79" i="1"/>
  <c r="T79" i="1" s="1"/>
  <c r="FR78" i="1"/>
  <c r="DA78" i="1"/>
  <c r="GU77" i="1"/>
  <c r="GM77" i="1"/>
  <c r="FM77" i="1"/>
  <c r="CI77" i="1"/>
  <c r="CA77" i="1"/>
  <c r="FR76" i="1"/>
  <c r="EI75" i="1"/>
  <c r="BS75" i="1"/>
  <c r="EZ74" i="1"/>
  <c r="CJ74" i="1"/>
  <c r="T74" i="1"/>
  <c r="GU73" i="1"/>
  <c r="GM73" i="1"/>
  <c r="FM73" i="1"/>
  <c r="FE73" i="1"/>
  <c r="ED73" i="1"/>
  <c r="DV73" i="1"/>
  <c r="CZ73" i="1"/>
  <c r="CN73" i="1"/>
  <c r="CA73" i="1"/>
  <c r="BF73" i="1"/>
  <c r="AW73" i="1"/>
  <c r="FR72" i="1"/>
  <c r="DA72" i="1"/>
  <c r="CF71" i="1"/>
  <c r="CC71" i="1"/>
  <c r="CE71" i="1" s="1"/>
  <c r="BZ71" i="1"/>
  <c r="BX71" i="1"/>
  <c r="BU71" i="1"/>
  <c r="BR72" i="1"/>
  <c r="BP71" i="1"/>
  <c r="BR71" i="1" s="1"/>
  <c r="BN72" i="1"/>
  <c r="BL71" i="1"/>
  <c r="BJ72" i="1"/>
  <c r="BH71" i="1"/>
  <c r="BF72" i="1"/>
  <c r="BD71" i="1"/>
  <c r="AZ71" i="1"/>
  <c r="AV71" i="1"/>
  <c r="AT71" i="1"/>
  <c r="AR71" i="1"/>
  <c r="AP71" i="1"/>
  <c r="AL71" i="1"/>
  <c r="AH71" i="1"/>
  <c r="AE71" i="1"/>
  <c r="AF72" i="1"/>
  <c r="AK72" i="1" s="1"/>
  <c r="Z71" i="1"/>
  <c r="W71" i="1"/>
  <c r="S72" i="1"/>
  <c r="T72" i="1" s="1"/>
  <c r="GI70" i="1"/>
  <c r="EZ69" i="1"/>
  <c r="CJ69" i="1"/>
  <c r="T69" i="1"/>
  <c r="FR68" i="1"/>
  <c r="DQ67" i="1"/>
  <c r="DI67" i="1"/>
  <c r="CZ67" i="1"/>
  <c r="DA68" i="1"/>
  <c r="DA67" i="1" s="1"/>
  <c r="BW68" i="1"/>
  <c r="CJ68" i="1" s="1"/>
  <c r="GY67" i="1"/>
  <c r="GQ67" i="1"/>
  <c r="FQ67" i="1"/>
  <c r="FI67" i="1"/>
  <c r="EU67" i="1"/>
  <c r="EM67" i="1"/>
  <c r="CE67" i="1"/>
  <c r="CJ67" i="1" s="1"/>
  <c r="AS67" i="1"/>
  <c r="S67" i="1"/>
  <c r="FR66" i="1"/>
  <c r="DA66" i="1"/>
  <c r="DA63" i="1" s="1"/>
  <c r="DA62" i="1" s="1"/>
  <c r="HQ65" i="1"/>
  <c r="GZ65" i="1"/>
  <c r="EI65" i="1"/>
  <c r="EZ64" i="1"/>
  <c r="DM63" i="1"/>
  <c r="DE63" i="1"/>
  <c r="CZ63" i="1"/>
  <c r="CR63" i="1"/>
  <c r="BR64" i="1"/>
  <c r="BA64" i="1"/>
  <c r="BB64" i="1" s="1"/>
  <c r="HK62" i="1"/>
  <c r="HI62" i="1"/>
  <c r="HG62" i="1"/>
  <c r="HE62" i="1"/>
  <c r="HC62" i="1"/>
  <c r="HA62" i="1"/>
  <c r="GW62" i="1"/>
  <c r="T55" i="1"/>
  <c r="EE30" i="1"/>
  <c r="EE28" i="1" s="1"/>
  <c r="EH28" i="1" s="1"/>
  <c r="EH40" i="1"/>
  <c r="DL30" i="1"/>
  <c r="DL28" i="1" s="1"/>
  <c r="DM39" i="1"/>
  <c r="FF62" i="1"/>
  <c r="FC62" i="1"/>
  <c r="EW62" i="1"/>
  <c r="ET62" i="1"/>
  <c r="EU63" i="1"/>
  <c r="EO62" i="1"/>
  <c r="EL62" i="1"/>
  <c r="EM63" i="1"/>
  <c r="EG62" i="1"/>
  <c r="EH62" i="1" s="1"/>
  <c r="EE62" i="1"/>
  <c r="EC62" i="1"/>
  <c r="EA62" i="1"/>
  <c r="DY62" i="1"/>
  <c r="DW62" i="1"/>
  <c r="DU62" i="1"/>
  <c r="DS62" i="1"/>
  <c r="DO62" i="1"/>
  <c r="DL62" i="1"/>
  <c r="DJ62" i="1"/>
  <c r="DG62" i="1"/>
  <c r="DD62" i="1"/>
  <c r="DB62" i="1"/>
  <c r="CX62" i="1"/>
  <c r="CU62" i="1"/>
  <c r="CS62" i="1"/>
  <c r="CP62" i="1"/>
  <c r="CM62" i="1"/>
  <c r="CK62" i="1"/>
  <c r="CG62" i="1"/>
  <c r="CD62" i="1"/>
  <c r="CE63" i="1"/>
  <c r="BY62" i="1"/>
  <c r="BU62" i="1"/>
  <c r="BL62" i="1"/>
  <c r="BH62" i="1"/>
  <c r="BD62" i="1"/>
  <c r="AU62" i="1"/>
  <c r="AR62" i="1"/>
  <c r="AS63" i="1"/>
  <c r="AM62" i="1"/>
  <c r="AI62" i="1"/>
  <c r="AE62" i="1"/>
  <c r="U62" i="1"/>
  <c r="Q62" i="1"/>
  <c r="GZ61" i="1"/>
  <c r="FR61" i="1"/>
  <c r="EI61" i="1"/>
  <c r="DA61" i="1"/>
  <c r="BB61" i="1"/>
  <c r="FR60" i="1"/>
  <c r="DA60" i="1"/>
  <c r="EZ59" i="1"/>
  <c r="CJ59" i="1"/>
  <c r="FR58" i="1"/>
  <c r="DA58" i="1"/>
  <c r="BS58" i="1"/>
  <c r="EZ57" i="1"/>
  <c r="CJ57" i="1"/>
  <c r="FR56" i="1"/>
  <c r="DA56" i="1"/>
  <c r="AH55" i="1"/>
  <c r="FM55" i="1"/>
  <c r="ED55" i="1"/>
  <c r="CV55" i="1"/>
  <c r="BR55" i="1"/>
  <c r="BJ55" i="1"/>
  <c r="X55" i="1"/>
  <c r="EZ54" i="1"/>
  <c r="CJ54" i="1"/>
  <c r="FR53" i="1"/>
  <c r="DA53" i="1"/>
  <c r="EZ52" i="1"/>
  <c r="CJ52" i="1"/>
  <c r="AI48" i="1"/>
  <c r="AI47" i="1" s="1"/>
  <c r="EZ51" i="1"/>
  <c r="CJ51" i="1"/>
  <c r="FR50" i="1"/>
  <c r="DA50" i="1"/>
  <c r="HK47" i="1"/>
  <c r="HG47" i="1"/>
  <c r="HG45" i="1" s="1"/>
  <c r="HC47" i="1"/>
  <c r="GW47" i="1"/>
  <c r="GT47" i="1"/>
  <c r="GU49" i="1"/>
  <c r="GO47" i="1"/>
  <c r="GL47" i="1"/>
  <c r="GM49" i="1"/>
  <c r="GG47" i="1"/>
  <c r="GG45" i="1" s="1"/>
  <c r="GC47" i="1"/>
  <c r="FY47" i="1"/>
  <c r="FU47" i="1"/>
  <c r="FO47" i="1"/>
  <c r="FL47" i="1"/>
  <c r="FM49" i="1"/>
  <c r="FG47" i="1"/>
  <c r="FD47" i="1"/>
  <c r="FD45" i="1" s="1"/>
  <c r="FE49" i="1"/>
  <c r="ET47" i="1"/>
  <c r="EP47" i="1"/>
  <c r="EL47" i="1"/>
  <c r="EF47" i="1"/>
  <c r="EC47" i="1"/>
  <c r="ED49" i="1"/>
  <c r="DX47" i="1"/>
  <c r="DV49" i="1"/>
  <c r="DP47" i="1"/>
  <c r="DL47" i="1"/>
  <c r="DD47" i="1"/>
  <c r="CX47" i="1"/>
  <c r="CX45" i="1" s="1"/>
  <c r="CU47" i="1"/>
  <c r="CV49" i="1"/>
  <c r="CP47" i="1"/>
  <c r="CP45" i="1" s="1"/>
  <c r="CN49" i="1"/>
  <c r="CH47" i="1"/>
  <c r="CD47" i="1"/>
  <c r="BZ47" i="1"/>
  <c r="BV47" i="1"/>
  <c r="BP47" i="1"/>
  <c r="GI43" i="1"/>
  <c r="EZ42" i="1"/>
  <c r="CJ42" i="1"/>
  <c r="AM41" i="1"/>
  <c r="GU41" i="1"/>
  <c r="GM41" i="1"/>
  <c r="FV41" i="1"/>
  <c r="CA41" i="1"/>
  <c r="BR41" i="1"/>
  <c r="BJ41" i="1"/>
  <c r="GT62" i="1"/>
  <c r="GR62" i="1"/>
  <c r="GO62" i="1"/>
  <c r="GL62" i="1"/>
  <c r="GM62" i="1" s="1"/>
  <c r="GJ62" i="1"/>
  <c r="GG62" i="1"/>
  <c r="GE62" i="1"/>
  <c r="GC62" i="1"/>
  <c r="GA62" i="1"/>
  <c r="FY62" i="1"/>
  <c r="FW62" i="1"/>
  <c r="FU62" i="1"/>
  <c r="FV62" i="1" s="1"/>
  <c r="FS62" i="1"/>
  <c r="FO62" i="1"/>
  <c r="FL62" i="1"/>
  <c r="FJ62" i="1"/>
  <c r="FG62" i="1"/>
  <c r="FD62" i="1"/>
  <c r="FB62" i="1"/>
  <c r="EX62" i="1"/>
  <c r="EX45" i="1" s="1"/>
  <c r="EY63" i="1"/>
  <c r="ES62" i="1"/>
  <c r="EP62" i="1"/>
  <c r="EQ63" i="1"/>
  <c r="EK62" i="1"/>
  <c r="EH63" i="1"/>
  <c r="EF62" i="1"/>
  <c r="ED63" i="1"/>
  <c r="EB62" i="1"/>
  <c r="DZ63" i="1"/>
  <c r="DX62" i="1"/>
  <c r="DV63" i="1"/>
  <c r="EI63" i="1" s="1"/>
  <c r="DT62" i="1"/>
  <c r="DP62" i="1"/>
  <c r="DN62" i="1"/>
  <c r="DK62" i="1"/>
  <c r="DM62" i="1" s="1"/>
  <c r="DH62" i="1"/>
  <c r="DF62" i="1"/>
  <c r="DC62" i="1"/>
  <c r="CY62" i="1"/>
  <c r="CW62" i="1"/>
  <c r="CT62" i="1"/>
  <c r="CQ62" i="1"/>
  <c r="CO62" i="1"/>
  <c r="CL62" i="1"/>
  <c r="CH62" i="1"/>
  <c r="CI63" i="1"/>
  <c r="CC62" i="1"/>
  <c r="BZ62" i="1"/>
  <c r="CA63" i="1"/>
  <c r="BM62" i="1"/>
  <c r="BE62" i="1"/>
  <c r="AY62" i="1"/>
  <c r="AV62" i="1"/>
  <c r="AW63" i="1"/>
  <c r="AQ62" i="1"/>
  <c r="AN62" i="1"/>
  <c r="AO63" i="1"/>
  <c r="AH62" i="1"/>
  <c r="AD62" i="1"/>
  <c r="X63" i="1"/>
  <c r="V62" i="1"/>
  <c r="R62" i="1"/>
  <c r="S63" i="1"/>
  <c r="EQ61" i="1"/>
  <c r="EZ61" i="1" s="1"/>
  <c r="DI55" i="1"/>
  <c r="CJ61" i="1"/>
  <c r="AK61" i="1"/>
  <c r="GZ60" i="1"/>
  <c r="EI60" i="1"/>
  <c r="AK60" i="1"/>
  <c r="GI59" i="1"/>
  <c r="DR59" i="1"/>
  <c r="BB59" i="1"/>
  <c r="BF59" i="1" s="1"/>
  <c r="BS59" i="1" s="1"/>
  <c r="GZ58" i="1"/>
  <c r="EI58" i="1"/>
  <c r="AK58" i="1"/>
  <c r="GI57" i="1"/>
  <c r="DR57" i="1"/>
  <c r="BB57" i="1"/>
  <c r="BF57" i="1" s="1"/>
  <c r="BS57" i="1" s="1"/>
  <c r="GZ56" i="1"/>
  <c r="EI56" i="1"/>
  <c r="BS56" i="1"/>
  <c r="HQ55" i="1"/>
  <c r="FQ55" i="1"/>
  <c r="FI55" i="1"/>
  <c r="DZ55" i="1"/>
  <c r="CZ55" i="1"/>
  <c r="CR55" i="1"/>
  <c r="BN55" i="1"/>
  <c r="BF55" i="1"/>
  <c r="AB55" i="1"/>
  <c r="GI54" i="1"/>
  <c r="DR54" i="1"/>
  <c r="T54" i="1"/>
  <c r="HQ53" i="1"/>
  <c r="GZ53" i="1"/>
  <c r="EI53" i="1"/>
  <c r="BS53" i="1"/>
  <c r="BB53" i="1"/>
  <c r="AK53" i="1"/>
  <c r="GI52" i="1"/>
  <c r="DR52" i="1"/>
  <c r="AJ52" i="1"/>
  <c r="AK52" i="1" s="1"/>
  <c r="AH48" i="1"/>
  <c r="GI51" i="1"/>
  <c r="DR51" i="1"/>
  <c r="BB51" i="1"/>
  <c r="BF51" i="1" s="1"/>
  <c r="BS51" i="1" s="1"/>
  <c r="GZ50" i="1"/>
  <c r="EI50" i="1"/>
  <c r="AK50" i="1"/>
  <c r="HL49" i="1"/>
  <c r="HJ47" i="1"/>
  <c r="HJ45" i="1" s="1"/>
  <c r="HH49" i="1"/>
  <c r="HF47" i="1"/>
  <c r="HD49" i="1"/>
  <c r="HQ49" i="1" s="1"/>
  <c r="HB47" i="1"/>
  <c r="GX47" i="1"/>
  <c r="GY49" i="1"/>
  <c r="GS47" i="1"/>
  <c r="GP47" i="1"/>
  <c r="GQ49" i="1"/>
  <c r="GK47" i="1"/>
  <c r="GH49" i="1"/>
  <c r="GF47" i="1"/>
  <c r="GD49" i="1"/>
  <c r="GB47" i="1"/>
  <c r="FZ49" i="1"/>
  <c r="FX47" i="1"/>
  <c r="FV49" i="1"/>
  <c r="FT47" i="1"/>
  <c r="FP47" i="1"/>
  <c r="FQ49" i="1"/>
  <c r="FK47" i="1"/>
  <c r="FH47" i="1"/>
  <c r="FI49" i="1"/>
  <c r="FC47" i="1"/>
  <c r="FC45" i="1" s="1"/>
  <c r="EY49" i="1"/>
  <c r="EW47" i="1"/>
  <c r="EU49" i="1"/>
  <c r="ES47" i="1"/>
  <c r="ES45" i="1" s="1"/>
  <c r="EQ49" i="1"/>
  <c r="EO47" i="1"/>
  <c r="EM49" i="1"/>
  <c r="EK47" i="1"/>
  <c r="EK45" i="1" s="1"/>
  <c r="EH49" i="1"/>
  <c r="EB47" i="1"/>
  <c r="DY47" i="1"/>
  <c r="DZ49" i="1"/>
  <c r="DT47" i="1"/>
  <c r="DQ49" i="1"/>
  <c r="DO47" i="1"/>
  <c r="DO45" i="1" s="1"/>
  <c r="DM49" i="1"/>
  <c r="DK47" i="1"/>
  <c r="DI49" i="1"/>
  <c r="DE49" i="1"/>
  <c r="DC47" i="1"/>
  <c r="CY47" i="1"/>
  <c r="CZ49" i="1"/>
  <c r="CT47" i="1"/>
  <c r="CQ47" i="1"/>
  <c r="CR49" i="1"/>
  <c r="CL47" i="1"/>
  <c r="CI49" i="1"/>
  <c r="CG47" i="1"/>
  <c r="CE49" i="1"/>
  <c r="CC47" i="1"/>
  <c r="CA49" i="1"/>
  <c r="BY47" i="1"/>
  <c r="BW49" i="1"/>
  <c r="BU47" i="1"/>
  <c r="AS49" i="1"/>
  <c r="S49" i="1"/>
  <c r="T49" i="1" s="1"/>
  <c r="EY43" i="1"/>
  <c r="EY41" i="1"/>
  <c r="EU41" i="1"/>
  <c r="AW43" i="1"/>
  <c r="S43" i="1"/>
  <c r="T43" i="1" s="1"/>
  <c r="GI42" i="1"/>
  <c r="DR42" i="1"/>
  <c r="AK42" i="1"/>
  <c r="GQ41" i="1"/>
  <c r="CI41" i="1"/>
  <c r="BW41" i="1"/>
  <c r="BN41" i="1"/>
  <c r="GI40" i="1"/>
  <c r="FR40" i="1"/>
  <c r="DR40" i="1"/>
  <c r="EZ39" i="1"/>
  <c r="T29" i="1"/>
  <c r="BA41" i="1"/>
  <c r="O41" i="1"/>
  <c r="CJ40" i="1"/>
  <c r="FR39" i="1"/>
  <c r="EC30" i="1"/>
  <c r="EC28" i="1" s="1"/>
  <c r="DA39" i="1"/>
  <c r="BW39" i="1"/>
  <c r="CJ39" i="1" s="1"/>
  <c r="AK39" i="1"/>
  <c r="GI38" i="1"/>
  <c r="DR38" i="1"/>
  <c r="BB38" i="1"/>
  <c r="GI36" i="1"/>
  <c r="DR36" i="1"/>
  <c r="GI35" i="1"/>
  <c r="DR35" i="1"/>
  <c r="AK35" i="1"/>
  <c r="GZ34" i="1"/>
  <c r="EI34" i="1"/>
  <c r="BB34" i="1"/>
  <c r="BF34" i="1" s="1"/>
  <c r="BS34" i="1" s="1"/>
  <c r="GZ33" i="1"/>
  <c r="DQ33" i="1"/>
  <c r="DM33" i="1"/>
  <c r="DI33" i="1"/>
  <c r="DE33" i="1"/>
  <c r="BD31" i="1"/>
  <c r="BF31" i="1" s="1"/>
  <c r="AO33" i="1"/>
  <c r="GU32" i="1"/>
  <c r="GM32" i="1"/>
  <c r="FV32" i="1"/>
  <c r="GY30" i="1"/>
  <c r="GU30" i="1"/>
  <c r="GQ30" i="1"/>
  <c r="GM30" i="1"/>
  <c r="FQ30" i="1"/>
  <c r="FM30" i="1"/>
  <c r="FI30" i="1"/>
  <c r="FE30" i="1"/>
  <c r="CZ30" i="1"/>
  <c r="CV30" i="1"/>
  <c r="CR30" i="1"/>
  <c r="CN30" i="1"/>
  <c r="CI30" i="1"/>
  <c r="CA30" i="1"/>
  <c r="AB30" i="1"/>
  <c r="S30" i="1"/>
  <c r="T30" i="1" s="1"/>
  <c r="GI29" i="1"/>
  <c r="DR29" i="1"/>
  <c r="CF28" i="1"/>
  <c r="CI28" i="1" s="1"/>
  <c r="CD28" i="1"/>
  <c r="CB28" i="1"/>
  <c r="BZ28" i="1"/>
  <c r="BX28" i="1"/>
  <c r="BT28" i="1"/>
  <c r="BP28" i="1"/>
  <c r="BM28" i="1"/>
  <c r="BK28" i="1"/>
  <c r="BE28" i="1"/>
  <c r="BC28" i="1"/>
  <c r="AZ28" i="1"/>
  <c r="AV28" i="1"/>
  <c r="AW28" i="1" s="1"/>
  <c r="AR28" i="1"/>
  <c r="AL28" i="1"/>
  <c r="AH28" i="1"/>
  <c r="AC28" i="1"/>
  <c r="Z28" i="1"/>
  <c r="AB28" i="1" s="1"/>
  <c r="W28" i="1"/>
  <c r="M28" i="1"/>
  <c r="GI27" i="1"/>
  <c r="DR27" i="1"/>
  <c r="BS27" i="1"/>
  <c r="AS27" i="1"/>
  <c r="GI25" i="1"/>
  <c r="DR25" i="1"/>
  <c r="BB25" i="1"/>
  <c r="GZ24" i="1"/>
  <c r="EI24" i="1"/>
  <c r="BS24" i="1"/>
  <c r="HL23" i="1"/>
  <c r="HD23" i="1"/>
  <c r="HQ23" i="1" s="1"/>
  <c r="GD23" i="1"/>
  <c r="FM23" i="1"/>
  <c r="FE23" i="1"/>
  <c r="ED23" i="1"/>
  <c r="DV23" i="1"/>
  <c r="CV23" i="1"/>
  <c r="CN23" i="1"/>
  <c r="BN23" i="1"/>
  <c r="BF23" i="1"/>
  <c r="AF23" i="1"/>
  <c r="S23" i="1"/>
  <c r="GZ22" i="1"/>
  <c r="EI22" i="1"/>
  <c r="CJ22" i="1"/>
  <c r="T22" i="1"/>
  <c r="HQ21" i="1"/>
  <c r="GZ21" i="1"/>
  <c r="GD21" i="1"/>
  <c r="GI21" i="1" s="1"/>
  <c r="DR21" i="1"/>
  <c r="BB21" i="1"/>
  <c r="X21" i="1"/>
  <c r="AK21" i="1" s="1"/>
  <c r="GZ20" i="1"/>
  <c r="EI20" i="1"/>
  <c r="U18" i="1"/>
  <c r="FR19" i="1"/>
  <c r="DA19" i="1"/>
  <c r="AJ19" i="1"/>
  <c r="AK19" i="1" s="1"/>
  <c r="AJ18" i="1"/>
  <c r="HH18" i="1"/>
  <c r="GH18" i="1"/>
  <c r="FM18" i="1"/>
  <c r="FE18" i="1"/>
  <c r="ED18" i="1"/>
  <c r="DV18" i="1"/>
  <c r="CV18" i="1"/>
  <c r="CN18" i="1"/>
  <c r="BN18" i="1"/>
  <c r="BS18" i="1" s="1"/>
  <c r="BF18" i="1"/>
  <c r="AB18" i="1"/>
  <c r="EZ17" i="1"/>
  <c r="CJ17" i="1"/>
  <c r="AB17" i="1"/>
  <c r="AK17" i="1" s="1"/>
  <c r="FR16" i="1"/>
  <c r="DA16" i="1"/>
  <c r="AK16" i="1"/>
  <c r="GI15" i="1"/>
  <c r="DR15" i="1"/>
  <c r="AJ15" i="1"/>
  <c r="AH13" i="1"/>
  <c r="AH12" i="1" s="1"/>
  <c r="AH10" i="1" s="1"/>
  <c r="AF15" i="1"/>
  <c r="HJ13" i="1"/>
  <c r="HJ12" i="1" s="1"/>
  <c r="HF13" i="1"/>
  <c r="HF12" i="1" s="1"/>
  <c r="HF10" i="1" s="1"/>
  <c r="HF85" i="1" s="1"/>
  <c r="HB13" i="1"/>
  <c r="HB12" i="1" s="1"/>
  <c r="HB10" i="1" s="1"/>
  <c r="GX13" i="1"/>
  <c r="GX12" i="1" s="1"/>
  <c r="GV13" i="1"/>
  <c r="GS13" i="1"/>
  <c r="GS12" i="1" s="1"/>
  <c r="GS10" i="1" s="1"/>
  <c r="GP13" i="1"/>
  <c r="GP12" i="1" s="1"/>
  <c r="GN13" i="1"/>
  <c r="GK13" i="1"/>
  <c r="GK12" i="1" s="1"/>
  <c r="GF13" i="1"/>
  <c r="GF12" i="1" s="1"/>
  <c r="GF10" i="1" s="1"/>
  <c r="GB13" i="1"/>
  <c r="GB12" i="1" s="1"/>
  <c r="GB10" i="1" s="1"/>
  <c r="FW13" i="1"/>
  <c r="FU13" i="1"/>
  <c r="FU12" i="1" s="1"/>
  <c r="FS13" i="1"/>
  <c r="FS12" i="1" s="1"/>
  <c r="FP13" i="1"/>
  <c r="FP12" i="1" s="1"/>
  <c r="FN13" i="1"/>
  <c r="FL13" i="1"/>
  <c r="FL12" i="1" s="1"/>
  <c r="FJ13" i="1"/>
  <c r="FJ12" i="1" s="1"/>
  <c r="FH13" i="1"/>
  <c r="FH12" i="1" s="1"/>
  <c r="FH10" i="1" s="1"/>
  <c r="FF13" i="1"/>
  <c r="FD13" i="1"/>
  <c r="FD12" i="1" s="1"/>
  <c r="FB13" i="1"/>
  <c r="FB12" i="1" s="1"/>
  <c r="EX13" i="1"/>
  <c r="EX12" i="1" s="1"/>
  <c r="EV13" i="1"/>
  <c r="ET13" i="1"/>
  <c r="ET12" i="1" s="1"/>
  <c r="ER13" i="1"/>
  <c r="ER12" i="1" s="1"/>
  <c r="EP13" i="1"/>
  <c r="EP12" i="1" s="1"/>
  <c r="EP10" i="1" s="1"/>
  <c r="EN13" i="1"/>
  <c r="EL13" i="1"/>
  <c r="EL12" i="1" s="1"/>
  <c r="EJ13" i="1"/>
  <c r="EJ12" i="1" s="1"/>
  <c r="EF13" i="1"/>
  <c r="EF12" i="1" s="1"/>
  <c r="EC13" i="1"/>
  <c r="EC12" i="1" s="1"/>
  <c r="EA13" i="1"/>
  <c r="DX13" i="1"/>
  <c r="DX12" i="1" s="1"/>
  <c r="DX10" i="1" s="1"/>
  <c r="DU13" i="1"/>
  <c r="DU12" i="1" s="1"/>
  <c r="DS13" i="1"/>
  <c r="DP13" i="1"/>
  <c r="DP12" i="1" s="1"/>
  <c r="DN13" i="1"/>
  <c r="DN12" i="1" s="1"/>
  <c r="DL13" i="1"/>
  <c r="DL12" i="1" s="1"/>
  <c r="DL10" i="1" s="1"/>
  <c r="DJ13" i="1"/>
  <c r="DH13" i="1"/>
  <c r="DH12" i="1" s="1"/>
  <c r="DF13" i="1"/>
  <c r="DF12" i="1" s="1"/>
  <c r="DD13" i="1"/>
  <c r="DD12" i="1" s="1"/>
  <c r="DB13" i="1"/>
  <c r="BB39" i="1"/>
  <c r="EZ38" i="1"/>
  <c r="CJ38" i="1"/>
  <c r="EZ36" i="1"/>
  <c r="EZ35" i="1"/>
  <c r="CJ35" i="1"/>
  <c r="FR34" i="1"/>
  <c r="DA34" i="1"/>
  <c r="FR33" i="1"/>
  <c r="EI33" i="1"/>
  <c r="CJ33" i="1"/>
  <c r="AK33" i="1"/>
  <c r="GY32" i="1"/>
  <c r="GQ32" i="1"/>
  <c r="CE30" i="1"/>
  <c r="BS30" i="1"/>
  <c r="X30" i="1"/>
  <c r="EZ29" i="1"/>
  <c r="CC28" i="1"/>
  <c r="CE28" i="1" s="1"/>
  <c r="BY28" i="1"/>
  <c r="BU28" i="1"/>
  <c r="BL28" i="1"/>
  <c r="BD28" i="1"/>
  <c r="BF28" i="1" s="1"/>
  <c r="AQ28" i="1"/>
  <c r="AG28" i="1"/>
  <c r="AD28" i="1"/>
  <c r="AA28" i="1"/>
  <c r="Y28" i="1"/>
  <c r="U28" i="1"/>
  <c r="N28" i="1"/>
  <c r="EZ27" i="1"/>
  <c r="CJ27" i="1"/>
  <c r="EZ25" i="1"/>
  <c r="CJ25" i="1"/>
  <c r="FR24" i="1"/>
  <c r="DA24" i="1"/>
  <c r="HH23" i="1"/>
  <c r="GH23" i="1"/>
  <c r="FQ23" i="1"/>
  <c r="FI23" i="1"/>
  <c r="EH23" i="1"/>
  <c r="DZ23" i="1"/>
  <c r="CZ23" i="1"/>
  <c r="CR23" i="1"/>
  <c r="BR23" i="1"/>
  <c r="BJ23" i="1"/>
  <c r="AJ23" i="1"/>
  <c r="FR22" i="1"/>
  <c r="DA22" i="1"/>
  <c r="BB22" i="1"/>
  <c r="AK22" i="1"/>
  <c r="EZ21" i="1"/>
  <c r="CJ21" i="1"/>
  <c r="FR20" i="1"/>
  <c r="DA20" i="1"/>
  <c r="GZ19" i="1"/>
  <c r="EI19" i="1"/>
  <c r="BS19" i="1"/>
  <c r="M18" i="1"/>
  <c r="HL18" i="1"/>
  <c r="HD18" i="1"/>
  <c r="FQ18" i="1"/>
  <c r="FI18" i="1"/>
  <c r="EH18" i="1"/>
  <c r="EI18" i="1" s="1"/>
  <c r="DZ18" i="1"/>
  <c r="DR18" i="1"/>
  <c r="CZ18" i="1"/>
  <c r="CR18" i="1"/>
  <c r="BR18" i="1"/>
  <c r="BJ18" i="1"/>
  <c r="AF18" i="1"/>
  <c r="GI17" i="1"/>
  <c r="DR17" i="1"/>
  <c r="BB17" i="1"/>
  <c r="AA13" i="1"/>
  <c r="AA12" i="1" s="1"/>
  <c r="GZ16" i="1"/>
  <c r="EI16" i="1"/>
  <c r="BS16" i="1"/>
  <c r="EZ15" i="1"/>
  <c r="CJ15" i="1"/>
  <c r="HK13" i="1"/>
  <c r="HK12" i="1" s="1"/>
  <c r="HI13" i="1"/>
  <c r="HG13" i="1"/>
  <c r="HG12" i="1" s="1"/>
  <c r="HE13" i="1"/>
  <c r="HC13" i="1"/>
  <c r="HC12" i="1" s="1"/>
  <c r="HA13" i="1"/>
  <c r="GW13" i="1"/>
  <c r="GW12" i="1" s="1"/>
  <c r="GW10" i="1" s="1"/>
  <c r="GT13" i="1"/>
  <c r="GT12" i="1" s="1"/>
  <c r="GR13" i="1"/>
  <c r="GO13" i="1"/>
  <c r="GO12" i="1" s="1"/>
  <c r="GL13" i="1"/>
  <c r="GL12" i="1" s="1"/>
  <c r="GJ13" i="1"/>
  <c r="GG13" i="1"/>
  <c r="GG12" i="1" s="1"/>
  <c r="GE13" i="1"/>
  <c r="GA13" i="1"/>
  <c r="GA12" i="1" s="1"/>
  <c r="FX13" i="1"/>
  <c r="FX12" i="1" s="1"/>
  <c r="FX10" i="1" s="1"/>
  <c r="FT13" i="1"/>
  <c r="FT12" i="1" s="1"/>
  <c r="FO13" i="1"/>
  <c r="FO12" i="1" s="1"/>
  <c r="FK13" i="1"/>
  <c r="FK12" i="1" s="1"/>
  <c r="FK10" i="1" s="1"/>
  <c r="FG13" i="1"/>
  <c r="FG12" i="1" s="1"/>
  <c r="FG10" i="1" s="1"/>
  <c r="FC13" i="1"/>
  <c r="FC12" i="1" s="1"/>
  <c r="EW13" i="1"/>
  <c r="EW12" i="1" s="1"/>
  <c r="ES13" i="1"/>
  <c r="ES12" i="1" s="1"/>
  <c r="ES10" i="1" s="1"/>
  <c r="EO13" i="1"/>
  <c r="EO12" i="1" s="1"/>
  <c r="EK13" i="1"/>
  <c r="EK12" i="1" s="1"/>
  <c r="EG13" i="1"/>
  <c r="EG12" i="1" s="1"/>
  <c r="EE13" i="1"/>
  <c r="EE12" i="1" s="1"/>
  <c r="EB13" i="1"/>
  <c r="EB12" i="1" s="1"/>
  <c r="DY13" i="1"/>
  <c r="DY12" i="1" s="1"/>
  <c r="DW13" i="1"/>
  <c r="DT13" i="1"/>
  <c r="DT12" i="1" s="1"/>
  <c r="DT10" i="1" s="1"/>
  <c r="DO13" i="1"/>
  <c r="DO12" i="1" s="1"/>
  <c r="DK13" i="1"/>
  <c r="DK12" i="1" s="1"/>
  <c r="DG13" i="1"/>
  <c r="DG12" i="1" s="1"/>
  <c r="DC13" i="1"/>
  <c r="DC12" i="1" s="1"/>
  <c r="DC10" i="1" s="1"/>
  <c r="HQ80" i="1"/>
  <c r="HQ74" i="1"/>
  <c r="HQ69" i="1"/>
  <c r="HQ67" i="1"/>
  <c r="HQ52" i="1"/>
  <c r="HQ51" i="1"/>
  <c r="HQ42" i="1"/>
  <c r="HQ38" i="1"/>
  <c r="HQ36" i="1"/>
  <c r="HQ35" i="1"/>
  <c r="HQ27" i="1"/>
  <c r="HQ70" i="1"/>
  <c r="HQ64" i="1"/>
  <c r="HQ59" i="1"/>
  <c r="HQ57" i="1"/>
  <c r="HQ54" i="1"/>
  <c r="HQ43" i="1"/>
  <c r="HQ25" i="1"/>
  <c r="HQ17" i="1"/>
  <c r="HQ15" i="1"/>
  <c r="BO62" i="1"/>
  <c r="BR63" i="1"/>
  <c r="BG62" i="1"/>
  <c r="BJ63" i="1"/>
  <c r="AG62" i="1"/>
  <c r="AJ63" i="1"/>
  <c r="AC62" i="1"/>
  <c r="AF63" i="1"/>
  <c r="HP48" i="1"/>
  <c r="HI47" i="1"/>
  <c r="HL48" i="1"/>
  <c r="HE47" i="1"/>
  <c r="HH48" i="1"/>
  <c r="HA47" i="1"/>
  <c r="HD48" i="1"/>
  <c r="GE47" i="1"/>
  <c r="GH48" i="1"/>
  <c r="GA47" i="1"/>
  <c r="GD48" i="1"/>
  <c r="FW47" i="1"/>
  <c r="FZ48" i="1"/>
  <c r="FS47" i="1"/>
  <c r="FV48" i="1"/>
  <c r="EV47" i="1"/>
  <c r="EY48" i="1"/>
  <c r="ER47" i="1"/>
  <c r="EU48" i="1"/>
  <c r="EN47" i="1"/>
  <c r="EQ48" i="1"/>
  <c r="EJ47" i="1"/>
  <c r="EM48" i="1"/>
  <c r="DN47" i="1"/>
  <c r="DQ48" i="1"/>
  <c r="DJ47" i="1"/>
  <c r="DM48" i="1"/>
  <c r="DF47" i="1"/>
  <c r="DI48" i="1"/>
  <c r="DB47" i="1"/>
  <c r="DE48" i="1"/>
  <c r="CF47" i="1"/>
  <c r="CI48" i="1"/>
  <c r="CB47" i="1"/>
  <c r="CE48" i="1"/>
  <c r="BX47" i="1"/>
  <c r="CA48" i="1"/>
  <c r="BT47" i="1"/>
  <c r="BW48" i="1"/>
  <c r="AA62" i="1"/>
  <c r="GY62" i="1"/>
  <c r="BQ62" i="1"/>
  <c r="BA63" i="1"/>
  <c r="BB63" i="1" s="1"/>
  <c r="Y62" i="1"/>
  <c r="W62" i="1"/>
  <c r="X62" i="1" s="1"/>
  <c r="AJ55" i="1"/>
  <c r="GW45" i="1"/>
  <c r="GZ49" i="1"/>
  <c r="FY45" i="1"/>
  <c r="FY85" i="1" s="1"/>
  <c r="FO45" i="1"/>
  <c r="FG45" i="1"/>
  <c r="EP45" i="1"/>
  <c r="EL45" i="1"/>
  <c r="EC45" i="1"/>
  <c r="DU47" i="1"/>
  <c r="DU45" i="1" s="1"/>
  <c r="DP45" i="1"/>
  <c r="DL45" i="1"/>
  <c r="DH47" i="1"/>
  <c r="CU45" i="1"/>
  <c r="CH45" i="1"/>
  <c r="CD45" i="1"/>
  <c r="DN71" i="1"/>
  <c r="DQ71" i="1" s="1"/>
  <c r="DQ73" i="1"/>
  <c r="CV73" i="1"/>
  <c r="CS71" i="1"/>
  <c r="BK62" i="1"/>
  <c r="BN62" i="1" s="1"/>
  <c r="BN63" i="1"/>
  <c r="BC62" i="1"/>
  <c r="BF62" i="1" s="1"/>
  <c r="BF63" i="1"/>
  <c r="Z62" i="1"/>
  <c r="AB63" i="1"/>
  <c r="AL48" i="1"/>
  <c r="AO49" i="1"/>
  <c r="AO77" i="1"/>
  <c r="X77" i="1"/>
  <c r="S77" i="1"/>
  <c r="T77" i="1" s="1"/>
  <c r="CJ75" i="1"/>
  <c r="AK75" i="1"/>
  <c r="HL71" i="1"/>
  <c r="HH71" i="1"/>
  <c r="HD71" i="1"/>
  <c r="GH71" i="1"/>
  <c r="FV71" i="1"/>
  <c r="EU71" i="1"/>
  <c r="EQ71" i="1"/>
  <c r="EM71" i="1"/>
  <c r="DM71" i="1"/>
  <c r="CI71" i="1"/>
  <c r="CA71" i="1"/>
  <c r="AX71" i="1"/>
  <c r="AS71" i="1"/>
  <c r="AN71" i="1"/>
  <c r="AO71" i="1" s="1"/>
  <c r="GZ67" i="1"/>
  <c r="AO73" i="1"/>
  <c r="BB73" i="1" s="1"/>
  <c r="FE77" i="1"/>
  <c r="FR77" i="1" s="1"/>
  <c r="DZ77" i="1"/>
  <c r="EI77" i="1" s="1"/>
  <c r="DE77" i="1"/>
  <c r="DR77" i="1" s="1"/>
  <c r="AJ77" i="1"/>
  <c r="AB77" i="1"/>
  <c r="EM77" i="1"/>
  <c r="EZ77" i="1" s="1"/>
  <c r="CE77" i="1"/>
  <c r="AW77" i="1"/>
  <c r="HP71" i="1"/>
  <c r="DR73" i="1"/>
  <c r="CR73" i="1"/>
  <c r="CJ73" i="1"/>
  <c r="BF71" i="1"/>
  <c r="O71" i="1"/>
  <c r="BW71" i="1"/>
  <c r="BJ71" i="1"/>
  <c r="X71" i="1"/>
  <c r="DR67" i="1"/>
  <c r="BR67" i="1"/>
  <c r="BS67" i="1" s="1"/>
  <c r="AB67" i="1"/>
  <c r="EZ67" i="1"/>
  <c r="T67" i="1"/>
  <c r="BP62" i="1"/>
  <c r="HP62" i="1"/>
  <c r="FZ62" i="1"/>
  <c r="BI62" i="1"/>
  <c r="T63" i="1"/>
  <c r="M62" i="1"/>
  <c r="EH55" i="1"/>
  <c r="DV55" i="1"/>
  <c r="BS55" i="1"/>
  <c r="T53" i="1"/>
  <c r="HF45" i="1"/>
  <c r="GS45" i="1"/>
  <c r="GK45" i="1"/>
  <c r="GF45" i="1"/>
  <c r="FT45" i="1"/>
  <c r="FP45" i="1"/>
  <c r="FH45" i="1"/>
  <c r="EW45" i="1"/>
  <c r="EO45" i="1"/>
  <c r="EG47" i="1"/>
  <c r="DG47" i="1"/>
  <c r="BK47" i="1"/>
  <c r="BG47" i="1"/>
  <c r="BJ48" i="1"/>
  <c r="BC47" i="1"/>
  <c r="BF48" i="1"/>
  <c r="AG47" i="1"/>
  <c r="Y47" i="1"/>
  <c r="AB48" i="1"/>
  <c r="U47" i="1"/>
  <c r="M47" i="1"/>
  <c r="AX31" i="1"/>
  <c r="BA31" i="1" s="1"/>
  <c r="BA32" i="1"/>
  <c r="AL31" i="1"/>
  <c r="AO31" i="1" s="1"/>
  <c r="AO32" i="1"/>
  <c r="AC31" i="1"/>
  <c r="AF31" i="1" s="1"/>
  <c r="AF32" i="1"/>
  <c r="BB84" i="1"/>
  <c r="BB83" i="1"/>
  <c r="DZ79" i="1"/>
  <c r="EI79" i="1" s="1"/>
  <c r="CE79" i="1"/>
  <c r="CJ79" i="1" s="1"/>
  <c r="AW79" i="1"/>
  <c r="AS79" i="1"/>
  <c r="AJ79" i="1"/>
  <c r="AF79" i="1"/>
  <c r="AB79" i="1"/>
  <c r="X79" i="1"/>
  <c r="K45" i="1"/>
  <c r="G45" i="1"/>
  <c r="G85" i="1" s="1"/>
  <c r="DQ75" i="1"/>
  <c r="DR75" i="1" s="1"/>
  <c r="CZ75" i="1"/>
  <c r="CV75" i="1"/>
  <c r="HP73" i="1"/>
  <c r="HL73" i="1"/>
  <c r="GV71" i="1"/>
  <c r="GY71" i="1" s="1"/>
  <c r="GR71" i="1"/>
  <c r="GU71" i="1" s="1"/>
  <c r="GP71" i="1"/>
  <c r="GQ71" i="1" s="1"/>
  <c r="GL71" i="1"/>
  <c r="GL45" i="1" s="1"/>
  <c r="FN71" i="1"/>
  <c r="FQ71" i="1" s="1"/>
  <c r="FJ71" i="1"/>
  <c r="FM71" i="1" s="1"/>
  <c r="FF71" i="1"/>
  <c r="FI71" i="1" s="1"/>
  <c r="FB71" i="1"/>
  <c r="FE71" i="1" s="1"/>
  <c r="EE71" i="1"/>
  <c r="EH71" i="1" s="1"/>
  <c r="EA71" i="1"/>
  <c r="ED71" i="1" s="1"/>
  <c r="DW71" i="1"/>
  <c r="DZ71" i="1" s="1"/>
  <c r="DS71" i="1"/>
  <c r="DV71" i="1" s="1"/>
  <c r="CW71" i="1"/>
  <c r="CZ71" i="1" s="1"/>
  <c r="CO71" i="1"/>
  <c r="CR71" i="1" s="1"/>
  <c r="CK71" i="1"/>
  <c r="CN71" i="1" s="1"/>
  <c r="AG71" i="1"/>
  <c r="AC71" i="1"/>
  <c r="AF71" i="1" s="1"/>
  <c r="AA71" i="1"/>
  <c r="CR67" i="1"/>
  <c r="AZ67" i="1"/>
  <c r="AZ62" i="1" s="1"/>
  <c r="BV63" i="1"/>
  <c r="BV62" i="1" s="1"/>
  <c r="EV62" i="1"/>
  <c r="ER62" i="1"/>
  <c r="EU62" i="1" s="1"/>
  <c r="EN62" i="1"/>
  <c r="EJ62" i="1"/>
  <c r="CF62" i="1"/>
  <c r="CB62" i="1"/>
  <c r="BX62" i="1"/>
  <c r="BT62" i="1"/>
  <c r="AX62" i="1"/>
  <c r="AT62" i="1"/>
  <c r="AP62" i="1"/>
  <c r="AS62" i="1" s="1"/>
  <c r="AL62" i="1"/>
  <c r="P62" i="1"/>
  <c r="S62" i="1" s="1"/>
  <c r="N62" i="1"/>
  <c r="FB55" i="1"/>
  <c r="FE55" i="1" s="1"/>
  <c r="CM55" i="1"/>
  <c r="CM47" i="1" s="1"/>
  <c r="CM45" i="1" s="1"/>
  <c r="AC55" i="1"/>
  <c r="AF55" i="1" s="1"/>
  <c r="BQ47" i="1"/>
  <c r="BO47" i="1"/>
  <c r="BM47" i="1"/>
  <c r="BM45" i="1" s="1"/>
  <c r="BI47" i="1"/>
  <c r="BE47" i="1"/>
  <c r="AY47" i="1"/>
  <c r="AU47" i="1"/>
  <c r="AQ47" i="1"/>
  <c r="AM47" i="1"/>
  <c r="AM45" i="1" s="1"/>
  <c r="AE47" i="1"/>
  <c r="AE45" i="1" s="1"/>
  <c r="AC48" i="1"/>
  <c r="AA47" i="1"/>
  <c r="AA45" i="1" s="1"/>
  <c r="W47" i="1"/>
  <c r="Q47" i="1"/>
  <c r="Q45" i="1" s="1"/>
  <c r="GV48" i="1"/>
  <c r="GR48" i="1"/>
  <c r="GN48" i="1"/>
  <c r="GJ48" i="1"/>
  <c r="FN48" i="1"/>
  <c r="FJ48" i="1"/>
  <c r="FF48" i="1"/>
  <c r="FB48" i="1"/>
  <c r="EE48" i="1"/>
  <c r="EA48" i="1"/>
  <c r="DW48" i="1"/>
  <c r="DS48" i="1"/>
  <c r="CW48" i="1"/>
  <c r="CS48" i="1"/>
  <c r="CO48" i="1"/>
  <c r="CK48" i="1"/>
  <c r="BR48" i="1"/>
  <c r="CE41" i="1"/>
  <c r="AO41" i="1"/>
  <c r="S41" i="1"/>
  <c r="AP47" i="1"/>
  <c r="AS48" i="1"/>
  <c r="P47" i="1"/>
  <c r="S48" i="1"/>
  <c r="DP31" i="1"/>
  <c r="DP10" i="1" s="1"/>
  <c r="DP85" i="1" s="1"/>
  <c r="DQ32" i="1"/>
  <c r="DQ31" i="1" s="1"/>
  <c r="DJ31" i="1"/>
  <c r="DM32" i="1"/>
  <c r="DM31" i="1" s="1"/>
  <c r="DH31" i="1"/>
  <c r="DH10" i="1" s="1"/>
  <c r="DI32" i="1"/>
  <c r="DI31" i="1" s="1"/>
  <c r="DB31" i="1"/>
  <c r="DE32" i="1"/>
  <c r="AU31" i="1"/>
  <c r="AW31" i="1" s="1"/>
  <c r="AW32" i="1"/>
  <c r="AP31" i="1"/>
  <c r="AS31" i="1" s="1"/>
  <c r="AS32" i="1"/>
  <c r="S73" i="1"/>
  <c r="O73" i="1"/>
  <c r="CI72" i="1"/>
  <c r="CE72" i="1"/>
  <c r="CA72" i="1"/>
  <c r="BW72" i="1"/>
  <c r="BR68" i="1"/>
  <c r="BJ68" i="1"/>
  <c r="AJ68" i="1"/>
  <c r="AF68" i="1"/>
  <c r="AB68" i="1"/>
  <c r="X68" i="1"/>
  <c r="O68" i="1"/>
  <c r="T68" i="1" s="1"/>
  <c r="DR64" i="1"/>
  <c r="DR63" i="1" s="1"/>
  <c r="BN64" i="1"/>
  <c r="BJ64" i="1"/>
  <c r="BF64" i="1"/>
  <c r="GY63" i="1"/>
  <c r="GU63" i="1"/>
  <c r="GQ63" i="1"/>
  <c r="GM63" i="1"/>
  <c r="FQ63" i="1"/>
  <c r="FM63" i="1"/>
  <c r="FI63" i="1"/>
  <c r="FE63" i="1"/>
  <c r="DI61" i="1"/>
  <c r="DR61" i="1" s="1"/>
  <c r="AO52" i="1"/>
  <c r="BB52" i="1" s="1"/>
  <c r="BR49" i="1"/>
  <c r="BN49" i="1"/>
  <c r="BL48" i="1"/>
  <c r="BL47" i="1" s="1"/>
  <c r="BL45" i="1" s="1"/>
  <c r="BJ49" i="1"/>
  <c r="BH47" i="1"/>
  <c r="BF49" i="1"/>
  <c r="BD47" i="1"/>
  <c r="BD45" i="1" s="1"/>
  <c r="AZ47" i="1"/>
  <c r="AX48" i="1"/>
  <c r="AV47" i="1"/>
  <c r="AT48" i="1"/>
  <c r="AR47" i="1"/>
  <c r="AR45" i="1" s="1"/>
  <c r="AN47" i="1"/>
  <c r="AJ49" i="1"/>
  <c r="AF49" i="1"/>
  <c r="AD47" i="1"/>
  <c r="AB49" i="1"/>
  <c r="Z47" i="1"/>
  <c r="X49" i="1"/>
  <c r="V48" i="1"/>
  <c r="V47" i="1" s="1"/>
  <c r="V45" i="1" s="1"/>
  <c r="R47" i="1"/>
  <c r="N48" i="1"/>
  <c r="N47" i="1" s="1"/>
  <c r="DA43" i="1"/>
  <c r="BF41" i="1"/>
  <c r="AS41" i="1"/>
  <c r="AJ41" i="1"/>
  <c r="DM41" i="1"/>
  <c r="HP31" i="1"/>
  <c r="HL31" i="1"/>
  <c r="HH31" i="1"/>
  <c r="HD31" i="1"/>
  <c r="GH31" i="1"/>
  <c r="GD31" i="1"/>
  <c r="FQ31" i="1"/>
  <c r="FM31" i="1"/>
  <c r="FI31" i="1"/>
  <c r="FE31" i="1"/>
  <c r="BJ20" i="1"/>
  <c r="BS20" i="1" s="1"/>
  <c r="AN13" i="1"/>
  <c r="AN12" i="1" s="1"/>
  <c r="AN10" i="1" s="1"/>
  <c r="AO14" i="1"/>
  <c r="AG13" i="1"/>
  <c r="AJ14" i="1"/>
  <c r="AC13" i="1"/>
  <c r="AF14" i="1"/>
  <c r="GV12" i="1"/>
  <c r="GN12" i="1"/>
  <c r="FW12" i="1"/>
  <c r="FV13" i="1"/>
  <c r="FN12" i="1"/>
  <c r="FQ13" i="1"/>
  <c r="FM13" i="1"/>
  <c r="FF12" i="1"/>
  <c r="FE13" i="1"/>
  <c r="EV12" i="1"/>
  <c r="EU13" i="1"/>
  <c r="EN12" i="1"/>
  <c r="EM13" i="1"/>
  <c r="EA12" i="1"/>
  <c r="ED13" i="1"/>
  <c r="DS12" i="1"/>
  <c r="DJ12" i="1"/>
  <c r="DM13" i="1"/>
  <c r="DB12" i="1"/>
  <c r="DN41" i="1"/>
  <c r="DQ41" i="1" s="1"/>
  <c r="DF41" i="1"/>
  <c r="DI41" i="1" s="1"/>
  <c r="DD41" i="1"/>
  <c r="DE41" i="1" s="1"/>
  <c r="CT41" i="1"/>
  <c r="CV41" i="1" s="1"/>
  <c r="DA41" i="1" s="1"/>
  <c r="AT41" i="1"/>
  <c r="AW41" i="1" s="1"/>
  <c r="EY31" i="1"/>
  <c r="EU31" i="1"/>
  <c r="EQ31" i="1"/>
  <c r="EH31" i="1"/>
  <c r="ED31" i="1"/>
  <c r="DZ31" i="1"/>
  <c r="DU32" i="1"/>
  <c r="DU31" i="1" s="1"/>
  <c r="DV31" i="1" s="1"/>
  <c r="CR31" i="1"/>
  <c r="CN31" i="1"/>
  <c r="BR31" i="1"/>
  <c r="BN31" i="1"/>
  <c r="BI32" i="1"/>
  <c r="BI31" i="1" s="1"/>
  <c r="BJ31" i="1" s="1"/>
  <c r="AG31" i="1"/>
  <c r="AJ31" i="1" s="1"/>
  <c r="AB31" i="1"/>
  <c r="X31" i="1"/>
  <c r="GV31" i="1"/>
  <c r="GY31" i="1" s="1"/>
  <c r="GR31" i="1"/>
  <c r="GU31" i="1" s="1"/>
  <c r="GN31" i="1"/>
  <c r="GQ31" i="1" s="1"/>
  <c r="GJ31" i="1"/>
  <c r="GM31" i="1" s="1"/>
  <c r="FS31" i="1"/>
  <c r="FV31" i="1" s="1"/>
  <c r="HP28" i="1"/>
  <c r="HH28" i="1"/>
  <c r="GH28" i="1"/>
  <c r="FZ28" i="1"/>
  <c r="EY28" i="1"/>
  <c r="EQ28" i="1"/>
  <c r="DZ28" i="1"/>
  <c r="DQ28" i="1"/>
  <c r="DI28" i="1"/>
  <c r="BW30" i="1"/>
  <c r="CJ30" i="1" s="1"/>
  <c r="BV28" i="1"/>
  <c r="BA28" i="1"/>
  <c r="AS28" i="1"/>
  <c r="AO28" i="1"/>
  <c r="AF28" i="1"/>
  <c r="GU28" i="1"/>
  <c r="X18" i="1"/>
  <c r="GD18" i="1"/>
  <c r="AI13" i="1"/>
  <c r="AI12" i="1" s="1"/>
  <c r="AI10" i="1" s="1"/>
  <c r="HJ10" i="1"/>
  <c r="GX10" i="1"/>
  <c r="GP10" i="1"/>
  <c r="GK10" i="1"/>
  <c r="FU10" i="1"/>
  <c r="FP10" i="1"/>
  <c r="FL10" i="1"/>
  <c r="FD10" i="1"/>
  <c r="EX10" i="1"/>
  <c r="ET10" i="1"/>
  <c r="EL10" i="1"/>
  <c r="EF10" i="1"/>
  <c r="EH30" i="1"/>
  <c r="DS28" i="1"/>
  <c r="DV28" i="1" s="1"/>
  <c r="DV30" i="1"/>
  <c r="AT13" i="1"/>
  <c r="AW14" i="1"/>
  <c r="HP13" i="1"/>
  <c r="HI12" i="1"/>
  <c r="HL13" i="1"/>
  <c r="HE12" i="1"/>
  <c r="HA12" i="1"/>
  <c r="GR12" i="1"/>
  <c r="GJ12" i="1"/>
  <c r="GE12" i="1"/>
  <c r="DW12" i="1"/>
  <c r="EU43" i="1"/>
  <c r="EZ43" i="1" s="1"/>
  <c r="DM43" i="1"/>
  <c r="DR43" i="1" s="1"/>
  <c r="CE43" i="1"/>
  <c r="CJ43" i="1" s="1"/>
  <c r="BF43" i="1"/>
  <c r="BS43" i="1" s="1"/>
  <c r="AS43" i="1"/>
  <c r="AJ43" i="1"/>
  <c r="AB43" i="1"/>
  <c r="X43" i="1"/>
  <c r="AO42" i="1"/>
  <c r="BB42" i="1" s="1"/>
  <c r="ED39" i="1"/>
  <c r="EB30" i="1"/>
  <c r="DV39" i="1"/>
  <c r="DI39" i="1"/>
  <c r="DR39" i="1" s="1"/>
  <c r="BF33" i="1"/>
  <c r="BS33" i="1" s="1"/>
  <c r="AS33" i="1"/>
  <c r="EY32" i="1"/>
  <c r="EU32" i="1"/>
  <c r="EQ32" i="1"/>
  <c r="EM32" i="1"/>
  <c r="EM31" i="1"/>
  <c r="EH32" i="1"/>
  <c r="ED32" i="1"/>
  <c r="DZ32" i="1"/>
  <c r="CZ32" i="1"/>
  <c r="CZ31" i="1" s="1"/>
  <c r="CV32" i="1"/>
  <c r="CV31" i="1" s="1"/>
  <c r="CR32" i="1"/>
  <c r="CN32" i="1"/>
  <c r="CI31" i="1"/>
  <c r="CE31" i="1"/>
  <c r="CA31" i="1"/>
  <c r="BW31" i="1"/>
  <c r="BR32" i="1"/>
  <c r="BN32" i="1"/>
  <c r="BF32" i="1"/>
  <c r="AJ32" i="1"/>
  <c r="AB32" i="1"/>
  <c r="X32" i="1"/>
  <c r="S31" i="1"/>
  <c r="T31" i="1" s="1"/>
  <c r="HL28" i="1"/>
  <c r="HD28" i="1"/>
  <c r="GY28" i="1"/>
  <c r="GQ28" i="1"/>
  <c r="GM28" i="1"/>
  <c r="GD28" i="1"/>
  <c r="FV28" i="1"/>
  <c r="FQ28" i="1"/>
  <c r="FM28" i="1"/>
  <c r="FI28" i="1"/>
  <c r="FE28" i="1"/>
  <c r="EU28" i="1"/>
  <c r="EM28" i="1"/>
  <c r="DM28" i="1"/>
  <c r="DE28" i="1"/>
  <c r="CZ28" i="1"/>
  <c r="CV28" i="1"/>
  <c r="CR28" i="1"/>
  <c r="CN28" i="1"/>
  <c r="BB30" i="1"/>
  <c r="S28" i="1"/>
  <c r="BR28" i="1"/>
  <c r="BJ28" i="1"/>
  <c r="AJ28" i="1"/>
  <c r="X28" i="1"/>
  <c r="AO18" i="1"/>
  <c r="BB18" i="1" s="1"/>
  <c r="O18" i="1"/>
  <c r="T18" i="1" s="1"/>
  <c r="HK10" i="1"/>
  <c r="HG10" i="1"/>
  <c r="HC10" i="1"/>
  <c r="GO10" i="1"/>
  <c r="GL10" i="1"/>
  <c r="GG10" i="1"/>
  <c r="GC13" i="1"/>
  <c r="GC12" i="1" s="1"/>
  <c r="GC10" i="1" s="1"/>
  <c r="FT10" i="1"/>
  <c r="FO10" i="1"/>
  <c r="FC10" i="1"/>
  <c r="EW10" i="1"/>
  <c r="EO10" i="1"/>
  <c r="EO85" i="1" s="1"/>
  <c r="EK10" i="1"/>
  <c r="EG10" i="1"/>
  <c r="DY10" i="1"/>
  <c r="DO10" i="1"/>
  <c r="DK10" i="1"/>
  <c r="DG10" i="1"/>
  <c r="HP30" i="1"/>
  <c r="HL30" i="1"/>
  <c r="HH30" i="1"/>
  <c r="HD30" i="1"/>
  <c r="GH30" i="1"/>
  <c r="GD30" i="1"/>
  <c r="FZ30" i="1"/>
  <c r="FV30" i="1"/>
  <c r="EY30" i="1"/>
  <c r="EU30" i="1"/>
  <c r="EQ30" i="1"/>
  <c r="EM30" i="1"/>
  <c r="DQ30" i="1"/>
  <c r="DM30" i="1"/>
  <c r="DI30" i="1"/>
  <c r="DE30" i="1"/>
  <c r="BR29" i="1"/>
  <c r="BN29" i="1"/>
  <c r="BJ29" i="1"/>
  <c r="BF29" i="1"/>
  <c r="AJ29" i="1"/>
  <c r="AF29" i="1"/>
  <c r="AB29" i="1"/>
  <c r="X29" i="1"/>
  <c r="X20" i="1"/>
  <c r="AK20" i="1" s="1"/>
  <c r="O20" i="1"/>
  <c r="T20" i="1" s="1"/>
  <c r="AO15" i="1"/>
  <c r="BB15" i="1" s="1"/>
  <c r="GY14" i="1"/>
  <c r="GU14" i="1"/>
  <c r="GQ14" i="1"/>
  <c r="GM14" i="1"/>
  <c r="CY13" i="1"/>
  <c r="CY12" i="1" s="1"/>
  <c r="CY10" i="1" s="1"/>
  <c r="CW13" i="1"/>
  <c r="CU13" i="1"/>
  <c r="CU12" i="1" s="1"/>
  <c r="CU10" i="1" s="1"/>
  <c r="CS13" i="1"/>
  <c r="CQ13" i="1"/>
  <c r="CQ12" i="1" s="1"/>
  <c r="CQ10" i="1" s="1"/>
  <c r="CO13" i="1"/>
  <c r="CM13" i="1"/>
  <c r="CM12" i="1" s="1"/>
  <c r="CM10" i="1" s="1"/>
  <c r="CK13" i="1"/>
  <c r="CG13" i="1"/>
  <c r="CG12" i="1" s="1"/>
  <c r="CG10" i="1" s="1"/>
  <c r="CC13" i="1"/>
  <c r="CC12" i="1" s="1"/>
  <c r="BY13" i="1"/>
  <c r="BY12" i="1" s="1"/>
  <c r="BU13" i="1"/>
  <c r="BU12" i="1" s="1"/>
  <c r="BU10" i="1" s="1"/>
  <c r="BQ13" i="1"/>
  <c r="BQ12" i="1" s="1"/>
  <c r="BO13" i="1"/>
  <c r="BM13" i="1"/>
  <c r="BM12" i="1" s="1"/>
  <c r="BM10" i="1" s="1"/>
  <c r="BM85" i="1" s="1"/>
  <c r="BK13" i="1"/>
  <c r="BI13" i="1"/>
  <c r="BI12" i="1" s="1"/>
  <c r="BG13" i="1"/>
  <c r="BE13" i="1"/>
  <c r="BE12" i="1" s="1"/>
  <c r="BE10" i="1" s="1"/>
  <c r="BC13" i="1"/>
  <c r="AY13" i="1"/>
  <c r="AY12" i="1" s="1"/>
  <c r="AY10" i="1" s="1"/>
  <c r="AU13" i="1"/>
  <c r="AU12" i="1" s="1"/>
  <c r="AU10" i="1" s="1"/>
  <c r="AQ13" i="1"/>
  <c r="AQ12" i="1" s="1"/>
  <c r="AQ10" i="1" s="1"/>
  <c r="AM13" i="1"/>
  <c r="AM12" i="1" s="1"/>
  <c r="AM10" i="1" s="1"/>
  <c r="AE13" i="1"/>
  <c r="AE12" i="1" s="1"/>
  <c r="AE10" i="1" s="1"/>
  <c r="Y13" i="1"/>
  <c r="W13" i="1"/>
  <c r="W12" i="1" s="1"/>
  <c r="W10" i="1" s="1"/>
  <c r="U13" i="1"/>
  <c r="Q13" i="1"/>
  <c r="Q12" i="1" s="1"/>
  <c r="Q10" i="1" s="1"/>
  <c r="M13" i="1"/>
  <c r="EH14" i="1"/>
  <c r="ED14" i="1"/>
  <c r="DZ14" i="1"/>
  <c r="DV14" i="1"/>
  <c r="CZ14" i="1"/>
  <c r="CX13" i="1"/>
  <c r="CX12" i="1" s="1"/>
  <c r="CX10" i="1" s="1"/>
  <c r="CT13" i="1"/>
  <c r="CT12" i="1" s="1"/>
  <c r="CP13" i="1"/>
  <c r="CP12" i="1" s="1"/>
  <c r="CP10" i="1" s="1"/>
  <c r="CL13" i="1"/>
  <c r="CL12" i="1" s="1"/>
  <c r="CL10" i="1" s="1"/>
  <c r="CH13" i="1"/>
  <c r="CH12" i="1" s="1"/>
  <c r="CH10" i="1" s="1"/>
  <c r="CF13" i="1"/>
  <c r="CD13" i="1"/>
  <c r="CD12" i="1" s="1"/>
  <c r="CB13" i="1"/>
  <c r="BZ13" i="1"/>
  <c r="BZ12" i="1" s="1"/>
  <c r="BZ10" i="1" s="1"/>
  <c r="BX13" i="1"/>
  <c r="BV13" i="1"/>
  <c r="BV12" i="1" s="1"/>
  <c r="BV10" i="1" s="1"/>
  <c r="BT13" i="1"/>
  <c r="BR14" i="1"/>
  <c r="BP13" i="1"/>
  <c r="BP12" i="1" s="1"/>
  <c r="BP10" i="1" s="1"/>
  <c r="BN14" i="1"/>
  <c r="BL13" i="1"/>
  <c r="BL12" i="1" s="1"/>
  <c r="BL10" i="1" s="1"/>
  <c r="BH13" i="1"/>
  <c r="BH12" i="1" s="1"/>
  <c r="BH10" i="1" s="1"/>
  <c r="BD13" i="1"/>
  <c r="BD12" i="1" s="1"/>
  <c r="AZ13" i="1"/>
  <c r="AZ12" i="1" s="1"/>
  <c r="AZ10" i="1" s="1"/>
  <c r="AX13" i="1"/>
  <c r="AV13" i="1"/>
  <c r="AV12" i="1" s="1"/>
  <c r="AR13" i="1"/>
  <c r="AR12" i="1" s="1"/>
  <c r="AP13" i="1"/>
  <c r="AL13" i="1"/>
  <c r="AD13" i="1"/>
  <c r="AD12" i="1" s="1"/>
  <c r="AB14" i="1"/>
  <c r="Z13" i="1"/>
  <c r="Z12" i="1" s="1"/>
  <c r="X14" i="1"/>
  <c r="V13" i="1"/>
  <c r="V12" i="1" s="1"/>
  <c r="V10" i="1" s="1"/>
  <c r="V85" i="1" s="1"/>
  <c r="R13" i="1"/>
  <c r="R12" i="1" s="1"/>
  <c r="R10" i="1" s="1"/>
  <c r="P13" i="1"/>
  <c r="N13" i="1"/>
  <c r="N12" i="1" s="1"/>
  <c r="GI41" i="1" l="1"/>
  <c r="CC45" i="1"/>
  <c r="CY45" i="1"/>
  <c r="BB55" i="1"/>
  <c r="FK45" i="1"/>
  <c r="GX45" i="1"/>
  <c r="GT45" i="1"/>
  <c r="GT85" i="1" s="1"/>
  <c r="CG45" i="1"/>
  <c r="HK45" i="1"/>
  <c r="FH85" i="1"/>
  <c r="BN71" i="1"/>
  <c r="BS77" i="1"/>
  <c r="DU10" i="1"/>
  <c r="DU85" i="1" s="1"/>
  <c r="AK23" i="1"/>
  <c r="DA23" i="1"/>
  <c r="FR23" i="1"/>
  <c r="DR23" i="1"/>
  <c r="GZ23" i="1"/>
  <c r="DD10" i="1"/>
  <c r="GZ41" i="1"/>
  <c r="GG85" i="1"/>
  <c r="BB72" i="1"/>
  <c r="CD10" i="1"/>
  <c r="CD85" i="1" s="1"/>
  <c r="CP85" i="1"/>
  <c r="CC10" i="1"/>
  <c r="EL85" i="1"/>
  <c r="FD85" i="1"/>
  <c r="FI13" i="1"/>
  <c r="GQ13" i="1"/>
  <c r="AD45" i="1"/>
  <c r="BE45" i="1"/>
  <c r="BE85" i="1" s="1"/>
  <c r="AW62" i="1"/>
  <c r="CE62" i="1"/>
  <c r="DK45" i="1"/>
  <c r="BA71" i="1"/>
  <c r="FU45" i="1"/>
  <c r="FU85" i="1" s="1"/>
  <c r="AA10" i="1"/>
  <c r="BN28" i="1"/>
  <c r="CA28" i="1"/>
  <c r="AK30" i="1"/>
  <c r="EZ41" i="1"/>
  <c r="CR62" i="1"/>
  <c r="DQ62" i="1"/>
  <c r="DX45" i="1"/>
  <c r="FE62" i="1"/>
  <c r="FM62" i="1"/>
  <c r="GH62" i="1"/>
  <c r="GQ62" i="1"/>
  <c r="HH62" i="1"/>
  <c r="FR41" i="1"/>
  <c r="HQ63" i="1"/>
  <c r="DO85" i="1"/>
  <c r="Z10" i="1"/>
  <c r="AR10" i="1"/>
  <c r="EH13" i="1"/>
  <c r="HD13" i="1"/>
  <c r="BW28" i="1"/>
  <c r="DV13" i="1"/>
  <c r="EY13" i="1"/>
  <c r="AQ45" i="1"/>
  <c r="AK55" i="1"/>
  <c r="EY62" i="1"/>
  <c r="HL62" i="1"/>
  <c r="CJ48" i="1"/>
  <c r="DR48" i="1"/>
  <c r="EZ48" i="1"/>
  <c r="GI48" i="1"/>
  <c r="HQ48" i="1"/>
  <c r="AF62" i="1"/>
  <c r="BB27" i="1"/>
  <c r="AI45" i="1"/>
  <c r="EI73" i="1"/>
  <c r="BB29" i="1"/>
  <c r="AK73" i="1"/>
  <c r="CH85" i="1"/>
  <c r="EQ13" i="1"/>
  <c r="EZ13" i="1" s="1"/>
  <c r="FZ13" i="1"/>
  <c r="EG45" i="1"/>
  <c r="BB49" i="1"/>
  <c r="FX45" i="1"/>
  <c r="AH47" i="1"/>
  <c r="AH45" i="1" s="1"/>
  <c r="AH85" i="1" s="1"/>
  <c r="AK63" i="1"/>
  <c r="BZ45" i="1"/>
  <c r="BZ85" i="1" s="1"/>
  <c r="CZ62" i="1"/>
  <c r="DA49" i="1"/>
  <c r="EI49" i="1"/>
  <c r="FR49" i="1"/>
  <c r="HC45" i="1"/>
  <c r="FR73" i="1"/>
  <c r="AW71" i="1"/>
  <c r="T14" i="1"/>
  <c r="FR14" i="1"/>
  <c r="CJ18" i="1"/>
  <c r="GI18" i="1"/>
  <c r="DA18" i="1"/>
  <c r="FR18" i="1"/>
  <c r="GZ18" i="1"/>
  <c r="DE13" i="1"/>
  <c r="HQ18" i="1"/>
  <c r="HQ77" i="1"/>
  <c r="AA85" i="1"/>
  <c r="ET45" i="1"/>
  <c r="ET85" i="1" s="1"/>
  <c r="GB45" i="1"/>
  <c r="HB45" i="1"/>
  <c r="BU45" i="1"/>
  <c r="DR55" i="1"/>
  <c r="AK41" i="1"/>
  <c r="CJ41" i="1"/>
  <c r="HQ41" i="1"/>
  <c r="EI41" i="1"/>
  <c r="BS23" i="1"/>
  <c r="EI23" i="1"/>
  <c r="GI23" i="1"/>
  <c r="T23" i="1"/>
  <c r="EC10" i="1"/>
  <c r="EC85" i="1" s="1"/>
  <c r="CJ23" i="1"/>
  <c r="FR67" i="1"/>
  <c r="GI67" i="1"/>
  <c r="GF85" i="1"/>
  <c r="FO85" i="1"/>
  <c r="GO45" i="1"/>
  <c r="GO85" i="1" s="1"/>
  <c r="FQ62" i="1"/>
  <c r="CT45" i="1"/>
  <c r="DX85" i="1"/>
  <c r="CC85" i="1"/>
  <c r="HK85" i="1"/>
  <c r="GX85" i="1"/>
  <c r="BY45" i="1"/>
  <c r="CQ45" i="1"/>
  <c r="CQ85" i="1" s="1"/>
  <c r="DC45" i="1"/>
  <c r="CN62" i="1"/>
  <c r="DI62" i="1"/>
  <c r="DV62" i="1"/>
  <c r="EI62" i="1" s="1"/>
  <c r="ED62" i="1"/>
  <c r="GD62" i="1"/>
  <c r="EF45" i="1"/>
  <c r="FL45" i="1"/>
  <c r="FL85" i="1" s="1"/>
  <c r="GC45" i="1"/>
  <c r="HD62" i="1"/>
  <c r="EQ62" i="1"/>
  <c r="DG45" i="1"/>
  <c r="DG85" i="1" s="1"/>
  <c r="CV62" i="1"/>
  <c r="DE62" i="1"/>
  <c r="DZ62" i="1"/>
  <c r="EZ63" i="1"/>
  <c r="FI62" i="1"/>
  <c r="FR32" i="1"/>
  <c r="HN85" i="1"/>
  <c r="GZ32" i="1"/>
  <c r="CJ32" i="1"/>
  <c r="HQ32" i="1"/>
  <c r="T32" i="1"/>
  <c r="BD10" i="1"/>
  <c r="BD85" i="1" s="1"/>
  <c r="BQ10" i="1"/>
  <c r="CG85" i="1"/>
  <c r="CY85" i="1"/>
  <c r="FG85" i="1"/>
  <c r="FX85" i="1"/>
  <c r="BB43" i="1"/>
  <c r="GM13" i="1"/>
  <c r="EP85" i="1"/>
  <c r="AK18" i="1"/>
  <c r="DR41" i="1"/>
  <c r="N45" i="1"/>
  <c r="Z45" i="1"/>
  <c r="Z85" i="1" s="1"/>
  <c r="AV45" i="1"/>
  <c r="BI45" i="1"/>
  <c r="CI62" i="1"/>
  <c r="AB71" i="1"/>
  <c r="DA75" i="1"/>
  <c r="CL45" i="1"/>
  <c r="CL85" i="1" s="1"/>
  <c r="DT45" i="1"/>
  <c r="GU62" i="1"/>
  <c r="GZ62" i="1" s="1"/>
  <c r="AJ62" i="1"/>
  <c r="CX85" i="1"/>
  <c r="AM85" i="1"/>
  <c r="BU85" i="1"/>
  <c r="DV32" i="1"/>
  <c r="EZ31" i="1"/>
  <c r="EI39" i="1"/>
  <c r="DZ13" i="1"/>
  <c r="GI31" i="1"/>
  <c r="DI13" i="1"/>
  <c r="DQ13" i="1"/>
  <c r="GY13" i="1"/>
  <c r="BS41" i="1"/>
  <c r="R45" i="1"/>
  <c r="R85" i="1" s="1"/>
  <c r="AN45" i="1"/>
  <c r="AN85" i="1" s="1"/>
  <c r="BH45" i="1"/>
  <c r="BH85" i="1" s="1"/>
  <c r="T41" i="1"/>
  <c r="AU45" i="1"/>
  <c r="AU85" i="1" s="1"/>
  <c r="AO62" i="1"/>
  <c r="BW62" i="1"/>
  <c r="EM62" i="1"/>
  <c r="EZ62" i="1" s="1"/>
  <c r="BV45" i="1"/>
  <c r="BV85" i="1" s="1"/>
  <c r="AJ48" i="1"/>
  <c r="DY45" i="1"/>
  <c r="DY85" i="1" s="1"/>
  <c r="BP45" i="1"/>
  <c r="AK67" i="1"/>
  <c r="DA73" i="1"/>
  <c r="CJ77" i="1"/>
  <c r="DD45" i="1"/>
  <c r="AK15" i="1"/>
  <c r="BS73" i="1"/>
  <c r="AD10" i="1"/>
  <c r="AD85" i="1" s="1"/>
  <c r="AV10" i="1"/>
  <c r="AV85" i="1" s="1"/>
  <c r="N10" i="1"/>
  <c r="BL85" i="1"/>
  <c r="DA14" i="1"/>
  <c r="BY10" i="1"/>
  <c r="BY85" i="1" s="1"/>
  <c r="CU85" i="1"/>
  <c r="EG85" i="1"/>
  <c r="EW85" i="1"/>
  <c r="HC85" i="1"/>
  <c r="BB33" i="1"/>
  <c r="GH13" i="1"/>
  <c r="GU13" i="1"/>
  <c r="HH13" i="1"/>
  <c r="HQ13" i="1" s="1"/>
  <c r="DL85" i="1"/>
  <c r="EF85" i="1"/>
  <c r="FP85" i="1"/>
  <c r="AY45" i="1"/>
  <c r="FR55" i="1"/>
  <c r="CA62" i="1"/>
  <c r="CJ62" i="1" s="1"/>
  <c r="AJ71" i="1"/>
  <c r="HQ73" i="1"/>
  <c r="EB45" i="1"/>
  <c r="BS63" i="1"/>
  <c r="CV71" i="1"/>
  <c r="DH45" i="1"/>
  <c r="DH85" i="1" s="1"/>
  <c r="GI32" i="1"/>
  <c r="DR79" i="1"/>
  <c r="BS14" i="1"/>
  <c r="AK28" i="1"/>
  <c r="DA28" i="1"/>
  <c r="DR28" i="1"/>
  <c r="FR28" i="1"/>
  <c r="GI28" i="1"/>
  <c r="AK32" i="1"/>
  <c r="FR13" i="1"/>
  <c r="EZ73" i="1"/>
  <c r="GI55" i="1"/>
  <c r="EZ28" i="1"/>
  <c r="CJ31" i="1"/>
  <c r="DA32" i="1"/>
  <c r="DA31" i="1" s="1"/>
  <c r="EI32" i="1"/>
  <c r="AK43" i="1"/>
  <c r="BS72" i="1"/>
  <c r="GI73" i="1"/>
  <c r="CJ28" i="1"/>
  <c r="EI71" i="1"/>
  <c r="FR71" i="1"/>
  <c r="CJ49" i="1"/>
  <c r="EI14" i="1"/>
  <c r="GZ14" i="1"/>
  <c r="EI31" i="1"/>
  <c r="FR31" i="1"/>
  <c r="BS49" i="1"/>
  <c r="FR63" i="1"/>
  <c r="GZ63" i="1"/>
  <c r="BS64" i="1"/>
  <c r="T73" i="1"/>
  <c r="BN48" i="1"/>
  <c r="BS48" i="1" s="1"/>
  <c r="CJ71" i="1"/>
  <c r="GI71" i="1"/>
  <c r="O28" i="1"/>
  <c r="T28" i="1" s="1"/>
  <c r="DA30" i="1"/>
  <c r="FR30" i="1"/>
  <c r="DR33" i="1"/>
  <c r="DR49" i="1"/>
  <c r="EZ49" i="1"/>
  <c r="GI49" i="1"/>
  <c r="BB81" i="1"/>
  <c r="GD13" i="1"/>
  <c r="BB41" i="1"/>
  <c r="BB77" i="1"/>
  <c r="P12" i="1"/>
  <c r="S13" i="1"/>
  <c r="AP12" i="1"/>
  <c r="AS13" i="1"/>
  <c r="O13" i="1"/>
  <c r="M12" i="1"/>
  <c r="U12" i="1"/>
  <c r="X13" i="1"/>
  <c r="Y12" i="1"/>
  <c r="AB13" i="1"/>
  <c r="BC12" i="1"/>
  <c r="BF13" i="1"/>
  <c r="BG12" i="1"/>
  <c r="BJ13" i="1"/>
  <c r="BK12" i="1"/>
  <c r="BN13" i="1"/>
  <c r="BO12" i="1"/>
  <c r="BR13" i="1"/>
  <c r="CK12" i="1"/>
  <c r="CN13" i="1"/>
  <c r="CO12" i="1"/>
  <c r="CR13" i="1"/>
  <c r="CS12" i="1"/>
  <c r="CV13" i="1"/>
  <c r="CW12" i="1"/>
  <c r="CZ13" i="1"/>
  <c r="P45" i="1"/>
  <c r="S45" i="1" s="1"/>
  <c r="S47" i="1"/>
  <c r="AP45" i="1"/>
  <c r="AS45" i="1" s="1"/>
  <c r="AS47" i="1"/>
  <c r="CK47" i="1"/>
  <c r="CN48" i="1"/>
  <c r="CS47" i="1"/>
  <c r="CV48" i="1"/>
  <c r="DS47" i="1"/>
  <c r="DV48" i="1"/>
  <c r="EA47" i="1"/>
  <c r="ED48" i="1"/>
  <c r="FB47" i="1"/>
  <c r="FE48" i="1"/>
  <c r="FJ47" i="1"/>
  <c r="FM48" i="1"/>
  <c r="GJ47" i="1"/>
  <c r="GM48" i="1"/>
  <c r="GR47" i="1"/>
  <c r="GU48" i="1"/>
  <c r="BR47" i="1"/>
  <c r="BO45" i="1"/>
  <c r="M45" i="1"/>
  <c r="O45" i="1" s="1"/>
  <c r="O47" i="1"/>
  <c r="AL47" i="1"/>
  <c r="AO48" i="1"/>
  <c r="BT45" i="1"/>
  <c r="BW47" i="1"/>
  <c r="BX45" i="1"/>
  <c r="CA47" i="1"/>
  <c r="CB45" i="1"/>
  <c r="CE47" i="1"/>
  <c r="CE45" i="1" s="1"/>
  <c r="CF45" i="1"/>
  <c r="CI47" i="1"/>
  <c r="CI45" i="1" s="1"/>
  <c r="DB45" i="1"/>
  <c r="DE47" i="1"/>
  <c r="DF45" i="1"/>
  <c r="DI47" i="1"/>
  <c r="DI45" i="1" s="1"/>
  <c r="DJ45" i="1"/>
  <c r="DM47" i="1"/>
  <c r="DM45" i="1" s="1"/>
  <c r="DN45" i="1"/>
  <c r="DQ47" i="1"/>
  <c r="DQ45" i="1" s="1"/>
  <c r="EJ45" i="1"/>
  <c r="EM47" i="1"/>
  <c r="EN45" i="1"/>
  <c r="EQ47" i="1"/>
  <c r="ER45" i="1"/>
  <c r="EU47" i="1"/>
  <c r="EU45" i="1" s="1"/>
  <c r="EV45" i="1"/>
  <c r="EY47" i="1"/>
  <c r="EY45" i="1" s="1"/>
  <c r="FV47" i="1"/>
  <c r="FS45" i="1"/>
  <c r="FZ47" i="1"/>
  <c r="FZ45" i="1" s="1"/>
  <c r="FW45" i="1"/>
  <c r="GD47" i="1"/>
  <c r="GD45" i="1" s="1"/>
  <c r="GA45" i="1"/>
  <c r="GH47" i="1"/>
  <c r="GH45" i="1" s="1"/>
  <c r="GE45" i="1"/>
  <c r="HD47" i="1"/>
  <c r="HA45" i="1"/>
  <c r="HH47" i="1"/>
  <c r="HH45" i="1" s="1"/>
  <c r="HE45" i="1"/>
  <c r="HL47" i="1"/>
  <c r="HL45" i="1" s="1"/>
  <c r="HI45" i="1"/>
  <c r="HP47" i="1"/>
  <c r="HP45" i="1" s="1"/>
  <c r="AL12" i="1"/>
  <c r="AO13" i="1"/>
  <c r="AX12" i="1"/>
  <c r="BA13" i="1"/>
  <c r="BT12" i="1"/>
  <c r="BW13" i="1"/>
  <c r="BX12" i="1"/>
  <c r="CA13" i="1"/>
  <c r="CB12" i="1"/>
  <c r="CE13" i="1"/>
  <c r="CF12" i="1"/>
  <c r="CI13" i="1"/>
  <c r="ED30" i="1"/>
  <c r="EB28" i="1"/>
  <c r="DZ12" i="1"/>
  <c r="DW10" i="1"/>
  <c r="EH12" i="1"/>
  <c r="EE10" i="1"/>
  <c r="GD12" i="1"/>
  <c r="GA10" i="1"/>
  <c r="GH12" i="1"/>
  <c r="GE10" i="1"/>
  <c r="GJ10" i="1"/>
  <c r="GM12" i="1"/>
  <c r="GR10" i="1"/>
  <c r="GU12" i="1"/>
  <c r="HA10" i="1"/>
  <c r="HD12" i="1"/>
  <c r="HE10" i="1"/>
  <c r="HH12" i="1"/>
  <c r="HI10" i="1"/>
  <c r="HL12" i="1"/>
  <c r="HP12" i="1"/>
  <c r="AT12" i="1"/>
  <c r="AW13" i="1"/>
  <c r="DB10" i="1"/>
  <c r="DE12" i="1"/>
  <c r="DF10" i="1"/>
  <c r="DI12" i="1"/>
  <c r="DJ10" i="1"/>
  <c r="DM12" i="1"/>
  <c r="DN10" i="1"/>
  <c r="DQ12" i="1"/>
  <c r="DV12" i="1"/>
  <c r="DS10" i="1"/>
  <c r="ED12" i="1"/>
  <c r="EA10" i="1"/>
  <c r="EJ10" i="1"/>
  <c r="EM12" i="1"/>
  <c r="EN10" i="1"/>
  <c r="EQ12" i="1"/>
  <c r="ER10" i="1"/>
  <c r="EU12" i="1"/>
  <c r="EV10" i="1"/>
  <c r="EY12" i="1"/>
  <c r="FE12" i="1"/>
  <c r="FB10" i="1"/>
  <c r="FI12" i="1"/>
  <c r="FF10" i="1"/>
  <c r="FM12" i="1"/>
  <c r="FJ10" i="1"/>
  <c r="FQ12" i="1"/>
  <c r="FN10" i="1"/>
  <c r="FS10" i="1"/>
  <c r="FV12" i="1"/>
  <c r="FW10" i="1"/>
  <c r="FZ12" i="1"/>
  <c r="GN10" i="1"/>
  <c r="GQ12" i="1"/>
  <c r="GV10" i="1"/>
  <c r="GY12" i="1"/>
  <c r="AC12" i="1"/>
  <c r="AF13" i="1"/>
  <c r="AG12" i="1"/>
  <c r="AJ13" i="1"/>
  <c r="AT47" i="1"/>
  <c r="AW48" i="1"/>
  <c r="AX47" i="1"/>
  <c r="BA48" i="1"/>
  <c r="DE31" i="1"/>
  <c r="DR32" i="1"/>
  <c r="DR31" i="1" s="1"/>
  <c r="CO47" i="1"/>
  <c r="CR48" i="1"/>
  <c r="CW47" i="1"/>
  <c r="CZ48" i="1"/>
  <c r="DW47" i="1"/>
  <c r="DZ48" i="1"/>
  <c r="EE47" i="1"/>
  <c r="EH48" i="1"/>
  <c r="FF47" i="1"/>
  <c r="FI48" i="1"/>
  <c r="FN47" i="1"/>
  <c r="FQ48" i="1"/>
  <c r="GN47" i="1"/>
  <c r="GQ48" i="1"/>
  <c r="GV47" i="1"/>
  <c r="GY48" i="1"/>
  <c r="AC47" i="1"/>
  <c r="AF48" i="1"/>
  <c r="X47" i="1"/>
  <c r="U45" i="1"/>
  <c r="AB47" i="1"/>
  <c r="Y45" i="1"/>
  <c r="AB45" i="1" s="1"/>
  <c r="AJ47" i="1"/>
  <c r="AG45" i="1"/>
  <c r="AJ45" i="1" s="1"/>
  <c r="BF47" i="1"/>
  <c r="BC45" i="1"/>
  <c r="BF45" i="1" s="1"/>
  <c r="BJ47" i="1"/>
  <c r="BG45" i="1"/>
  <c r="BJ45" i="1" s="1"/>
  <c r="BN47" i="1"/>
  <c r="BK45" i="1"/>
  <c r="BN45" i="1" s="1"/>
  <c r="EI30" i="1"/>
  <c r="BS28" i="1"/>
  <c r="BS31" i="1"/>
  <c r="EI13" i="1"/>
  <c r="GI13" i="1"/>
  <c r="BB14" i="1"/>
  <c r="AZ45" i="1"/>
  <c r="AZ85" i="1" s="1"/>
  <c r="BB31" i="1"/>
  <c r="BA62" i="1"/>
  <c r="BB62" i="1" s="1"/>
  <c r="X48" i="1"/>
  <c r="BA67" i="1"/>
  <c r="BB67" i="1" s="1"/>
  <c r="BB71" i="1"/>
  <c r="GM71" i="1"/>
  <c r="HQ71" i="1"/>
  <c r="BJ62" i="1"/>
  <c r="BR62" i="1"/>
  <c r="BS62" i="1" s="1"/>
  <c r="N85" i="1"/>
  <c r="AK14" i="1"/>
  <c r="AR85" i="1"/>
  <c r="BP85" i="1"/>
  <c r="CT10" i="1"/>
  <c r="CT85" i="1" s="1"/>
  <c r="Q85" i="1"/>
  <c r="AE85" i="1"/>
  <c r="AQ85" i="1"/>
  <c r="AY85" i="1"/>
  <c r="BI10" i="1"/>
  <c r="BI85" i="1" s="1"/>
  <c r="CM85" i="1"/>
  <c r="AK29" i="1"/>
  <c r="BS29" i="1"/>
  <c r="DR30" i="1"/>
  <c r="EZ30" i="1"/>
  <c r="GI30" i="1"/>
  <c r="DC85" i="1"/>
  <c r="DK85" i="1"/>
  <c r="DT85" i="1"/>
  <c r="EK85" i="1"/>
  <c r="ES85" i="1"/>
  <c r="FC85" i="1"/>
  <c r="FK85" i="1"/>
  <c r="FT85" i="1"/>
  <c r="GC85" i="1"/>
  <c r="GL85" i="1"/>
  <c r="GW85" i="1"/>
  <c r="HG85" i="1"/>
  <c r="HO85" i="1"/>
  <c r="BJ32" i="1"/>
  <c r="BS32" i="1" s="1"/>
  <c r="EZ32" i="1"/>
  <c r="EX85" i="1"/>
  <c r="GB85" i="1"/>
  <c r="GK85" i="1"/>
  <c r="GS85" i="1"/>
  <c r="HB85" i="1"/>
  <c r="HJ85" i="1"/>
  <c r="AI85" i="1"/>
  <c r="BB28" i="1"/>
  <c r="GZ31" i="1"/>
  <c r="AK31" i="1"/>
  <c r="HQ31" i="1"/>
  <c r="AK49" i="1"/>
  <c r="AK68" i="1"/>
  <c r="BS68" i="1"/>
  <c r="CJ72" i="1"/>
  <c r="BB32" i="1"/>
  <c r="W45" i="1"/>
  <c r="W85" i="1" s="1"/>
  <c r="BQ45" i="1"/>
  <c r="BQ85" i="1" s="1"/>
  <c r="DA71" i="1"/>
  <c r="AK79" i="1"/>
  <c r="BB79" i="1"/>
  <c r="O48" i="1"/>
  <c r="T48" i="1" s="1"/>
  <c r="GP45" i="1"/>
  <c r="GP85" i="1" s="1"/>
  <c r="CN55" i="1"/>
  <c r="DA55" i="1" s="1"/>
  <c r="EI55" i="1"/>
  <c r="O62" i="1"/>
  <c r="T62" i="1" s="1"/>
  <c r="BW63" i="1"/>
  <c r="CJ63" i="1" s="1"/>
  <c r="FR62" i="1"/>
  <c r="GI62" i="1"/>
  <c r="HQ62" i="1"/>
  <c r="AK71" i="1"/>
  <c r="T71" i="1"/>
  <c r="BS71" i="1"/>
  <c r="DR71" i="1"/>
  <c r="EZ71" i="1"/>
  <c r="AK77" i="1"/>
  <c r="AB62" i="1"/>
  <c r="AK62" i="1" s="1"/>
  <c r="DR62" i="1"/>
  <c r="DD85" i="1" l="1"/>
  <c r="DR13" i="1"/>
  <c r="EQ45" i="1"/>
  <c r="CA45" i="1"/>
  <c r="GZ13" i="1"/>
  <c r="BB48" i="1"/>
  <c r="BR45" i="1"/>
  <c r="T13" i="1"/>
  <c r="FQ10" i="1"/>
  <c r="FM10" i="1"/>
  <c r="FI10" i="1"/>
  <c r="FE10" i="1"/>
  <c r="DV10" i="1"/>
  <c r="GH10" i="1"/>
  <c r="GE85" i="1"/>
  <c r="GH85" i="1" s="1"/>
  <c r="GD10" i="1"/>
  <c r="GA85" i="1"/>
  <c r="GD85" i="1" s="1"/>
  <c r="EH10" i="1"/>
  <c r="DZ10" i="1"/>
  <c r="ED28" i="1"/>
  <c r="EI28" i="1" s="1"/>
  <c r="EB10" i="1"/>
  <c r="EB85" i="1" s="1"/>
  <c r="EM45" i="1"/>
  <c r="EZ47" i="1"/>
  <c r="DR47" i="1"/>
  <c r="DR45" i="1" s="1"/>
  <c r="DE45" i="1"/>
  <c r="CJ47" i="1"/>
  <c r="CJ45" i="1" s="1"/>
  <c r="BW45" i="1"/>
  <c r="M10" i="1"/>
  <c r="O12" i="1"/>
  <c r="AF47" i="1"/>
  <c r="AC45" i="1"/>
  <c r="AF45" i="1" s="1"/>
  <c r="GV45" i="1"/>
  <c r="GY47" i="1"/>
  <c r="GY45" i="1" s="1"/>
  <c r="GN45" i="1"/>
  <c r="GN85" i="1" s="1"/>
  <c r="GQ85" i="1" s="1"/>
  <c r="GQ47" i="1"/>
  <c r="GQ45" i="1" s="1"/>
  <c r="FN45" i="1"/>
  <c r="FN85" i="1" s="1"/>
  <c r="FQ85" i="1" s="1"/>
  <c r="FQ47" i="1"/>
  <c r="FQ45" i="1" s="1"/>
  <c r="FF45" i="1"/>
  <c r="FF85" i="1" s="1"/>
  <c r="FI85" i="1" s="1"/>
  <c r="FI47" i="1"/>
  <c r="FI45" i="1" s="1"/>
  <c r="EH47" i="1"/>
  <c r="EH45" i="1" s="1"/>
  <c r="EE45" i="1"/>
  <c r="EE85" i="1" s="1"/>
  <c r="EH85" i="1" s="1"/>
  <c r="DZ47" i="1"/>
  <c r="DZ45" i="1" s="1"/>
  <c r="DW45" i="1"/>
  <c r="DW85" i="1" s="1"/>
  <c r="DZ85" i="1" s="1"/>
  <c r="CZ47" i="1"/>
  <c r="CZ45" i="1" s="1"/>
  <c r="CW45" i="1"/>
  <c r="CR47" i="1"/>
  <c r="CR45" i="1" s="1"/>
  <c r="CO45" i="1"/>
  <c r="AX45" i="1"/>
  <c r="BA45" i="1" s="1"/>
  <c r="BA47" i="1"/>
  <c r="AT45" i="1"/>
  <c r="AW45" i="1" s="1"/>
  <c r="AW47" i="1"/>
  <c r="AJ12" i="1"/>
  <c r="AG10" i="1"/>
  <c r="AF12" i="1"/>
  <c r="AC10" i="1"/>
  <c r="GY10" i="1"/>
  <c r="GV85" i="1"/>
  <c r="GY85" i="1" s="1"/>
  <c r="GQ10" i="1"/>
  <c r="FZ10" i="1"/>
  <c r="FW85" i="1"/>
  <c r="FZ85" i="1" s="1"/>
  <c r="FZ105" i="1" s="1"/>
  <c r="FV10" i="1"/>
  <c r="FS85" i="1"/>
  <c r="FV85" i="1" s="1"/>
  <c r="EY10" i="1"/>
  <c r="EV85" i="1"/>
  <c r="EY85" i="1" s="1"/>
  <c r="EU10" i="1"/>
  <c r="ER85" i="1"/>
  <c r="EU85" i="1" s="1"/>
  <c r="EQ10" i="1"/>
  <c r="EN85" i="1"/>
  <c r="EQ85" i="1" s="1"/>
  <c r="EM10" i="1"/>
  <c r="EJ85" i="1"/>
  <c r="EM85" i="1" s="1"/>
  <c r="DQ10" i="1"/>
  <c r="DN85" i="1"/>
  <c r="DQ85" i="1" s="1"/>
  <c r="DM10" i="1"/>
  <c r="DJ85" i="1"/>
  <c r="DM85" i="1" s="1"/>
  <c r="DI10" i="1"/>
  <c r="DF85" i="1"/>
  <c r="DI85" i="1" s="1"/>
  <c r="DE10" i="1"/>
  <c r="DB85" i="1"/>
  <c r="AT10" i="1"/>
  <c r="AW12" i="1"/>
  <c r="HP10" i="1"/>
  <c r="HM85" i="1"/>
  <c r="HP85" i="1" s="1"/>
  <c r="HL10" i="1"/>
  <c r="HI85" i="1"/>
  <c r="HL85" i="1" s="1"/>
  <c r="HH10" i="1"/>
  <c r="HE85" i="1"/>
  <c r="HH85" i="1" s="1"/>
  <c r="HD10" i="1"/>
  <c r="HA85" i="1"/>
  <c r="HD85" i="1" s="1"/>
  <c r="GU10" i="1"/>
  <c r="GM10" i="1"/>
  <c r="CF10" i="1"/>
  <c r="CI12" i="1"/>
  <c r="CB10" i="1"/>
  <c r="CE12" i="1"/>
  <c r="BX10" i="1"/>
  <c r="CA12" i="1"/>
  <c r="BT10" i="1"/>
  <c r="BW12" i="1"/>
  <c r="AX10" i="1"/>
  <c r="BA12" i="1"/>
  <c r="AL10" i="1"/>
  <c r="AO12" i="1"/>
  <c r="HD45" i="1"/>
  <c r="HQ47" i="1"/>
  <c r="HQ45" i="1" s="1"/>
  <c r="FV45" i="1"/>
  <c r="GI45" i="1" s="1"/>
  <c r="GI47" i="1"/>
  <c r="AL45" i="1"/>
  <c r="AO45" i="1" s="1"/>
  <c r="AO47" i="1"/>
  <c r="BB47" i="1" s="1"/>
  <c r="GR45" i="1"/>
  <c r="GR85" i="1" s="1"/>
  <c r="GU85" i="1" s="1"/>
  <c r="GU47" i="1"/>
  <c r="GU45" i="1" s="1"/>
  <c r="GJ45" i="1"/>
  <c r="GJ85" i="1" s="1"/>
  <c r="GM85" i="1" s="1"/>
  <c r="GM47" i="1"/>
  <c r="FJ45" i="1"/>
  <c r="FJ85" i="1" s="1"/>
  <c r="FM85" i="1" s="1"/>
  <c r="FM47" i="1"/>
  <c r="FM45" i="1" s="1"/>
  <c r="FB45" i="1"/>
  <c r="FB85" i="1" s="1"/>
  <c r="FE85" i="1" s="1"/>
  <c r="FE47" i="1"/>
  <c r="ED47" i="1"/>
  <c r="ED45" i="1" s="1"/>
  <c r="EA45" i="1"/>
  <c r="EA85" i="1" s="1"/>
  <c r="DV47" i="1"/>
  <c r="DS45" i="1"/>
  <c r="DS85" i="1" s="1"/>
  <c r="DV85" i="1" s="1"/>
  <c r="CV47" i="1"/>
  <c r="CV45" i="1" s="1"/>
  <c r="CS45" i="1"/>
  <c r="CN47" i="1"/>
  <c r="CK45" i="1"/>
  <c r="CZ12" i="1"/>
  <c r="CW10" i="1"/>
  <c r="CV12" i="1"/>
  <c r="CS10" i="1"/>
  <c r="CR12" i="1"/>
  <c r="CO10" i="1"/>
  <c r="CN12" i="1"/>
  <c r="CK10" i="1"/>
  <c r="BR12" i="1"/>
  <c r="BO10" i="1"/>
  <c r="BN12" i="1"/>
  <c r="BK10" i="1"/>
  <c r="BJ12" i="1"/>
  <c r="BG10" i="1"/>
  <c r="BF12" i="1"/>
  <c r="BC10" i="1"/>
  <c r="AB12" i="1"/>
  <c r="Y10" i="1"/>
  <c r="X12" i="1"/>
  <c r="U10" i="1"/>
  <c r="AP10" i="1"/>
  <c r="AS12" i="1"/>
  <c r="BB12" i="1" s="1"/>
  <c r="P10" i="1"/>
  <c r="S12" i="1"/>
  <c r="T12" i="1" s="1"/>
  <c r="BS45" i="1"/>
  <c r="X45" i="1"/>
  <c r="AK45" i="1" s="1"/>
  <c r="GI12" i="1"/>
  <c r="EZ12" i="1"/>
  <c r="DR12" i="1"/>
  <c r="HQ12" i="1"/>
  <c r="GZ12" i="1"/>
  <c r="CJ13" i="1"/>
  <c r="GZ48" i="1"/>
  <c r="FR48" i="1"/>
  <c r="EI48" i="1"/>
  <c r="DA48" i="1"/>
  <c r="T47" i="1"/>
  <c r="DA13" i="1"/>
  <c r="BS13" i="1"/>
  <c r="AK13" i="1"/>
  <c r="BB13" i="1"/>
  <c r="AK48" i="1"/>
  <c r="BS47" i="1"/>
  <c r="AK47" i="1"/>
  <c r="FR12" i="1"/>
  <c r="EI12" i="1"/>
  <c r="BB45" i="1"/>
  <c r="T45" i="1"/>
  <c r="DE85" i="1" l="1"/>
  <c r="DR85" i="1" s="1"/>
  <c r="ED85" i="1"/>
  <c r="EI85" i="1" s="1"/>
  <c r="CJ12" i="1"/>
  <c r="GZ10" i="1"/>
  <c r="AK12" i="1"/>
  <c r="BS12" i="1"/>
  <c r="DA12" i="1"/>
  <c r="EZ45" i="1"/>
  <c r="FR85" i="1"/>
  <c r="GZ85" i="1"/>
  <c r="HQ10" i="1"/>
  <c r="GI85" i="1"/>
  <c r="FR10" i="1"/>
  <c r="HQ85" i="1"/>
  <c r="DR10" i="1"/>
  <c r="EZ10" i="1"/>
  <c r="GI10" i="1"/>
  <c r="S10" i="1"/>
  <c r="P85" i="1"/>
  <c r="S85" i="1" s="1"/>
  <c r="AS10" i="1"/>
  <c r="AP85" i="1"/>
  <c r="AS85" i="1" s="1"/>
  <c r="CN45" i="1"/>
  <c r="DA47" i="1"/>
  <c r="DA45" i="1" s="1"/>
  <c r="DV45" i="1"/>
  <c r="EI45" i="1" s="1"/>
  <c r="EI47" i="1"/>
  <c r="AO10" i="1"/>
  <c r="AL85" i="1"/>
  <c r="AO85" i="1" s="1"/>
  <c r="BA10" i="1"/>
  <c r="AX85" i="1"/>
  <c r="BA85" i="1" s="1"/>
  <c r="BW10" i="1"/>
  <c r="BT85" i="1"/>
  <c r="BW85" i="1" s="1"/>
  <c r="CA10" i="1"/>
  <c r="BX85" i="1"/>
  <c r="CA85" i="1" s="1"/>
  <c r="CE10" i="1"/>
  <c r="CB85" i="1"/>
  <c r="CE85" i="1" s="1"/>
  <c r="CI10" i="1"/>
  <c r="CF85" i="1"/>
  <c r="CI85" i="1" s="1"/>
  <c r="AW10" i="1"/>
  <c r="AT85" i="1"/>
  <c r="AW85" i="1" s="1"/>
  <c r="O10" i="1"/>
  <c r="M85" i="1"/>
  <c r="O85" i="1" s="1"/>
  <c r="ED10" i="1"/>
  <c r="EI10" i="1" s="1"/>
  <c r="X10" i="1"/>
  <c r="U85" i="1"/>
  <c r="AB10" i="1"/>
  <c r="Y85" i="1"/>
  <c r="AB85" i="1" s="1"/>
  <c r="BF10" i="1"/>
  <c r="BC85" i="1"/>
  <c r="BF85" i="1" s="1"/>
  <c r="BJ10" i="1"/>
  <c r="BG85" i="1"/>
  <c r="BJ85" i="1" s="1"/>
  <c r="BN10" i="1"/>
  <c r="BK85" i="1"/>
  <c r="BN85" i="1" s="1"/>
  <c r="BR10" i="1"/>
  <c r="BO85" i="1"/>
  <c r="BR85" i="1" s="1"/>
  <c r="CN10" i="1"/>
  <c r="CK85" i="1"/>
  <c r="CN85" i="1" s="1"/>
  <c r="CR10" i="1"/>
  <c r="CO85" i="1"/>
  <c r="CR85" i="1" s="1"/>
  <c r="CV10" i="1"/>
  <c r="CS85" i="1"/>
  <c r="CV85" i="1" s="1"/>
  <c r="CZ10" i="1"/>
  <c r="CW85" i="1"/>
  <c r="CZ85" i="1" s="1"/>
  <c r="FR47" i="1"/>
  <c r="FE45" i="1"/>
  <c r="FR45" i="1" s="1"/>
  <c r="GZ47" i="1"/>
  <c r="GZ45" i="1" s="1"/>
  <c r="GM45" i="1"/>
  <c r="AF10" i="1"/>
  <c r="AC85" i="1"/>
  <c r="AF85" i="1" s="1"/>
  <c r="AJ10" i="1"/>
  <c r="AG85" i="1"/>
  <c r="AJ85" i="1" s="1"/>
  <c r="EZ85" i="1" l="1"/>
  <c r="AK10" i="1"/>
  <c r="X85" i="1"/>
  <c r="AK85" i="1" s="1"/>
  <c r="DA10" i="1"/>
  <c r="BS10" i="1"/>
  <c r="CJ10" i="1"/>
  <c r="BB10" i="1"/>
  <c r="T10" i="1"/>
  <c r="DA85" i="1"/>
  <c r="BS85" i="1"/>
  <c r="CJ85" i="1"/>
  <c r="BB85" i="1"/>
  <c r="T85" i="1"/>
</calcChain>
</file>

<file path=xl/comments1.xml><?xml version="1.0" encoding="utf-8"?>
<comments xmlns="http://schemas.openxmlformats.org/spreadsheetml/2006/main">
  <authors>
    <author>JEMartinez</author>
    <author>Villamil Liliana</author>
    <author>Un usuario de Microsoft Office satisfecho</author>
    <author>Denise Salazar</author>
    <author>LVillamil</author>
    <author>lvillamil</author>
    <author>Valued Acer Customer</author>
    <author>Villamil, Liliana</author>
  </authors>
  <commentList>
    <comment ref="AZ10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Ingresos por exportaciones  + Donaciones + Bancos Cheques + Desembpolso Deuda Ext. + CD's + LT's + Otros</t>
        </r>
      </text>
    </comment>
    <comment ref="BC10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Ingresos por exportaciones  + Donaciones + Bancos Cheques + Desembpolso Deuda Ext. + CD's + LT's + Otros</t>
        </r>
      </text>
    </comment>
    <comment ref="AZ12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exportación de bienes + exportación de servicios</t>
        </r>
      </text>
    </comment>
    <comment ref="BC12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exportación de bienes + exportación de servicios</t>
        </r>
      </text>
    </comment>
    <comment ref="AZ13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suam de sector público + Sector privado + convenio credito reciproco</t>
        </r>
      </text>
    </comment>
    <comment ref="BC13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suam de sector público + Sector privado + convenio credito reciproco</t>
        </r>
      </text>
    </comment>
    <comment ref="AZ14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COMIBOL + YPFB Libre Disp. + YPFB otros</t>
        </r>
      </text>
    </comment>
    <comment ref="BC14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COMIBOL + YPFB Libre Disp. + YPFB otros</t>
        </r>
      </text>
    </comment>
    <comment ref="AZ18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Min Med + Agro + Otros</t>
        </r>
      </text>
    </comment>
    <comment ref="BC18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Min Med + Agro + Otros</t>
        </r>
      </text>
    </comment>
    <comment ref="KP22" authorId="1">
      <text>
        <r>
          <rPr>
            <b/>
            <sz val="9"/>
            <color indexed="81"/>
            <rFont val="Tahoma"/>
            <family val="2"/>
          </rPr>
          <t>Villamil Liliana:</t>
        </r>
        <r>
          <rPr>
            <sz val="9"/>
            <color indexed="81"/>
            <rFont val="Tahoma"/>
            <family val="2"/>
          </rPr>
          <t xml:space="preserve">
Compensación de operaciones con el sucre $us27,3MM</t>
        </r>
      </text>
    </comment>
    <comment ref="LG22" authorId="1">
      <text>
        <r>
          <rPr>
            <b/>
            <sz val="9"/>
            <color indexed="81"/>
            <rFont val="Tahoma"/>
            <family val="2"/>
          </rPr>
          <t>Villamil Liliana:</t>
        </r>
        <r>
          <rPr>
            <sz val="9"/>
            <color indexed="81"/>
            <rFont val="Tahoma"/>
            <family val="2"/>
          </rPr>
          <t xml:space="preserve">
Compensación de operaciones con el sucre $us27,3MM</t>
        </r>
      </text>
    </comment>
    <comment ref="A29" authorId="2">
      <text>
        <r>
          <rPr>
            <sz val="8"/>
            <color indexed="81"/>
            <rFont val="Tahoma"/>
            <family val="2"/>
          </rPr>
          <t xml:space="preserve">E.L.+Fondos en Custodia + RAL
</t>
        </r>
      </text>
    </comment>
    <comment ref="EJ30" authorId="3">
      <text>
        <r>
          <rPr>
            <b/>
            <sz val="8"/>
            <color indexed="81"/>
            <rFont val="Tahoma"/>
            <family val="2"/>
          </rPr>
          <t>Denise Salazar:</t>
        </r>
        <r>
          <rPr>
            <sz val="8"/>
            <color indexed="81"/>
            <rFont val="Tahoma"/>
            <family val="2"/>
          </rPr>
          <t xml:space="preserve">
ajuste en cuenta Corriente US$ 8,5 por letras y bonos</t>
        </r>
      </text>
    </comment>
    <comment ref="EK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por letras y bonos $us 4 millones</t>
        </r>
      </text>
    </comment>
    <comment ref="FB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FC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FD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FF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FU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FW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FX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FY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A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B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C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E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F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G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L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N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O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P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R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S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T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V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GW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Se ajusto 50 millones por Bolsin
</t>
        </r>
      </text>
    </comment>
    <comment ref="GX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EleccionesINCLUYE 20 MILLONES AJUSTE POR BOLSIN
</t>
        </r>
      </text>
    </comment>
    <comment ref="HA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por $us 64,3 millones por Bolsín </t>
        </r>
      </text>
    </comment>
    <comment ref="HB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HC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E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F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G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I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J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K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M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N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Se ajusto 50 millones por Bolsin
</t>
        </r>
      </text>
    </comment>
    <comment ref="HO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EleccionesINCLUYE 20 MILLONES AJUSTE POR BOLSIN
</t>
        </r>
      </text>
    </comment>
    <comment ref="HR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por $us 64,3 millones por Bolsín </t>
        </r>
      </text>
    </comment>
    <comment ref="HS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HT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V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W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X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HZ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IA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IB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ID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
</t>
        </r>
      </text>
    </comment>
    <comment ref="IE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Se ajusto 50 millones por Bolsin
</t>
        </r>
      </text>
    </comment>
    <comment ref="IF30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EleccionesINCLUYE 20 MILLONES AJUSTE POR BOLSIN
</t>
        </r>
      </text>
    </comment>
    <comment ref="IM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IN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IO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IQ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IR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IS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IV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IW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JR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JS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JU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JV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JW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JY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JZ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KA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KC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KD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KE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KU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KV30" authorId="5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de $us 22 millones por Bolsín
</t>
        </r>
      </text>
    </comment>
    <comment ref="EC39" authorId="3">
      <text>
        <r>
          <rPr>
            <b/>
            <sz val="8"/>
            <color indexed="81"/>
            <rFont val="Tahoma"/>
            <family val="2"/>
          </rPr>
          <t>Denise Salazar:</t>
        </r>
        <r>
          <rPr>
            <sz val="8"/>
            <color indexed="81"/>
            <rFont val="Tahoma"/>
            <family val="2"/>
          </rPr>
          <t xml:space="preserve">
Los Bonos y Letras del Tesosro que corresponden al mes de septiembre se ajustaron en la cuenta corriente de agosto y septiembre, por desfase en las operaciones bancarias.</t>
        </r>
      </text>
    </comment>
    <comment ref="EC40" authorId="3">
      <text>
        <r>
          <rPr>
            <b/>
            <sz val="8"/>
            <color indexed="81"/>
            <rFont val="Tahoma"/>
            <family val="2"/>
          </rPr>
          <t>Denise Salazar:</t>
        </r>
        <r>
          <rPr>
            <sz val="8"/>
            <color indexed="81"/>
            <rFont val="Tahoma"/>
            <family val="2"/>
          </rPr>
          <t xml:space="preserve">
Los Bonos y Letras del Tesosro que corresponden al mes de septiembre se ajustaron en la cuenta corriente de agosto y septiembre, por desfase en las operaciones bancarias.</t>
        </r>
      </text>
    </comment>
    <comment ref="A43" authorId="2">
      <text>
        <r>
          <rPr>
            <sz val="8"/>
            <color indexed="81"/>
            <rFont val="Tahoma"/>
            <family val="2"/>
          </rPr>
          <t xml:space="preserve">Otros+rec. de acreencias
</t>
        </r>
      </text>
    </comment>
    <comment ref="GO4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cuentas de organismos internacionales</t>
        </r>
      </text>
    </comment>
    <comment ref="HF4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cuentas de organismos internacionales</t>
        </r>
      </text>
    </comment>
    <comment ref="HW4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cuentas de organismos internacionales</t>
        </r>
      </text>
    </comment>
    <comment ref="AZ45" authorId="0">
      <text>
        <r>
          <rPr>
            <b/>
            <sz val="8"/>
            <color indexed="81"/>
            <rFont val="Tahoma"/>
            <family val="2"/>
          </rPr>
          <t xml:space="preserve">JEMartinez:
Es la suma de Egresos por exportaciones + Servicio de Deuda Externa + Sector Privado Bancos + CD's + LT's + Otros + FMI SAF + FMI ESAF 
</t>
        </r>
      </text>
    </comment>
    <comment ref="BC45" authorId="0">
      <text>
        <r>
          <rPr>
            <b/>
            <sz val="8"/>
            <color indexed="81"/>
            <rFont val="Tahoma"/>
            <family val="2"/>
          </rPr>
          <t xml:space="preserve">JEMartinez:
Es la suma de Egresos por exportaciones + Servicio de Deuda Externa + Sector Privado Bancos + CD's + LT's + Otros + FMI SAF + FMI ESAF 
</t>
        </r>
      </text>
    </comment>
    <comment ref="AZ47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Importación de Bienes + Impoertación de Servicios Corrientes.</t>
        </r>
      </text>
    </comment>
    <comment ref="BC47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Importación de Bienes + Impoertación de Servicios Corrientes.</t>
        </r>
      </text>
    </comment>
    <comment ref="AZ48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Sector Público + Bolsín + Convenio de Crédito Reciproco.</t>
        </r>
      </text>
    </comment>
    <comment ref="BC48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Sector Público + Bolsín + Convenio de Crédito Reciproco.</t>
        </r>
      </text>
    </comment>
    <comment ref="AZ49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COMIBOL + YPFB + Otras Empresas</t>
        </r>
      </text>
    </comment>
    <comment ref="BC49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COMIBOL + YPFB + Otras Empresas</t>
        </r>
      </text>
    </comment>
    <comment ref="HZ52" authorId="6">
      <text>
        <r>
          <rPr>
            <b/>
            <sz val="8"/>
            <color indexed="81"/>
            <rFont val="Tahoma"/>
            <family val="2"/>
          </rPr>
          <t>Valued Acer Customer:</t>
        </r>
        <r>
          <rPr>
            <sz val="8"/>
            <color indexed="81"/>
            <rFont val="Tahoma"/>
            <family val="2"/>
          </rPr>
          <t xml:space="preserve">
Avion Presidencial
</t>
        </r>
      </text>
    </comment>
    <comment ref="IA52" authorId="6">
      <text>
        <r>
          <rPr>
            <b/>
            <sz val="8"/>
            <color indexed="81"/>
            <rFont val="Tahoma"/>
            <family val="2"/>
          </rPr>
          <t>Valued Acer Customer:</t>
        </r>
        <r>
          <rPr>
            <sz val="8"/>
            <color indexed="81"/>
            <rFont val="Tahoma"/>
            <family val="2"/>
          </rPr>
          <t xml:space="preserve">
importación de billetes 
</t>
        </r>
      </text>
    </comment>
    <comment ref="IF52" authorId="6">
      <text>
        <r>
          <rPr>
            <sz val="8"/>
            <color indexed="81"/>
            <rFont val="Tahoma"/>
            <family val="2"/>
          </rPr>
          <t xml:space="preserve">Incluye compra de oro por $us312,5 millones
</t>
        </r>
      </text>
    </comment>
    <comment ref="IR52" authorId="7">
      <text>
        <r>
          <rPr>
            <b/>
            <sz val="8"/>
            <color indexed="81"/>
            <rFont val="Tahoma"/>
            <family val="2"/>
          </rPr>
          <t>Villamil, Liliana:</t>
        </r>
        <r>
          <rPr>
            <sz val="8"/>
            <color indexed="81"/>
            <rFont val="Tahoma"/>
            <family val="2"/>
          </rPr>
          <t xml:space="preserve">
Compra de oro 7 toneladas </t>
        </r>
      </text>
    </comment>
    <comment ref="JU53" authorId="1">
      <text>
        <r>
          <rPr>
            <b/>
            <sz val="9"/>
            <color indexed="81"/>
            <rFont val="Tahoma"/>
            <family val="2"/>
          </rPr>
          <t>Villamil Liliana:</t>
        </r>
        <r>
          <rPr>
            <sz val="9"/>
            <color indexed="81"/>
            <rFont val="Tahoma"/>
            <family val="2"/>
          </rPr>
          <t xml:space="preserve">
poner bolsin
</t>
        </r>
      </text>
    </comment>
    <comment ref="GK56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0,1 de viáticos </t>
        </r>
      </text>
    </comment>
    <comment ref="HB56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0,1 de viáticos </t>
        </r>
      </text>
    </comment>
    <comment ref="HS56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0,1 de viáticos </t>
        </r>
      </text>
    </comment>
    <comment ref="DJ61" authorId="3">
      <text>
        <r>
          <rPr>
            <b/>
            <sz val="8"/>
            <color indexed="81"/>
            <rFont val="Tahoma"/>
            <family val="2"/>
          </rPr>
          <t>Denise Salazar:</t>
        </r>
        <r>
          <rPr>
            <sz val="8"/>
            <color indexed="81"/>
            <rFont val="Tahoma"/>
            <family val="2"/>
          </rPr>
          <t xml:space="preserve">
15 millones SENAC por camino Roboré</t>
        </r>
      </text>
    </comment>
    <comment ref="FB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FU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FW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FX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FY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A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B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C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E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F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G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L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N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P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S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T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GW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HC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HN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HT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IA61" authorId="6">
      <text>
        <r>
          <rPr>
            <b/>
            <sz val="8"/>
            <color indexed="81"/>
            <rFont val="Tahoma"/>
            <family val="2"/>
          </rPr>
          <t>Valued Acer Customer:</t>
        </r>
        <r>
          <rPr>
            <sz val="8"/>
            <color indexed="81"/>
            <rFont val="Tahoma"/>
            <family val="2"/>
          </rPr>
          <t xml:space="preserve">
servicios YPFB
</t>
        </r>
      </text>
    </comment>
    <comment ref="IE61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viàticos 
</t>
        </r>
      </text>
    </comment>
    <comment ref="KC61" authorId="7">
      <text>
        <r>
          <rPr>
            <b/>
            <sz val="8"/>
            <color indexed="81"/>
            <rFont val="Tahoma"/>
            <family val="2"/>
          </rPr>
          <t>Villamil, Liliana:</t>
        </r>
        <r>
          <rPr>
            <sz val="8"/>
            <color indexed="81"/>
            <rFont val="Tahoma"/>
            <family val="2"/>
          </rPr>
          <t xml:space="preserve">
Planta de Urea y Amoniaco 20% llave en mano
</t>
        </r>
      </text>
    </comment>
    <comment ref="AZ62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capital + intereses</t>
        </r>
      </text>
    </comment>
    <comment ref="BC62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capital + intereses</t>
        </r>
      </text>
    </comment>
    <comment ref="AZ64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De donde sale 2.14520102 y 2.14685323
Es FMI que no debería estar es esta partida</t>
        </r>
      </text>
    </comment>
    <comment ref="AZ71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retiro de encaje legal + operaciones bancarias</t>
        </r>
      </text>
    </comment>
    <comment ref="BC71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Es la suma de retiro de encaje legal + operaciones bancarias</t>
        </r>
      </text>
    </comment>
    <comment ref="A72" authorId="2">
      <text>
        <r>
          <rPr>
            <sz val="8"/>
            <color indexed="81"/>
            <rFont val="Tahoma"/>
            <family val="2"/>
          </rPr>
          <t>fdos en custodia + ral</t>
        </r>
      </text>
    </comment>
    <comment ref="A73" authorId="2">
      <text>
        <r>
          <rPr>
            <sz val="8"/>
            <color indexed="81"/>
            <rFont val="Tahoma"/>
            <family val="2"/>
          </rPr>
          <t>Op Bancarias - FMI - Letras - Bolsín</t>
        </r>
      </text>
    </comment>
    <comment ref="EJ73" authorId="3">
      <text>
        <r>
          <rPr>
            <b/>
            <sz val="8"/>
            <color indexed="81"/>
            <rFont val="Tahoma"/>
            <family val="2"/>
          </rPr>
          <t>Denise Salazar:</t>
        </r>
        <r>
          <rPr>
            <sz val="8"/>
            <color indexed="81"/>
            <rFont val="Tahoma"/>
            <family val="2"/>
          </rPr>
          <t xml:space="preserve">
ajuste en cuenta Corriente US$ 8,5 por letras y bonos</t>
        </r>
      </text>
    </comment>
    <comment ref="EK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Ajuste por letras y bosos $us 4 milloens </t>
        </r>
      </text>
    </comment>
    <comment ref="FB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C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D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F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S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T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U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W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X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FY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A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B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C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E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F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G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J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K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L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N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O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P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R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S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T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V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GW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Se ajusto 50 millones por Bolsin </t>
        </r>
      </text>
    </comment>
    <comment ref="GX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(se ajusto 20 millones por bolsin)
</t>
        </r>
      </text>
    </comment>
    <comment ref="HA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B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C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E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F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G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I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J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K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M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N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Se ajusto 50 millones por Bolsin </t>
        </r>
      </text>
    </comment>
    <comment ref="HO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(se ajusto 20 millones por bolsin)
</t>
        </r>
      </text>
    </comment>
    <comment ref="HR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S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T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V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W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X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HZ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A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B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D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E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Se ajusto 50 millones por Bolsin </t>
        </r>
      </text>
    </comment>
    <comment ref="IF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(se ajusto 20 millones por bolsin)
</t>
        </r>
      </text>
    </comment>
    <comment ref="II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(se ajusto 20 millones por bolsin)
</t>
        </r>
      </text>
    </comment>
    <comment ref="IJ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K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M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N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O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Q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R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S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IV73" authorId="4">
      <text>
        <r>
          <rPr>
            <b/>
            <sz val="8"/>
            <color indexed="81"/>
            <rFont val="Tahoma"/>
            <family val="2"/>
          </rPr>
          <t>LVillamil:</t>
        </r>
        <r>
          <rPr>
            <sz val="8"/>
            <color indexed="81"/>
            <rFont val="Tahoma"/>
            <family val="2"/>
          </rPr>
          <t xml:space="preserve">
incluye Fondos en Custodia 
por Elecciones </t>
        </r>
      </text>
    </comment>
    <comment ref="A75" authorId="2">
      <text>
        <r>
          <rPr>
            <sz val="8"/>
            <color indexed="81"/>
            <rFont val="Tahoma"/>
            <family val="2"/>
          </rPr>
          <t>Sacar del Cuadro 7 de total y sacar diferencia entre meses</t>
        </r>
      </text>
    </comment>
    <comment ref="A76" authorId="2">
      <text>
        <r>
          <rPr>
            <sz val="8"/>
            <color indexed="81"/>
            <rFont val="Tahoma"/>
            <family val="2"/>
          </rPr>
          <t>Sacar del Cuadro 7 de total y sacar diferencia entre meses</t>
        </r>
      </text>
    </comment>
    <comment ref="DK79" authorId="3">
      <text>
        <r>
          <rPr>
            <b/>
            <sz val="8"/>
            <color indexed="81"/>
            <rFont val="Tahoma"/>
            <family val="2"/>
          </rPr>
          <t>Denise Salazar:</t>
        </r>
        <r>
          <rPr>
            <sz val="8"/>
            <color indexed="81"/>
            <rFont val="Tahoma"/>
            <family val="2"/>
          </rPr>
          <t xml:space="preserve">
US$ 5 por ajuste de contabilidad el 5/8/03
US$ 2 transferencia a fondos comprometidos Microcredito ESP</t>
        </r>
      </text>
    </comment>
    <comment ref="A81" authorId="2">
      <text>
        <r>
          <rPr>
            <sz val="8"/>
            <color indexed="81"/>
            <rFont val="Tahoma"/>
            <family val="2"/>
          </rPr>
          <t xml:space="preserve">Capital+Interés
</t>
        </r>
      </text>
    </comment>
    <comment ref="AZ81" authorId="0">
      <text>
        <r>
          <rPr>
            <b/>
            <sz val="8"/>
            <color indexed="81"/>
            <rFont val="Tahoma"/>
            <family val="2"/>
          </rPr>
          <t>JEMartinez:</t>
        </r>
        <r>
          <rPr>
            <sz val="8"/>
            <color indexed="81"/>
            <rFont val="Tahoma"/>
            <family val="2"/>
          </rPr>
          <t xml:space="preserve">
De donde sale 2.1452 y 2.1468</t>
        </r>
      </text>
    </comment>
  </commentList>
</comments>
</file>

<file path=xl/sharedStrings.xml><?xml version="1.0" encoding="utf-8"?>
<sst xmlns="http://schemas.openxmlformats.org/spreadsheetml/2006/main" count="405" uniqueCount="118">
  <si>
    <t>1996</t>
  </si>
  <si>
    <t>ENE</t>
  </si>
  <si>
    <t>FEB</t>
  </si>
  <si>
    <t>MAR</t>
  </si>
  <si>
    <t>I</t>
  </si>
  <si>
    <t>ABR</t>
  </si>
  <si>
    <t>MAY</t>
  </si>
  <si>
    <t>JUN</t>
  </si>
  <si>
    <t>II</t>
  </si>
  <si>
    <t>JUL</t>
  </si>
  <si>
    <t>AGO</t>
  </si>
  <si>
    <t>SEP</t>
  </si>
  <si>
    <t>III</t>
  </si>
  <si>
    <t>OCT</t>
  </si>
  <si>
    <t>NOV</t>
  </si>
  <si>
    <t>DIC</t>
  </si>
  <si>
    <t>IV</t>
  </si>
  <si>
    <t>1997</t>
  </si>
  <si>
    <t>I TRIM</t>
  </si>
  <si>
    <t>II TRIM</t>
  </si>
  <si>
    <t>III TRIM</t>
  </si>
  <si>
    <t>IV TRIM</t>
  </si>
  <si>
    <t>TRIM/97</t>
  </si>
  <si>
    <t xml:space="preserve">  (p)</t>
  </si>
  <si>
    <t>I. INGRESO DE DIVISAS</t>
  </si>
  <si>
    <t xml:space="preserve">                    YPFB Libre Disponibilidad</t>
  </si>
  <si>
    <t xml:space="preserve">                    YPFB Otros</t>
  </si>
  <si>
    <t xml:space="preserve">                    Minería Mediana</t>
  </si>
  <si>
    <t xml:space="preserve">                    Agropecuarios</t>
  </si>
  <si>
    <t xml:space="preserve">                    Otros</t>
  </si>
  <si>
    <t xml:space="preserve">                   Corrientes</t>
  </si>
  <si>
    <t xml:space="preserve">                   Financieros</t>
  </si>
  <si>
    <t xml:space="preserve">                             BCB</t>
  </si>
  <si>
    <t>II. EGRESO DE DIVISAS</t>
  </si>
  <si>
    <t xml:space="preserve">    II.A. Por Importación</t>
  </si>
  <si>
    <t xml:space="preserve">           II.A.1. De Bienes</t>
  </si>
  <si>
    <t xml:space="preserve">                     COMIBOL-ENAF</t>
  </si>
  <si>
    <t xml:space="preserve">                     YPFB</t>
  </si>
  <si>
    <t xml:space="preserve">                     Otras Empresas</t>
  </si>
  <si>
    <t xml:space="preserve">           II.A.2.De Servicios Corrientes</t>
  </si>
  <si>
    <t xml:space="preserve">                     Haberes</t>
  </si>
  <si>
    <t xml:space="preserve">                     Servicio Técnico</t>
  </si>
  <si>
    <t xml:space="preserve">                     Fletes y Transportes</t>
  </si>
  <si>
    <t xml:space="preserve">                     Gastos Portuarios</t>
  </si>
  <si>
    <t xml:space="preserve">                     Cuota a Organismos Internacionales</t>
  </si>
  <si>
    <t xml:space="preserve">                     Otros</t>
  </si>
  <si>
    <t xml:space="preserve">    II.B. Servicio Deuda Externa</t>
  </si>
  <si>
    <t xml:space="preserve">            II.B.1. Capital</t>
  </si>
  <si>
    <t xml:space="preserve">                       Mediano y Largo Plazo</t>
  </si>
  <si>
    <t xml:space="preserve">            II.B.2. Intereses</t>
  </si>
  <si>
    <t>III.  FMI - SAF</t>
  </si>
  <si>
    <t>IV. FMI -ESAF</t>
  </si>
  <si>
    <t>FLUJO NETO DE DIVISAS</t>
  </si>
  <si>
    <t xml:space="preserve">  Cifras de operaciones bancarias (I.D. y II.C.) revisadas.  A partir del boletín No. 40 (abril de 1988) hasta el boletín No. 51 (marzo de 1999) </t>
  </si>
  <si>
    <t xml:space="preserve">  A partir del boletín No. 52 dichos rubros se registran en términos brutos.</t>
  </si>
  <si>
    <t xml:space="preserve">  </t>
  </si>
  <si>
    <t>TOTAL</t>
  </si>
  <si>
    <t xml:space="preserve">   D  E  T  A  L  L  E</t>
  </si>
  <si>
    <t xml:space="preserve">                             SPNF</t>
  </si>
  <si>
    <t xml:space="preserve">    II.F Certificados de Depósito  (CD)</t>
  </si>
  <si>
    <t xml:space="preserve">                Sector Público</t>
  </si>
  <si>
    <r>
      <t xml:space="preserve">                 Títulos y Valores </t>
    </r>
    <r>
      <rPr>
        <vertAlign val="superscript"/>
        <sz val="12"/>
        <rFont val="Arial"/>
        <family val="2"/>
      </rPr>
      <t>(5)</t>
    </r>
  </si>
  <si>
    <t xml:space="preserve">AGO </t>
  </si>
  <si>
    <t xml:space="preserve">   */  Desde Dic/96, se revisaron los datos por actualización de cifras referidas a operaciones con títulos valores.</t>
  </si>
  <si>
    <t>B A L A N Z A   C A M B I A R I A</t>
  </si>
  <si>
    <t xml:space="preserve">                  Sector Privado</t>
  </si>
  <si>
    <t>I.A.2. De Servicios</t>
  </si>
  <si>
    <t>I.E. Desembolso Deuda Externa</t>
  </si>
  <si>
    <t>I.E.1. Largo Plazo</t>
  </si>
  <si>
    <t>I.G. Certificados de Depósito (CD)</t>
  </si>
  <si>
    <t>I.J. Otros</t>
  </si>
  <si>
    <t xml:space="preserve">I.A. Por Exportaciones           </t>
  </si>
  <si>
    <t xml:space="preserve">I.A.1. De Bienes               </t>
  </si>
  <si>
    <t xml:space="preserve">                  Sector Público                    </t>
  </si>
  <si>
    <t xml:space="preserve">                    ENAF-COMIBOL                  </t>
  </si>
  <si>
    <t xml:space="preserve">  (5)  A partir de Nov/94 se ajustan Inversiones con títulos "T. Notes y T. Bills" del tesoro estadounidense.                                   </t>
  </si>
  <si>
    <t xml:space="preserve">  Las cifras de los trimestres II, III y IV de 1998 y I de 1999 fueron registradas con base en operaciones netas diarias (ingresos menos egresos). </t>
  </si>
  <si>
    <r>
      <t xml:space="preserve">           Títulos Valores</t>
    </r>
    <r>
      <rPr>
        <vertAlign val="superscript"/>
        <sz val="12"/>
        <rFont val="Arial"/>
        <family val="2"/>
      </rPr>
      <t xml:space="preserve"> </t>
    </r>
  </si>
  <si>
    <r>
      <t xml:space="preserve">           Otros</t>
    </r>
    <r>
      <rPr>
        <vertAlign val="superscript"/>
        <sz val="12"/>
        <rFont val="Arial"/>
        <family val="2"/>
      </rPr>
      <t xml:space="preserve"> (6)</t>
    </r>
  </si>
  <si>
    <t>RMD/DSG</t>
  </si>
  <si>
    <t xml:space="preserve">  (6)  Incluye redención anticipada y vencimientos de CDD en ME, a partir de enero de 1995</t>
  </si>
  <si>
    <t xml:space="preserve">                 Otros</t>
  </si>
  <si>
    <t xml:space="preserve">                       Corto Plazo</t>
  </si>
  <si>
    <t>I.E.3. Corto Plazo</t>
  </si>
  <si>
    <t xml:space="preserve">                       FMI</t>
  </si>
  <si>
    <t>I.E.2. FMI</t>
  </si>
  <si>
    <t xml:space="preserve">    II.I Otros</t>
  </si>
  <si>
    <t>FUENTE:</t>
  </si>
  <si>
    <t>ELABORACIÓN:</t>
  </si>
  <si>
    <t>NOTAS:</t>
  </si>
  <si>
    <t>BANCO CENTRAL DE BOLIVIA - ASESORÍA DE POLÍTICA ECONÓMICA - SECTOR EXTERNO</t>
  </si>
  <si>
    <t>I.B. Renta</t>
  </si>
  <si>
    <t>I.C. Donaciones</t>
  </si>
  <si>
    <t>I.F. Remesas Familiares</t>
  </si>
  <si>
    <t>(En millones de dóalres)</t>
  </si>
  <si>
    <t>(En millones de dólares)</t>
  </si>
  <si>
    <t xml:space="preserve">  (2)  No incluye operaciones de gas con la República Argentina</t>
  </si>
  <si>
    <r>
      <t xml:space="preserve">                  Convenio Crédito Recíproco </t>
    </r>
    <r>
      <rPr>
        <vertAlign val="superscript"/>
        <sz val="12"/>
        <rFont val="Arial"/>
        <family val="2"/>
      </rPr>
      <t>(1)</t>
    </r>
  </si>
  <si>
    <t xml:space="preserve">    II.J YPFB Costos Recuperables y Retribuciones</t>
  </si>
  <si>
    <t xml:space="preserve">         a Empresas</t>
  </si>
  <si>
    <r>
      <t xml:space="preserve">                Convenio Crédito Recíproco </t>
    </r>
    <r>
      <rPr>
        <vertAlign val="superscript"/>
        <sz val="12"/>
        <rFont val="Arial"/>
        <family val="2"/>
      </rPr>
      <t>(1)</t>
    </r>
  </si>
  <si>
    <r>
      <t xml:space="preserve">                   Encaje Legal</t>
    </r>
    <r>
      <rPr>
        <vertAlign val="superscript"/>
        <sz val="12"/>
        <rFont val="Arial"/>
        <family val="2"/>
      </rPr>
      <t xml:space="preserve"> (2)                      </t>
    </r>
  </si>
  <si>
    <t xml:space="preserve">  (2)  Incluye Fondos RAL</t>
  </si>
  <si>
    <r>
      <t xml:space="preserve">          Retiro Encaje Legal </t>
    </r>
    <r>
      <rPr>
        <vertAlign val="superscript"/>
        <sz val="12"/>
        <rFont val="Arial"/>
        <family val="2"/>
      </rPr>
      <t>(2)</t>
    </r>
  </si>
  <si>
    <r>
      <t xml:space="preserve">          Operaciones Bancarias </t>
    </r>
    <r>
      <rPr>
        <vertAlign val="superscript"/>
        <sz val="12"/>
        <rFont val="Arial"/>
        <family val="2"/>
      </rPr>
      <t>(3)</t>
    </r>
  </si>
  <si>
    <t xml:space="preserve">   II.C Sector Privado-Bancos</t>
  </si>
  <si>
    <r>
      <t xml:space="preserve">                   Captación Bancos </t>
    </r>
    <r>
      <rPr>
        <vertAlign val="superscript"/>
        <sz val="12"/>
        <rFont val="Arial"/>
        <family val="2"/>
      </rPr>
      <t>(3)</t>
    </r>
  </si>
  <si>
    <t>I.D. Bancos - Cheques</t>
  </si>
  <si>
    <t xml:space="preserve">  (3)  Incluye transferencias del sistema bancario a través del BCB</t>
  </si>
  <si>
    <r>
      <t xml:space="preserve">                Bolsín </t>
    </r>
    <r>
      <rPr>
        <vertAlign val="superscript"/>
        <sz val="12"/>
        <rFont val="Arial"/>
        <family val="2"/>
      </rPr>
      <t>(4)</t>
    </r>
  </si>
  <si>
    <r>
      <t xml:space="preserve">I.H Letras de Tesorería (LT) </t>
    </r>
    <r>
      <rPr>
        <vertAlign val="superscript"/>
        <sz val="12"/>
        <rFont val="Arial"/>
        <family val="2"/>
      </rPr>
      <t>(5)</t>
    </r>
  </si>
  <si>
    <r>
      <t xml:space="preserve">I.I Bonos de Tesorería (LT) </t>
    </r>
    <r>
      <rPr>
        <vertAlign val="superscript"/>
        <sz val="12"/>
        <rFont val="Arial"/>
        <family val="2"/>
      </rPr>
      <t>(5)</t>
    </r>
  </si>
  <si>
    <r>
      <t xml:space="preserve">    II.H Bonos de Tesorería (LT)</t>
    </r>
    <r>
      <rPr>
        <vertAlign val="superscript"/>
        <sz val="12"/>
        <rFont val="Arial"/>
        <family val="2"/>
      </rPr>
      <t xml:space="preserve"> (5)</t>
    </r>
  </si>
  <si>
    <t xml:space="preserve">  (6)  A partir de julio/01 incluye Bonos del TGN  (BTS)</t>
  </si>
  <si>
    <r>
      <t xml:space="preserve">    II.G Letras de Tesorería (LT)</t>
    </r>
    <r>
      <rPr>
        <vertAlign val="superscript"/>
        <sz val="12"/>
        <rFont val="Arial"/>
        <family val="2"/>
      </rPr>
      <t xml:space="preserve"> (5)</t>
    </r>
  </si>
  <si>
    <t xml:space="preserve">  (1)  Mecanismo utilizado por el sector público y privado                             </t>
  </si>
  <si>
    <t xml:space="preserve">  (4)  Se refiere a la Venta Efectiva</t>
  </si>
  <si>
    <t xml:space="preserve">  (5)  Se refiere a valores nominales netos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</si>
</sst>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,##0.0_);\(#,##0.0\)"/>
    <numFmt numFmtId="165" formatCode="0.0_)"/>
    <numFmt numFmtId="166" formatCode="0.0"/>
    <numFmt numFmtId="167" formatCode="#,##0.000_);\(#,##0.000\)"/>
    <numFmt numFmtId="168" formatCode="0.0_);\(0.0\)"/>
    <numFmt numFmtId="169" formatCode="0.000_);\(0.000\)"/>
    <numFmt numFmtId="170" formatCode="#,##0.000000_);\(#,##0.000000\)"/>
    <numFmt numFmtId="171" formatCode="0.0_);[Red]\(0.0\)"/>
    <numFmt numFmtId="172" formatCode="0.00000"/>
    <numFmt numFmtId="173" formatCode="0.0_ ;[Red]\-0.0\ "/>
    <numFmt numFmtId="174" formatCode="#,##0.0_ ;[Red]\-#,##0.0\ "/>
    <numFmt numFmtId="175" formatCode="0.0_ ;\-0.0\ "/>
    <numFmt numFmtId="176" formatCode="#,##0.0"/>
  </numFmts>
  <fonts count="28" x14ac:knownFonts="1">
    <font>
      <sz val="10"/>
      <name val="Arial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vertAlign val="superscript"/>
      <sz val="12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Times New Roman"/>
      <family val="1"/>
    </font>
    <font>
      <sz val="15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20"/>
      <name val="Arial"/>
      <family val="2"/>
    </font>
    <font>
      <sz val="13"/>
      <color indexed="8"/>
      <name val="Arial"/>
      <family val="2"/>
    </font>
    <font>
      <b/>
      <sz val="13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20"/>
      <color indexed="8"/>
      <name val="Arial"/>
      <family val="2"/>
    </font>
    <font>
      <b/>
      <sz val="14"/>
      <color indexed="8"/>
      <name val="Arial"/>
      <family val="2"/>
    </font>
    <font>
      <b/>
      <sz val="18"/>
      <name val="Arial"/>
      <family val="2"/>
    </font>
    <font>
      <b/>
      <sz val="15"/>
      <color indexed="8"/>
      <name val="Arial"/>
      <family val="2"/>
    </font>
    <font>
      <b/>
      <sz val="22"/>
      <color indexed="8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8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 applyProtection="1">
      <alignment vertical="center"/>
    </xf>
    <xf numFmtId="0" fontId="1" fillId="0" borderId="2" xfId="0" applyFont="1" applyFill="1" applyBorder="1" applyAlignment="1">
      <alignment vertical="center"/>
    </xf>
    <xf numFmtId="164" fontId="1" fillId="0" borderId="2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>
      <alignment vertical="center"/>
    </xf>
    <xf numFmtId="165" fontId="1" fillId="0" borderId="0" xfId="0" applyNumberFormat="1" applyFont="1" applyBorder="1" applyAlignment="1" applyProtection="1">
      <alignment vertical="center"/>
    </xf>
    <xf numFmtId="164" fontId="1" fillId="0" borderId="1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vertical="center"/>
    </xf>
    <xf numFmtId="0" fontId="3" fillId="0" borderId="3" xfId="0" applyFont="1" applyFill="1" applyBorder="1" applyAlignment="1">
      <alignment vertical="center"/>
    </xf>
    <xf numFmtId="164" fontId="1" fillId="0" borderId="4" xfId="0" applyNumberFormat="1" applyFont="1" applyFill="1" applyBorder="1" applyAlignment="1" applyProtection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Alignment="1"/>
    <xf numFmtId="164" fontId="1" fillId="0" borderId="5" xfId="0" applyNumberFormat="1" applyFont="1" applyFill="1" applyBorder="1" applyAlignment="1" applyProtection="1">
      <alignment vertical="center"/>
    </xf>
    <xf numFmtId="164" fontId="1" fillId="0" borderId="6" xfId="0" applyNumberFormat="1" applyFont="1" applyFill="1" applyBorder="1" applyAlignment="1" applyProtection="1">
      <alignment vertical="center"/>
    </xf>
    <xf numFmtId="0" fontId="5" fillId="0" borderId="0" xfId="0" applyFont="1" applyFill="1" applyAlignment="1"/>
    <xf numFmtId="164" fontId="4" fillId="0" borderId="0" xfId="0" applyNumberFormat="1" applyFont="1" applyFill="1" applyAlignment="1" applyProtection="1"/>
    <xf numFmtId="0" fontId="5" fillId="0" borderId="0" xfId="0" applyFont="1" applyFill="1" applyAlignment="1" applyProtection="1"/>
    <xf numFmtId="0" fontId="4" fillId="0" borderId="0" xfId="0" applyFont="1" applyFill="1" applyAlignment="1"/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0" fontId="6" fillId="0" borderId="5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164" fontId="6" fillId="0" borderId="5" xfId="0" applyNumberFormat="1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7" fillId="0" borderId="0" xfId="0" applyFont="1"/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6" fillId="0" borderId="3" xfId="0" applyFont="1" applyFill="1" applyBorder="1" applyAlignment="1" applyProtection="1">
      <alignment horizontal="center" vertical="center"/>
    </xf>
    <xf numFmtId="0" fontId="4" fillId="0" borderId="0" xfId="0" applyFont="1" applyAlignment="1"/>
    <xf numFmtId="168" fontId="1" fillId="0" borderId="4" xfId="0" applyNumberFormat="1" applyFont="1" applyBorder="1"/>
    <xf numFmtId="168" fontId="6" fillId="0" borderId="0" xfId="0" applyNumberFormat="1" applyFont="1" applyFill="1" applyBorder="1" applyAlignment="1" applyProtection="1">
      <alignment vertical="center"/>
    </xf>
    <xf numFmtId="0" fontId="6" fillId="0" borderId="12" xfId="0" applyFont="1" applyFill="1" applyBorder="1" applyAlignment="1">
      <alignment vertical="center"/>
    </xf>
    <xf numFmtId="164" fontId="6" fillId="0" borderId="12" xfId="0" applyNumberFormat="1" applyFont="1" applyFill="1" applyBorder="1" applyAlignment="1" applyProtection="1">
      <alignment vertical="center"/>
    </xf>
    <xf numFmtId="164" fontId="1" fillId="0" borderId="12" xfId="0" applyNumberFormat="1" applyFont="1" applyFill="1" applyBorder="1" applyAlignment="1" applyProtection="1">
      <alignment vertical="center"/>
    </xf>
    <xf numFmtId="168" fontId="6" fillId="0" borderId="12" xfId="0" applyNumberFormat="1" applyFont="1" applyFill="1" applyBorder="1" applyAlignment="1" applyProtection="1">
      <alignment vertical="center"/>
    </xf>
    <xf numFmtId="164" fontId="1" fillId="0" borderId="13" xfId="0" applyNumberFormat="1" applyFont="1" applyFill="1" applyBorder="1" applyAlignment="1" applyProtection="1">
      <alignment vertical="center"/>
    </xf>
    <xf numFmtId="167" fontId="1" fillId="0" borderId="5" xfId="0" applyNumberFormat="1" applyFont="1" applyFill="1" applyBorder="1" applyAlignment="1" applyProtection="1">
      <alignment vertical="center"/>
    </xf>
    <xf numFmtId="167" fontId="1" fillId="0" borderId="0" xfId="0" applyNumberFormat="1" applyFont="1" applyFill="1" applyBorder="1" applyAlignment="1" applyProtection="1">
      <alignment vertical="center"/>
    </xf>
    <xf numFmtId="164" fontId="1" fillId="0" borderId="14" xfId="0" applyNumberFormat="1" applyFont="1" applyFill="1" applyBorder="1" applyAlignment="1" applyProtection="1">
      <alignment vertical="center"/>
    </xf>
    <xf numFmtId="164" fontId="6" fillId="0" borderId="12" xfId="0" applyNumberFormat="1" applyFont="1" applyBorder="1"/>
    <xf numFmtId="168" fontId="1" fillId="0" borderId="12" xfId="0" applyNumberFormat="1" applyFont="1" applyBorder="1"/>
    <xf numFmtId="164" fontId="1" fillId="0" borderId="12" xfId="0" applyNumberFormat="1" applyFont="1" applyBorder="1"/>
    <xf numFmtId="168" fontId="6" fillId="0" borderId="12" xfId="0" applyNumberFormat="1" applyFont="1" applyBorder="1"/>
    <xf numFmtId="168" fontId="1" fillId="0" borderId="13" xfId="0" applyNumberFormat="1" applyFont="1" applyBorder="1"/>
    <xf numFmtId="164" fontId="6" fillId="0" borderId="0" xfId="0" applyNumberFormat="1" applyFont="1" applyBorder="1"/>
    <xf numFmtId="168" fontId="1" fillId="0" borderId="0" xfId="0" applyNumberFormat="1" applyFont="1" applyBorder="1"/>
    <xf numFmtId="164" fontId="1" fillId="0" borderId="0" xfId="0" applyNumberFormat="1" applyFont="1" applyBorder="1"/>
    <xf numFmtId="168" fontId="6" fillId="0" borderId="0" xfId="0" applyNumberFormat="1" applyFont="1" applyBorder="1"/>
    <xf numFmtId="164" fontId="6" fillId="0" borderId="2" xfId="0" applyNumberFormat="1" applyFont="1" applyBorder="1"/>
    <xf numFmtId="168" fontId="1" fillId="0" borderId="2" xfId="0" applyNumberFormat="1" applyFont="1" applyBorder="1"/>
    <xf numFmtId="164" fontId="1" fillId="0" borderId="2" xfId="0" applyNumberFormat="1" applyFont="1" applyBorder="1"/>
    <xf numFmtId="168" fontId="6" fillId="0" borderId="2" xfId="0" applyNumberFormat="1" applyFont="1" applyBorder="1"/>
    <xf numFmtId="168" fontId="1" fillId="0" borderId="7" xfId="0" applyNumberFormat="1" applyFont="1" applyBorder="1"/>
    <xf numFmtId="0" fontId="1" fillId="0" borderId="2" xfId="0" applyFont="1" applyFill="1" applyBorder="1" applyAlignment="1" applyProtection="1">
      <alignment horizontal="left" vertical="center" indent="1"/>
    </xf>
    <xf numFmtId="0" fontId="1" fillId="0" borderId="2" xfId="0" applyFont="1" applyFill="1" applyBorder="1" applyAlignment="1" applyProtection="1">
      <alignment horizontal="left" vertical="center" indent="2"/>
    </xf>
    <xf numFmtId="168" fontId="1" fillId="0" borderId="5" xfId="0" applyNumberFormat="1" applyFont="1" applyBorder="1"/>
    <xf numFmtId="164" fontId="1" fillId="0" borderId="5" xfId="0" applyNumberFormat="1" applyFont="1" applyBorder="1"/>
    <xf numFmtId="0" fontId="6" fillId="0" borderId="1" xfId="0" applyFont="1" applyBorder="1" applyAlignment="1">
      <alignment horizontal="center" vertical="center"/>
    </xf>
    <xf numFmtId="164" fontId="6" fillId="0" borderId="15" xfId="0" applyNumberFormat="1" applyFont="1" applyFill="1" applyBorder="1" applyAlignment="1" applyProtection="1">
      <alignment vertical="center"/>
    </xf>
    <xf numFmtId="164" fontId="6" fillId="0" borderId="16" xfId="0" applyNumberFormat="1" applyFont="1" applyFill="1" applyBorder="1" applyAlignment="1" applyProtection="1">
      <alignment vertical="center"/>
    </xf>
    <xf numFmtId="164" fontId="6" fillId="0" borderId="17" xfId="0" applyNumberFormat="1" applyFont="1" applyFill="1" applyBorder="1" applyAlignment="1" applyProtection="1">
      <alignment vertical="center"/>
    </xf>
    <xf numFmtId="171" fontId="6" fillId="0" borderId="16" xfId="0" applyNumberFormat="1" applyFont="1" applyFill="1" applyBorder="1" applyAlignment="1" applyProtection="1">
      <alignment vertical="center"/>
    </xf>
    <xf numFmtId="171" fontId="6" fillId="0" borderId="15" xfId="0" applyNumberFormat="1" applyFont="1" applyFill="1" applyBorder="1" applyAlignment="1" applyProtection="1">
      <alignment vertical="center"/>
    </xf>
    <xf numFmtId="171" fontId="6" fillId="0" borderId="18" xfId="0" applyNumberFormat="1" applyFont="1" applyFill="1" applyBorder="1" applyAlignment="1" applyProtection="1">
      <alignment vertical="center"/>
    </xf>
    <xf numFmtId="171" fontId="6" fillId="0" borderId="15" xfId="0" applyNumberFormat="1" applyFont="1" applyBorder="1"/>
    <xf numFmtId="171" fontId="6" fillId="0" borderId="18" xfId="0" applyNumberFormat="1" applyFont="1" applyBorder="1"/>
    <xf numFmtId="171" fontId="6" fillId="0" borderId="17" xfId="0" applyNumberFormat="1" applyFont="1" applyBorder="1"/>
    <xf numFmtId="0" fontId="4" fillId="0" borderId="0" xfId="0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5" fillId="0" borderId="0" xfId="0" applyFont="1" applyFill="1" applyBorder="1" applyAlignment="1"/>
    <xf numFmtId="0" fontId="1" fillId="0" borderId="0" xfId="0" applyFont="1" applyBorder="1" applyAlignment="1"/>
    <xf numFmtId="166" fontId="1" fillId="0" borderId="0" xfId="0" applyNumberFormat="1" applyFont="1" applyBorder="1" applyAlignment="1"/>
    <xf numFmtId="164" fontId="1" fillId="0" borderId="0" xfId="0" applyNumberFormat="1" applyFont="1" applyBorder="1" applyAlignment="1"/>
    <xf numFmtId="171" fontId="1" fillId="0" borderId="0" xfId="0" applyNumberFormat="1" applyFont="1" applyBorder="1" applyAlignment="1"/>
    <xf numFmtId="0" fontId="5" fillId="0" borderId="0" xfId="0" applyFont="1" applyFill="1" applyBorder="1" applyAlignment="1" applyProtection="1"/>
    <xf numFmtId="0" fontId="4" fillId="0" borderId="0" xfId="0" applyFont="1" applyBorder="1" applyAlignment="1"/>
    <xf numFmtId="0" fontId="1" fillId="0" borderId="19" xfId="0" applyFont="1" applyFill="1" applyBorder="1" applyAlignment="1">
      <alignment vertical="center"/>
    </xf>
    <xf numFmtId="164" fontId="1" fillId="0" borderId="19" xfId="0" applyNumberFormat="1" applyFont="1" applyFill="1" applyBorder="1" applyAlignment="1" applyProtection="1">
      <alignment vertical="center"/>
    </xf>
    <xf numFmtId="168" fontId="1" fillId="0" borderId="8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Fill="1" applyBorder="1"/>
    <xf numFmtId="168" fontId="6" fillId="0" borderId="0" xfId="0" applyNumberFormat="1" applyFont="1" applyFill="1" applyBorder="1"/>
    <xf numFmtId="168" fontId="1" fillId="0" borderId="4" xfId="0" applyNumberFormat="1" applyFont="1" applyFill="1" applyBorder="1"/>
    <xf numFmtId="168" fontId="1" fillId="0" borderId="0" xfId="0" applyNumberFormat="1" applyFont="1" applyFill="1" applyBorder="1"/>
    <xf numFmtId="173" fontId="6" fillId="0" borderId="18" xfId="0" applyNumberFormat="1" applyFont="1" applyBorder="1"/>
    <xf numFmtId="173" fontId="6" fillId="0" borderId="15" xfId="0" applyNumberFormat="1" applyFont="1" applyBorder="1"/>
    <xf numFmtId="173" fontId="6" fillId="0" borderId="17" xfId="0" applyNumberFormat="1" applyFont="1" applyBorder="1"/>
    <xf numFmtId="0" fontId="11" fillId="0" borderId="0" xfId="0" applyFont="1" applyAlignment="1">
      <alignment horizontal="right"/>
    </xf>
    <xf numFmtId="174" fontId="6" fillId="0" borderId="15" xfId="0" applyNumberFormat="1" applyFont="1" applyBorder="1"/>
    <xf numFmtId="173" fontId="6" fillId="0" borderId="0" xfId="0" applyNumberFormat="1" applyFont="1" applyBorder="1"/>
    <xf numFmtId="173" fontId="6" fillId="0" borderId="2" xfId="0" applyNumberFormat="1" applyFont="1" applyBorder="1"/>
    <xf numFmtId="173" fontId="1" fillId="0" borderId="0" xfId="0" applyNumberFormat="1" applyFont="1" applyBorder="1"/>
    <xf numFmtId="173" fontId="1" fillId="0" borderId="2" xfId="0" applyNumberFormat="1" applyFont="1" applyBorder="1"/>
    <xf numFmtId="173" fontId="1" fillId="0" borderId="12" xfId="0" applyNumberFormat="1" applyFont="1" applyBorder="1"/>
    <xf numFmtId="173" fontId="1" fillId="0" borderId="4" xfId="0" applyNumberFormat="1" applyFont="1" applyBorder="1"/>
    <xf numFmtId="173" fontId="1" fillId="0" borderId="13" xfId="0" applyNumberFormat="1" applyFont="1" applyBorder="1"/>
    <xf numFmtId="0" fontId="0" fillId="0" borderId="0" xfId="0" applyAlignment="1">
      <alignment horizontal="right"/>
    </xf>
    <xf numFmtId="173" fontId="1" fillId="0" borderId="7" xfId="0" applyNumberFormat="1" applyFont="1" applyBorder="1"/>
    <xf numFmtId="0" fontId="6" fillId="0" borderId="9" xfId="0" applyFont="1" applyBorder="1" applyAlignment="1">
      <alignment horizontal="centerContinuous" vertical="center"/>
    </xf>
    <xf numFmtId="0" fontId="6" fillId="0" borderId="10" xfId="0" applyFont="1" applyBorder="1" applyAlignment="1">
      <alignment horizontal="centerContinuous" vertical="center"/>
    </xf>
    <xf numFmtId="175" fontId="6" fillId="0" borderId="15" xfId="0" applyNumberFormat="1" applyFont="1" applyBorder="1"/>
    <xf numFmtId="175" fontId="6" fillId="0" borderId="18" xfId="0" applyNumberFormat="1" applyFont="1" applyBorder="1"/>
    <xf numFmtId="175" fontId="6" fillId="0" borderId="16" xfId="0" applyNumberFormat="1" applyFont="1" applyBorder="1"/>
    <xf numFmtId="175" fontId="6" fillId="0" borderId="15" xfId="0" applyNumberFormat="1" applyFont="1" applyFill="1" applyBorder="1"/>
    <xf numFmtId="0" fontId="6" fillId="0" borderId="6" xfId="0" applyFont="1" applyBorder="1" applyAlignment="1">
      <alignment horizontal="centerContinuous" vertical="center"/>
    </xf>
    <xf numFmtId="173" fontId="6" fillId="0" borderId="12" xfId="0" applyNumberFormat="1" applyFont="1" applyBorder="1"/>
    <xf numFmtId="0" fontId="6" fillId="0" borderId="11" xfId="0" applyFont="1" applyBorder="1" applyAlignment="1">
      <alignment horizontal="centerContinuous" vertical="center"/>
    </xf>
    <xf numFmtId="0" fontId="12" fillId="0" borderId="0" xfId="0" applyFont="1"/>
    <xf numFmtId="0" fontId="13" fillId="0" borderId="0" xfId="0" applyFont="1"/>
    <xf numFmtId="164" fontId="1" fillId="2" borderId="0" xfId="0" applyNumberFormat="1" applyFont="1" applyFill="1" applyBorder="1"/>
    <xf numFmtId="164" fontId="1" fillId="2" borderId="12" xfId="0" applyNumberFormat="1" applyFont="1" applyFill="1" applyBorder="1"/>
    <xf numFmtId="164" fontId="1" fillId="2" borderId="2" xfId="0" applyNumberFormat="1" applyFont="1" applyFill="1" applyBorder="1"/>
    <xf numFmtId="173" fontId="1" fillId="2" borderId="0" xfId="0" applyNumberFormat="1" applyFont="1" applyFill="1" applyBorder="1"/>
    <xf numFmtId="173" fontId="1" fillId="2" borderId="12" xfId="0" applyNumberFormat="1" applyFont="1" applyFill="1" applyBorder="1"/>
    <xf numFmtId="164" fontId="1" fillId="2" borderId="5" xfId="0" applyNumberFormat="1" applyFont="1" applyFill="1" applyBorder="1"/>
    <xf numFmtId="173" fontId="1" fillId="2" borderId="2" xfId="0" applyNumberFormat="1" applyFont="1" applyFill="1" applyBorder="1"/>
    <xf numFmtId="0" fontId="6" fillId="0" borderId="20" xfId="0" applyFont="1" applyBorder="1" applyAlignment="1">
      <alignment horizontal="center" vertical="center"/>
    </xf>
    <xf numFmtId="176" fontId="6" fillId="0" borderId="12" xfId="0" applyNumberFormat="1" applyFont="1" applyBorder="1"/>
    <xf numFmtId="176" fontId="6" fillId="0" borderId="0" xfId="0" applyNumberFormat="1" applyFont="1" applyBorder="1"/>
    <xf numFmtId="176" fontId="1" fillId="0" borderId="12" xfId="0" applyNumberFormat="1" applyFont="1" applyBorder="1"/>
    <xf numFmtId="176" fontId="1" fillId="0" borderId="0" xfId="0" applyNumberFormat="1" applyFont="1" applyBorder="1"/>
    <xf numFmtId="176" fontId="1" fillId="0" borderId="2" xfId="0" applyNumberFormat="1" applyFont="1" applyBorder="1"/>
    <xf numFmtId="176" fontId="1" fillId="0" borderId="0" xfId="0" applyNumberFormat="1" applyFont="1" applyFill="1" applyBorder="1"/>
    <xf numFmtId="176" fontId="6" fillId="0" borderId="2" xfId="0" applyNumberFormat="1" applyFont="1" applyBorder="1"/>
    <xf numFmtId="176" fontId="1" fillId="2" borderId="12" xfId="0" applyNumberFormat="1" applyFont="1" applyFill="1" applyBorder="1"/>
    <xf numFmtId="176" fontId="1" fillId="2" borderId="0" xfId="0" applyNumberFormat="1" applyFont="1" applyFill="1" applyBorder="1"/>
    <xf numFmtId="176" fontId="1" fillId="2" borderId="2" xfId="0" applyNumberFormat="1" applyFont="1" applyFill="1" applyBorder="1"/>
    <xf numFmtId="176" fontId="1" fillId="0" borderId="13" xfId="0" applyNumberFormat="1" applyFont="1" applyBorder="1"/>
    <xf numFmtId="176" fontId="1" fillId="0" borderId="4" xfId="0" applyNumberFormat="1" applyFont="1" applyBorder="1"/>
    <xf numFmtId="176" fontId="1" fillId="0" borderId="7" xfId="0" applyNumberFormat="1" applyFont="1" applyBorder="1"/>
    <xf numFmtId="176" fontId="1" fillId="0" borderId="14" xfId="0" applyNumberFormat="1" applyFont="1" applyBorder="1"/>
    <xf numFmtId="176" fontId="6" fillId="0" borderId="18" xfId="0" applyNumberFormat="1" applyFont="1" applyBorder="1"/>
    <xf numFmtId="176" fontId="6" fillId="0" borderId="15" xfId="0" applyNumberFormat="1" applyFont="1" applyBorder="1"/>
    <xf numFmtId="176" fontId="0" fillId="0" borderId="0" xfId="0" applyNumberFormat="1"/>
    <xf numFmtId="0" fontId="6" fillId="0" borderId="10" xfId="0" applyFont="1" applyBorder="1" applyAlignment="1">
      <alignment horizontal="left" vertical="center"/>
    </xf>
    <xf numFmtId="176" fontId="6" fillId="0" borderId="19" xfId="0" applyNumberFormat="1" applyFont="1" applyBorder="1" applyAlignment="1">
      <alignment vertical="center"/>
    </xf>
    <xf numFmtId="176" fontId="6" fillId="0" borderId="21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1" fillId="2" borderId="5" xfId="0" applyNumberFormat="1" applyFont="1" applyFill="1" applyBorder="1" applyAlignment="1">
      <alignment vertical="center"/>
    </xf>
    <xf numFmtId="166" fontId="6" fillId="0" borderId="0" xfId="0" applyNumberFormat="1" applyFont="1" applyBorder="1"/>
    <xf numFmtId="166" fontId="6" fillId="0" borderId="5" xfId="0" applyNumberFormat="1" applyFont="1" applyBorder="1"/>
    <xf numFmtId="166" fontId="6" fillId="0" borderId="12" xfId="0" applyNumberFormat="1" applyFont="1" applyBorder="1"/>
    <xf numFmtId="166" fontId="6" fillId="0" borderId="2" xfId="0" applyNumberFormat="1" applyFont="1" applyBorder="1" applyAlignment="1">
      <alignment vertical="center"/>
    </xf>
    <xf numFmtId="166" fontId="6" fillId="0" borderId="0" xfId="0" applyNumberFormat="1" applyFont="1" applyBorder="1" applyAlignment="1">
      <alignment vertical="center"/>
    </xf>
    <xf numFmtId="166" fontId="6" fillId="0" borderId="5" xfId="0" applyNumberFormat="1" applyFont="1" applyBorder="1" applyAlignment="1">
      <alignment vertical="center"/>
    </xf>
    <xf numFmtId="166" fontId="6" fillId="0" borderId="12" xfId="0" applyNumberFormat="1" applyFont="1" applyBorder="1" applyAlignment="1">
      <alignment vertical="center"/>
    </xf>
    <xf numFmtId="166" fontId="1" fillId="0" borderId="0" xfId="0" applyNumberFormat="1" applyFont="1" applyBorder="1"/>
    <xf numFmtId="166" fontId="1" fillId="0" borderId="5" xfId="0" applyNumberFormat="1" applyFont="1" applyBorder="1"/>
    <xf numFmtId="166" fontId="1" fillId="0" borderId="12" xfId="0" applyNumberFormat="1" applyFont="1" applyBorder="1"/>
    <xf numFmtId="166" fontId="1" fillId="0" borderId="2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0" borderId="12" xfId="0" applyNumberFormat="1" applyFont="1" applyBorder="1" applyAlignment="1">
      <alignment vertical="center"/>
    </xf>
    <xf numFmtId="166" fontId="3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166" fontId="1" fillId="2" borderId="0" xfId="0" applyNumberFormat="1" applyFont="1" applyFill="1" applyBorder="1"/>
    <xf numFmtId="166" fontId="1" fillId="2" borderId="5" xfId="0" applyNumberFormat="1" applyFont="1" applyFill="1" applyBorder="1"/>
    <xf numFmtId="166" fontId="1" fillId="2" borderId="12" xfId="0" applyNumberFormat="1" applyFont="1" applyFill="1" applyBorder="1"/>
    <xf numFmtId="166" fontId="1" fillId="2" borderId="2" xfId="0" applyNumberFormat="1" applyFont="1" applyFill="1" applyBorder="1" applyAlignment="1">
      <alignment vertical="center"/>
    </xf>
    <xf numFmtId="166" fontId="1" fillId="2" borderId="0" xfId="0" applyNumberFormat="1" applyFont="1" applyFill="1" applyBorder="1" applyAlignment="1">
      <alignment vertical="center"/>
    </xf>
    <xf numFmtId="166" fontId="1" fillId="2" borderId="5" xfId="0" applyNumberFormat="1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166" fontId="1" fillId="0" borderId="5" xfId="0" applyNumberFormat="1" applyFont="1" applyFill="1" applyBorder="1"/>
    <xf numFmtId="166" fontId="1" fillId="0" borderId="12" xfId="0" applyNumberFormat="1" applyFont="1" applyFill="1" applyBorder="1"/>
    <xf numFmtId="166" fontId="1" fillId="0" borderId="2" xfId="0" applyNumberFormat="1" applyFont="1" applyFill="1" applyBorder="1" applyAlignment="1">
      <alignment vertical="center"/>
    </xf>
    <xf numFmtId="166" fontId="1" fillId="0" borderId="0" xfId="0" applyNumberFormat="1" applyFont="1" applyFill="1" applyBorder="1" applyAlignment="1">
      <alignment vertical="center"/>
    </xf>
    <xf numFmtId="166" fontId="1" fillId="0" borderId="5" xfId="0" applyNumberFormat="1" applyFont="1" applyFill="1" applyBorder="1" applyAlignment="1">
      <alignment vertical="center"/>
    </xf>
    <xf numFmtId="166" fontId="1" fillId="0" borderId="12" xfId="0" applyNumberFormat="1" applyFont="1" applyFill="1" applyBorder="1" applyAlignment="1">
      <alignment vertical="center"/>
    </xf>
    <xf numFmtId="166" fontId="1" fillId="0" borderId="4" xfId="0" applyNumberFormat="1" applyFont="1" applyBorder="1"/>
    <xf numFmtId="166" fontId="1" fillId="0" borderId="8" xfId="0" applyNumberFormat="1" applyFont="1" applyBorder="1"/>
    <xf numFmtId="166" fontId="1" fillId="0" borderId="13" xfId="0" applyNumberFormat="1" applyFont="1" applyBorder="1"/>
    <xf numFmtId="166" fontId="1" fillId="0" borderId="7" xfId="0" applyNumberFormat="1" applyFont="1" applyBorder="1" applyAlignment="1">
      <alignment vertical="center"/>
    </xf>
    <xf numFmtId="166" fontId="1" fillId="0" borderId="4" xfId="0" applyNumberFormat="1" applyFont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166" fontId="1" fillId="0" borderId="13" xfId="0" applyNumberFormat="1" applyFont="1" applyBorder="1" applyAlignment="1">
      <alignment vertical="center"/>
    </xf>
    <xf numFmtId="166" fontId="1" fillId="0" borderId="14" xfId="0" applyNumberFormat="1" applyFont="1" applyBorder="1"/>
    <xf numFmtId="166" fontId="1" fillId="0" borderId="1" xfId="0" applyNumberFormat="1" applyFont="1" applyBorder="1"/>
    <xf numFmtId="166" fontId="1" fillId="0" borderId="3" xfId="0" applyNumberFormat="1" applyFont="1" applyBorder="1"/>
    <xf numFmtId="166" fontId="1" fillId="0" borderId="6" xfId="0" applyNumberFormat="1" applyFont="1" applyBorder="1"/>
    <xf numFmtId="166" fontId="1" fillId="0" borderId="1" xfId="0" applyNumberFormat="1" applyFont="1" applyBorder="1" applyAlignment="1">
      <alignment vertical="center"/>
    </xf>
    <xf numFmtId="166" fontId="1" fillId="0" borderId="3" xfId="0" applyNumberFormat="1" applyFont="1" applyBorder="1" applyAlignment="1">
      <alignment vertical="center"/>
    </xf>
    <xf numFmtId="166" fontId="1" fillId="0" borderId="6" xfId="0" applyNumberFormat="1" applyFont="1" applyBorder="1" applyAlignment="1">
      <alignment vertical="center"/>
    </xf>
    <xf numFmtId="166" fontId="1" fillId="0" borderId="14" xfId="0" applyNumberFormat="1" applyFont="1" applyBorder="1" applyAlignment="1">
      <alignment vertical="center"/>
    </xf>
    <xf numFmtId="166" fontId="6" fillId="0" borderId="15" xfId="0" applyNumberFormat="1" applyFont="1" applyBorder="1"/>
    <xf numFmtId="166" fontId="6" fillId="0" borderId="16" xfId="0" applyNumberFormat="1" applyFont="1" applyBorder="1"/>
    <xf numFmtId="166" fontId="6" fillId="0" borderId="18" xfId="0" applyNumberFormat="1" applyFont="1" applyBorder="1"/>
    <xf numFmtId="166" fontId="6" fillId="0" borderId="17" xfId="0" applyNumberFormat="1" applyFont="1" applyBorder="1" applyAlignment="1">
      <alignment vertical="center"/>
    </xf>
    <xf numFmtId="166" fontId="6" fillId="0" borderId="15" xfId="0" applyNumberFormat="1" applyFont="1" applyBorder="1" applyAlignment="1">
      <alignment vertical="center"/>
    </xf>
    <xf numFmtId="166" fontId="6" fillId="0" borderId="16" xfId="0" applyNumberFormat="1" applyFont="1" applyBorder="1" applyAlignment="1">
      <alignment vertical="center"/>
    </xf>
    <xf numFmtId="166" fontId="6" fillId="0" borderId="18" xfId="0" applyNumberFormat="1" applyFont="1" applyBorder="1" applyAlignment="1">
      <alignment vertical="center"/>
    </xf>
    <xf numFmtId="176" fontId="1" fillId="0" borderId="5" xfId="0" applyNumberFormat="1" applyFont="1" applyFill="1" applyBorder="1" applyAlignment="1">
      <alignment vertical="center"/>
    </xf>
    <xf numFmtId="176" fontId="1" fillId="0" borderId="8" xfId="0" applyNumberFormat="1" applyFont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176" fontId="6" fillId="0" borderId="16" xfId="0" applyNumberFormat="1" applyFont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6" fontId="14" fillId="0" borderId="2" xfId="0" applyNumberFormat="1" applyFont="1" applyBorder="1" applyAlignment="1">
      <alignment vertical="center"/>
    </xf>
    <xf numFmtId="176" fontId="14" fillId="0" borderId="0" xfId="0" applyNumberFormat="1" applyFont="1" applyBorder="1" applyAlignment="1">
      <alignment vertical="center"/>
    </xf>
    <xf numFmtId="176" fontId="15" fillId="0" borderId="2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15" fillId="0" borderId="0" xfId="0" applyNumberFormat="1" applyFont="1" applyFill="1" applyBorder="1"/>
    <xf numFmtId="176" fontId="15" fillId="0" borderId="0" xfId="0" applyNumberFormat="1" applyFont="1" applyFill="1"/>
    <xf numFmtId="176" fontId="14" fillId="0" borderId="5" xfId="0" applyNumberFormat="1" applyFont="1" applyBorder="1" applyAlignment="1">
      <alignment vertical="center"/>
    </xf>
    <xf numFmtId="0" fontId="15" fillId="0" borderId="0" xfId="0" applyFont="1"/>
    <xf numFmtId="176" fontId="15" fillId="2" borderId="2" xfId="0" applyNumberFormat="1" applyFont="1" applyFill="1" applyBorder="1" applyAlignment="1">
      <alignment vertical="center"/>
    </xf>
    <xf numFmtId="176" fontId="15" fillId="2" borderId="0" xfId="0" applyNumberFormat="1" applyFont="1" applyFill="1" applyBorder="1" applyAlignment="1">
      <alignment vertical="center"/>
    </xf>
    <xf numFmtId="176" fontId="15" fillId="2" borderId="5" xfId="0" applyNumberFormat="1" applyFont="1" applyFill="1" applyBorder="1" applyAlignment="1">
      <alignment vertical="center"/>
    </xf>
    <xf numFmtId="176" fontId="15" fillId="0" borderId="2" xfId="0" applyNumberFormat="1" applyFont="1" applyFill="1" applyBorder="1" applyAlignment="1">
      <alignment vertical="center"/>
    </xf>
    <xf numFmtId="176" fontId="15" fillId="0" borderId="0" xfId="0" applyNumberFormat="1" applyFont="1" applyFill="1" applyBorder="1" applyAlignment="1">
      <alignment vertical="center"/>
    </xf>
    <xf numFmtId="176" fontId="15" fillId="0" borderId="5" xfId="0" applyNumberFormat="1" applyFont="1" applyFill="1" applyBorder="1" applyAlignment="1">
      <alignment vertical="center"/>
    </xf>
    <xf numFmtId="176" fontId="15" fillId="0" borderId="7" xfId="0" applyNumberFormat="1" applyFont="1" applyBorder="1" applyAlignment="1">
      <alignment vertical="center"/>
    </xf>
    <xf numFmtId="176" fontId="15" fillId="0" borderId="4" xfId="0" applyNumberFormat="1" applyFont="1" applyBorder="1" applyAlignment="1">
      <alignment vertical="center"/>
    </xf>
    <xf numFmtId="176" fontId="15" fillId="0" borderId="8" xfId="0" applyNumberFormat="1" applyFont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6" xfId="0" applyNumberFormat="1" applyFont="1" applyBorder="1" applyAlignment="1">
      <alignment vertical="center"/>
    </xf>
    <xf numFmtId="176" fontId="14" fillId="0" borderId="17" xfId="0" applyNumberFormat="1" applyFont="1" applyBorder="1" applyAlignment="1">
      <alignment vertical="center"/>
    </xf>
    <xf numFmtId="176" fontId="14" fillId="0" borderId="15" xfId="0" applyNumberFormat="1" applyFont="1" applyBorder="1" applyAlignment="1">
      <alignment vertical="center"/>
    </xf>
    <xf numFmtId="176" fontId="14" fillId="0" borderId="16" xfId="0" applyNumberFormat="1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173" fontId="15" fillId="0" borderId="2" xfId="0" applyNumberFormat="1" applyFont="1" applyFill="1" applyBorder="1"/>
    <xf numFmtId="173" fontId="15" fillId="0" borderId="2" xfId="0" applyNumberFormat="1" applyFont="1" applyFill="1" applyBorder="1" applyAlignment="1">
      <alignment horizontal="right"/>
    </xf>
    <xf numFmtId="176" fontId="17" fillId="0" borderId="0" xfId="0" applyNumberFormat="1" applyFont="1" applyFill="1" applyBorder="1" applyAlignment="1">
      <alignment horizontal="right"/>
    </xf>
    <xf numFmtId="176" fontId="15" fillId="0" borderId="0" xfId="0" applyNumberFormat="1" applyFont="1" applyBorder="1"/>
    <xf numFmtId="0" fontId="14" fillId="0" borderId="10" xfId="0" applyFont="1" applyBorder="1" applyAlignment="1">
      <alignment horizontal="centerContinuous" vertical="center"/>
    </xf>
    <xf numFmtId="0" fontId="14" fillId="0" borderId="11" xfId="0" applyFont="1" applyBorder="1" applyAlignment="1">
      <alignment horizontal="centerContinuous" vertical="center"/>
    </xf>
    <xf numFmtId="173" fontId="15" fillId="0" borderId="1" xfId="0" applyNumberFormat="1" applyFont="1" applyBorder="1"/>
    <xf numFmtId="173" fontId="15" fillId="0" borderId="3" xfId="0" applyNumberFormat="1" applyFont="1" applyBorder="1"/>
    <xf numFmtId="173" fontId="15" fillId="0" borderId="6" xfId="0" applyNumberFormat="1" applyFont="1" applyBorder="1"/>
    <xf numFmtId="173" fontId="15" fillId="0" borderId="14" xfId="0" applyNumberFormat="1" applyFont="1" applyBorder="1"/>
    <xf numFmtId="176" fontId="1" fillId="0" borderId="2" xfId="0" applyNumberFormat="1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176" fontId="1" fillId="0" borderId="2" xfId="0" applyNumberFormat="1" applyFont="1" applyFill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" fillId="0" borderId="2" xfId="0" applyFont="1" applyBorder="1"/>
    <xf numFmtId="0" fontId="6" fillId="0" borderId="0" xfId="0" applyFont="1"/>
    <xf numFmtId="0" fontId="2" fillId="0" borderId="0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6" fillId="0" borderId="11" xfId="0" applyFont="1" applyBorder="1" applyAlignment="1">
      <alignment horizontal="center" vertical="center"/>
    </xf>
    <xf numFmtId="176" fontId="6" fillId="0" borderId="12" xfId="0" applyNumberFormat="1" applyFont="1" applyBorder="1" applyAlignment="1">
      <alignment vertical="center"/>
    </xf>
    <xf numFmtId="176" fontId="1" fillId="0" borderId="12" xfId="0" applyNumberFormat="1" applyFont="1" applyBorder="1" applyAlignment="1">
      <alignment vertical="center"/>
    </xf>
    <xf numFmtId="176" fontId="1" fillId="0" borderId="2" xfId="0" applyNumberFormat="1" applyFont="1" applyFill="1" applyBorder="1"/>
    <xf numFmtId="173" fontId="1" fillId="0" borderId="2" xfId="0" applyNumberFormat="1" applyFont="1" applyFill="1" applyBorder="1"/>
    <xf numFmtId="176" fontId="1" fillId="0" borderId="0" xfId="0" applyNumberFormat="1" applyFont="1"/>
    <xf numFmtId="0" fontId="1" fillId="0" borderId="0" xfId="0" applyFont="1"/>
    <xf numFmtId="176" fontId="3" fillId="0" borderId="0" xfId="0" applyNumberFormat="1" applyFont="1" applyFill="1" applyBorder="1" applyAlignment="1">
      <alignment horizontal="right"/>
    </xf>
    <xf numFmtId="176" fontId="1" fillId="0" borderId="2" xfId="0" applyNumberFormat="1" applyFont="1" applyFill="1" applyBorder="1" applyAlignment="1">
      <alignment horizontal="right"/>
    </xf>
    <xf numFmtId="173" fontId="1" fillId="0" borderId="2" xfId="0" applyNumberFormat="1" applyFont="1" applyFill="1" applyBorder="1" applyAlignment="1">
      <alignment horizontal="right"/>
    </xf>
    <xf numFmtId="176" fontId="1" fillId="0" borderId="0" xfId="0" applyNumberFormat="1" applyFont="1" applyFill="1"/>
    <xf numFmtId="176" fontId="1" fillId="0" borderId="0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1" fillId="2" borderId="12" xfId="0" applyNumberFormat="1" applyFont="1" applyFill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13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14" xfId="0" applyNumberFormat="1" applyFont="1" applyBorder="1" applyAlignment="1">
      <alignment vertical="center"/>
    </xf>
    <xf numFmtId="176" fontId="6" fillId="0" borderId="17" xfId="0" applyNumberFormat="1" applyFont="1" applyBorder="1" applyAlignment="1">
      <alignment vertical="center"/>
    </xf>
    <xf numFmtId="176" fontId="6" fillId="0" borderId="15" xfId="0" applyNumberFormat="1" applyFont="1" applyBorder="1" applyAlignment="1">
      <alignment vertical="center"/>
    </xf>
    <xf numFmtId="176" fontId="6" fillId="0" borderId="18" xfId="0" applyNumberFormat="1" applyFont="1" applyBorder="1" applyAlignment="1">
      <alignment vertical="center"/>
    </xf>
    <xf numFmtId="0" fontId="1" fillId="0" borderId="0" xfId="0" applyFont="1" applyBorder="1"/>
    <xf numFmtId="0" fontId="21" fillId="0" borderId="0" xfId="0" applyFont="1" applyAlignment="1"/>
    <xf numFmtId="0" fontId="21" fillId="0" borderId="0" xfId="0" applyFont="1"/>
    <xf numFmtId="0" fontId="21" fillId="0" borderId="0" xfId="0" applyFont="1" applyBorder="1"/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 applyProtection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21" fillId="0" borderId="3" xfId="0" applyFont="1" applyBorder="1" applyAlignment="1"/>
    <xf numFmtId="0" fontId="21" fillId="0" borderId="10" xfId="0" applyFont="1" applyBorder="1" applyAlignment="1">
      <alignment horizontal="centerContinuous"/>
    </xf>
    <xf numFmtId="0" fontId="21" fillId="0" borderId="11" xfId="0" applyFont="1" applyBorder="1"/>
    <xf numFmtId="0" fontId="21" fillId="0" borderId="7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68" fontId="21" fillId="0" borderId="3" xfId="0" applyNumberFormat="1" applyFont="1" applyBorder="1"/>
    <xf numFmtId="168" fontId="21" fillId="0" borderId="14" xfId="0" applyNumberFormat="1" applyFont="1" applyBorder="1"/>
    <xf numFmtId="168" fontId="21" fillId="0" borderId="1" xfId="0" applyNumberFormat="1" applyFont="1" applyBorder="1"/>
    <xf numFmtId="168" fontId="21" fillId="0" borderId="6" xfId="0" applyNumberFormat="1" applyFont="1" applyBorder="1"/>
    <xf numFmtId="173" fontId="21" fillId="0" borderId="3" xfId="0" applyNumberFormat="1" applyFont="1" applyBorder="1"/>
    <xf numFmtId="173" fontId="21" fillId="0" borderId="1" xfId="0" applyNumberFormat="1" applyFont="1" applyBorder="1"/>
    <xf numFmtId="173" fontId="21" fillId="0" borderId="14" xfId="0" applyNumberFormat="1" applyFont="1" applyBorder="1"/>
    <xf numFmtId="173" fontId="21" fillId="0" borderId="0" xfId="0" applyNumberFormat="1" applyFont="1" applyBorder="1"/>
    <xf numFmtId="173" fontId="21" fillId="0" borderId="6" xfId="0" applyNumberFormat="1" applyFont="1" applyBorder="1"/>
    <xf numFmtId="0" fontId="21" fillId="0" borderId="2" xfId="0" applyFont="1" applyBorder="1"/>
    <xf numFmtId="0" fontId="21" fillId="0" borderId="0" xfId="0" applyFont="1" applyBorder="1" applyAlignment="1"/>
    <xf numFmtId="0" fontId="21" fillId="0" borderId="5" xfId="0" applyFont="1" applyBorder="1"/>
    <xf numFmtId="0" fontId="21" fillId="0" borderId="19" xfId="0" applyFont="1" applyBorder="1"/>
    <xf numFmtId="176" fontId="21" fillId="0" borderId="0" xfId="0" applyNumberFormat="1" applyFont="1"/>
    <xf numFmtId="176" fontId="21" fillId="0" borderId="0" xfId="0" applyNumberFormat="1" applyFont="1" applyBorder="1"/>
    <xf numFmtId="166" fontId="21" fillId="0" borderId="0" xfId="0" applyNumberFormat="1" applyFont="1"/>
    <xf numFmtId="164" fontId="21" fillId="0" borderId="0" xfId="0" applyNumberFormat="1" applyFont="1" applyBorder="1" applyAlignment="1"/>
    <xf numFmtId="172" fontId="21" fillId="0" borderId="0" xfId="0" applyNumberFormat="1" applyFont="1" applyBorder="1" applyAlignment="1"/>
    <xf numFmtId="170" fontId="21" fillId="0" borderId="0" xfId="0" applyNumberFormat="1" applyFont="1" applyBorder="1"/>
    <xf numFmtId="173" fontId="21" fillId="0" borderId="0" xfId="0" applyNumberFormat="1" applyFont="1"/>
    <xf numFmtId="171" fontId="21" fillId="0" borderId="0" xfId="0" applyNumberFormat="1" applyFont="1" applyBorder="1" applyAlignment="1"/>
    <xf numFmtId="169" fontId="21" fillId="0" borderId="0" xfId="0" applyNumberFormat="1" applyFont="1" applyBorder="1"/>
    <xf numFmtId="164" fontId="21" fillId="0" borderId="0" xfId="0" applyNumberFormat="1" applyFont="1" applyBorder="1"/>
    <xf numFmtId="0" fontId="21" fillId="0" borderId="0" xfId="0" applyFont="1" applyAlignment="1">
      <alignment horizontal="right"/>
    </xf>
    <xf numFmtId="0" fontId="21" fillId="0" borderId="0" xfId="0" applyFont="1" applyBorder="1" applyAlignment="1">
      <alignment horizontal="right"/>
    </xf>
    <xf numFmtId="175" fontId="21" fillId="0" borderId="0" xfId="0" applyNumberFormat="1" applyFont="1" applyBorder="1"/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Continuous" vertical="center"/>
    </xf>
    <xf numFmtId="0" fontId="23" fillId="0" borderId="0" xfId="0" applyFont="1" applyFill="1" applyAlignment="1" applyProtection="1">
      <alignment vertical="center"/>
    </xf>
    <xf numFmtId="0" fontId="24" fillId="0" borderId="0" xfId="0" applyFont="1" applyAlignment="1">
      <alignment horizontal="right" vertical="center"/>
    </xf>
    <xf numFmtId="0" fontId="25" fillId="0" borderId="0" xfId="0" applyFont="1" applyFill="1" applyAlignment="1" applyProtection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Border="1"/>
    <xf numFmtId="176" fontId="7" fillId="0" borderId="0" xfId="0" applyNumberFormat="1" applyFont="1"/>
    <xf numFmtId="0" fontId="26" fillId="0" borderId="0" xfId="0" applyFont="1" applyFill="1" applyAlignment="1" applyProtection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16" fillId="0" borderId="0" xfId="0" applyFont="1" applyAlignment="1"/>
    <xf numFmtId="164" fontId="16" fillId="0" borderId="0" xfId="0" applyNumberFormat="1" applyFont="1" applyAlignment="1"/>
    <xf numFmtId="0" fontId="16" fillId="0" borderId="0" xfId="0" applyFont="1" applyBorder="1" applyAlignment="1"/>
    <xf numFmtId="0" fontId="16" fillId="0" borderId="0" xfId="0" applyFont="1"/>
    <xf numFmtId="0" fontId="16" fillId="0" borderId="0" xfId="0" applyFont="1" applyBorder="1"/>
    <xf numFmtId="176" fontId="1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14" xfId="0" applyFont="1" applyFill="1" applyBorder="1" applyAlignment="1" applyProtection="1">
      <alignment horizontal="center" vertical="center"/>
    </xf>
    <xf numFmtId="0" fontId="18" fillId="0" borderId="13" xfId="0" applyFont="1" applyFill="1" applyBorder="1" applyAlignment="1" applyProtection="1">
      <alignment horizontal="center" vertical="center"/>
    </xf>
    <xf numFmtId="17" fontId="18" fillId="0" borderId="0" xfId="0" applyNumberFormat="1" applyFont="1" applyFill="1" applyBorder="1" applyAlignment="1" applyProtection="1">
      <alignment horizontal="center" vertical="center"/>
    </xf>
    <xf numFmtId="0" fontId="0" fillId="0" borderId="6" xfId="0" applyBorder="1" applyAlignment="1">
      <alignment vertical="center"/>
    </xf>
    <xf numFmtId="0" fontId="18" fillId="0" borderId="1" xfId="0" applyFont="1" applyFill="1" applyBorder="1" applyAlignment="1" applyProtection="1">
      <alignment horizontal="center" vertical="center"/>
    </xf>
    <xf numFmtId="0" fontId="18" fillId="0" borderId="7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18" fillId="0" borderId="6" xfId="0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7" fontId="18" fillId="0" borderId="6" xfId="0" applyNumberFormat="1" applyFont="1" applyFill="1" applyBorder="1" applyAlignment="1" applyProtection="1">
      <alignment horizontal="center" vertical="center"/>
    </xf>
    <xf numFmtId="17" fontId="18" fillId="0" borderId="1" xfId="0" applyNumberFormat="1" applyFont="1" applyFill="1" applyBorder="1" applyAlignment="1" applyProtection="1">
      <alignment horizontal="center" vertical="center"/>
    </xf>
    <xf numFmtId="0" fontId="18" fillId="0" borderId="12" xfId="0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8" fillId="0" borderId="2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17" fontId="2" fillId="0" borderId="0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6" fillId="0" borderId="17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center" vertical="center"/>
    </xf>
    <xf numFmtId="0" fontId="21" fillId="0" borderId="13" xfId="0" applyFont="1" applyBorder="1" applyAlignment="1"/>
    <xf numFmtId="0" fontId="21" fillId="0" borderId="13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1" fillId="0" borderId="4" xfId="0" applyFont="1" applyBorder="1" applyAlignment="1"/>
    <xf numFmtId="0" fontId="21" fillId="0" borderId="7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O140"/>
  <sheetViews>
    <sheetView showGridLines="0" showZeros="0" tabSelected="1" view="pageBreakPreview" zoomScale="70" zoomScaleNormal="75" zoomScaleSheetLayoutView="70" workbookViewId="0"/>
  </sheetViews>
  <sheetFormatPr baseColWidth="10" defaultRowHeight="12.75" outlineLevelRow="2" outlineLevelCol="1" x14ac:dyDescent="0.2"/>
  <cols>
    <col min="1" max="1" width="16.7109375" style="47" customWidth="1"/>
    <col min="2" max="2" width="35" style="47" customWidth="1"/>
    <col min="3" max="18" width="11.42578125" style="295" hidden="1" customWidth="1" outlineLevel="1"/>
    <col min="19" max="19" width="12.28515625" style="295" hidden="1" customWidth="1" outlineLevel="1"/>
    <col min="20" max="22" width="11.42578125" style="295" hidden="1" customWidth="1" outlineLevel="1"/>
    <col min="23" max="23" width="7.5703125" style="295" hidden="1" customWidth="1" outlineLevel="1"/>
    <col min="24" max="26" width="11.42578125" style="295" hidden="1" customWidth="1" outlineLevel="1"/>
    <col min="27" max="27" width="7.5703125" style="295" hidden="1" customWidth="1" outlineLevel="1"/>
    <col min="28" max="35" width="11.42578125" style="295" hidden="1" customWidth="1" outlineLevel="1"/>
    <col min="36" max="36" width="13.140625" style="295" hidden="1" customWidth="1" outlineLevel="1"/>
    <col min="37" max="37" width="13.5703125" style="295" hidden="1" customWidth="1" outlineLevel="1"/>
    <col min="38" max="38" width="11.42578125" style="295" hidden="1" customWidth="1" outlineLevel="1"/>
    <col min="39" max="39" width="12.28515625" style="295" hidden="1" customWidth="1" outlineLevel="1"/>
    <col min="40" max="40" width="10.28515625" style="295" hidden="1" customWidth="1" outlineLevel="1"/>
    <col min="41" max="41" width="10.42578125" style="295" hidden="1" customWidth="1" outlineLevel="1"/>
    <col min="42" max="43" width="11.42578125" style="295" hidden="1" customWidth="1" outlineLevel="1"/>
    <col min="44" max="44" width="12" style="295" hidden="1" customWidth="1" outlineLevel="1"/>
    <col min="45" max="45" width="11.85546875" style="295" hidden="1" customWidth="1" outlineLevel="1"/>
    <col min="46" max="48" width="12.85546875" style="295" hidden="1" customWidth="1" outlineLevel="1"/>
    <col min="49" max="49" width="10.7109375" style="295" hidden="1" customWidth="1" outlineLevel="1"/>
    <col min="50" max="50" width="12.28515625" style="295" hidden="1" customWidth="1" outlineLevel="1"/>
    <col min="51" max="51" width="11" style="295" hidden="1" customWidth="1" outlineLevel="1"/>
    <col min="52" max="52" width="11.85546875" style="295" hidden="1" customWidth="1" outlineLevel="1"/>
    <col min="53" max="53" width="12.85546875" style="295" hidden="1" customWidth="1" outlineLevel="1"/>
    <col min="54" max="54" width="13.85546875" style="295" hidden="1" customWidth="1" outlineLevel="1"/>
    <col min="55" max="65" width="11.7109375" style="295" hidden="1" customWidth="1" outlineLevel="1"/>
    <col min="66" max="70" width="11.7109375" style="296" hidden="1" customWidth="1" outlineLevel="1"/>
    <col min="71" max="71" width="10.85546875" style="296" hidden="1" customWidth="1" outlineLevel="1"/>
    <col min="72" max="72" width="11.7109375" style="296" hidden="1" customWidth="1" outlineLevel="1"/>
    <col min="73" max="73" width="11" style="296" hidden="1" customWidth="1" outlineLevel="1"/>
    <col min="74" max="74" width="13.140625" style="296" hidden="1" customWidth="1" outlineLevel="1"/>
    <col min="75" max="75" width="11.85546875" style="296" hidden="1" customWidth="1" outlineLevel="1"/>
    <col min="76" max="76" width="8" style="296" hidden="1" customWidth="1" outlineLevel="1"/>
    <col min="77" max="77" width="11.28515625" style="296" hidden="1" customWidth="1" outlineLevel="1"/>
    <col min="78" max="78" width="10.5703125" style="296" hidden="1" customWidth="1" outlineLevel="1"/>
    <col min="79" max="79" width="11.85546875" style="296" hidden="1" customWidth="1" outlineLevel="1"/>
    <col min="80" max="82" width="13" style="296" hidden="1" customWidth="1" outlineLevel="1"/>
    <col min="83" max="83" width="11.85546875" style="296" hidden="1" customWidth="1" outlineLevel="1"/>
    <col min="84" max="85" width="11.85546875" style="297" hidden="1" customWidth="1" outlineLevel="1"/>
    <col min="86" max="87" width="11.85546875" style="296" hidden="1" customWidth="1" outlineLevel="1"/>
    <col min="88" max="91" width="9.85546875" style="296" hidden="1" customWidth="1" outlineLevel="1"/>
    <col min="92" max="92" width="11" style="296" hidden="1" customWidth="1" outlineLevel="1"/>
    <col min="93" max="95" width="9.85546875" style="296" hidden="1" customWidth="1" outlineLevel="1"/>
    <col min="96" max="96" width="11" style="296" hidden="1" customWidth="1" outlineLevel="1"/>
    <col min="97" max="97" width="9.85546875" style="297" hidden="1" customWidth="1" outlineLevel="1"/>
    <col min="98" max="98" width="9.85546875" style="296" hidden="1" customWidth="1" outlineLevel="1"/>
    <col min="99" max="99" width="11.42578125" style="296" hidden="1" customWidth="1" outlineLevel="1"/>
    <col min="100" max="100" width="11" style="296" hidden="1" customWidth="1" outlineLevel="1"/>
    <col min="101" max="104" width="11.42578125" style="296" hidden="1" customWidth="1" outlineLevel="1"/>
    <col min="105" max="105" width="9.85546875" style="296" hidden="1" customWidth="1" outlineLevel="1"/>
    <col min="106" max="108" width="10.42578125" style="296" hidden="1" customWidth="1" outlineLevel="1"/>
    <col min="109" max="109" width="10.7109375" style="296" hidden="1" customWidth="1" outlineLevel="1"/>
    <col min="110" max="110" width="10" style="296" hidden="1" customWidth="1" outlineLevel="1"/>
    <col min="111" max="121" width="11.42578125" style="296" hidden="1" customWidth="1" outlineLevel="1"/>
    <col min="122" max="122" width="11.5703125" style="296" hidden="1" customWidth="1" outlineLevel="1"/>
    <col min="123" max="125" width="11" style="296" hidden="1" customWidth="1" outlineLevel="1"/>
    <col min="126" max="126" width="11.42578125" style="296" hidden="1" customWidth="1" outlineLevel="1"/>
    <col min="127" max="129" width="11" style="296" hidden="1" customWidth="1" outlineLevel="1"/>
    <col min="130" max="138" width="11.42578125" style="296" hidden="1" customWidth="1" outlineLevel="1"/>
    <col min="139" max="139" width="11.5703125" style="297" hidden="1" customWidth="1" outlineLevel="1"/>
    <col min="140" max="142" width="11.42578125" style="297" hidden="1" customWidth="1" outlineLevel="1"/>
    <col min="143" max="143" width="11.5703125" style="297" hidden="1" customWidth="1" outlineLevel="1"/>
    <col min="144" max="146" width="11.42578125" style="297" hidden="1" customWidth="1" outlineLevel="1"/>
    <col min="147" max="147" width="11.5703125" style="297" hidden="1" customWidth="1" outlineLevel="1"/>
    <col min="148" max="150" width="11.42578125" style="297" hidden="1" customWidth="1" outlineLevel="1"/>
    <col min="151" max="156" width="11.5703125" style="297" hidden="1" customWidth="1" outlineLevel="1"/>
    <col min="157" max="157" width="0.85546875" style="296" hidden="1" customWidth="1" outlineLevel="1"/>
    <col min="158" max="158" width="10" style="296" hidden="1" customWidth="1" outlineLevel="1"/>
    <col min="159" max="173" width="11.5703125" style="296" hidden="1" customWidth="1" outlineLevel="1"/>
    <col min="174" max="174" width="11.5703125" style="297" hidden="1" customWidth="1" outlineLevel="1"/>
    <col min="175" max="175" width="12.140625" style="296" hidden="1" customWidth="1" outlineLevel="1"/>
    <col min="176" max="207" width="11.42578125" style="296" hidden="1" customWidth="1" outlineLevel="1"/>
    <col min="208" max="208" width="11.42578125" style="296" hidden="1" customWidth="1" outlineLevel="1" collapsed="1"/>
    <col min="209" max="224" width="11.42578125" hidden="1" customWidth="1" outlineLevel="1"/>
    <col min="225" max="225" width="11.7109375" hidden="1" customWidth="1" collapsed="1"/>
    <col min="226" max="228" width="11.42578125" hidden="1" customWidth="1"/>
    <col min="229" max="229" width="0" hidden="1" customWidth="1"/>
    <col min="230" max="241" width="11.42578125" hidden="1" customWidth="1"/>
    <col min="243" max="248" width="11.42578125" hidden="1" customWidth="1"/>
    <col min="249" max="249" width="11.7109375" hidden="1" customWidth="1"/>
    <col min="250" max="258" width="11.42578125" hidden="1" customWidth="1"/>
    <col min="259" max="259" width="11.28515625" customWidth="1"/>
    <col min="260" max="262" width="11.42578125" hidden="1" customWidth="1"/>
    <col min="263" max="263" width="0" hidden="1" customWidth="1"/>
    <col min="264" max="275" width="11.42578125" hidden="1" customWidth="1"/>
    <col min="277" max="279" width="11.42578125" hidden="1" customWidth="1" outlineLevel="1"/>
    <col min="280" max="280" width="0" hidden="1" customWidth="1" collapsed="1"/>
    <col min="281" max="283" width="11.42578125" hidden="1" customWidth="1" outlineLevel="1"/>
    <col min="284" max="284" width="11.42578125" hidden="1" customWidth="1" collapsed="1"/>
    <col min="285" max="287" width="11.42578125" hidden="1" customWidth="1" outlineLevel="1"/>
    <col min="288" max="288" width="11.42578125" hidden="1" customWidth="1" collapsed="1"/>
    <col min="289" max="291" width="11.42578125" hidden="1" customWidth="1" outlineLevel="1"/>
    <col min="292" max="292" width="11.42578125" hidden="1" customWidth="1" collapsed="1"/>
    <col min="294" max="296" width="11.42578125" hidden="1" customWidth="1" outlineLevel="1"/>
    <col min="297" max="297" width="11.42578125" customWidth="1" collapsed="1"/>
    <col min="298" max="300" width="11.42578125" hidden="1" customWidth="1" outlineLevel="1"/>
    <col min="301" max="301" width="11.42578125" customWidth="1" collapsed="1"/>
    <col min="302" max="304" width="11.42578125" hidden="1" customWidth="1" outlineLevel="1"/>
    <col min="305" max="305" width="11.42578125" customWidth="1" collapsed="1"/>
    <col min="306" max="308" width="11.42578125" hidden="1" customWidth="1" outlineLevel="1"/>
    <col min="309" max="309" width="11.42578125" customWidth="1" collapsed="1"/>
    <col min="311" max="313" width="11.42578125" hidden="1" customWidth="1" outlineLevel="1"/>
    <col min="314" max="314" width="11.42578125" customWidth="1" collapsed="1"/>
    <col min="315" max="317" width="11.42578125" hidden="1" customWidth="1" outlineLevel="1"/>
    <col min="318" max="318" width="11.42578125" customWidth="1" collapsed="1"/>
    <col min="319" max="321" width="11.42578125" hidden="1" customWidth="1" outlineLevel="1"/>
    <col min="322" max="322" width="11.42578125" customWidth="1" collapsed="1"/>
    <col min="323" max="325" width="11.42578125" customWidth="1" outlineLevel="1"/>
    <col min="326" max="326" width="11.42578125" customWidth="1"/>
  </cols>
  <sheetData>
    <row r="1" spans="1:327" s="128" customFormat="1" ht="19.5" x14ac:dyDescent="0.2">
      <c r="A1" s="340"/>
      <c r="B1" s="338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2"/>
      <c r="AS1" s="342"/>
      <c r="AT1" s="342"/>
      <c r="AU1" s="342"/>
      <c r="AV1" s="342"/>
      <c r="AW1" s="342"/>
      <c r="AX1" s="342"/>
      <c r="AY1" s="342"/>
      <c r="AZ1" s="342"/>
      <c r="BA1" s="342"/>
      <c r="BB1" s="342"/>
      <c r="BC1" s="342"/>
      <c r="BD1" s="342"/>
      <c r="BE1" s="342"/>
      <c r="BF1" s="342"/>
      <c r="BG1" s="342"/>
      <c r="BH1" s="342"/>
      <c r="BI1" s="342"/>
      <c r="BJ1" s="342"/>
      <c r="BK1" s="342"/>
      <c r="BL1" s="342"/>
      <c r="BM1" s="342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343"/>
      <c r="CG1" s="343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343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343"/>
      <c r="EJ1" s="343"/>
      <c r="EK1" s="343"/>
      <c r="EL1" s="343"/>
      <c r="EM1" s="343"/>
      <c r="EN1" s="343"/>
      <c r="EO1" s="343"/>
      <c r="EP1" s="343"/>
      <c r="EQ1" s="343"/>
      <c r="ER1" s="343"/>
      <c r="ES1" s="343"/>
      <c r="ET1" s="343"/>
      <c r="EU1" s="343"/>
      <c r="EV1" s="343"/>
      <c r="EW1" s="343"/>
      <c r="EX1" s="343"/>
      <c r="EY1" s="343"/>
      <c r="EZ1" s="343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343"/>
      <c r="FS1" s="343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343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3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</row>
    <row r="2" spans="1:327" s="128" customFormat="1" ht="15.75" x14ac:dyDescent="0.2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41"/>
      <c r="AO2" s="341"/>
      <c r="AP2" s="341"/>
      <c r="AQ2" s="341"/>
      <c r="AR2" s="342"/>
      <c r="AS2" s="342"/>
      <c r="AT2" s="342"/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2"/>
      <c r="BH2" s="342"/>
      <c r="BI2" s="342"/>
      <c r="BJ2" s="342"/>
      <c r="BK2" s="342"/>
      <c r="BL2" s="342"/>
      <c r="BM2" s="342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343"/>
      <c r="CG2" s="343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343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343"/>
      <c r="EJ2" s="343"/>
      <c r="EK2" s="343"/>
      <c r="EL2" s="343"/>
      <c r="EM2" s="343"/>
      <c r="EN2" s="343"/>
      <c r="EO2" s="343"/>
      <c r="EP2" s="343"/>
      <c r="EQ2" s="343"/>
      <c r="ER2" s="343"/>
      <c r="ES2" s="343"/>
      <c r="ET2" s="343"/>
      <c r="EU2" s="343"/>
      <c r="EV2" s="343"/>
      <c r="EW2" s="343"/>
      <c r="EX2" s="343"/>
      <c r="EY2" s="343"/>
      <c r="EZ2" s="343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343"/>
      <c r="FS2" s="343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343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</row>
    <row r="3" spans="1:327" s="128" customFormat="1" ht="23.25" customHeight="1" x14ac:dyDescent="0.2">
      <c r="A3" s="345" t="s">
        <v>64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  <c r="AO3" s="346"/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6"/>
      <c r="BG3" s="346"/>
      <c r="BH3" s="346"/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6"/>
      <c r="BZ3" s="346"/>
      <c r="CA3" s="346"/>
      <c r="CB3" s="346"/>
      <c r="CC3" s="346"/>
      <c r="CD3" s="346"/>
      <c r="CE3" s="346"/>
      <c r="CF3" s="346"/>
      <c r="CG3" s="346"/>
      <c r="CH3" s="346"/>
      <c r="CI3" s="346"/>
      <c r="CJ3" s="346"/>
      <c r="CK3" s="346"/>
      <c r="CL3" s="346"/>
      <c r="CM3" s="346"/>
      <c r="CN3" s="346"/>
      <c r="CO3" s="346"/>
      <c r="CP3" s="346"/>
      <c r="CQ3" s="346"/>
      <c r="CR3" s="346"/>
      <c r="CS3" s="346"/>
      <c r="CT3" s="346"/>
      <c r="CU3" s="346"/>
      <c r="CV3" s="346"/>
      <c r="CW3" s="346"/>
      <c r="CX3" s="346"/>
      <c r="CY3" s="346"/>
      <c r="CZ3" s="346"/>
      <c r="DA3" s="346"/>
      <c r="DB3" s="346"/>
      <c r="DC3" s="346"/>
      <c r="DD3" s="346"/>
      <c r="DE3" s="346"/>
      <c r="DF3" s="346"/>
      <c r="DG3" s="346"/>
      <c r="DH3" s="346"/>
      <c r="DI3" s="346"/>
      <c r="DJ3" s="346"/>
      <c r="DK3" s="346"/>
      <c r="DL3" s="346"/>
      <c r="DM3" s="346"/>
      <c r="DN3" s="346"/>
      <c r="DO3" s="346"/>
      <c r="DP3" s="346"/>
      <c r="DQ3" s="346"/>
      <c r="DR3" s="346"/>
      <c r="DS3" s="346"/>
      <c r="DT3" s="346"/>
      <c r="DU3" s="346"/>
      <c r="DV3" s="346"/>
      <c r="DW3" s="346"/>
      <c r="DX3" s="346"/>
      <c r="DY3" s="346"/>
      <c r="DZ3" s="346"/>
      <c r="EA3" s="346"/>
      <c r="EB3" s="346"/>
      <c r="EC3" s="346"/>
      <c r="ED3" s="346"/>
      <c r="EE3" s="346"/>
      <c r="EF3" s="346"/>
      <c r="EG3" s="346"/>
      <c r="EH3" s="346"/>
      <c r="EI3" s="346"/>
      <c r="EJ3" s="346"/>
      <c r="EK3" s="346"/>
      <c r="EL3" s="346"/>
      <c r="EM3" s="346"/>
      <c r="EN3" s="346"/>
      <c r="EO3" s="346"/>
      <c r="EP3" s="346"/>
      <c r="EQ3" s="346"/>
      <c r="ER3" s="346"/>
      <c r="ES3" s="346"/>
      <c r="ET3" s="346"/>
      <c r="EU3" s="346"/>
      <c r="EV3" s="346"/>
      <c r="EW3" s="346"/>
      <c r="EX3" s="346"/>
      <c r="EY3" s="346"/>
      <c r="EZ3" s="346"/>
      <c r="FA3" s="346"/>
      <c r="FB3" s="346"/>
      <c r="FC3" s="346"/>
      <c r="FD3" s="346"/>
      <c r="FE3" s="346"/>
      <c r="FF3" s="346"/>
      <c r="FG3" s="346"/>
      <c r="FH3" s="346"/>
      <c r="FI3" s="346"/>
      <c r="FJ3" s="346"/>
      <c r="FK3" s="346"/>
      <c r="FL3" s="346"/>
      <c r="FM3" s="346"/>
      <c r="FN3" s="346"/>
      <c r="FO3" s="346"/>
      <c r="FP3" s="346"/>
      <c r="FQ3" s="346"/>
      <c r="FR3" s="346"/>
      <c r="FS3" s="346"/>
      <c r="FT3" s="346"/>
      <c r="FU3" s="346"/>
      <c r="FV3" s="346"/>
      <c r="FW3" s="346"/>
      <c r="FX3" s="346"/>
      <c r="FY3" s="346"/>
      <c r="FZ3" s="346"/>
      <c r="GA3" s="346"/>
      <c r="GB3" s="346"/>
      <c r="GC3" s="346"/>
      <c r="GD3" s="346"/>
      <c r="GE3" s="346"/>
      <c r="GF3" s="346"/>
      <c r="GG3" s="346"/>
      <c r="GH3" s="346"/>
      <c r="GI3" s="346"/>
      <c r="GJ3" s="346"/>
      <c r="GK3" s="346"/>
      <c r="GL3" s="346"/>
      <c r="GM3" s="346"/>
      <c r="GN3" s="346"/>
      <c r="GO3" s="346"/>
      <c r="GP3" s="346"/>
      <c r="GQ3" s="346"/>
      <c r="GR3" s="346"/>
      <c r="GS3" s="346"/>
      <c r="GT3" s="346"/>
      <c r="GU3" s="346"/>
      <c r="GV3" s="346"/>
      <c r="GW3" s="346"/>
      <c r="GX3" s="346"/>
      <c r="GY3" s="346"/>
      <c r="GZ3" s="346"/>
      <c r="HA3" s="346"/>
      <c r="HB3" s="346"/>
      <c r="HC3" s="346"/>
      <c r="HD3" s="346"/>
      <c r="HE3" s="346"/>
      <c r="HF3" s="346"/>
      <c r="HG3" s="346"/>
      <c r="HH3" s="346"/>
      <c r="HI3" s="346"/>
      <c r="HJ3" s="346"/>
      <c r="HK3" s="346"/>
      <c r="HL3" s="346"/>
      <c r="HM3" s="346"/>
      <c r="HN3" s="346"/>
      <c r="HO3" s="346"/>
      <c r="HP3" s="346"/>
      <c r="HQ3" s="346"/>
      <c r="HR3" s="346"/>
      <c r="HS3" s="346"/>
      <c r="HT3" s="346"/>
      <c r="HU3" s="346"/>
      <c r="HV3" s="346"/>
      <c r="HW3" s="346"/>
      <c r="HX3" s="346"/>
      <c r="HY3" s="346"/>
      <c r="HZ3" s="346"/>
      <c r="IA3" s="346"/>
      <c r="IB3" s="346"/>
      <c r="IC3" s="346"/>
      <c r="ID3" s="346"/>
      <c r="IE3" s="346"/>
      <c r="IF3" s="346"/>
      <c r="IG3" s="346"/>
      <c r="IH3" s="346"/>
      <c r="II3" s="346"/>
      <c r="IJ3" s="346"/>
      <c r="IK3" s="346"/>
      <c r="IL3" s="346"/>
      <c r="IM3" s="346"/>
      <c r="IN3" s="346"/>
      <c r="IO3" s="346"/>
      <c r="IP3" s="346"/>
      <c r="IQ3" s="346"/>
      <c r="IR3" s="346"/>
      <c r="IS3" s="346"/>
      <c r="IT3" s="346"/>
      <c r="IU3" s="346"/>
      <c r="IV3" s="346"/>
      <c r="IW3" s="346"/>
      <c r="IX3" s="346"/>
      <c r="IY3" s="346"/>
      <c r="IZ3" s="346"/>
      <c r="JA3" s="346"/>
      <c r="JB3" s="346"/>
      <c r="JC3" s="346"/>
      <c r="JD3" s="346"/>
      <c r="JE3" s="346"/>
      <c r="JF3" s="346"/>
      <c r="JG3" s="346"/>
      <c r="JH3" s="346"/>
      <c r="JI3" s="346"/>
      <c r="JJ3" s="346"/>
      <c r="JK3" s="346"/>
      <c r="JL3" s="346"/>
      <c r="JM3" s="346"/>
      <c r="JN3" s="346"/>
      <c r="JO3" s="346"/>
      <c r="JP3" s="346"/>
      <c r="JQ3" s="346"/>
      <c r="JR3" s="346"/>
      <c r="JS3" s="346"/>
      <c r="JT3" s="346"/>
      <c r="JU3" s="346"/>
      <c r="JV3" s="346"/>
      <c r="JW3" s="346"/>
      <c r="JX3" s="346"/>
      <c r="JY3" s="346"/>
      <c r="JZ3" s="346"/>
      <c r="KA3" s="346"/>
      <c r="KB3" s="346"/>
      <c r="KC3" s="346"/>
      <c r="KD3" s="346"/>
      <c r="KE3" s="346"/>
      <c r="KF3" s="346"/>
      <c r="KG3" s="346"/>
      <c r="KH3" s="346"/>
      <c r="KI3" s="346"/>
      <c r="KJ3" s="346"/>
      <c r="KK3" s="346"/>
      <c r="KL3" s="346"/>
      <c r="KM3" s="346"/>
      <c r="KN3" s="346"/>
      <c r="KO3" s="346"/>
      <c r="KP3" s="346"/>
      <c r="KQ3" s="346"/>
      <c r="KR3" s="346"/>
      <c r="KS3" s="346"/>
      <c r="KT3" s="346"/>
      <c r="KU3" s="346"/>
      <c r="KV3" s="346"/>
      <c r="KW3" s="346"/>
      <c r="KX3" s="346"/>
      <c r="KY3" s="346"/>
      <c r="KZ3" s="346"/>
      <c r="LA3" s="346"/>
      <c r="LB3" s="346"/>
      <c r="LC3" s="346"/>
      <c r="LD3" s="346"/>
      <c r="LE3" s="346"/>
      <c r="LF3" s="346"/>
      <c r="LG3" s="346"/>
      <c r="LH3" s="346"/>
      <c r="LI3" s="346"/>
      <c r="LJ3" s="346"/>
      <c r="LK3" s="346"/>
      <c r="LL3" s="346"/>
      <c r="LM3" s="346"/>
      <c r="LN3" s="346"/>
      <c r="LO3" s="346"/>
    </row>
    <row r="4" spans="1:327" s="128" customFormat="1" ht="15.75" x14ac:dyDescent="0.2">
      <c r="A4" s="341"/>
      <c r="B4" s="341"/>
      <c r="C4" s="298"/>
      <c r="D4" s="299"/>
      <c r="E4" s="299"/>
      <c r="F4" s="299"/>
      <c r="G4" s="299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  <c r="Y4" s="341"/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1"/>
      <c r="AN4" s="341"/>
      <c r="AO4" s="341"/>
      <c r="AP4" s="341"/>
      <c r="AQ4" s="341"/>
      <c r="AR4" s="342"/>
      <c r="AS4" s="342"/>
      <c r="AT4" s="342"/>
      <c r="AU4" s="342"/>
      <c r="AV4" s="342"/>
      <c r="AW4" s="342"/>
      <c r="AX4" s="342"/>
      <c r="AY4" s="342"/>
      <c r="AZ4" s="342"/>
      <c r="BA4" s="342"/>
      <c r="BB4" s="342"/>
      <c r="BC4" s="342"/>
      <c r="BD4" s="342"/>
      <c r="BE4" s="342"/>
      <c r="BF4" s="342"/>
      <c r="BG4" s="342"/>
      <c r="BH4" s="342"/>
      <c r="BI4" s="342"/>
      <c r="BJ4" s="342"/>
      <c r="BK4" s="342"/>
      <c r="BL4" s="342"/>
      <c r="BM4" s="342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343"/>
      <c r="CG4" s="343"/>
      <c r="CH4" s="343"/>
      <c r="CI4" s="343"/>
      <c r="CJ4" s="343"/>
      <c r="CK4" s="343"/>
      <c r="CL4" s="343"/>
      <c r="CM4" s="343"/>
      <c r="CN4" s="44"/>
      <c r="CO4" s="44"/>
      <c r="CP4" s="44"/>
      <c r="CQ4" s="44"/>
      <c r="CR4" s="44"/>
      <c r="CS4" s="343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343"/>
      <c r="EJ4" s="343"/>
      <c r="EK4" s="343"/>
      <c r="EL4" s="343"/>
      <c r="EM4" s="343"/>
      <c r="EN4" s="343"/>
      <c r="EO4" s="343"/>
      <c r="EP4" s="343"/>
      <c r="EQ4" s="343"/>
      <c r="ER4" s="343"/>
      <c r="ES4" s="343"/>
      <c r="ET4" s="343"/>
      <c r="EU4" s="343"/>
      <c r="EV4" s="343"/>
      <c r="EW4" s="343"/>
      <c r="EX4" s="343"/>
      <c r="EY4" s="343"/>
      <c r="EZ4" s="343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343"/>
      <c r="FS4" s="343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343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4"/>
      <c r="JG4" s="44"/>
      <c r="JH4" s="44"/>
      <c r="JI4" s="44"/>
      <c r="JJ4" s="44"/>
      <c r="JK4" s="44"/>
      <c r="JL4" s="44"/>
      <c r="JM4" s="44"/>
      <c r="JN4" s="44"/>
      <c r="JO4" s="44"/>
      <c r="JP4" s="44"/>
      <c r="JQ4" s="44"/>
      <c r="JR4" s="44"/>
      <c r="JS4" s="44"/>
      <c r="JT4" s="44"/>
      <c r="JU4" s="44"/>
      <c r="JV4" s="44"/>
      <c r="JW4" s="44"/>
      <c r="JX4" s="44"/>
      <c r="JY4" s="44"/>
      <c r="JZ4" s="44"/>
      <c r="KA4" s="44"/>
      <c r="KB4" s="44"/>
      <c r="KC4" s="44"/>
      <c r="KD4" s="44"/>
      <c r="KE4" s="44"/>
      <c r="KF4" s="44"/>
      <c r="KG4" s="44"/>
      <c r="KH4" s="44"/>
      <c r="KI4" s="44"/>
      <c r="KJ4" s="44"/>
      <c r="KK4" s="44"/>
      <c r="KL4" s="44"/>
      <c r="KM4" s="44"/>
      <c r="KN4" s="44"/>
      <c r="KO4" s="44"/>
      <c r="KP4" s="44"/>
      <c r="KQ4" s="44"/>
      <c r="KR4" s="44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4"/>
      <c r="LL4" s="44"/>
      <c r="LM4" s="44"/>
      <c r="LN4" s="44"/>
      <c r="LO4" s="44"/>
    </row>
    <row r="5" spans="1:327" s="129" customFormat="1" ht="19.5" customHeight="1" x14ac:dyDescent="0.4">
      <c r="A5" s="302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0"/>
      <c r="T5" s="300"/>
      <c r="U5" s="302"/>
      <c r="V5" s="302"/>
      <c r="W5" s="302"/>
      <c r="X5" s="302"/>
      <c r="Y5" s="302"/>
      <c r="Z5" s="347"/>
      <c r="AA5" s="302"/>
      <c r="AB5" s="302"/>
      <c r="AC5" s="302"/>
      <c r="AD5" s="302"/>
      <c r="AE5" s="302"/>
      <c r="AF5" s="347"/>
      <c r="AG5" s="302"/>
      <c r="AH5" s="302"/>
      <c r="AI5" s="302"/>
      <c r="AJ5" s="302"/>
      <c r="AK5" s="302"/>
      <c r="AL5" s="347"/>
      <c r="AM5" s="347"/>
      <c r="AN5" s="301"/>
      <c r="AO5" s="302"/>
      <c r="AP5" s="302"/>
      <c r="AQ5" s="347"/>
      <c r="AR5" s="347"/>
      <c r="AS5" s="347"/>
      <c r="AT5" s="302"/>
      <c r="AU5" s="347"/>
      <c r="AV5" s="347"/>
      <c r="AW5" s="302"/>
      <c r="AX5" s="347"/>
      <c r="AY5" s="348"/>
      <c r="AZ5" s="347"/>
      <c r="BA5" s="347"/>
      <c r="BB5" s="347"/>
      <c r="BC5" s="347"/>
      <c r="BD5" s="349"/>
      <c r="BE5" s="347"/>
      <c r="BF5" s="347"/>
      <c r="BG5" s="349"/>
      <c r="BH5" s="347"/>
      <c r="BI5" s="347"/>
      <c r="BJ5" s="347"/>
      <c r="BK5" s="349"/>
      <c r="BL5" s="347"/>
      <c r="BM5" s="347"/>
      <c r="BN5" s="350"/>
      <c r="BO5" s="350"/>
      <c r="BP5" s="350"/>
      <c r="BQ5" s="350"/>
      <c r="BR5" s="350"/>
      <c r="BS5" s="350"/>
      <c r="BT5" s="350"/>
      <c r="BU5" s="350"/>
      <c r="BV5" s="350"/>
      <c r="BW5" s="350"/>
      <c r="BX5" s="350"/>
      <c r="BY5" s="350"/>
      <c r="BZ5" s="350"/>
      <c r="CA5" s="350"/>
      <c r="CB5" s="350"/>
      <c r="CC5" s="350"/>
      <c r="CD5" s="350"/>
      <c r="CE5" s="350"/>
      <c r="CF5" s="351"/>
      <c r="CG5" s="351"/>
      <c r="CH5" s="351"/>
      <c r="CI5" s="351"/>
      <c r="CJ5" s="351"/>
      <c r="CK5" s="350"/>
      <c r="CL5" s="350"/>
      <c r="CM5" s="350"/>
      <c r="CN5" s="350"/>
      <c r="CO5" s="350"/>
      <c r="CP5" s="350"/>
      <c r="CQ5" s="350"/>
      <c r="CR5" s="350"/>
      <c r="CS5" s="351"/>
      <c r="CT5" s="350"/>
      <c r="CU5" s="302"/>
      <c r="CV5" s="350"/>
      <c r="CW5" s="350"/>
      <c r="CX5" s="350"/>
      <c r="CY5" s="350"/>
      <c r="CZ5" s="350"/>
      <c r="DA5" s="350"/>
      <c r="DB5" s="350"/>
      <c r="DC5" s="302"/>
      <c r="DD5" s="350"/>
      <c r="DE5" s="350"/>
      <c r="DF5" s="350"/>
      <c r="DG5" s="350"/>
      <c r="DH5" s="350"/>
      <c r="DI5" s="350"/>
      <c r="DJ5" s="350"/>
      <c r="DK5" s="350"/>
      <c r="DL5" s="350"/>
      <c r="DM5" s="350"/>
      <c r="DN5" s="350"/>
      <c r="DO5" s="350"/>
      <c r="DP5" s="350"/>
      <c r="DQ5" s="350"/>
      <c r="DR5" s="350"/>
      <c r="DS5" s="303"/>
      <c r="DT5" s="350"/>
      <c r="DU5" s="303"/>
      <c r="DV5" s="303"/>
      <c r="DW5" s="303"/>
      <c r="DX5" s="303"/>
      <c r="DY5" s="303"/>
      <c r="DZ5" s="303"/>
      <c r="EA5" s="303"/>
      <c r="EB5" s="303"/>
      <c r="EC5" s="303"/>
      <c r="ED5" s="303"/>
      <c r="EE5" s="303"/>
      <c r="EF5" s="303"/>
      <c r="EG5" s="303"/>
      <c r="EH5" s="303"/>
      <c r="EI5" s="243"/>
      <c r="EJ5" s="243"/>
      <c r="EK5" s="243"/>
      <c r="EL5" s="243"/>
      <c r="EM5" s="243"/>
      <c r="EN5" s="243"/>
      <c r="EO5" s="243"/>
      <c r="EP5" s="243"/>
      <c r="EQ5" s="243"/>
      <c r="ER5" s="243"/>
      <c r="ES5" s="243"/>
      <c r="ET5" s="243"/>
      <c r="EU5" s="243"/>
      <c r="EV5" s="243"/>
      <c r="EW5" s="243"/>
      <c r="EX5" s="243"/>
      <c r="EY5" s="243"/>
      <c r="EZ5" s="243"/>
      <c r="FA5" s="303"/>
      <c r="FB5" s="350"/>
      <c r="FC5" s="303"/>
      <c r="FD5" s="350"/>
      <c r="FE5" s="303"/>
      <c r="FF5" s="303"/>
      <c r="FG5" s="303"/>
      <c r="FH5" s="303"/>
      <c r="FI5" s="303"/>
      <c r="FJ5" s="303"/>
      <c r="FK5" s="303"/>
      <c r="FL5" s="303"/>
      <c r="FM5" s="303"/>
      <c r="FN5" s="303"/>
      <c r="FO5" s="303"/>
      <c r="FP5" s="303"/>
      <c r="FQ5" s="303"/>
      <c r="FR5" s="303"/>
      <c r="FS5" s="243"/>
      <c r="FT5" s="350"/>
      <c r="FU5" s="350"/>
      <c r="FV5" s="350"/>
      <c r="FW5" s="350"/>
      <c r="FX5" s="350"/>
      <c r="FY5" s="350"/>
      <c r="FZ5" s="350"/>
      <c r="GA5" s="350"/>
      <c r="GB5" s="350"/>
      <c r="GC5" s="350"/>
      <c r="GD5" s="350"/>
      <c r="GE5" s="350"/>
      <c r="GF5" s="350"/>
      <c r="GG5" s="351"/>
      <c r="GH5" s="303"/>
      <c r="GI5" s="350"/>
      <c r="GJ5" s="243"/>
      <c r="GK5" s="350"/>
      <c r="GL5" s="350"/>
      <c r="GM5" s="303"/>
      <c r="GN5" s="350"/>
      <c r="GO5" s="350"/>
      <c r="GP5" s="350"/>
      <c r="GQ5" s="350"/>
      <c r="GR5" s="350"/>
      <c r="GS5" s="350"/>
      <c r="GT5" s="350"/>
      <c r="GU5" s="350"/>
      <c r="GV5" s="350"/>
      <c r="GW5" s="350"/>
      <c r="GX5" s="350"/>
      <c r="GY5" s="303"/>
      <c r="GZ5" s="350"/>
      <c r="HA5" s="352"/>
      <c r="HB5" s="352"/>
      <c r="HC5" s="352"/>
      <c r="HD5" s="353"/>
      <c r="HE5" s="353"/>
      <c r="HF5" s="339"/>
      <c r="HG5" s="353"/>
      <c r="HH5" s="353"/>
      <c r="HI5" s="353"/>
      <c r="HJ5" s="353"/>
      <c r="HK5" s="353"/>
      <c r="HL5" s="353"/>
      <c r="HM5" s="353"/>
      <c r="HN5" s="353"/>
      <c r="HO5" s="353"/>
      <c r="HP5" s="353"/>
      <c r="HQ5" s="353"/>
      <c r="HR5" s="44"/>
      <c r="HS5" s="44"/>
      <c r="HT5" s="44"/>
      <c r="HU5" s="353"/>
      <c r="HV5" s="44"/>
      <c r="HW5" s="44"/>
      <c r="HX5" s="44"/>
      <c r="HY5" s="353"/>
      <c r="HZ5" s="44"/>
      <c r="IA5" s="44"/>
      <c r="IB5" s="44"/>
      <c r="IC5" s="353"/>
      <c r="ID5" s="44"/>
      <c r="IE5" s="44"/>
      <c r="IF5" s="44"/>
      <c r="IG5" s="353"/>
      <c r="IH5" s="353"/>
      <c r="II5" s="44"/>
      <c r="IJ5" s="44"/>
      <c r="IK5" s="44"/>
      <c r="IL5" s="44"/>
      <c r="IM5" s="44"/>
      <c r="IN5" s="260" t="s">
        <v>94</v>
      </c>
      <c r="IO5" s="44"/>
      <c r="IP5" s="44"/>
      <c r="IQ5" s="44"/>
      <c r="IR5" s="44"/>
      <c r="IS5" s="44"/>
      <c r="IT5" s="44"/>
      <c r="IU5" s="44" t="s">
        <v>95</v>
      </c>
      <c r="IV5" s="44"/>
      <c r="IW5" s="44"/>
      <c r="IX5" s="44"/>
      <c r="IY5" s="44"/>
      <c r="IZ5" s="353"/>
      <c r="JA5" s="353"/>
      <c r="JB5" s="353"/>
      <c r="JC5" s="353"/>
      <c r="JD5" s="353"/>
      <c r="JE5" s="353"/>
      <c r="JF5" s="353"/>
      <c r="JG5" s="353"/>
      <c r="JH5" s="353"/>
      <c r="JI5" s="353"/>
      <c r="JJ5" s="353"/>
      <c r="JK5" s="353"/>
      <c r="JL5" s="353"/>
      <c r="JM5" s="353"/>
      <c r="JN5" s="353"/>
      <c r="JO5" s="353"/>
      <c r="JP5" s="353"/>
      <c r="JQ5" s="353"/>
      <c r="JR5" s="353"/>
      <c r="JS5" s="353"/>
      <c r="JT5" s="353"/>
      <c r="JU5" s="353"/>
      <c r="JV5" s="353"/>
      <c r="JW5" s="353"/>
      <c r="JX5" s="353"/>
      <c r="JY5" s="353"/>
      <c r="JZ5" s="353"/>
      <c r="KA5" s="353"/>
      <c r="KB5" s="353"/>
      <c r="KC5" s="353"/>
      <c r="KD5" s="353"/>
      <c r="KE5" s="353"/>
      <c r="KF5" s="353"/>
      <c r="KG5" s="354"/>
      <c r="KH5" s="353"/>
      <c r="KI5" s="353"/>
      <c r="KJ5" s="353"/>
      <c r="KK5" s="353"/>
      <c r="KL5" s="353"/>
      <c r="KM5" s="353"/>
      <c r="KN5" s="353"/>
      <c r="KO5" s="353"/>
      <c r="KP5" s="353"/>
      <c r="KQ5" s="353"/>
      <c r="KR5" s="353"/>
      <c r="KS5" s="353"/>
      <c r="KT5" s="353"/>
      <c r="KU5" s="353"/>
      <c r="KV5" s="353"/>
      <c r="KW5" s="353"/>
      <c r="KX5" s="354"/>
      <c r="KY5" s="353"/>
      <c r="KZ5" s="353"/>
      <c r="LA5" s="353"/>
      <c r="LB5" s="353"/>
      <c r="LC5" s="353"/>
      <c r="LD5" s="353"/>
      <c r="LE5" s="353"/>
      <c r="LF5" s="353"/>
      <c r="LG5" s="353"/>
      <c r="LH5" s="353"/>
      <c r="LI5" s="353"/>
      <c r="LJ5" s="353"/>
      <c r="LK5" s="353"/>
      <c r="LL5" s="353"/>
      <c r="LM5" s="353"/>
      <c r="LN5" s="353"/>
      <c r="LO5" s="354" t="s">
        <v>95</v>
      </c>
    </row>
    <row r="6" spans="1:327" ht="24.95" customHeight="1" x14ac:dyDescent="0.2">
      <c r="A6" s="25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6"/>
      <c r="U6" s="27"/>
      <c r="V6" s="27"/>
      <c r="W6" s="27"/>
      <c r="X6" s="45">
        <v>1998</v>
      </c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4"/>
      <c r="AL6" s="45"/>
      <c r="AM6" s="263"/>
      <c r="AN6" s="263"/>
      <c r="AO6" s="402">
        <v>1999</v>
      </c>
      <c r="AP6" s="402"/>
      <c r="AQ6" s="402"/>
      <c r="AR6" s="402"/>
      <c r="AS6" s="402"/>
      <c r="AT6" s="402"/>
      <c r="AU6" s="402"/>
      <c r="AV6" s="402"/>
      <c r="AW6" s="402"/>
      <c r="AX6" s="402"/>
      <c r="AY6" s="402"/>
      <c r="AZ6" s="402"/>
      <c r="BA6" s="402"/>
      <c r="BB6" s="403"/>
      <c r="BC6" s="388">
        <v>2000</v>
      </c>
      <c r="BD6" s="385"/>
      <c r="BE6" s="385"/>
      <c r="BF6" s="385"/>
      <c r="BG6" s="385"/>
      <c r="BH6" s="385"/>
      <c r="BI6" s="385"/>
      <c r="BJ6" s="385"/>
      <c r="BK6" s="385"/>
      <c r="BL6" s="385"/>
      <c r="BM6" s="385"/>
      <c r="BN6" s="385"/>
      <c r="BO6" s="406"/>
      <c r="BP6" s="406"/>
      <c r="BQ6" s="406"/>
      <c r="BR6" s="406"/>
      <c r="BS6" s="407"/>
      <c r="BT6" s="78">
        <v>2001</v>
      </c>
      <c r="BU6" s="304"/>
      <c r="BV6" s="304"/>
      <c r="BW6" s="388">
        <v>2001</v>
      </c>
      <c r="BX6" s="385"/>
      <c r="BY6" s="385"/>
      <c r="BZ6" s="385"/>
      <c r="CA6" s="385"/>
      <c r="CB6" s="385"/>
      <c r="CC6" s="385"/>
      <c r="CD6" s="385"/>
      <c r="CE6" s="385"/>
      <c r="CF6" s="385"/>
      <c r="CG6" s="385"/>
      <c r="CH6" s="385"/>
      <c r="CI6" s="385"/>
      <c r="CJ6" s="386"/>
      <c r="CK6" s="119">
        <v>2002</v>
      </c>
      <c r="CL6" s="120"/>
      <c r="CM6" s="120"/>
      <c r="CN6" s="120">
        <v>2002</v>
      </c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5">
        <v>2002</v>
      </c>
      <c r="DB6" s="119">
        <v>2003</v>
      </c>
      <c r="DC6" s="120"/>
      <c r="DD6" s="120"/>
      <c r="DE6" s="120">
        <v>2003</v>
      </c>
      <c r="DF6" s="120"/>
      <c r="DG6" s="120"/>
      <c r="DH6" s="120"/>
      <c r="DI6" s="120"/>
      <c r="DJ6" s="120"/>
      <c r="DK6" s="120"/>
      <c r="DL6" s="120"/>
      <c r="DM6" s="120"/>
      <c r="DN6" s="120"/>
      <c r="DO6" s="120"/>
      <c r="DP6" s="305"/>
      <c r="DQ6" s="305"/>
      <c r="DR6" s="137">
        <v>2003</v>
      </c>
      <c r="DS6" s="120">
        <v>2004</v>
      </c>
      <c r="DT6" s="120"/>
      <c r="DU6" s="120"/>
      <c r="DV6" s="385">
        <v>2004</v>
      </c>
      <c r="DW6" s="385"/>
      <c r="DX6" s="385"/>
      <c r="DY6" s="385"/>
      <c r="DZ6" s="385"/>
      <c r="EA6" s="385"/>
      <c r="EB6" s="385"/>
      <c r="EC6" s="385"/>
      <c r="ED6" s="385"/>
      <c r="EE6" s="385"/>
      <c r="EF6" s="385"/>
      <c r="EG6" s="385"/>
      <c r="EH6" s="385"/>
      <c r="EI6" s="386"/>
      <c r="EJ6" s="120">
        <v>2005</v>
      </c>
      <c r="EK6" s="120"/>
      <c r="EL6" s="120"/>
      <c r="EM6" s="120">
        <v>2005</v>
      </c>
      <c r="EN6" s="120"/>
      <c r="EO6" s="120"/>
      <c r="EP6" s="120"/>
      <c r="EQ6" s="120"/>
      <c r="ER6" s="120"/>
      <c r="ES6" s="120"/>
      <c r="ET6" s="120"/>
      <c r="EU6" s="120"/>
      <c r="EV6" s="120"/>
      <c r="EW6" s="120"/>
      <c r="EX6" s="120"/>
      <c r="EY6" s="120"/>
      <c r="EZ6" s="120">
        <v>2005</v>
      </c>
      <c r="FA6" s="306"/>
      <c r="FB6" s="119">
        <v>2006</v>
      </c>
      <c r="FC6" s="120"/>
      <c r="FD6" s="120"/>
      <c r="FE6" s="120"/>
      <c r="FF6" s="120"/>
      <c r="FG6" s="120"/>
      <c r="FH6" s="120"/>
      <c r="FI6" s="155">
        <v>2006</v>
      </c>
      <c r="FJ6" s="120"/>
      <c r="FK6" s="120"/>
      <c r="FL6" s="120"/>
      <c r="FM6" s="120"/>
      <c r="FN6" s="120"/>
      <c r="FO6" s="120"/>
      <c r="FP6" s="120"/>
      <c r="FQ6" s="127"/>
      <c r="FR6" s="137">
        <v>2006</v>
      </c>
      <c r="FS6" s="120">
        <v>2007</v>
      </c>
      <c r="FT6" s="120"/>
      <c r="FU6" s="120"/>
      <c r="FV6" s="119"/>
      <c r="FW6" s="120"/>
      <c r="FX6" s="120"/>
      <c r="FY6" s="120"/>
      <c r="FZ6" s="267">
        <v>2007</v>
      </c>
      <c r="GA6" s="120"/>
      <c r="GB6" s="120"/>
      <c r="GC6" s="120"/>
      <c r="GD6" s="120"/>
      <c r="GE6" s="120"/>
      <c r="GF6" s="120"/>
      <c r="GG6" s="120"/>
      <c r="GH6" s="120"/>
      <c r="GI6" s="271">
        <v>2007</v>
      </c>
      <c r="GJ6" s="120">
        <v>2008</v>
      </c>
      <c r="GK6" s="120"/>
      <c r="GL6" s="120"/>
      <c r="GM6" s="120"/>
      <c r="GN6" s="120"/>
      <c r="GO6" s="120"/>
      <c r="GP6" s="120"/>
      <c r="GQ6" s="120"/>
      <c r="GR6" s="120"/>
      <c r="GS6" s="120"/>
      <c r="GT6" s="120"/>
      <c r="GU6" s="248">
        <v>2008</v>
      </c>
      <c r="GV6" s="120"/>
      <c r="GW6" s="120"/>
      <c r="GX6" s="120"/>
      <c r="GY6" s="120"/>
      <c r="GZ6" s="249">
        <v>2008</v>
      </c>
      <c r="HA6" s="355">
        <v>2009</v>
      </c>
      <c r="HB6" s="356"/>
      <c r="HC6" s="356"/>
      <c r="HD6" s="356"/>
      <c r="HE6" s="356"/>
      <c r="HF6" s="356"/>
      <c r="HG6" s="356"/>
      <c r="HH6" s="356"/>
      <c r="HI6" s="356"/>
      <c r="HJ6" s="356"/>
      <c r="HK6" s="248"/>
      <c r="HL6" s="248"/>
      <c r="HM6" s="248"/>
      <c r="HN6" s="248"/>
      <c r="HO6" s="248"/>
      <c r="HP6" s="248"/>
      <c r="HQ6" s="336">
        <v>2009</v>
      </c>
      <c r="HR6" s="355">
        <v>2010</v>
      </c>
      <c r="HS6" s="356"/>
      <c r="HT6" s="356"/>
      <c r="HU6" s="356"/>
      <c r="HV6" s="356"/>
      <c r="HW6" s="356"/>
      <c r="HX6" s="356"/>
      <c r="HY6" s="356"/>
      <c r="HZ6" s="356"/>
      <c r="IA6" s="356"/>
      <c r="IB6" s="258"/>
      <c r="IC6" s="248"/>
      <c r="ID6" s="258"/>
      <c r="IE6" s="258"/>
      <c r="IF6" s="258"/>
      <c r="IG6" s="248"/>
      <c r="IH6" s="337">
        <v>2010</v>
      </c>
      <c r="II6" s="373">
        <v>2011</v>
      </c>
      <c r="IJ6" s="374"/>
      <c r="IK6" s="374"/>
      <c r="IL6" s="374"/>
      <c r="IM6" s="374"/>
      <c r="IN6" s="374"/>
      <c r="IO6" s="374"/>
      <c r="IP6" s="374"/>
      <c r="IQ6" s="374"/>
      <c r="IR6" s="374"/>
      <c r="IS6" s="375"/>
      <c r="IT6" s="375"/>
      <c r="IU6" s="375"/>
      <c r="IV6" s="375"/>
      <c r="IW6" s="375"/>
      <c r="IX6" s="375"/>
      <c r="IY6" s="364"/>
      <c r="IZ6" s="373">
        <v>2012</v>
      </c>
      <c r="JA6" s="374"/>
      <c r="JB6" s="374"/>
      <c r="JC6" s="374"/>
      <c r="JD6" s="374"/>
      <c r="JE6" s="374"/>
      <c r="JF6" s="374"/>
      <c r="JG6" s="374"/>
      <c r="JH6" s="374"/>
      <c r="JI6" s="374"/>
      <c r="JJ6" s="375"/>
      <c r="JK6" s="375"/>
      <c r="JL6" s="375"/>
      <c r="JM6" s="375"/>
      <c r="JN6" s="375"/>
      <c r="JO6" s="375"/>
      <c r="JP6" s="364"/>
      <c r="JQ6" s="355">
        <v>2013</v>
      </c>
      <c r="JR6" s="356"/>
      <c r="JS6" s="356"/>
      <c r="JT6" s="356"/>
      <c r="JU6" s="356"/>
      <c r="JV6" s="356"/>
      <c r="JW6" s="356"/>
      <c r="JX6" s="356"/>
      <c r="JY6" s="356"/>
      <c r="JZ6" s="356"/>
      <c r="KA6" s="357"/>
      <c r="KB6" s="357"/>
      <c r="KC6" s="357"/>
      <c r="KD6" s="357"/>
      <c r="KE6" s="357"/>
      <c r="KF6" s="357"/>
      <c r="KG6" s="364"/>
      <c r="KH6" s="355">
        <v>2014</v>
      </c>
      <c r="KI6" s="356"/>
      <c r="KJ6" s="356"/>
      <c r="KK6" s="356"/>
      <c r="KL6" s="356"/>
      <c r="KM6" s="356"/>
      <c r="KN6" s="356"/>
      <c r="KO6" s="356"/>
      <c r="KP6" s="356"/>
      <c r="KQ6" s="356"/>
      <c r="KR6" s="357"/>
      <c r="KS6" s="357"/>
      <c r="KT6" s="357"/>
      <c r="KU6" s="357"/>
      <c r="KV6" s="357"/>
      <c r="KW6" s="357"/>
      <c r="KX6" s="358"/>
      <c r="KY6" s="355">
        <v>2015</v>
      </c>
      <c r="KZ6" s="356"/>
      <c r="LA6" s="356"/>
      <c r="LB6" s="356"/>
      <c r="LC6" s="356"/>
      <c r="LD6" s="356"/>
      <c r="LE6" s="356"/>
      <c r="LF6" s="356"/>
      <c r="LG6" s="356"/>
      <c r="LH6" s="356"/>
      <c r="LI6" s="357"/>
      <c r="LJ6" s="357"/>
      <c r="LK6" s="357"/>
      <c r="LL6" s="357"/>
      <c r="LM6" s="357"/>
      <c r="LN6" s="357"/>
      <c r="LO6" s="358"/>
    </row>
    <row r="7" spans="1:327" ht="15.75" customHeight="1" x14ac:dyDescent="0.2">
      <c r="A7" s="395" t="s">
        <v>57</v>
      </c>
      <c r="B7" s="396"/>
      <c r="C7" s="261" t="s">
        <v>0</v>
      </c>
      <c r="D7" s="261" t="s">
        <v>1</v>
      </c>
      <c r="E7" s="261" t="s">
        <v>2</v>
      </c>
      <c r="F7" s="261" t="s">
        <v>3</v>
      </c>
      <c r="G7" s="30" t="s">
        <v>4</v>
      </c>
      <c r="H7" s="30" t="s">
        <v>5</v>
      </c>
      <c r="I7" s="261" t="s">
        <v>6</v>
      </c>
      <c r="J7" s="261" t="s">
        <v>7</v>
      </c>
      <c r="K7" s="30" t="s">
        <v>8</v>
      </c>
      <c r="L7" s="261" t="s">
        <v>9</v>
      </c>
      <c r="M7" s="261" t="s">
        <v>10</v>
      </c>
      <c r="N7" s="261" t="s">
        <v>11</v>
      </c>
      <c r="O7" s="30" t="s">
        <v>12</v>
      </c>
      <c r="P7" s="261" t="s">
        <v>13</v>
      </c>
      <c r="Q7" s="261" t="s">
        <v>14</v>
      </c>
      <c r="R7" s="261" t="s">
        <v>15</v>
      </c>
      <c r="S7" s="261" t="s">
        <v>16</v>
      </c>
      <c r="T7" s="31" t="s">
        <v>17</v>
      </c>
      <c r="U7" s="261" t="s">
        <v>1</v>
      </c>
      <c r="V7" s="261" t="s">
        <v>2</v>
      </c>
      <c r="W7" s="261" t="s">
        <v>3</v>
      </c>
      <c r="X7" s="46" t="s">
        <v>18</v>
      </c>
      <c r="Y7" s="30" t="s">
        <v>5</v>
      </c>
      <c r="Z7" s="261" t="s">
        <v>6</v>
      </c>
      <c r="AA7" s="261" t="s">
        <v>7</v>
      </c>
      <c r="AB7" s="48" t="s">
        <v>19</v>
      </c>
      <c r="AC7" s="261" t="s">
        <v>9</v>
      </c>
      <c r="AD7" s="261" t="s">
        <v>10</v>
      </c>
      <c r="AE7" s="261" t="s">
        <v>11</v>
      </c>
      <c r="AF7" s="48" t="s">
        <v>20</v>
      </c>
      <c r="AG7" s="261" t="s">
        <v>13</v>
      </c>
      <c r="AH7" s="261" t="s">
        <v>14</v>
      </c>
      <c r="AI7" s="261" t="s">
        <v>15</v>
      </c>
      <c r="AJ7" s="265" t="s">
        <v>21</v>
      </c>
      <c r="AK7" s="269" t="s">
        <v>56</v>
      </c>
      <c r="AL7" s="266" t="s">
        <v>1</v>
      </c>
      <c r="AM7" s="265" t="s">
        <v>2</v>
      </c>
      <c r="AN7" s="265" t="s">
        <v>3</v>
      </c>
      <c r="AO7" s="387" t="s">
        <v>18</v>
      </c>
      <c r="AP7" s="387" t="s">
        <v>5</v>
      </c>
      <c r="AQ7" s="387" t="s">
        <v>6</v>
      </c>
      <c r="AR7" s="387" t="s">
        <v>7</v>
      </c>
      <c r="AS7" s="379" t="s">
        <v>19</v>
      </c>
      <c r="AT7" s="387" t="s">
        <v>9</v>
      </c>
      <c r="AU7" s="387" t="s">
        <v>62</v>
      </c>
      <c r="AV7" s="387" t="s">
        <v>11</v>
      </c>
      <c r="AW7" s="379" t="s">
        <v>20</v>
      </c>
      <c r="AX7" s="387" t="s">
        <v>13</v>
      </c>
      <c r="AY7" s="387" t="s">
        <v>14</v>
      </c>
      <c r="AZ7" s="387" t="s">
        <v>15</v>
      </c>
      <c r="BA7" s="379" t="s">
        <v>21</v>
      </c>
      <c r="BB7" s="379" t="s">
        <v>56</v>
      </c>
      <c r="BC7" s="389" t="s">
        <v>1</v>
      </c>
      <c r="BD7" s="387" t="s">
        <v>2</v>
      </c>
      <c r="BE7" s="387" t="s">
        <v>3</v>
      </c>
      <c r="BF7" s="379" t="s">
        <v>18</v>
      </c>
      <c r="BG7" s="387" t="s">
        <v>5</v>
      </c>
      <c r="BH7" s="387" t="s">
        <v>6</v>
      </c>
      <c r="BI7" s="387" t="s">
        <v>7</v>
      </c>
      <c r="BJ7" s="379" t="s">
        <v>19</v>
      </c>
      <c r="BK7" s="387" t="s">
        <v>9</v>
      </c>
      <c r="BL7" s="387" t="s">
        <v>10</v>
      </c>
      <c r="BM7" s="387" t="s">
        <v>11</v>
      </c>
      <c r="BN7" s="379" t="s">
        <v>20</v>
      </c>
      <c r="BO7" s="389" t="s">
        <v>13</v>
      </c>
      <c r="BP7" s="387" t="s">
        <v>14</v>
      </c>
      <c r="BQ7" s="387" t="s">
        <v>15</v>
      </c>
      <c r="BR7" s="379" t="s">
        <v>21</v>
      </c>
      <c r="BS7" s="379" t="s">
        <v>56</v>
      </c>
      <c r="BT7" s="389" t="s">
        <v>1</v>
      </c>
      <c r="BU7" s="387" t="s">
        <v>2</v>
      </c>
      <c r="BV7" s="398" t="s">
        <v>3</v>
      </c>
      <c r="BW7" s="379" t="s">
        <v>18</v>
      </c>
      <c r="BX7" s="387" t="s">
        <v>5</v>
      </c>
      <c r="BY7" s="387" t="s">
        <v>6</v>
      </c>
      <c r="BZ7" s="387" t="s">
        <v>7</v>
      </c>
      <c r="CA7" s="379" t="s">
        <v>19</v>
      </c>
      <c r="CB7" s="387" t="s">
        <v>9</v>
      </c>
      <c r="CC7" s="387" t="s">
        <v>10</v>
      </c>
      <c r="CD7" s="387" t="s">
        <v>11</v>
      </c>
      <c r="CE7" s="379" t="s">
        <v>20</v>
      </c>
      <c r="CF7" s="387" t="s">
        <v>13</v>
      </c>
      <c r="CG7" s="387" t="s">
        <v>14</v>
      </c>
      <c r="CH7" s="387" t="s">
        <v>15</v>
      </c>
      <c r="CI7" s="387" t="s">
        <v>21</v>
      </c>
      <c r="CJ7" s="389" t="s">
        <v>56</v>
      </c>
      <c r="CK7" s="382" t="s">
        <v>1</v>
      </c>
      <c r="CL7" s="377" t="s">
        <v>2</v>
      </c>
      <c r="CM7" s="377" t="s">
        <v>3</v>
      </c>
      <c r="CN7" s="381" t="s">
        <v>18</v>
      </c>
      <c r="CO7" s="377" t="s">
        <v>5</v>
      </c>
      <c r="CP7" s="377" t="s">
        <v>6</v>
      </c>
      <c r="CQ7" s="377" t="s">
        <v>7</v>
      </c>
      <c r="CR7" s="381" t="s">
        <v>19</v>
      </c>
      <c r="CS7" s="384" t="s">
        <v>9</v>
      </c>
      <c r="CT7" s="377" t="s">
        <v>10</v>
      </c>
      <c r="CU7" s="377" t="s">
        <v>11</v>
      </c>
      <c r="CV7" s="381" t="s">
        <v>20</v>
      </c>
      <c r="CW7" s="377" t="s">
        <v>13</v>
      </c>
      <c r="CX7" s="377" t="s">
        <v>14</v>
      </c>
      <c r="CY7" s="377" t="s">
        <v>15</v>
      </c>
      <c r="CZ7" s="389" t="s">
        <v>21</v>
      </c>
      <c r="DA7" s="381" t="s">
        <v>56</v>
      </c>
      <c r="DB7" s="382" t="s">
        <v>1</v>
      </c>
      <c r="DC7" s="377" t="s">
        <v>2</v>
      </c>
      <c r="DD7" s="377" t="s">
        <v>3</v>
      </c>
      <c r="DE7" s="381" t="s">
        <v>18</v>
      </c>
      <c r="DF7" s="377" t="s">
        <v>5</v>
      </c>
      <c r="DG7" s="377" t="s">
        <v>6</v>
      </c>
      <c r="DH7" s="377" t="s">
        <v>7</v>
      </c>
      <c r="DI7" s="381" t="s">
        <v>19</v>
      </c>
      <c r="DJ7" s="384" t="s">
        <v>9</v>
      </c>
      <c r="DK7" s="377" t="s">
        <v>10</v>
      </c>
      <c r="DL7" s="377" t="s">
        <v>11</v>
      </c>
      <c r="DM7" s="379" t="s">
        <v>20</v>
      </c>
      <c r="DN7" s="377" t="s">
        <v>13</v>
      </c>
      <c r="DO7" s="377" t="s">
        <v>14</v>
      </c>
      <c r="DP7" s="377" t="s">
        <v>15</v>
      </c>
      <c r="DQ7" s="382" t="s">
        <v>21</v>
      </c>
      <c r="DR7" s="381" t="s">
        <v>56</v>
      </c>
      <c r="DS7" s="377" t="s">
        <v>1</v>
      </c>
      <c r="DT7" s="377" t="s">
        <v>2</v>
      </c>
      <c r="DU7" s="377" t="s">
        <v>3</v>
      </c>
      <c r="DV7" s="379" t="s">
        <v>18</v>
      </c>
      <c r="DW7" s="377" t="s">
        <v>5</v>
      </c>
      <c r="DX7" s="377" t="s">
        <v>6</v>
      </c>
      <c r="DY7" s="377" t="s">
        <v>7</v>
      </c>
      <c r="DZ7" s="381" t="s">
        <v>19</v>
      </c>
      <c r="EA7" s="384" t="s">
        <v>9</v>
      </c>
      <c r="EB7" s="377" t="s">
        <v>10</v>
      </c>
      <c r="EC7" s="377" t="s">
        <v>11</v>
      </c>
      <c r="ED7" s="379" t="s">
        <v>20</v>
      </c>
      <c r="EE7" s="377" t="s">
        <v>13</v>
      </c>
      <c r="EF7" s="377" t="s">
        <v>14</v>
      </c>
      <c r="EG7" s="377" t="s">
        <v>15</v>
      </c>
      <c r="EH7" s="382" t="s">
        <v>21</v>
      </c>
      <c r="EI7" s="381" t="s">
        <v>56</v>
      </c>
      <c r="EJ7" s="377" t="s">
        <v>1</v>
      </c>
      <c r="EK7" s="377" t="s">
        <v>2</v>
      </c>
      <c r="EL7" s="377" t="s">
        <v>3</v>
      </c>
      <c r="EM7" s="379" t="s">
        <v>18</v>
      </c>
      <c r="EN7" s="377" t="s">
        <v>5</v>
      </c>
      <c r="EO7" s="377" t="s">
        <v>6</v>
      </c>
      <c r="EP7" s="377" t="s">
        <v>7</v>
      </c>
      <c r="EQ7" s="379" t="s">
        <v>19</v>
      </c>
      <c r="ER7" s="384" t="s">
        <v>9</v>
      </c>
      <c r="ES7" s="377" t="s">
        <v>10</v>
      </c>
      <c r="ET7" s="377" t="s">
        <v>11</v>
      </c>
      <c r="EU7" s="379" t="s">
        <v>20</v>
      </c>
      <c r="EV7" s="377" t="s">
        <v>13</v>
      </c>
      <c r="EW7" s="377" t="s">
        <v>14</v>
      </c>
      <c r="EX7" s="377" t="s">
        <v>15</v>
      </c>
      <c r="EY7" s="379" t="s">
        <v>21</v>
      </c>
      <c r="EZ7" s="387" t="s">
        <v>56</v>
      </c>
      <c r="FA7" s="269"/>
      <c r="FB7" s="377" t="s">
        <v>1</v>
      </c>
      <c r="FC7" s="377" t="s">
        <v>2</v>
      </c>
      <c r="FD7" s="377" t="s">
        <v>3</v>
      </c>
      <c r="FE7" s="379" t="s">
        <v>18</v>
      </c>
      <c r="FF7" s="377" t="s">
        <v>5</v>
      </c>
      <c r="FG7" s="377" t="s">
        <v>6</v>
      </c>
      <c r="FH7" s="377" t="s">
        <v>7</v>
      </c>
      <c r="FI7" s="379" t="s">
        <v>19</v>
      </c>
      <c r="FJ7" s="377" t="s">
        <v>9</v>
      </c>
      <c r="FK7" s="377" t="s">
        <v>10</v>
      </c>
      <c r="FL7" s="377" t="s">
        <v>11</v>
      </c>
      <c r="FM7" s="379" t="s">
        <v>20</v>
      </c>
      <c r="FN7" s="377" t="s">
        <v>13</v>
      </c>
      <c r="FO7" s="377" t="s">
        <v>14</v>
      </c>
      <c r="FP7" s="377" t="s">
        <v>15</v>
      </c>
      <c r="FQ7" s="379" t="s">
        <v>21</v>
      </c>
      <c r="FR7" s="379" t="s">
        <v>56</v>
      </c>
      <c r="FS7" s="377" t="s">
        <v>1</v>
      </c>
      <c r="FT7" s="377" t="s">
        <v>2</v>
      </c>
      <c r="FU7" s="377" t="s">
        <v>3</v>
      </c>
      <c r="FV7" s="379" t="s">
        <v>18</v>
      </c>
      <c r="FW7" s="377" t="s">
        <v>5</v>
      </c>
      <c r="FX7" s="377" t="s">
        <v>6</v>
      </c>
      <c r="FY7" s="377" t="s">
        <v>7</v>
      </c>
      <c r="FZ7" s="379" t="s">
        <v>19</v>
      </c>
      <c r="GA7" s="384" t="s">
        <v>9</v>
      </c>
      <c r="GB7" s="377" t="s">
        <v>10</v>
      </c>
      <c r="GC7" s="377" t="s">
        <v>11</v>
      </c>
      <c r="GD7" s="379" t="s">
        <v>20</v>
      </c>
      <c r="GE7" s="384" t="s">
        <v>13</v>
      </c>
      <c r="GF7" s="377" t="s">
        <v>14</v>
      </c>
      <c r="GG7" s="377" t="s">
        <v>15</v>
      </c>
      <c r="GH7" s="377" t="s">
        <v>21</v>
      </c>
      <c r="GI7" s="379" t="s">
        <v>56</v>
      </c>
      <c r="GJ7" s="377" t="s">
        <v>1</v>
      </c>
      <c r="GK7" s="377" t="s">
        <v>2</v>
      </c>
      <c r="GL7" s="377" t="s">
        <v>3</v>
      </c>
      <c r="GM7" s="379" t="s">
        <v>18</v>
      </c>
      <c r="GN7" s="377" t="s">
        <v>5</v>
      </c>
      <c r="GO7" s="377" t="s">
        <v>6</v>
      </c>
      <c r="GP7" s="377" t="s">
        <v>7</v>
      </c>
      <c r="GQ7" s="379" t="s">
        <v>19</v>
      </c>
      <c r="GR7" s="384" t="s">
        <v>9</v>
      </c>
      <c r="GS7" s="377" t="s">
        <v>10</v>
      </c>
      <c r="GT7" s="377" t="s">
        <v>11</v>
      </c>
      <c r="GU7" s="379" t="s">
        <v>20</v>
      </c>
      <c r="GV7" s="384" t="s">
        <v>13</v>
      </c>
      <c r="GW7" s="377" t="s">
        <v>14</v>
      </c>
      <c r="GX7" s="377" t="s">
        <v>15</v>
      </c>
      <c r="GY7" s="379" t="s">
        <v>21</v>
      </c>
      <c r="GZ7" s="379" t="s">
        <v>56</v>
      </c>
      <c r="HA7" s="359" t="s">
        <v>1</v>
      </c>
      <c r="HB7" s="359" t="s">
        <v>2</v>
      </c>
      <c r="HC7" s="359" t="s">
        <v>3</v>
      </c>
      <c r="HD7" s="361" t="s">
        <v>18</v>
      </c>
      <c r="HE7" s="359" t="s">
        <v>5</v>
      </c>
      <c r="HF7" s="359" t="s">
        <v>6</v>
      </c>
      <c r="HG7" s="359" t="s">
        <v>7</v>
      </c>
      <c r="HH7" s="361" t="s">
        <v>19</v>
      </c>
      <c r="HI7" s="363" t="s">
        <v>9</v>
      </c>
      <c r="HJ7" s="359" t="s">
        <v>10</v>
      </c>
      <c r="HK7" s="359" t="s">
        <v>11</v>
      </c>
      <c r="HL7" s="361" t="s">
        <v>20</v>
      </c>
      <c r="HM7" s="359" t="s">
        <v>13</v>
      </c>
      <c r="HN7" s="359" t="s">
        <v>14</v>
      </c>
      <c r="HO7" s="359" t="s">
        <v>15</v>
      </c>
      <c r="HP7" s="361" t="s">
        <v>21</v>
      </c>
      <c r="HQ7" s="372"/>
      <c r="HR7" s="359" t="s">
        <v>1</v>
      </c>
      <c r="HS7" s="359" t="s">
        <v>2</v>
      </c>
      <c r="HT7" s="359" t="s">
        <v>3</v>
      </c>
      <c r="HU7" s="361" t="s">
        <v>18</v>
      </c>
      <c r="HV7" s="359" t="s">
        <v>5</v>
      </c>
      <c r="HW7" s="359" t="s">
        <v>6</v>
      </c>
      <c r="HX7" s="359" t="s">
        <v>7</v>
      </c>
      <c r="HY7" s="361" t="s">
        <v>19</v>
      </c>
      <c r="HZ7" s="363" t="s">
        <v>9</v>
      </c>
      <c r="IA7" s="359" t="s">
        <v>10</v>
      </c>
      <c r="IB7" s="359" t="s">
        <v>11</v>
      </c>
      <c r="IC7" s="361" t="s">
        <v>20</v>
      </c>
      <c r="ID7" s="359" t="s">
        <v>13</v>
      </c>
      <c r="IE7" s="359" t="s">
        <v>14</v>
      </c>
      <c r="IF7" s="359" t="s">
        <v>15</v>
      </c>
      <c r="IG7" s="361" t="s">
        <v>21</v>
      </c>
      <c r="IH7" s="372"/>
      <c r="II7" s="359" t="s">
        <v>1</v>
      </c>
      <c r="IJ7" s="359" t="s">
        <v>2</v>
      </c>
      <c r="IK7" s="359" t="s">
        <v>3</v>
      </c>
      <c r="IL7" s="372" t="s">
        <v>18</v>
      </c>
      <c r="IM7" s="359" t="s">
        <v>5</v>
      </c>
      <c r="IN7" s="359" t="s">
        <v>6</v>
      </c>
      <c r="IO7" s="363" t="s">
        <v>7</v>
      </c>
      <c r="IP7" s="372" t="s">
        <v>19</v>
      </c>
      <c r="IQ7" s="363" t="s">
        <v>9</v>
      </c>
      <c r="IR7" s="359" t="s">
        <v>10</v>
      </c>
      <c r="IS7" s="359" t="s">
        <v>11</v>
      </c>
      <c r="IT7" s="372" t="s">
        <v>20</v>
      </c>
      <c r="IU7" s="359" t="s">
        <v>13</v>
      </c>
      <c r="IV7" s="359" t="s">
        <v>14</v>
      </c>
      <c r="IW7" s="359" t="s">
        <v>15</v>
      </c>
      <c r="IX7" s="372" t="s">
        <v>21</v>
      </c>
      <c r="IY7" s="372"/>
      <c r="IZ7" s="376" t="s">
        <v>1</v>
      </c>
      <c r="JA7" s="359" t="s">
        <v>2</v>
      </c>
      <c r="JB7" s="359" t="s">
        <v>3</v>
      </c>
      <c r="JC7" s="372" t="s">
        <v>18</v>
      </c>
      <c r="JD7" s="359" t="s">
        <v>5</v>
      </c>
      <c r="JE7" s="359" t="s">
        <v>6</v>
      </c>
      <c r="JF7" s="363" t="s">
        <v>7</v>
      </c>
      <c r="JG7" s="372" t="s">
        <v>19</v>
      </c>
      <c r="JH7" s="363" t="s">
        <v>9</v>
      </c>
      <c r="JI7" s="359" t="s">
        <v>10</v>
      </c>
      <c r="JJ7" s="359" t="s">
        <v>11</v>
      </c>
      <c r="JK7" s="372" t="s">
        <v>20</v>
      </c>
      <c r="JL7" s="359" t="s">
        <v>13</v>
      </c>
      <c r="JM7" s="359" t="s">
        <v>14</v>
      </c>
      <c r="JN7" s="359" t="s">
        <v>15</v>
      </c>
      <c r="JO7" s="372" t="s">
        <v>21</v>
      </c>
      <c r="JP7" s="372"/>
      <c r="JQ7" s="365"/>
      <c r="JR7" s="367"/>
      <c r="JS7" s="368"/>
      <c r="JT7" s="361"/>
      <c r="JU7" s="365"/>
      <c r="JV7" s="367"/>
      <c r="JW7" s="370"/>
      <c r="JX7" s="361"/>
      <c r="JY7" s="371"/>
      <c r="JZ7" s="367"/>
      <c r="KA7" s="368"/>
      <c r="KB7" s="361"/>
      <c r="KC7" s="365"/>
      <c r="KD7" s="367"/>
      <c r="KE7" s="368"/>
      <c r="KF7" s="361"/>
      <c r="KG7" s="372"/>
      <c r="KH7" s="359" t="s">
        <v>1</v>
      </c>
      <c r="KI7" s="359" t="s">
        <v>2</v>
      </c>
      <c r="KJ7" s="359" t="s">
        <v>3</v>
      </c>
      <c r="KK7" s="361" t="s">
        <v>18</v>
      </c>
      <c r="KL7" s="359" t="s">
        <v>5</v>
      </c>
      <c r="KM7" s="359" t="s">
        <v>6</v>
      </c>
      <c r="KN7" s="363" t="s">
        <v>7</v>
      </c>
      <c r="KO7" s="361" t="s">
        <v>19</v>
      </c>
      <c r="KP7" s="363" t="s">
        <v>9</v>
      </c>
      <c r="KQ7" s="359" t="s">
        <v>10</v>
      </c>
      <c r="KR7" s="359" t="s">
        <v>11</v>
      </c>
      <c r="KS7" s="361" t="s">
        <v>20</v>
      </c>
      <c r="KT7" s="359" t="s">
        <v>13</v>
      </c>
      <c r="KU7" s="359" t="s">
        <v>14</v>
      </c>
      <c r="KV7" s="359" t="s">
        <v>15</v>
      </c>
      <c r="KW7" s="361" t="s">
        <v>21</v>
      </c>
      <c r="KX7" s="361" t="s">
        <v>56</v>
      </c>
      <c r="KY7" s="359" t="s">
        <v>1</v>
      </c>
      <c r="KZ7" s="359" t="s">
        <v>2</v>
      </c>
      <c r="LA7" s="359" t="s">
        <v>3</v>
      </c>
      <c r="LB7" s="361" t="s">
        <v>18</v>
      </c>
      <c r="LC7" s="359" t="s">
        <v>5</v>
      </c>
      <c r="LD7" s="359" t="s">
        <v>6</v>
      </c>
      <c r="LE7" s="363" t="s">
        <v>7</v>
      </c>
      <c r="LF7" s="361" t="s">
        <v>19</v>
      </c>
      <c r="LG7" s="363" t="s">
        <v>9</v>
      </c>
      <c r="LH7" s="359" t="s">
        <v>10</v>
      </c>
      <c r="LI7" s="359" t="s">
        <v>11</v>
      </c>
      <c r="LJ7" s="361" t="s">
        <v>20</v>
      </c>
      <c r="LK7" s="359" t="s">
        <v>13</v>
      </c>
      <c r="LL7" s="359" t="s">
        <v>14</v>
      </c>
      <c r="LM7" s="359" t="s">
        <v>15</v>
      </c>
      <c r="LN7" s="361" t="s">
        <v>21</v>
      </c>
      <c r="LO7" s="361" t="s">
        <v>56</v>
      </c>
    </row>
    <row r="8" spans="1:327" ht="15.75" customHeight="1" x14ac:dyDescent="0.2">
      <c r="A8" s="32"/>
      <c r="B8" s="33"/>
      <c r="C8" s="34"/>
      <c r="D8" s="34"/>
      <c r="E8" s="34"/>
      <c r="F8" s="34"/>
      <c r="G8" s="35" t="s">
        <v>22</v>
      </c>
      <c r="H8" s="36"/>
      <c r="I8" s="34"/>
      <c r="J8" s="34"/>
      <c r="K8" s="35" t="s">
        <v>22</v>
      </c>
      <c r="L8" s="34"/>
      <c r="M8" s="34"/>
      <c r="N8" s="34"/>
      <c r="O8" s="35" t="s">
        <v>22</v>
      </c>
      <c r="P8" s="34"/>
      <c r="Q8" s="34"/>
      <c r="R8" s="34"/>
      <c r="S8" s="262" t="s">
        <v>22</v>
      </c>
      <c r="T8" s="270" t="s">
        <v>23</v>
      </c>
      <c r="U8" s="37"/>
      <c r="V8" s="37"/>
      <c r="W8" s="37"/>
      <c r="X8" s="307"/>
      <c r="Y8" s="36"/>
      <c r="Z8" s="34"/>
      <c r="AA8" s="34"/>
      <c r="AB8" s="308"/>
      <c r="AC8" s="34"/>
      <c r="AD8" s="34"/>
      <c r="AE8" s="34"/>
      <c r="AF8" s="308"/>
      <c r="AG8" s="34"/>
      <c r="AH8" s="34"/>
      <c r="AI8" s="34"/>
      <c r="AJ8" s="308"/>
      <c r="AK8" s="309"/>
      <c r="AL8" s="268"/>
      <c r="AM8" s="262"/>
      <c r="AN8" s="262"/>
      <c r="AO8" s="394"/>
      <c r="AP8" s="394"/>
      <c r="AQ8" s="394"/>
      <c r="AR8" s="394"/>
      <c r="AS8" s="393"/>
      <c r="AT8" s="394"/>
      <c r="AU8" s="394"/>
      <c r="AV8" s="394"/>
      <c r="AW8" s="397"/>
      <c r="AX8" s="394"/>
      <c r="AY8" s="394"/>
      <c r="AZ8" s="394"/>
      <c r="BA8" s="397"/>
      <c r="BB8" s="393"/>
      <c r="BC8" s="405"/>
      <c r="BD8" s="404"/>
      <c r="BE8" s="404"/>
      <c r="BF8" s="392"/>
      <c r="BG8" s="404"/>
      <c r="BH8" s="404"/>
      <c r="BI8" s="404"/>
      <c r="BJ8" s="392"/>
      <c r="BK8" s="404"/>
      <c r="BL8" s="404"/>
      <c r="BM8" s="404"/>
      <c r="BN8" s="380"/>
      <c r="BO8" s="383"/>
      <c r="BP8" s="378"/>
      <c r="BQ8" s="378"/>
      <c r="BR8" s="380"/>
      <c r="BS8" s="380"/>
      <c r="BT8" s="383"/>
      <c r="BU8" s="378"/>
      <c r="BV8" s="399"/>
      <c r="BW8" s="380"/>
      <c r="BX8" s="378"/>
      <c r="BY8" s="378"/>
      <c r="BZ8" s="378"/>
      <c r="CA8" s="380"/>
      <c r="CB8" s="378"/>
      <c r="CC8" s="378"/>
      <c r="CD8" s="378"/>
      <c r="CE8" s="380"/>
      <c r="CF8" s="378"/>
      <c r="CG8" s="378"/>
      <c r="CH8" s="378"/>
      <c r="CI8" s="378"/>
      <c r="CJ8" s="383"/>
      <c r="CK8" s="383"/>
      <c r="CL8" s="378"/>
      <c r="CM8" s="378"/>
      <c r="CN8" s="380"/>
      <c r="CO8" s="378"/>
      <c r="CP8" s="378"/>
      <c r="CQ8" s="378"/>
      <c r="CR8" s="380"/>
      <c r="CS8" s="378"/>
      <c r="CT8" s="378"/>
      <c r="CU8" s="378"/>
      <c r="CV8" s="380"/>
      <c r="CW8" s="378"/>
      <c r="CX8" s="378"/>
      <c r="CY8" s="378"/>
      <c r="CZ8" s="383"/>
      <c r="DA8" s="380"/>
      <c r="DB8" s="383"/>
      <c r="DC8" s="378"/>
      <c r="DD8" s="378"/>
      <c r="DE8" s="380"/>
      <c r="DF8" s="378"/>
      <c r="DG8" s="378"/>
      <c r="DH8" s="378"/>
      <c r="DI8" s="380"/>
      <c r="DJ8" s="378"/>
      <c r="DK8" s="378"/>
      <c r="DL8" s="378"/>
      <c r="DM8" s="380"/>
      <c r="DN8" s="378"/>
      <c r="DO8" s="378"/>
      <c r="DP8" s="378"/>
      <c r="DQ8" s="383"/>
      <c r="DR8" s="380"/>
      <c r="DS8" s="378"/>
      <c r="DT8" s="378"/>
      <c r="DU8" s="378"/>
      <c r="DV8" s="380"/>
      <c r="DW8" s="378"/>
      <c r="DX8" s="378"/>
      <c r="DY8" s="378"/>
      <c r="DZ8" s="380"/>
      <c r="EA8" s="378"/>
      <c r="EB8" s="378"/>
      <c r="EC8" s="378"/>
      <c r="ED8" s="380"/>
      <c r="EE8" s="378"/>
      <c r="EF8" s="378"/>
      <c r="EG8" s="378"/>
      <c r="EH8" s="383"/>
      <c r="EI8" s="380"/>
      <c r="EJ8" s="378"/>
      <c r="EK8" s="378"/>
      <c r="EL8" s="378"/>
      <c r="EM8" s="380"/>
      <c r="EN8" s="378"/>
      <c r="EO8" s="378"/>
      <c r="EP8" s="378"/>
      <c r="EQ8" s="380"/>
      <c r="ER8" s="378"/>
      <c r="ES8" s="378"/>
      <c r="ET8" s="378"/>
      <c r="EU8" s="380"/>
      <c r="EV8" s="378"/>
      <c r="EW8" s="378"/>
      <c r="EX8" s="378"/>
      <c r="EY8" s="380"/>
      <c r="EZ8" s="378"/>
      <c r="FA8" s="270"/>
      <c r="FB8" s="378"/>
      <c r="FC8" s="378"/>
      <c r="FD8" s="378"/>
      <c r="FE8" s="380"/>
      <c r="FF8" s="378"/>
      <c r="FG8" s="378"/>
      <c r="FH8" s="378"/>
      <c r="FI8" s="380"/>
      <c r="FJ8" s="378"/>
      <c r="FK8" s="378"/>
      <c r="FL8" s="378"/>
      <c r="FM8" s="380"/>
      <c r="FN8" s="378"/>
      <c r="FO8" s="378"/>
      <c r="FP8" s="378"/>
      <c r="FQ8" s="380"/>
      <c r="FR8" s="380"/>
      <c r="FS8" s="378"/>
      <c r="FT8" s="378"/>
      <c r="FU8" s="378"/>
      <c r="FV8" s="380"/>
      <c r="FW8" s="378"/>
      <c r="FX8" s="378"/>
      <c r="FY8" s="378"/>
      <c r="FZ8" s="380"/>
      <c r="GA8" s="378"/>
      <c r="GB8" s="378"/>
      <c r="GC8" s="378"/>
      <c r="GD8" s="380"/>
      <c r="GE8" s="378"/>
      <c r="GF8" s="378"/>
      <c r="GG8" s="378"/>
      <c r="GH8" s="378"/>
      <c r="GI8" s="380"/>
      <c r="GJ8" s="378"/>
      <c r="GK8" s="378"/>
      <c r="GL8" s="378"/>
      <c r="GM8" s="380"/>
      <c r="GN8" s="378"/>
      <c r="GO8" s="378"/>
      <c r="GP8" s="378"/>
      <c r="GQ8" s="380"/>
      <c r="GR8" s="378"/>
      <c r="GS8" s="378"/>
      <c r="GT8" s="378"/>
      <c r="GU8" s="380"/>
      <c r="GV8" s="378"/>
      <c r="GW8" s="378"/>
      <c r="GX8" s="378"/>
      <c r="GY8" s="380"/>
      <c r="GZ8" s="380"/>
      <c r="HA8" s="360"/>
      <c r="HB8" s="360"/>
      <c r="HC8" s="360"/>
      <c r="HD8" s="362"/>
      <c r="HE8" s="360"/>
      <c r="HF8" s="360"/>
      <c r="HG8" s="360"/>
      <c r="HH8" s="362"/>
      <c r="HI8" s="360"/>
      <c r="HJ8" s="360"/>
      <c r="HK8" s="360"/>
      <c r="HL8" s="362"/>
      <c r="HM8" s="360"/>
      <c r="HN8" s="360"/>
      <c r="HO8" s="360"/>
      <c r="HP8" s="362"/>
      <c r="HQ8" s="362"/>
      <c r="HR8" s="360"/>
      <c r="HS8" s="360"/>
      <c r="HT8" s="360"/>
      <c r="HU8" s="362"/>
      <c r="HV8" s="360"/>
      <c r="HW8" s="360"/>
      <c r="HX8" s="360"/>
      <c r="HY8" s="362"/>
      <c r="HZ8" s="360"/>
      <c r="IA8" s="360"/>
      <c r="IB8" s="360"/>
      <c r="IC8" s="362"/>
      <c r="ID8" s="360"/>
      <c r="IE8" s="360"/>
      <c r="IF8" s="360"/>
      <c r="IG8" s="362"/>
      <c r="IH8" s="362"/>
      <c r="II8" s="360"/>
      <c r="IJ8" s="360"/>
      <c r="IK8" s="360"/>
      <c r="IL8" s="362"/>
      <c r="IM8" s="360"/>
      <c r="IN8" s="360"/>
      <c r="IO8" s="360"/>
      <c r="IP8" s="362"/>
      <c r="IQ8" s="360"/>
      <c r="IR8" s="360"/>
      <c r="IS8" s="360"/>
      <c r="IT8" s="362"/>
      <c r="IU8" s="360"/>
      <c r="IV8" s="360"/>
      <c r="IW8" s="360"/>
      <c r="IX8" s="362"/>
      <c r="IY8" s="362"/>
      <c r="IZ8" s="366"/>
      <c r="JA8" s="360"/>
      <c r="JB8" s="360"/>
      <c r="JC8" s="362"/>
      <c r="JD8" s="360"/>
      <c r="JE8" s="360"/>
      <c r="JF8" s="360"/>
      <c r="JG8" s="362"/>
      <c r="JH8" s="360"/>
      <c r="JI8" s="360"/>
      <c r="JJ8" s="360"/>
      <c r="JK8" s="362"/>
      <c r="JL8" s="360"/>
      <c r="JM8" s="360"/>
      <c r="JN8" s="360"/>
      <c r="JO8" s="362"/>
      <c r="JP8" s="362"/>
      <c r="JQ8" s="366"/>
      <c r="JR8" s="360"/>
      <c r="JS8" s="369"/>
      <c r="JT8" s="362"/>
      <c r="JU8" s="366"/>
      <c r="JV8" s="360"/>
      <c r="JW8" s="369"/>
      <c r="JX8" s="362"/>
      <c r="JY8" s="366"/>
      <c r="JZ8" s="360"/>
      <c r="KA8" s="369"/>
      <c r="KB8" s="362"/>
      <c r="KC8" s="366"/>
      <c r="KD8" s="360"/>
      <c r="KE8" s="369"/>
      <c r="KF8" s="362"/>
      <c r="KG8" s="362"/>
      <c r="KH8" s="360"/>
      <c r="KI8" s="360"/>
      <c r="KJ8" s="360"/>
      <c r="KK8" s="362"/>
      <c r="KL8" s="360"/>
      <c r="KM8" s="360"/>
      <c r="KN8" s="360"/>
      <c r="KO8" s="362"/>
      <c r="KP8" s="360"/>
      <c r="KQ8" s="360"/>
      <c r="KR8" s="360"/>
      <c r="KS8" s="362"/>
      <c r="KT8" s="360"/>
      <c r="KU8" s="360"/>
      <c r="KV8" s="360"/>
      <c r="KW8" s="362"/>
      <c r="KX8" s="362"/>
      <c r="KY8" s="360"/>
      <c r="KZ8" s="360"/>
      <c r="LA8" s="360"/>
      <c r="LB8" s="362"/>
      <c r="LC8" s="360"/>
      <c r="LD8" s="360"/>
      <c r="LE8" s="360"/>
      <c r="LF8" s="362"/>
      <c r="LG8" s="360"/>
      <c r="LH8" s="360"/>
      <c r="LI8" s="360"/>
      <c r="LJ8" s="362"/>
      <c r="LK8" s="360"/>
      <c r="LL8" s="360"/>
      <c r="LM8" s="360"/>
      <c r="LN8" s="362"/>
      <c r="LO8" s="362"/>
    </row>
    <row r="9" spans="1:327" ht="5.25" customHeight="1" x14ac:dyDescent="0.25">
      <c r="A9" s="38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39"/>
      <c r="U9" s="27"/>
      <c r="V9" s="27"/>
      <c r="W9" s="27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39"/>
      <c r="AL9" s="27"/>
      <c r="AM9" s="27"/>
      <c r="AN9" s="27"/>
      <c r="AO9" s="40"/>
      <c r="AP9" s="41"/>
      <c r="AQ9" s="41"/>
      <c r="AR9" s="41"/>
      <c r="AS9" s="52"/>
      <c r="AT9" s="41"/>
      <c r="AU9" s="41"/>
      <c r="AV9" s="41"/>
      <c r="AW9" s="52"/>
      <c r="AX9" s="40"/>
      <c r="AY9" s="40"/>
      <c r="AZ9" s="40"/>
      <c r="BA9" s="52"/>
      <c r="BB9" s="52"/>
      <c r="BC9" s="40"/>
      <c r="BD9" s="310"/>
      <c r="BE9" s="310"/>
      <c r="BF9" s="311"/>
      <c r="BG9" s="310"/>
      <c r="BH9" s="310"/>
      <c r="BI9" s="310"/>
      <c r="BJ9" s="311"/>
      <c r="BK9" s="310"/>
      <c r="BL9" s="310"/>
      <c r="BM9" s="310"/>
      <c r="BN9" s="311"/>
      <c r="BO9" s="312"/>
      <c r="BP9" s="310"/>
      <c r="BQ9" s="310"/>
      <c r="BR9" s="311"/>
      <c r="BS9" s="311"/>
      <c r="BT9" s="312"/>
      <c r="BU9" s="310"/>
      <c r="BV9" s="313"/>
      <c r="BW9" s="311"/>
      <c r="BX9" s="310"/>
      <c r="BY9" s="310"/>
      <c r="BZ9" s="310"/>
      <c r="CA9" s="311"/>
      <c r="CB9" s="310"/>
      <c r="CC9" s="310"/>
      <c r="CD9" s="310"/>
      <c r="CE9" s="311"/>
      <c r="CF9" s="310"/>
      <c r="CG9" s="310"/>
      <c r="CH9" s="310"/>
      <c r="CI9" s="310"/>
      <c r="CJ9" s="312"/>
      <c r="CK9" s="312"/>
      <c r="CL9" s="310"/>
      <c r="CM9" s="310"/>
      <c r="CN9" s="311"/>
      <c r="CO9" s="310"/>
      <c r="CP9" s="310"/>
      <c r="CQ9" s="310"/>
      <c r="CR9" s="311"/>
      <c r="CS9" s="310"/>
      <c r="CT9" s="310"/>
      <c r="CU9" s="310"/>
      <c r="CV9" s="311"/>
      <c r="CW9" s="310"/>
      <c r="CX9" s="310"/>
      <c r="CY9" s="314"/>
      <c r="CZ9" s="315"/>
      <c r="DA9" s="311"/>
      <c r="DB9" s="312"/>
      <c r="DC9" s="310"/>
      <c r="DD9" s="310"/>
      <c r="DE9" s="311"/>
      <c r="DF9" s="310"/>
      <c r="DG9" s="310"/>
      <c r="DH9" s="310"/>
      <c r="DI9" s="311"/>
      <c r="DJ9" s="310"/>
      <c r="DK9" s="310"/>
      <c r="DL9" s="310"/>
      <c r="DM9" s="311"/>
      <c r="DN9" s="310"/>
      <c r="DO9" s="310"/>
      <c r="DP9" s="314"/>
      <c r="DQ9" s="315"/>
      <c r="DR9" s="316"/>
      <c r="DS9" s="310"/>
      <c r="DT9" s="310"/>
      <c r="DU9" s="310"/>
      <c r="DV9" s="311"/>
      <c r="DW9" s="310"/>
      <c r="DX9" s="310"/>
      <c r="DY9" s="310"/>
      <c r="DZ9" s="311"/>
      <c r="EA9" s="310"/>
      <c r="EB9" s="310"/>
      <c r="EC9" s="310"/>
      <c r="ED9" s="311"/>
      <c r="EE9" s="310"/>
      <c r="EF9" s="310"/>
      <c r="EG9" s="310"/>
      <c r="EH9" s="315"/>
      <c r="EI9" s="316"/>
      <c r="EJ9" s="314"/>
      <c r="EK9" s="314"/>
      <c r="EL9" s="314"/>
      <c r="EM9" s="311"/>
      <c r="EN9" s="314"/>
      <c r="EO9" s="314"/>
      <c r="EP9" s="314"/>
      <c r="EQ9" s="316"/>
      <c r="ER9" s="314"/>
      <c r="ES9" s="314"/>
      <c r="ET9" s="314"/>
      <c r="EU9" s="316"/>
      <c r="EV9" s="314"/>
      <c r="EW9" s="314"/>
      <c r="EX9" s="314"/>
      <c r="EY9" s="316"/>
      <c r="EZ9" s="314"/>
      <c r="FA9" s="313"/>
      <c r="FB9" s="314"/>
      <c r="FC9" s="314"/>
      <c r="FD9" s="314"/>
      <c r="FE9" s="316"/>
      <c r="FF9" s="317"/>
      <c r="FG9" s="317"/>
      <c r="FH9" s="318"/>
      <c r="FI9" s="316"/>
      <c r="FJ9" s="315"/>
      <c r="FK9" s="314"/>
      <c r="FL9" s="318"/>
      <c r="FM9" s="316"/>
      <c r="FN9" s="314"/>
      <c r="FO9" s="314"/>
      <c r="FP9" s="314"/>
      <c r="FQ9" s="316"/>
      <c r="FR9" s="316"/>
      <c r="FS9" s="315"/>
      <c r="FT9" s="314"/>
      <c r="FU9" s="318"/>
      <c r="FV9" s="316"/>
      <c r="FW9" s="315"/>
      <c r="FX9" s="314"/>
      <c r="FY9" s="318"/>
      <c r="FZ9" s="316"/>
      <c r="GA9" s="314"/>
      <c r="GB9" s="314"/>
      <c r="GC9" s="318"/>
      <c r="GD9" s="316"/>
      <c r="GE9" s="314"/>
      <c r="GF9" s="314"/>
      <c r="GG9" s="318"/>
      <c r="GH9" s="318"/>
      <c r="GI9" s="318"/>
      <c r="GJ9" s="315"/>
      <c r="GK9" s="314"/>
      <c r="GL9" s="318"/>
      <c r="GM9" s="316"/>
      <c r="GN9" s="315"/>
      <c r="GO9" s="314"/>
      <c r="GP9" s="318"/>
      <c r="GQ9" s="316"/>
      <c r="GR9" s="314"/>
      <c r="GS9" s="314"/>
      <c r="GT9" s="318"/>
      <c r="GU9" s="316"/>
      <c r="GV9" s="314"/>
      <c r="GW9" s="314"/>
      <c r="GX9" s="318"/>
      <c r="GY9" s="318"/>
      <c r="GZ9" s="318"/>
      <c r="HA9" s="250"/>
      <c r="HB9" s="251"/>
      <c r="HC9" s="252"/>
      <c r="HD9" s="253"/>
      <c r="HE9" s="250"/>
      <c r="HF9" s="251"/>
      <c r="HG9" s="252"/>
      <c r="HH9" s="253"/>
      <c r="HI9" s="250"/>
      <c r="HJ9" s="251"/>
      <c r="HK9" s="252"/>
      <c r="HL9" s="253"/>
      <c r="HM9" s="251"/>
      <c r="HN9" s="251"/>
      <c r="HO9" s="251"/>
      <c r="HP9" s="253"/>
      <c r="HQ9" s="253"/>
      <c r="HR9" s="250"/>
      <c r="HS9" s="251"/>
      <c r="HT9" s="252"/>
      <c r="HU9" s="253"/>
      <c r="HV9" s="250"/>
      <c r="HW9" s="251"/>
      <c r="HX9" s="252"/>
      <c r="HY9" s="253"/>
      <c r="HZ9" s="250"/>
      <c r="IA9" s="251"/>
      <c r="IB9" s="252"/>
      <c r="IC9" s="253"/>
      <c r="ID9" s="251"/>
      <c r="IE9" s="251"/>
      <c r="IF9" s="251"/>
      <c r="IG9" s="253"/>
      <c r="IH9" s="253"/>
      <c r="II9" s="250"/>
      <c r="IJ9" s="251"/>
      <c r="IK9" s="252"/>
      <c r="IL9" s="253"/>
      <c r="IM9" s="250"/>
      <c r="IN9" s="251"/>
      <c r="IO9" s="251"/>
      <c r="IP9" s="253"/>
      <c r="IQ9" s="250"/>
      <c r="IR9" s="251"/>
      <c r="IS9" s="252"/>
      <c r="IT9" s="253"/>
      <c r="IU9" s="251"/>
      <c r="IV9" s="251"/>
      <c r="IW9" s="251"/>
      <c r="IX9" s="253"/>
      <c r="IY9" s="253"/>
      <c r="IZ9" s="250"/>
      <c r="JA9" s="251"/>
      <c r="JB9" s="252"/>
      <c r="JC9" s="253"/>
      <c r="JD9" s="250"/>
      <c r="JE9" s="251"/>
      <c r="JF9" s="251"/>
      <c r="JG9" s="253"/>
      <c r="JH9" s="250"/>
      <c r="JI9" s="251"/>
      <c r="JJ9" s="252"/>
      <c r="JK9" s="253"/>
      <c r="JL9" s="251"/>
      <c r="JM9" s="251"/>
      <c r="JN9" s="251"/>
      <c r="JO9" s="253"/>
      <c r="JP9" s="253"/>
      <c r="JQ9" s="250"/>
      <c r="JR9" s="251"/>
      <c r="JS9" s="252"/>
      <c r="JT9" s="253"/>
      <c r="JU9" s="250"/>
      <c r="JV9" s="251"/>
      <c r="JW9" s="251"/>
      <c r="JX9" s="253"/>
      <c r="JY9" s="250"/>
      <c r="JZ9" s="251"/>
      <c r="KA9" s="252"/>
      <c r="KB9" s="253"/>
      <c r="KC9" s="251"/>
      <c r="KD9" s="251"/>
      <c r="KE9" s="251"/>
      <c r="KF9" s="253"/>
      <c r="KG9" s="253"/>
      <c r="KH9" s="250"/>
      <c r="KI9" s="251"/>
      <c r="KJ9" s="252"/>
      <c r="KK9" s="253"/>
      <c r="KL9" s="250"/>
      <c r="KM9" s="251"/>
      <c r="KN9" s="251"/>
      <c r="KO9" s="253"/>
      <c r="KP9" s="250"/>
      <c r="KQ9" s="251"/>
      <c r="KR9" s="252"/>
      <c r="KS9" s="253"/>
      <c r="KT9" s="251"/>
      <c r="KU9" s="251"/>
      <c r="KV9" s="251"/>
      <c r="KW9" s="253"/>
      <c r="KX9" s="253"/>
      <c r="KY9" s="250"/>
      <c r="KZ9" s="251"/>
      <c r="LA9" s="252"/>
      <c r="LB9" s="253"/>
      <c r="LC9" s="250"/>
      <c r="LD9" s="251"/>
      <c r="LE9" s="251"/>
      <c r="LF9" s="253"/>
      <c r="LG9" s="250"/>
      <c r="LH9" s="251"/>
      <c r="LI9" s="252"/>
      <c r="LJ9" s="253"/>
      <c r="LK9" s="251"/>
      <c r="LL9" s="251"/>
      <c r="LM9" s="251"/>
      <c r="LN9" s="253"/>
      <c r="LO9" s="253"/>
    </row>
    <row r="10" spans="1:327" ht="17.100000000000001" customHeight="1" x14ac:dyDescent="0.25">
      <c r="A10" s="28" t="s">
        <v>24</v>
      </c>
      <c r="B10" s="29"/>
      <c r="C10" s="41">
        <v>3778.01</v>
      </c>
      <c r="D10" s="41">
        <v>388.5</v>
      </c>
      <c r="E10" s="41">
        <v>333.6</v>
      </c>
      <c r="F10" s="41">
        <v>382.7</v>
      </c>
      <c r="G10" s="41">
        <v>1104.8</v>
      </c>
      <c r="H10" s="41">
        <v>456.8</v>
      </c>
      <c r="I10" s="41">
        <v>512.70000000000005</v>
      </c>
      <c r="J10" s="41">
        <v>404.2</v>
      </c>
      <c r="K10" s="41">
        <v>1373.7</v>
      </c>
      <c r="L10" s="41">
        <v>545.79999999999995</v>
      </c>
      <c r="M10" s="41">
        <f>M12+M27+M28+M31+M38+M39+M41</f>
        <v>401.4</v>
      </c>
      <c r="N10" s="41">
        <f>N12+N27+N28+N31+N38+N39+N41</f>
        <v>419.3</v>
      </c>
      <c r="O10" s="41">
        <f t="shared" ref="O10:O81" si="0">L10+M10+N10</f>
        <v>1366.5</v>
      </c>
      <c r="P10" s="41">
        <f>P12+P27+P28+P31+P38+P39+P41</f>
        <v>431.49999999999994</v>
      </c>
      <c r="Q10" s="41">
        <f>Q12+Q27+Q28+Q31+Q38+Q39+Q41</f>
        <v>342.90000000000003</v>
      </c>
      <c r="R10" s="41">
        <f>R12+R27+R28+R31+R38+R39+R41</f>
        <v>491.24999999999994</v>
      </c>
      <c r="S10" s="41">
        <f t="shared" ref="S10:S81" si="1">P10+Q10+R10</f>
        <v>1265.6499999999999</v>
      </c>
      <c r="T10" s="42">
        <f>+S10+O10+K10+G10</f>
        <v>5110.6499999999996</v>
      </c>
      <c r="U10" s="41">
        <f>U12+U27+U28+U31+U38+U39+U41</f>
        <v>432.68</v>
      </c>
      <c r="V10" s="41">
        <f>V12+V27+V28+V31+V38+V39+V41</f>
        <v>366.20000000000005</v>
      </c>
      <c r="W10" s="41">
        <f>W12+W27+W28+W31+W38+W39+W41</f>
        <v>549.1</v>
      </c>
      <c r="X10" s="43">
        <f t="shared" ref="X10:X27" si="2">U10+V10+W10</f>
        <v>1347.98</v>
      </c>
      <c r="Y10" s="41">
        <f>Y12+Y27+Y28+Y31+Y38+Y39+Y41</f>
        <v>396.85115823999996</v>
      </c>
      <c r="Z10" s="41">
        <f>Z12+Z27+Z28+Z31+Z38+Z39+Z41</f>
        <v>167.16</v>
      </c>
      <c r="AA10" s="41">
        <f>AA12+AA27+AA28+AA31+AA38+AA39+AA41</f>
        <v>171.06</v>
      </c>
      <c r="AB10" s="41">
        <f t="shared" ref="AB10:AB27" si="3">Y10+Z10+AA10</f>
        <v>735.07115823999993</v>
      </c>
      <c r="AC10" s="41">
        <f>AC12+AC27+AC28+AC31+AC38+AC39+AC41</f>
        <v>238.69</v>
      </c>
      <c r="AD10" s="41">
        <f>AD12+AD27+AD28+AD31+AD38+AD39+AD41</f>
        <v>161</v>
      </c>
      <c r="AE10" s="41">
        <f>AE12+AE27+AE28+AE31+AE38+AE39+AE41</f>
        <v>156.88</v>
      </c>
      <c r="AF10" s="41">
        <f t="shared" ref="AF10:AF27" si="4">AC10+AD10+AE10</f>
        <v>556.56999999999994</v>
      </c>
      <c r="AG10" s="41">
        <f>AG12+AG27+AG28+AG31+AG38+AG39+AG41</f>
        <v>194.24</v>
      </c>
      <c r="AH10" s="41">
        <f>AH12+AH27+AH28+AH31+AH38+AH39+AH41</f>
        <v>147.72</v>
      </c>
      <c r="AI10" s="41">
        <f>AI12+AI27+AI28+AI31+AI38+AI39+AI41</f>
        <v>262.84000000000003</v>
      </c>
      <c r="AJ10" s="41">
        <f>AG10+AH10+AI10</f>
        <v>604.80000000000007</v>
      </c>
      <c r="AK10" s="42">
        <f>X10+AB10+AF10+AJ10</f>
        <v>3244.4211582400003</v>
      </c>
      <c r="AL10" s="41">
        <f>AL12+AL27+AL28+AL31+AL38+AL39+AL41</f>
        <v>125.54000000000002</v>
      </c>
      <c r="AM10" s="41">
        <f>AM12+AM27+AM28+AM31+AM38+AM39+AM41</f>
        <v>135.38000000000002</v>
      </c>
      <c r="AN10" s="41">
        <f>AN12+AN27+AN28+AN31+AN38+AN39+AN41</f>
        <v>139.72000000000003</v>
      </c>
      <c r="AO10" s="41">
        <f>AL10+AM10+AN10</f>
        <v>400.6400000000001</v>
      </c>
      <c r="AP10" s="41">
        <f>AP12+AP27+AP28+AP31+AP38+AP39+AP41</f>
        <v>106.7</v>
      </c>
      <c r="AQ10" s="41">
        <f>AQ12+AQ27+AQ28+AQ31+AQ38+AQ39+AQ41</f>
        <v>177.1</v>
      </c>
      <c r="AR10" s="41">
        <f>AR12+AR27+AR28+AR31+AR38+AR39+AR41</f>
        <v>233.57999999999998</v>
      </c>
      <c r="AS10" s="53">
        <f>+SUM(AP10:AR10)</f>
        <v>517.38</v>
      </c>
      <c r="AT10" s="41">
        <f>AT12+AT27+AT28+AT31+AT38+AT39+AT41</f>
        <v>129.11999999999998</v>
      </c>
      <c r="AU10" s="41">
        <f>AU12+AU27+AU28+AU31+AU38+AU39+AU41</f>
        <v>116.7</v>
      </c>
      <c r="AV10" s="41">
        <f>AV12+AV27+AV28+AV31+AV38+AV39+AV41</f>
        <v>186.33999999999997</v>
      </c>
      <c r="AW10" s="53">
        <f>+SUM(AT10:AV10)</f>
        <v>432.15999999999997</v>
      </c>
      <c r="AX10" s="41">
        <f>AX12+AX27+AX28+AX31+AX38+AX39+AX41</f>
        <v>97.700000000000017</v>
      </c>
      <c r="AY10" s="41">
        <f>AY12+AY27+AY28+AY31+AY38+AY39+AY41</f>
        <v>108.60000000000001</v>
      </c>
      <c r="AZ10" s="41">
        <f>AZ12+AZ27+AZ28+AZ31+AZ38+AZ39+AZ41</f>
        <v>331.39</v>
      </c>
      <c r="BA10" s="53">
        <f>+SUM(AX10:AZ10)</f>
        <v>537.69000000000005</v>
      </c>
      <c r="BB10" s="53">
        <f>+AS10+AO10+AW10+BA10</f>
        <v>1887.8700000000001</v>
      </c>
      <c r="BC10" s="41">
        <f>BC12+BC27+BC28+BC31+BC38+BC39+BC41</f>
        <v>223.08586434899996</v>
      </c>
      <c r="BD10" s="65">
        <f>BD12+BD27+BD28+BD31+BD38+BD39+BD41</f>
        <v>181.44045932999998</v>
      </c>
      <c r="BE10" s="65">
        <f>BE12+BE27+BE28+BE31+BE38+BE39+BE41</f>
        <v>142.92706379000003</v>
      </c>
      <c r="BF10" s="60">
        <f>SUM(BC10:BE10)</f>
        <v>547.45338746899995</v>
      </c>
      <c r="BG10" s="65">
        <f>BG12+BG27+BG28+BG31+BG38+BG39+BG41</f>
        <v>83.996864620000011</v>
      </c>
      <c r="BH10" s="65">
        <f>BH12+BH27+BH28+BH31+BH38+BH39+BH41</f>
        <v>132.98095375999998</v>
      </c>
      <c r="BI10" s="65">
        <f>BI12+BI27+BI28+BI31+BI38+BI39+BI41</f>
        <v>120.59847000000001</v>
      </c>
      <c r="BJ10" s="60">
        <f>SUM(BG10:BI10)</f>
        <v>337.57628837999999</v>
      </c>
      <c r="BK10" s="65">
        <f>BK12+BK27+BK28+BK31+BK38+BK39+BK41</f>
        <v>99.9667855</v>
      </c>
      <c r="BL10" s="65">
        <f>BL12+BL27+BL28+BL31+BL38+BL39+BL41</f>
        <v>134.60750000000002</v>
      </c>
      <c r="BM10" s="65">
        <f>BM12+BM27+BM28+BM31+BM38+BM39+BM41</f>
        <v>123.174746</v>
      </c>
      <c r="BN10" s="60">
        <f>SUM(BK10:BM10)</f>
        <v>357.7490315</v>
      </c>
      <c r="BO10" s="69">
        <f>BO12+BO27+BO28+BO31+BO38+BO39+BO41</f>
        <v>126.55222379000001</v>
      </c>
      <c r="BP10" s="65">
        <f>BP12+BP27+BP28+BP31+BP38+BP39+BP41</f>
        <v>95.059699999999992</v>
      </c>
      <c r="BQ10" s="65">
        <f>BQ12+BQ27+BQ28+BQ31+BQ38+BQ39+BQ41</f>
        <v>219.64261999999999</v>
      </c>
      <c r="BR10" s="60">
        <f>SUM(BO10:BQ10)</f>
        <v>441.25454378999996</v>
      </c>
      <c r="BS10" s="60">
        <f>+BF10+BJ10+BN10+BR10</f>
        <v>1684.0332511389997</v>
      </c>
      <c r="BT10" s="65">
        <f>BT12+BT27+BT28+BT31+BT38+BT39+BT40+BT41</f>
        <v>118.89999999999999</v>
      </c>
      <c r="BU10" s="65">
        <f>BU12+BU27+BU28+BU31+BU38+BU39+BU40+BU41</f>
        <v>104.7</v>
      </c>
      <c r="BV10" s="65">
        <f>BV12+BV27+BV28+BV31+BV38+BV39+BV40+BV41</f>
        <v>135.39999999999998</v>
      </c>
      <c r="BW10" s="60">
        <f>SUM(BT10:BV10)</f>
        <v>359</v>
      </c>
      <c r="BX10" s="65">
        <f>BX12+BX27+BX28+BX31+BX38+BX39+BX40+BX41</f>
        <v>146.13999999999999</v>
      </c>
      <c r="BY10" s="65">
        <f>BY12+BY27+BY28+BY31+BY38+BY39+BY40+BY41</f>
        <v>132.9</v>
      </c>
      <c r="BZ10" s="65">
        <f>BZ12+BZ27+BZ28+BZ31+BZ38+BZ39+BZ40+BZ41</f>
        <v>183.51</v>
      </c>
      <c r="CA10" s="60">
        <f>SUM(BX10:BZ10)</f>
        <v>462.54999999999995</v>
      </c>
      <c r="CB10" s="65">
        <f t="shared" ref="CB10:CH10" si="5">CB12+CB27+CB28+CB31+CB38+CB39+CB40+CB41</f>
        <v>110.3</v>
      </c>
      <c r="CC10" s="65">
        <f t="shared" si="5"/>
        <v>71.742999999999995</v>
      </c>
      <c r="CD10" s="65">
        <f t="shared" si="5"/>
        <v>79.300000000000011</v>
      </c>
      <c r="CE10" s="60">
        <f>SUM(CB10:CD10)</f>
        <v>261.34300000000002</v>
      </c>
      <c r="CF10" s="65">
        <f t="shared" si="5"/>
        <v>101.627</v>
      </c>
      <c r="CG10" s="65">
        <f t="shared" si="5"/>
        <v>193.29999999999998</v>
      </c>
      <c r="CH10" s="65">
        <f t="shared" si="5"/>
        <v>102.60000000000001</v>
      </c>
      <c r="CI10" s="111">
        <f>SUM(CF10:CH10)</f>
        <v>397.52699999999999</v>
      </c>
      <c r="CJ10" s="126">
        <f>BW10+CA10+CE10+CI10</f>
        <v>1480.42</v>
      </c>
      <c r="CK10" s="65">
        <f>CK12+CK27+CK28+CK31+CK38+CK39+CK40+CK41</f>
        <v>198</v>
      </c>
      <c r="CL10" s="65">
        <f>CL12+CL27+CL28+CL31+CL38+CL39+CL40+CL41</f>
        <v>50.9</v>
      </c>
      <c r="CM10" s="65">
        <f>CM12+CM27+CM28+CM31+CM38+CM39+CM40+CM41</f>
        <v>61.7</v>
      </c>
      <c r="CN10" s="60">
        <f>SUM(CK10:CM10)</f>
        <v>310.60000000000002</v>
      </c>
      <c r="CO10" s="65">
        <f>CO12+CO27+CO28+CO31+CO38+CO39+CO40+CO41</f>
        <v>54.4</v>
      </c>
      <c r="CP10" s="65">
        <f>CP12+CP27+CP28+CP31+CP38+CP39+CP40+CP41</f>
        <v>110.74</v>
      </c>
      <c r="CQ10" s="65">
        <f>CQ12+CQ27+CQ28+CQ31+CQ38+CQ39+CQ40+CQ41</f>
        <v>119.40000000000002</v>
      </c>
      <c r="CR10" s="60">
        <f>SUM(CO10:CQ10)</f>
        <v>284.54000000000002</v>
      </c>
      <c r="CS10" s="65">
        <f>CS12+CS27+CS28+CS31+CS38+CS39+CS40+CS41</f>
        <v>515.81999999999994</v>
      </c>
      <c r="CT10" s="65">
        <f>CT12+CT27+CT28+CT31+CT38+CT39+CT40+CT41</f>
        <v>258</v>
      </c>
      <c r="CU10" s="65">
        <f>CU12+CU27+CU28+CU31+CU38+CU39+CU40+CU41</f>
        <v>160</v>
      </c>
      <c r="CV10" s="60">
        <f>SUM(CS10:CU10)</f>
        <v>933.81999999999994</v>
      </c>
      <c r="CW10" s="65">
        <f>CW12+CW27+CW28+CW31+CW38+CW39+CW40+CW41</f>
        <v>127.60000000000001</v>
      </c>
      <c r="CX10" s="65">
        <f>CX12+CX27+CX28+CX31+CX38+CX39+CX40+CX41</f>
        <v>109</v>
      </c>
      <c r="CY10" s="65">
        <f>CY12+CY27+CY28+CY31+CY38+CY39+CY40+CY41</f>
        <v>144.6</v>
      </c>
      <c r="CZ10" s="111">
        <f>SUM(CW10:CY10)</f>
        <v>381.20000000000005</v>
      </c>
      <c r="DA10" s="60">
        <f>CN10+CR10+CV10+CZ10</f>
        <v>1910.16</v>
      </c>
      <c r="DB10" s="65">
        <f>DB12+DB27+DB28+DB31+DB38+DB39+DB40+DB41</f>
        <v>177.2</v>
      </c>
      <c r="DC10" s="65">
        <f>DC12+DC27+DC28+DC31+DC38+DC39+DC40+DC41</f>
        <v>116.9</v>
      </c>
      <c r="DD10" s="65">
        <f>DD12+DD27+DD28+DD31+DD38+DD39+DD40+DD41</f>
        <v>103.69999999999999</v>
      </c>
      <c r="DE10" s="60">
        <f>SUM(DB10:DD10)</f>
        <v>397.8</v>
      </c>
      <c r="DF10" s="65">
        <f>DF12+DF27+DF28+DF31+DF38+DF39+DF40+DF41</f>
        <v>191</v>
      </c>
      <c r="DG10" s="65">
        <f>DG12+DG27+DG28+DG31+DG38+DG39+DG40+DG41</f>
        <v>83</v>
      </c>
      <c r="DH10" s="65">
        <f>DH12+DH27+DH28+DH31+DH38+DH39+DH40+DH41</f>
        <v>196.90000000000003</v>
      </c>
      <c r="DI10" s="60">
        <f>SUM(DF10:DH10)</f>
        <v>470.90000000000003</v>
      </c>
      <c r="DJ10" s="65">
        <f t="shared" ref="DJ10:DP10" si="6">DJ12+DJ27+DJ28+DJ31+DJ38+DJ39+DJ40+DJ41</f>
        <v>126.19999999999999</v>
      </c>
      <c r="DK10" s="65">
        <f t="shared" si="6"/>
        <v>58.300000000000004</v>
      </c>
      <c r="DL10" s="65">
        <f t="shared" si="6"/>
        <v>111.2</v>
      </c>
      <c r="DM10" s="60">
        <f>SUM(DJ10:DL10)</f>
        <v>295.7</v>
      </c>
      <c r="DN10" s="65">
        <f t="shared" si="6"/>
        <v>388.5</v>
      </c>
      <c r="DO10" s="65">
        <f t="shared" si="6"/>
        <v>85.7</v>
      </c>
      <c r="DP10" s="65">
        <f t="shared" si="6"/>
        <v>280.10000000000002</v>
      </c>
      <c r="DQ10" s="111">
        <f>SUM(DN10:DP10)</f>
        <v>754.3</v>
      </c>
      <c r="DR10" s="138">
        <f>DE10+DI10+DM10+DQ10</f>
        <v>1918.7</v>
      </c>
      <c r="DS10" s="139">
        <f>DS12+DS27+DS28+DS31+DS38+DS39+DS40+DS41</f>
        <v>115.80000000000001</v>
      </c>
      <c r="DT10" s="139">
        <f>DT12+DT27+DT28+DT31+DT38+DT39+DT40+DT41</f>
        <v>78.500000000000014</v>
      </c>
      <c r="DU10" s="139">
        <f>DU12+DU27+DU28+DU31+DU38+DU39+DU40+DU41</f>
        <v>109.89999999999999</v>
      </c>
      <c r="DV10" s="138">
        <f>SUM(DS10:DU10)</f>
        <v>304.2</v>
      </c>
      <c r="DW10" s="139">
        <f>DW12+DW27+DW28+DW31+DW38+DW39+DW40+DW41</f>
        <v>103.3</v>
      </c>
      <c r="DX10" s="139">
        <f>DX12+DX27+DX28+DX31+DX38+DX39+DX40+DX41</f>
        <v>120.69999999999999</v>
      </c>
      <c r="DY10" s="139">
        <f>DY12+DY27+DY28+DY31+DY38+DY39+DY40+DY41</f>
        <v>168.99999999999997</v>
      </c>
      <c r="DZ10" s="138">
        <f>SUM(DW10:DY10)</f>
        <v>393</v>
      </c>
      <c r="EA10" s="139">
        <f>EA12+EA27+EA28+EA31+EA38+EA39+EA40+EA41</f>
        <v>203.20000000000002</v>
      </c>
      <c r="EB10" s="139">
        <f>EB12+EB27+EB28+EB31+EB38+EB39+EB40+EB41</f>
        <v>95.500000000000014</v>
      </c>
      <c r="EC10" s="139">
        <f>EC12+EC27+EC28+EC31+EC38+EC39+EC40+EC41</f>
        <v>162.10000000000002</v>
      </c>
      <c r="ED10" s="138">
        <f>SUM(EA10:EC10)</f>
        <v>460.80000000000007</v>
      </c>
      <c r="EE10" s="139">
        <f>EE12+EE27+EE28+EE31+EE38+EE39+EE40+EE41</f>
        <v>125.69999999999999</v>
      </c>
      <c r="EF10" s="139">
        <f>EF12+EF27+EF28+EF31+EF38+EF39+EF40+EF41</f>
        <v>162.1</v>
      </c>
      <c r="EG10" s="139">
        <f>EG12+EG27+EG28+EG31+EG38+EG39+EG40+EG41</f>
        <v>228.39999999999998</v>
      </c>
      <c r="EH10" s="138">
        <f>SUM(EE10:EG10)</f>
        <v>516.19999999999993</v>
      </c>
      <c r="EI10" s="138">
        <f>DV10+DZ10+ED10+EH10</f>
        <v>1674.1999999999998</v>
      </c>
      <c r="EJ10" s="139">
        <f>EJ12+EJ27+EJ28+EJ31+EJ38+EJ39+EJ40+EJ41</f>
        <v>35</v>
      </c>
      <c r="EK10" s="139">
        <f>EK12+EK27+EK28+EK31+EK38+EK39+EK40+EK41</f>
        <v>66.8</v>
      </c>
      <c r="EL10" s="139">
        <f>EL12+EL27+EL28+EL31+EL38+EL39+EL40+EL41</f>
        <v>100.5</v>
      </c>
      <c r="EM10" s="138">
        <f>SUM(EJ10:EL10)</f>
        <v>202.3</v>
      </c>
      <c r="EN10" s="139">
        <f>EN12+EN27+EN28+EN31+EN38+EN39+EN40+EN41</f>
        <v>177.39999999999998</v>
      </c>
      <c r="EO10" s="139">
        <f>EO12+EO27+EO28+EO31+EO38+EO39+EO40+EO41</f>
        <v>238.6</v>
      </c>
      <c r="EP10" s="139">
        <f>EP12+EP27+EP28+EP31+EP38+EP39+EP40+EP41</f>
        <v>236.51999999999998</v>
      </c>
      <c r="EQ10" s="138">
        <f>SUM(EN10:EP10)</f>
        <v>652.52</v>
      </c>
      <c r="ER10" s="139">
        <f>ER12+ER27+ER28+ER31+ER38+ER39+ER40+ER41</f>
        <v>187.81000000000003</v>
      </c>
      <c r="ES10" s="139">
        <f>ES12+ES27+ES28+ES31+ES38+ES39+ES40+ES41</f>
        <v>167.95400000000001</v>
      </c>
      <c r="ET10" s="139">
        <f>ET12+ET27+ET28+ET31+ET38+ET39+ET40+ET41</f>
        <v>122.1</v>
      </c>
      <c r="EU10" s="138">
        <f>SUM(ER10:ET10)</f>
        <v>477.86400000000003</v>
      </c>
      <c r="EV10" s="139">
        <f>EV12+EV27+EV28+EV31+EV38+EV39+EV40+EV41</f>
        <v>232.6</v>
      </c>
      <c r="EW10" s="139">
        <f>EW12+EW27+EW28+EW31+EW38+EW39+EW40+EW41</f>
        <v>268.3</v>
      </c>
      <c r="EX10" s="139">
        <f>EX12+EX27+EX28+EX31+EX38+EX39+EX40+EX41</f>
        <v>313.92824458340004</v>
      </c>
      <c r="EY10" s="138">
        <f>SUM(EV10:EX10)</f>
        <v>814.82824458339996</v>
      </c>
      <c r="EZ10" s="162">
        <f>EM10+EQ10+EU10+EY10</f>
        <v>2147.5122445833999</v>
      </c>
      <c r="FA10" s="163"/>
      <c r="FB10" s="162">
        <f>FB12+FB27+FB28+FB31+FB38+FB39+FB40+FB41</f>
        <v>183.60000000000002</v>
      </c>
      <c r="FC10" s="162">
        <f>FC12+FC27+FC28+FC31+FC38+FC39+FC40+FC41</f>
        <v>167.10000000000002</v>
      </c>
      <c r="FD10" s="162">
        <f>FD12+FD27+FD28+FD31+FD38+FD39+FD40+FD41</f>
        <v>182</v>
      </c>
      <c r="FE10" s="164">
        <f>SUM(FB10:FD10)</f>
        <v>532.70000000000005</v>
      </c>
      <c r="FF10" s="162">
        <f>FF12+FF27+FF28+FF31+FF38+FF39+FF40+FF41</f>
        <v>259.48754675980615</v>
      </c>
      <c r="FG10" s="162">
        <f>FG12+FG27+FG28+FG31+FG38+FG39+FG40+FG41</f>
        <v>355.81048432242227</v>
      </c>
      <c r="FH10" s="162">
        <f>FH12+FH27+FH28+FH31+FH38+FH39+FH40+FH41</f>
        <v>247.94774030417918</v>
      </c>
      <c r="FI10" s="164">
        <f>SUM(FF10:FH10)</f>
        <v>863.24577138640757</v>
      </c>
      <c r="FJ10" s="162">
        <f>FJ12+FJ27+FJ28+FJ31+FJ38+FJ39+FJ40+FJ41</f>
        <v>263.28491457393164</v>
      </c>
      <c r="FK10" s="162">
        <f>FK12+FK27+FK28+FK31+FK38+FK39+FK40+FK41</f>
        <v>221.20764223717737</v>
      </c>
      <c r="FL10" s="162">
        <f>FL12+FL27+FL28+FL31+FL38+FL39+FL40+FL41</f>
        <v>253.54576856163277</v>
      </c>
      <c r="FM10" s="164">
        <f>SUM(FJ10:FL10)</f>
        <v>738.03832537274184</v>
      </c>
      <c r="FN10" s="165">
        <f>FN12+FN27+FN28+FN31+FN38+FN39+FN40+FN41</f>
        <v>245.71484282391287</v>
      </c>
      <c r="FO10" s="166">
        <f>FO12+FO27+FO28+FO31+FO38+FO39+FO40+FO41</f>
        <v>243.93682668876377</v>
      </c>
      <c r="FP10" s="167">
        <f>FP12+FP27+FP28+FP31+FP38+FP39+FP40+FP41</f>
        <v>335.95619318578969</v>
      </c>
      <c r="FQ10" s="168">
        <f>SUM(FN10:FP10)</f>
        <v>825.60786269846631</v>
      </c>
      <c r="FR10" s="168">
        <f>FE10+FI10+FM10+FQ10</f>
        <v>2959.5919594576158</v>
      </c>
      <c r="FS10" s="165">
        <f>FS12+FS27+FS28+FS31+FS38+FS39+FS40+FS41</f>
        <v>202.90960769000003</v>
      </c>
      <c r="FT10" s="166">
        <f>FT12+FT27+FT28+FT31+FT38+FT39+FT40+FT41</f>
        <v>206.48809753756743</v>
      </c>
      <c r="FU10" s="167">
        <f>FU12+FU27+FU28+FU31+FU38+FU39+FU40+FU41</f>
        <v>247.5795267865677</v>
      </c>
      <c r="FV10" s="168">
        <f>SUM(FS10:FU10)</f>
        <v>656.97723201413521</v>
      </c>
      <c r="FW10" s="165">
        <f>FW12+FW27+FW28+FW31+FW38+FW39+FW40+FW41</f>
        <v>289.22578178971492</v>
      </c>
      <c r="FX10" s="166">
        <f>FX12+FX27+FX28+FX31+FX38+FX39+FX40+FX41</f>
        <v>283.61329850800416</v>
      </c>
      <c r="FY10" s="167">
        <v>236.26138446613578</v>
      </c>
      <c r="FZ10" s="168">
        <f>SUM(FW10:FY10)</f>
        <v>809.10046476385492</v>
      </c>
      <c r="GA10" s="166">
        <f>GA12+GA27+GA28+GA31+GA38+GA39+GA40+GA41</f>
        <v>352.90296179848565</v>
      </c>
      <c r="GB10" s="166">
        <f>GB12+GB27+GB28+GB31+GB38+GB39+GB40+GB41</f>
        <v>427.92729337639946</v>
      </c>
      <c r="GC10" s="167">
        <f>GC12+GC27+GC28+GC31+GC38+GC39+GC40+GC41</f>
        <v>417.05538852015559</v>
      </c>
      <c r="GD10" s="168">
        <f>SUM(GA10:GC10)</f>
        <v>1197.8856436950407</v>
      </c>
      <c r="GE10" s="165">
        <f>GE12+GE27+GE28+GE31+GE38+GE39+GE40+GE41</f>
        <v>301.15608150941301</v>
      </c>
      <c r="GF10" s="166">
        <f>GF12+GF27+GF28+GF31+GF38+GF39+GF40+GF41</f>
        <v>334.09971644875782</v>
      </c>
      <c r="GG10" s="158">
        <f>GG12+GG27+GG28+GG31+GG38+GG39+GG40+GG41</f>
        <v>379.06191016138229</v>
      </c>
      <c r="GH10" s="167">
        <f>SUM(GE10:GG10)</f>
        <v>1014.3177081195531</v>
      </c>
      <c r="GI10" s="167">
        <f>FV10+FZ10+GD10+GH10</f>
        <v>3678.2810485925843</v>
      </c>
      <c r="GJ10" s="219">
        <f>GJ12+GJ27+GJ28+GJ31+GJ38+GJ39+GJ40+GJ41+GJ26+GJ37</f>
        <v>368.79153990314683</v>
      </c>
      <c r="GK10" s="220">
        <f>GK12+GK27+GK28+GK31+GK38+GK39+GK40+GK41+GK26+GK37</f>
        <v>423.13975673167721</v>
      </c>
      <c r="GL10" s="226">
        <f>GL12+GL27+GL28+GL31+GL38+GL39+GL40+GL41+GL26+GL37</f>
        <v>402.5422211842062</v>
      </c>
      <c r="GM10" s="168">
        <f>SUM(GJ10:GL10)</f>
        <v>1194.4735178190303</v>
      </c>
      <c r="GN10" s="219">
        <f>GN12+GN27+GN28+GN31+GN38+GN39+GN40+GN41+GN26+GN37</f>
        <v>512.07206014334724</v>
      </c>
      <c r="GO10" s="220">
        <f>GO12+GO27+GO28+GO31+GO38+GO39+GO40+GO41+GO26+GO37</f>
        <v>412.30067630086211</v>
      </c>
      <c r="GP10" s="220">
        <f>GP12+GP27+GP28+GP31+GP38+GP39+GP40+GP41+GP26+GP37</f>
        <v>362.03775703611257</v>
      </c>
      <c r="GQ10" s="168">
        <f>SUM(GN10:GP10)</f>
        <v>1286.4104934803217</v>
      </c>
      <c r="GR10" s="220">
        <f>GR12+GR27+GR28+GR31+GR38+GR39+GR40+GR41+GR26+GR37</f>
        <v>560.0006946467546</v>
      </c>
      <c r="GS10" s="220">
        <f>GS12+GS27+GS28+GS31+GS38+GS39+GS40+GS41+GS26+GS37</f>
        <v>433.70814317348686</v>
      </c>
      <c r="GT10" s="226">
        <v>371.47132003932143</v>
      </c>
      <c r="GU10" s="168">
        <f>SUM(GR10:GT10)</f>
        <v>1365.1801578595628</v>
      </c>
      <c r="GV10" s="219">
        <f>GV12+GV27+GV28+GV31+GV38+GV39+GV40+GV41+GV26+GV37</f>
        <v>316.71382903518622</v>
      </c>
      <c r="GW10" s="220">
        <f>GW12+GW27+GW28+GW31+GW38+GW39+GW40+GW41+GW26+GW37</f>
        <v>337.48694018601145</v>
      </c>
      <c r="GX10" s="226">
        <f>GX12+GX27+GX28+GX31+GX38+GX75+GX76+GX41+GX26+GX37</f>
        <v>418.32143360610314</v>
      </c>
      <c r="GY10" s="167">
        <f>SUM(GV10:GX10)</f>
        <v>1072.5222028273008</v>
      </c>
      <c r="GZ10" s="158">
        <f>GM10+GQ10+GU10+GY10</f>
        <v>4918.5863719862155</v>
      </c>
      <c r="HA10" s="255">
        <f>HA12+HA27+HA28+HA31+HA38+HA39+HA40+HA41+HA26+HA37</f>
        <v>379.88005879641662</v>
      </c>
      <c r="HB10" s="218">
        <f>HB12+HB27+HB28+HB31+HB38+HB39+HB40+HB41+HB26+HB37</f>
        <v>350.12181428025497</v>
      </c>
      <c r="HC10" s="158">
        <f>HC12+HC27+HC28+HC31+HC38+HC39+HC40+HC41+HC26+HC37</f>
        <v>352.87301745172238</v>
      </c>
      <c r="HD10" s="272">
        <f>SUM(HA10:HC10)</f>
        <v>1082.874890528394</v>
      </c>
      <c r="HE10" s="255">
        <f>HE12+HE27+HE28+HE31+HE38+HE39+HE40+HE41+HE26+HE37</f>
        <v>298.25564494071955</v>
      </c>
      <c r="HF10" s="218">
        <f>HF12+HF27+HF28+HF31+HF38+HF39+HF40+HF41+HF26+HF37</f>
        <v>252.89671577334585</v>
      </c>
      <c r="HG10" s="218">
        <f>HG12+HG27+HG28+HG31+HG38+HG39+HG40+HG41+HG26+HG37</f>
        <v>293.9650387495505</v>
      </c>
      <c r="HH10" s="272">
        <f>SUM(HE10:HG10)</f>
        <v>845.11739946361581</v>
      </c>
      <c r="HI10" s="218">
        <f>HI12+HI27+HI28+HI31+HI38+HI39+HI40+HI41+HI26+HI37</f>
        <v>264.14112720154327</v>
      </c>
      <c r="HJ10" s="218">
        <f>HJ12+HJ27+HJ28+HJ31+HJ38+HJ39+HJ40+HJ41+HJ26+HJ37</f>
        <v>294.36243882131669</v>
      </c>
      <c r="HK10" s="218">
        <f>HK12+HK27+HK28+HK31+HK38+HK39+HK40+HK41+HK26+HK37</f>
        <v>316.75130768042743</v>
      </c>
      <c r="HL10" s="272">
        <f>SUM(HI10:HK10)</f>
        <v>875.25487370328744</v>
      </c>
      <c r="HM10" s="255">
        <f>HM12+HM27+HM28+HM31+HM38+HM39+HM40+HM41+HM26+HM37</f>
        <v>337.79640196942233</v>
      </c>
      <c r="HN10" s="218">
        <f>HN12+HN27+HN28+HN31+HN38+HN39+HN40+HN41+HN26+HN37</f>
        <v>325.88808317591747</v>
      </c>
      <c r="HO10" s="158">
        <f>HO12+HO27+HO28+HO31+HO38+HO75+HO76+HO41+HO26+HO37</f>
        <v>330.51179241972739</v>
      </c>
      <c r="HP10" s="272">
        <f>SUM(HM10:HO10)</f>
        <v>994.19627756506713</v>
      </c>
      <c r="HQ10" s="272">
        <f>HD10+HH10+HL10+HP10</f>
        <v>3797.4434412603646</v>
      </c>
      <c r="HR10" s="255">
        <f>HR12+HR27+HR28+HR31+HR38+HR39+HR40+HR41+HR26+HR37</f>
        <v>275.10520389302724</v>
      </c>
      <c r="HS10" s="218">
        <f>HS12+HS27+HS28+HS31+HS38+HS39+HS40+HS41+HS26+HS37</f>
        <v>381.71148927611199</v>
      </c>
      <c r="HT10" s="218">
        <f>HT12+HT27+HT28+HT31+HT38+HT39+HT40+HT41+HT26+HT37</f>
        <v>332.52329336113002</v>
      </c>
      <c r="HU10" s="272">
        <f>SUM(HR10:HT10)</f>
        <v>989.33998653026924</v>
      </c>
      <c r="HV10" s="255">
        <f>HV12+HV27+HV28+HV31+HV38+HV39+HV40+HV41+HV26+HV37</f>
        <v>249.61551353398849</v>
      </c>
      <c r="HW10" s="218">
        <f>HW12+HW27+HW28+HW31+HW38+HW39+HW40+HW41+HW26+HW37</f>
        <v>306.71533703390241</v>
      </c>
      <c r="HX10" s="218">
        <f>HX12+HX27+HX28+HX31+HX38+HX39+HX40+HX41+HX26+HX37</f>
        <v>332.77520692268769</v>
      </c>
      <c r="HY10" s="272">
        <f>SUM(HV10:HX10)</f>
        <v>889.10605749057868</v>
      </c>
      <c r="HZ10" s="218">
        <f>HZ12+HZ27+HZ28+HZ31+HZ38+HZ39+HZ40+HZ41+HZ26+HZ37</f>
        <v>352.77132346401726</v>
      </c>
      <c r="IA10" s="218">
        <f>IA12+IA27+IA28+IA31+IA38+IA39+IA40+IA41+IA26+IA37</f>
        <v>321.26615406522114</v>
      </c>
      <c r="IB10" s="218">
        <f>IB12+IB27+IB28+IB31+IB38+IB39+IB40+IB41+IB26+IB37</f>
        <v>429.70560427126253</v>
      </c>
      <c r="IC10" s="272">
        <f>SUM(HZ10:IB10)</f>
        <v>1103.7430818005009</v>
      </c>
      <c r="ID10" s="255">
        <f>ID12+ID27+ID28+ID31+ID38+ID39+ID40+ID41+ID26+ID37</f>
        <v>402.89398489000001</v>
      </c>
      <c r="IE10" s="218">
        <f>IE12+IE27+IE28+IE31+IE38+IE39+IE40+IE41+IE26+IE37</f>
        <v>400.32073775073104</v>
      </c>
      <c r="IF10" s="218">
        <f>IF12+IF27+IF28+IF31+IF38+IF39+IF40+IF41+IF26+IF37</f>
        <v>961.62973272122258</v>
      </c>
      <c r="IG10" s="272">
        <f>SUM(ID10:IF10)</f>
        <v>1764.8444553619536</v>
      </c>
      <c r="IH10" s="272">
        <v>4747.0335811833029</v>
      </c>
      <c r="II10" s="255">
        <v>595.82664049000005</v>
      </c>
      <c r="IJ10" s="218">
        <v>505.50196054000008</v>
      </c>
      <c r="IK10" s="158">
        <v>394.67653354999993</v>
      </c>
      <c r="IL10" s="272">
        <v>1496.00513458</v>
      </c>
      <c r="IM10" s="255">
        <v>352.91705948058052</v>
      </c>
      <c r="IN10" s="218">
        <v>352.77765380907118</v>
      </c>
      <c r="IO10" s="218">
        <v>501.85730883000008</v>
      </c>
      <c r="IP10" s="272">
        <v>1207.5520221196516</v>
      </c>
      <c r="IQ10" s="255">
        <v>513.57156846999999</v>
      </c>
      <c r="IR10" s="218">
        <v>539.66167020000012</v>
      </c>
      <c r="IS10" s="218">
        <v>499.79278036778703</v>
      </c>
      <c r="IT10" s="272">
        <v>1553.0260190377871</v>
      </c>
      <c r="IU10" s="255">
        <v>620.62172648609896</v>
      </c>
      <c r="IV10" s="218">
        <v>624.13313795503905</v>
      </c>
      <c r="IW10" s="158">
        <v>681.5976244758582</v>
      </c>
      <c r="IX10" s="272">
        <v>1926.3524889169962</v>
      </c>
      <c r="IY10" s="272">
        <v>6182.9356646544347</v>
      </c>
      <c r="IZ10" s="255">
        <v>497.34336468857146</v>
      </c>
      <c r="JA10" s="218">
        <v>466.78148020999987</v>
      </c>
      <c r="JB10" s="158">
        <v>496.90083931985424</v>
      </c>
      <c r="JC10" s="272">
        <v>1461.0256842184256</v>
      </c>
      <c r="JD10" s="255">
        <v>357.42662537997074</v>
      </c>
      <c r="JE10" s="218">
        <v>518.86533999953349</v>
      </c>
      <c r="JF10" s="158">
        <v>483.7066697300001</v>
      </c>
      <c r="JG10" s="272">
        <v>1359.9986351095044</v>
      </c>
      <c r="JH10" s="255">
        <v>602.45023557897946</v>
      </c>
      <c r="JI10" s="218">
        <v>660.5596035399717</v>
      </c>
      <c r="JJ10" s="158">
        <v>566.83633243000099</v>
      </c>
      <c r="JK10" s="272">
        <v>1829.8461715489523</v>
      </c>
      <c r="JL10" s="255">
        <v>1231.5938418470262</v>
      </c>
      <c r="JM10" s="218">
        <v>512.15287984163263</v>
      </c>
      <c r="JN10" s="218">
        <v>699.37955502446061</v>
      </c>
      <c r="JO10" s="272">
        <v>2443.1262767131193</v>
      </c>
      <c r="JP10" s="272">
        <v>7093.9967675900016</v>
      </c>
      <c r="JQ10" s="255">
        <v>700.04916002000004</v>
      </c>
      <c r="JR10" s="218">
        <v>566.96061761294447</v>
      </c>
      <c r="JS10" s="158">
        <v>555.23621682999999</v>
      </c>
      <c r="JT10" s="272">
        <v>1822.2459944629445</v>
      </c>
      <c r="JU10" s="255">
        <v>564.70602172000008</v>
      </c>
      <c r="JV10" s="218">
        <v>479.2292971600894</v>
      </c>
      <c r="JW10" s="158">
        <v>595.14051019000067</v>
      </c>
      <c r="JX10" s="272">
        <v>1639.0758290700901</v>
      </c>
      <c r="JY10" s="255">
        <v>651.94736652999779</v>
      </c>
      <c r="JZ10" s="218">
        <v>1072.7286321100014</v>
      </c>
      <c r="KA10" s="158">
        <v>624.25902081046638</v>
      </c>
      <c r="KB10" s="272">
        <v>2348.9350194504659</v>
      </c>
      <c r="KC10" s="255">
        <v>671.05428453000002</v>
      </c>
      <c r="KD10" s="218">
        <v>619.83195843999999</v>
      </c>
      <c r="KE10" s="218">
        <v>1028.0524356281651</v>
      </c>
      <c r="KF10" s="272">
        <v>2318.9386785981651</v>
      </c>
      <c r="KG10" s="272">
        <v>8129.1955215816661</v>
      </c>
      <c r="KH10" s="219">
        <v>527.45219287999998</v>
      </c>
      <c r="KI10" s="220">
        <v>495.11084681999932</v>
      </c>
      <c r="KJ10" s="226">
        <v>576.34982291999881</v>
      </c>
      <c r="KK10" s="272">
        <v>1598.9128626199981</v>
      </c>
      <c r="KL10" s="219">
        <v>642.20393408000007</v>
      </c>
      <c r="KM10" s="220">
        <v>642.46035004999999</v>
      </c>
      <c r="KN10" s="226">
        <v>601.92573013000003</v>
      </c>
      <c r="KO10" s="272">
        <v>1886.5900142599999</v>
      </c>
      <c r="KP10" s="219">
        <v>688.57769401049757</v>
      </c>
      <c r="KQ10" s="220">
        <v>1218.9440909199998</v>
      </c>
      <c r="KR10" s="226">
        <v>555.97759084000018</v>
      </c>
      <c r="KS10" s="272">
        <v>2463.4993757704974</v>
      </c>
      <c r="KT10" s="255">
        <v>672.10780937000004</v>
      </c>
      <c r="KU10" s="218">
        <v>654.07473580999988</v>
      </c>
      <c r="KV10" s="158">
        <v>858.85762384999998</v>
      </c>
      <c r="KW10" s="272">
        <v>2185.04016903</v>
      </c>
      <c r="KX10" s="272">
        <v>8134.042421680495</v>
      </c>
      <c r="KY10" s="219">
        <v>572.99764051000011</v>
      </c>
      <c r="KZ10" s="220">
        <v>618.1349167599999</v>
      </c>
      <c r="LA10" s="226">
        <v>596.64306165000005</v>
      </c>
      <c r="LB10" s="272">
        <v>1787.7756189199999</v>
      </c>
      <c r="LC10" s="219">
        <v>618.87043150999989</v>
      </c>
      <c r="LD10" s="220">
        <v>493.1805961099999</v>
      </c>
      <c r="LE10" s="220">
        <v>809.73783083000035</v>
      </c>
      <c r="LF10" s="272">
        <v>1921.7888584500001</v>
      </c>
      <c r="LG10" s="219">
        <v>447.03888958000005</v>
      </c>
      <c r="LH10" s="220">
        <v>595.31693753000002</v>
      </c>
      <c r="LI10" s="226">
        <v>513.78162079000003</v>
      </c>
      <c r="LJ10" s="272">
        <v>1556.1374479000001</v>
      </c>
      <c r="LK10" s="219">
        <v>482.04929419999991</v>
      </c>
      <c r="LL10" s="220">
        <v>422.65803026999993</v>
      </c>
      <c r="LM10" s="226">
        <v>622.71079608320008</v>
      </c>
      <c r="LN10" s="272">
        <v>1527.4181205532</v>
      </c>
      <c r="LO10" s="272">
        <v>6793.1200458231997</v>
      </c>
    </row>
    <row r="11" spans="1:327" ht="17.100000000000001" customHeight="1" x14ac:dyDescent="0.2">
      <c r="A11" s="28"/>
      <c r="B11" s="29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2"/>
      <c r="U11" s="41"/>
      <c r="V11" s="41"/>
      <c r="W11" s="41"/>
      <c r="X11" s="43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2"/>
      <c r="AL11" s="41"/>
      <c r="AM11" s="41"/>
      <c r="AN11" s="41"/>
      <c r="AO11" s="41"/>
      <c r="AP11" s="41"/>
      <c r="AQ11" s="41"/>
      <c r="AR11" s="41"/>
      <c r="AS11" s="53"/>
      <c r="AT11" s="41"/>
      <c r="AU11" s="41"/>
      <c r="AV11" s="41"/>
      <c r="AW11" s="53"/>
      <c r="AX11" s="41"/>
      <c r="AY11" s="41"/>
      <c r="AZ11" s="41"/>
      <c r="BA11" s="53"/>
      <c r="BB11" s="53"/>
      <c r="BC11" s="41"/>
      <c r="BD11" s="66"/>
      <c r="BE11" s="66"/>
      <c r="BF11" s="61"/>
      <c r="BG11" s="66"/>
      <c r="BH11" s="66"/>
      <c r="BI11" s="66"/>
      <c r="BJ11" s="61"/>
      <c r="BK11" s="66"/>
      <c r="BL11" s="66"/>
      <c r="BM11" s="66"/>
      <c r="BN11" s="61"/>
      <c r="BO11" s="70"/>
      <c r="BP11" s="66"/>
      <c r="BQ11" s="66"/>
      <c r="BR11" s="61"/>
      <c r="BS11" s="61"/>
      <c r="BT11" s="70"/>
      <c r="BU11" s="66"/>
      <c r="BV11" s="76"/>
      <c r="BW11" s="61"/>
      <c r="BX11" s="66"/>
      <c r="BY11" s="66"/>
      <c r="BZ11" s="66"/>
      <c r="CA11" s="61"/>
      <c r="CB11" s="66"/>
      <c r="CC11" s="66"/>
      <c r="CD11" s="66"/>
      <c r="CE11" s="61"/>
      <c r="CF11" s="67"/>
      <c r="CG11" s="66"/>
      <c r="CH11" s="66"/>
      <c r="CI11" s="66"/>
      <c r="CJ11" s="70"/>
      <c r="CK11" s="70"/>
      <c r="CL11" s="66"/>
      <c r="CM11" s="66"/>
      <c r="CN11" s="61"/>
      <c r="CO11" s="66"/>
      <c r="CP11" s="66"/>
      <c r="CQ11" s="66"/>
      <c r="CR11" s="61"/>
      <c r="CS11" s="104"/>
      <c r="CT11" s="66"/>
      <c r="CU11" s="66"/>
      <c r="CV11" s="61"/>
      <c r="CW11" s="66"/>
      <c r="CX11" s="66"/>
      <c r="CY11" s="112"/>
      <c r="CZ11" s="113"/>
      <c r="DA11" s="61"/>
      <c r="DB11" s="70"/>
      <c r="DC11" s="66"/>
      <c r="DD11" s="66"/>
      <c r="DE11" s="61"/>
      <c r="DF11" s="70"/>
      <c r="DG11" s="66"/>
      <c r="DH11" s="66"/>
      <c r="DI11" s="61"/>
      <c r="DJ11" s="70"/>
      <c r="DK11" s="66"/>
      <c r="DL11" s="66"/>
      <c r="DM11" s="61"/>
      <c r="DN11" s="66"/>
      <c r="DO11" s="66"/>
      <c r="DP11" s="66"/>
      <c r="DQ11" s="113"/>
      <c r="DR11" s="140"/>
      <c r="DS11" s="141"/>
      <c r="DT11" s="141"/>
      <c r="DU11" s="141"/>
      <c r="DV11" s="140"/>
      <c r="DW11" s="142"/>
      <c r="DX11" s="141"/>
      <c r="DY11" s="141"/>
      <c r="DZ11" s="140"/>
      <c r="EA11" s="142"/>
      <c r="EB11" s="141"/>
      <c r="EC11" s="141"/>
      <c r="ED11" s="140"/>
      <c r="EE11" s="141"/>
      <c r="EF11" s="141"/>
      <c r="EG11" s="141"/>
      <c r="EH11" s="140"/>
      <c r="EI11" s="140"/>
      <c r="EJ11" s="141"/>
      <c r="EK11" s="141"/>
      <c r="EL11" s="141"/>
      <c r="EM11" s="140"/>
      <c r="EN11" s="141"/>
      <c r="EO11" s="141"/>
      <c r="EP11" s="141"/>
      <c r="EQ11" s="140"/>
      <c r="ER11" s="141"/>
      <c r="ES11" s="141"/>
      <c r="ET11" s="141"/>
      <c r="EU11" s="140"/>
      <c r="EV11" s="141"/>
      <c r="EW11" s="141"/>
      <c r="EX11" s="141"/>
      <c r="EY11" s="140"/>
      <c r="EZ11" s="169"/>
      <c r="FA11" s="170"/>
      <c r="FB11" s="169"/>
      <c r="FC11" s="169"/>
      <c r="FD11" s="169"/>
      <c r="FE11" s="171"/>
      <c r="FF11" s="169"/>
      <c r="FG11" s="169"/>
      <c r="FH11" s="169"/>
      <c r="FI11" s="171"/>
      <c r="FJ11" s="169"/>
      <c r="FK11" s="169"/>
      <c r="FL11" s="169"/>
      <c r="FM11" s="171"/>
      <c r="FN11" s="172"/>
      <c r="FO11" s="173"/>
      <c r="FP11" s="174"/>
      <c r="FQ11" s="175"/>
      <c r="FR11" s="175"/>
      <c r="FS11" s="172"/>
      <c r="FT11" s="173"/>
      <c r="FU11" s="174"/>
      <c r="FV11" s="175"/>
      <c r="FW11" s="172"/>
      <c r="FX11" s="173"/>
      <c r="FY11" s="174"/>
      <c r="FZ11" s="175"/>
      <c r="GA11" s="172"/>
      <c r="GB11" s="173"/>
      <c r="GC11" s="174"/>
      <c r="GD11" s="175"/>
      <c r="GE11" s="172"/>
      <c r="GF11" s="173"/>
      <c r="GG11" s="159"/>
      <c r="GH11" s="174"/>
      <c r="GI11" s="174"/>
      <c r="GJ11" s="221"/>
      <c r="GK11" s="222"/>
      <c r="GL11" s="223"/>
      <c r="GM11" s="175"/>
      <c r="GN11" s="221"/>
      <c r="GO11" s="222"/>
      <c r="GP11" s="223"/>
      <c r="GQ11" s="175"/>
      <c r="GR11" s="319"/>
      <c r="GS11" s="222"/>
      <c r="GT11" s="223"/>
      <c r="GU11" s="175"/>
      <c r="GV11" s="221"/>
      <c r="GW11" s="222"/>
      <c r="GX11" s="223"/>
      <c r="GY11" s="174"/>
      <c r="GZ11" s="159"/>
      <c r="HA11" s="254"/>
      <c r="HB11" s="160"/>
      <c r="HC11" s="159"/>
      <c r="HD11" s="273"/>
      <c r="HE11" s="254"/>
      <c r="HF11" s="160"/>
      <c r="HG11" s="159"/>
      <c r="HH11" s="273"/>
      <c r="HI11" s="142"/>
      <c r="HJ11" s="160"/>
      <c r="HK11" s="159"/>
      <c r="HL11" s="273"/>
      <c r="HM11" s="254"/>
      <c r="HN11" s="160"/>
      <c r="HO11" s="159"/>
      <c r="HP11" s="273"/>
      <c r="HQ11" s="273"/>
      <c r="HR11" s="254"/>
      <c r="HS11" s="160"/>
      <c r="HT11" s="159"/>
      <c r="HU11" s="273"/>
      <c r="HV11" s="254"/>
      <c r="HW11" s="160"/>
      <c r="HX11" s="159"/>
      <c r="HY11" s="273"/>
      <c r="HZ11" s="259"/>
      <c r="IA11" s="160"/>
      <c r="IB11" s="159"/>
      <c r="IC11" s="273"/>
      <c r="ID11" s="254"/>
      <c r="IE11" s="160"/>
      <c r="IF11" s="159"/>
      <c r="IG11" s="273"/>
      <c r="IH11" s="273"/>
      <c r="II11" s="254"/>
      <c r="IJ11" s="160"/>
      <c r="IK11" s="159"/>
      <c r="IL11" s="273"/>
      <c r="IM11" s="254"/>
      <c r="IN11" s="160"/>
      <c r="IO11" s="160"/>
      <c r="IP11" s="273"/>
      <c r="IQ11" s="254"/>
      <c r="IR11" s="160"/>
      <c r="IS11" s="159"/>
      <c r="IT11" s="273"/>
      <c r="IU11" s="254"/>
      <c r="IV11" s="160"/>
      <c r="IW11" s="159"/>
      <c r="IX11" s="273"/>
      <c r="IY11" s="273"/>
      <c r="IZ11" s="254"/>
      <c r="JA11" s="160"/>
      <c r="JB11" s="159"/>
      <c r="JC11" s="273"/>
      <c r="JD11" s="254"/>
      <c r="JE11" s="160"/>
      <c r="JF11" s="159"/>
      <c r="JG11" s="273"/>
      <c r="JH11" s="254"/>
      <c r="JI11" s="160"/>
      <c r="JJ11" s="159"/>
      <c r="JK11" s="273"/>
      <c r="JL11" s="254"/>
      <c r="JM11" s="160"/>
      <c r="JN11" s="160"/>
      <c r="JO11" s="273"/>
      <c r="JP11" s="273"/>
      <c r="JQ11" s="254"/>
      <c r="JR11" s="160"/>
      <c r="JS11" s="159"/>
      <c r="JT11" s="273"/>
      <c r="JU11" s="254"/>
      <c r="JV11" s="160"/>
      <c r="JW11" s="159"/>
      <c r="JX11" s="273"/>
      <c r="JY11" s="254"/>
      <c r="JZ11" s="160"/>
      <c r="KA11" s="159"/>
      <c r="KB11" s="273"/>
      <c r="KC11" s="254"/>
      <c r="KD11" s="160"/>
      <c r="KE11" s="160"/>
      <c r="KF11" s="273"/>
      <c r="KG11" s="273"/>
      <c r="KH11" s="221"/>
      <c r="KI11" s="222"/>
      <c r="KJ11" s="223"/>
      <c r="KK11" s="273"/>
      <c r="KL11" s="221"/>
      <c r="KM11" s="222"/>
      <c r="KN11" s="223"/>
      <c r="KO11" s="273"/>
      <c r="KP11" s="221"/>
      <c r="KQ11" s="222"/>
      <c r="KR11" s="223"/>
      <c r="KS11" s="273"/>
      <c r="KT11" s="254"/>
      <c r="KU11" s="160"/>
      <c r="KV11" s="159"/>
      <c r="KW11" s="273"/>
      <c r="KX11" s="273"/>
      <c r="KY11" s="221">
        <v>0</v>
      </c>
      <c r="KZ11" s="222">
        <v>0</v>
      </c>
      <c r="LA11" s="223">
        <v>0</v>
      </c>
      <c r="LB11" s="273"/>
      <c r="LC11" s="221">
        <v>0</v>
      </c>
      <c r="LD11" s="222">
        <v>0</v>
      </c>
      <c r="LE11" s="223">
        <v>0</v>
      </c>
      <c r="LF11" s="273"/>
      <c r="LG11" s="221">
        <v>0</v>
      </c>
      <c r="LH11" s="222">
        <v>0</v>
      </c>
      <c r="LI11" s="223">
        <v>0</v>
      </c>
      <c r="LJ11" s="273"/>
      <c r="LK11" s="254"/>
      <c r="LL11" s="160"/>
      <c r="LM11" s="159"/>
      <c r="LN11" s="273"/>
      <c r="LO11" s="273"/>
    </row>
    <row r="12" spans="1:327" ht="17.100000000000001" customHeight="1" x14ac:dyDescent="0.2">
      <c r="A12" s="74" t="s">
        <v>71</v>
      </c>
      <c r="B12" s="24"/>
      <c r="C12" s="5">
        <v>863.6</v>
      </c>
      <c r="D12" s="5">
        <v>70.2</v>
      </c>
      <c r="E12" s="5">
        <v>57.4</v>
      </c>
      <c r="F12" s="5">
        <v>64.7</v>
      </c>
      <c r="G12" s="5">
        <v>192.3</v>
      </c>
      <c r="H12" s="5">
        <v>84.7</v>
      </c>
      <c r="I12" s="5">
        <v>75.8</v>
      </c>
      <c r="J12" s="5">
        <v>73.3</v>
      </c>
      <c r="K12" s="5">
        <v>233.8</v>
      </c>
      <c r="L12" s="5">
        <v>95.8</v>
      </c>
      <c r="M12" s="5">
        <f>M13+M23</f>
        <v>65.400000000000006</v>
      </c>
      <c r="N12" s="5">
        <f>N13+N23</f>
        <v>38.6</v>
      </c>
      <c r="O12" s="5">
        <f t="shared" si="0"/>
        <v>199.79999999999998</v>
      </c>
      <c r="P12" s="5">
        <f>P13+P23</f>
        <v>31.7</v>
      </c>
      <c r="Q12" s="5">
        <f>Q13+Q23</f>
        <v>30</v>
      </c>
      <c r="R12" s="5">
        <f>R13+R23</f>
        <v>25.75</v>
      </c>
      <c r="S12" s="5">
        <f t="shared" si="1"/>
        <v>87.45</v>
      </c>
      <c r="T12" s="16">
        <f t="shared" ref="T12:T83" si="7">+S12+O12+K12+G12</f>
        <v>713.34999999999991</v>
      </c>
      <c r="U12" s="5">
        <f>U13+U23</f>
        <v>32.700000000000003</v>
      </c>
      <c r="V12" s="5">
        <f>V13+V23</f>
        <v>18.399999999999999</v>
      </c>
      <c r="W12" s="5">
        <f>W13+W23</f>
        <v>21.4</v>
      </c>
      <c r="X12" s="4">
        <f t="shared" si="2"/>
        <v>72.5</v>
      </c>
      <c r="Y12" s="5">
        <f>Y13+Y23</f>
        <v>17.451158240000002</v>
      </c>
      <c r="Z12" s="5">
        <f>Z13+Z23</f>
        <v>13.099999999999998</v>
      </c>
      <c r="AA12" s="5">
        <f>AA13+AA23</f>
        <v>20.46</v>
      </c>
      <c r="AB12" s="5">
        <f t="shared" si="3"/>
        <v>51.01115824</v>
      </c>
      <c r="AC12" s="5">
        <f>AC13+AC23</f>
        <v>17.46</v>
      </c>
      <c r="AD12" s="5">
        <f>AD13+AD23</f>
        <v>14.499999999999998</v>
      </c>
      <c r="AE12" s="5">
        <f>AE13+AE23</f>
        <v>16.48</v>
      </c>
      <c r="AF12" s="5">
        <f t="shared" si="4"/>
        <v>48.44</v>
      </c>
      <c r="AG12" s="5">
        <f>AG13+AG23</f>
        <v>12.92</v>
      </c>
      <c r="AH12" s="5">
        <f>AH13+AH23</f>
        <v>11.82</v>
      </c>
      <c r="AI12" s="5">
        <f>AI13+AI23</f>
        <v>13.740000000000002</v>
      </c>
      <c r="AJ12" s="5">
        <f t="shared" ref="AJ12:AJ43" si="8">AG12+AH12+AI12</f>
        <v>38.480000000000004</v>
      </c>
      <c r="AK12" s="16">
        <f t="shared" ref="AK12:AK43" si="9">X12+AB12+AF12+AJ12</f>
        <v>210.43115824</v>
      </c>
      <c r="AL12" s="5">
        <f t="shared" ref="AL12:AT12" si="10">AL13+AL23</f>
        <v>13.600000000000001</v>
      </c>
      <c r="AM12" s="5">
        <f t="shared" si="10"/>
        <v>8.84</v>
      </c>
      <c r="AN12" s="5">
        <f t="shared" si="10"/>
        <v>7.2200000000000006</v>
      </c>
      <c r="AO12" s="5">
        <f t="shared" ref="AO12:AO28" si="11">AL12+AM12+AN12</f>
        <v>29.660000000000004</v>
      </c>
      <c r="AP12" s="5">
        <f t="shared" si="10"/>
        <v>7.6</v>
      </c>
      <c r="AQ12" s="5">
        <f t="shared" si="10"/>
        <v>9.3000000000000007</v>
      </c>
      <c r="AR12" s="5">
        <f t="shared" si="10"/>
        <v>9.58</v>
      </c>
      <c r="AS12" s="54">
        <f t="shared" ref="AS12:AS81" si="12">+SUM(AP12:AR12)</f>
        <v>26.479999999999997</v>
      </c>
      <c r="AT12" s="5">
        <f t="shared" si="10"/>
        <v>10.68</v>
      </c>
      <c r="AU12" s="5">
        <f>AU13+AU23</f>
        <v>10.5</v>
      </c>
      <c r="AV12" s="5">
        <f>AV13+AV23</f>
        <v>30.017588670000002</v>
      </c>
      <c r="AW12" s="54">
        <f t="shared" ref="AW12:AW28" si="13">+SUM(AT12:AV12)</f>
        <v>51.197588670000002</v>
      </c>
      <c r="AX12" s="5">
        <f>AX13+AX23</f>
        <v>11.6</v>
      </c>
      <c r="AY12" s="5">
        <f>AY13+AY23</f>
        <v>12.200000000000001</v>
      </c>
      <c r="AZ12" s="5">
        <f>AZ13+AZ23</f>
        <v>13.400000000000002</v>
      </c>
      <c r="BA12" s="54">
        <f t="shared" ref="BA12:BA85" si="14">+SUM(AX12:AZ12)</f>
        <v>37.200000000000003</v>
      </c>
      <c r="BB12" s="54">
        <f t="shared" ref="BB12:BB43" si="15">+AS12+AO12+AW12+BA12</f>
        <v>144.53758866999999</v>
      </c>
      <c r="BC12" s="5">
        <f>BC13+BC23</f>
        <v>13.950479868999999</v>
      </c>
      <c r="BD12" s="66">
        <f>BD13+BD23</f>
        <v>14.910758039999997</v>
      </c>
      <c r="BE12" s="66">
        <f>BE13+BE23</f>
        <v>19.998147410000001</v>
      </c>
      <c r="BF12" s="62">
        <f t="shared" ref="BF12:BF19" si="16">SUM(BC12:BE12)</f>
        <v>48.859385318999998</v>
      </c>
      <c r="BG12" s="67">
        <f>BG13+BG23</f>
        <v>11.198965000000001</v>
      </c>
      <c r="BH12" s="67">
        <f>BH13+BH23</f>
        <v>10.59168</v>
      </c>
      <c r="BI12" s="67">
        <f>BI13+BI23</f>
        <v>10.747350000000001</v>
      </c>
      <c r="BJ12" s="62">
        <f t="shared" ref="BJ12:BJ19" si="17">SUM(BG12:BI12)</f>
        <v>32.537995000000002</v>
      </c>
      <c r="BK12" s="67">
        <f>BK13+BK23</f>
        <v>11.861259999999998</v>
      </c>
      <c r="BL12" s="67">
        <f>BL13+BL23</f>
        <v>13.353800000000001</v>
      </c>
      <c r="BM12" s="67">
        <f>BM13+BM23</f>
        <v>14.733323</v>
      </c>
      <c r="BN12" s="62">
        <f t="shared" ref="BN12:BN43" si="18">SUM(BK12:BM12)</f>
        <v>39.948383</v>
      </c>
      <c r="BO12" s="71">
        <f>BO13+BO23</f>
        <v>17.769873990000001</v>
      </c>
      <c r="BP12" s="67">
        <f>BP13+BP23</f>
        <v>15.0458</v>
      </c>
      <c r="BQ12" s="67">
        <f>BQ13+BQ23</f>
        <v>14.955249999999999</v>
      </c>
      <c r="BR12" s="62">
        <f t="shared" ref="BR12:BR43" si="19">SUM(BO12:BQ12)</f>
        <v>47.77092399</v>
      </c>
      <c r="BS12" s="62">
        <f t="shared" ref="BS12:BS43" si="20">+BF12+BJ12+BN12+BR12</f>
        <v>169.11668730900001</v>
      </c>
      <c r="BT12" s="71">
        <f>BT13+BT23</f>
        <v>19.5</v>
      </c>
      <c r="BU12" s="67">
        <f>BU13+BU23</f>
        <v>17.2</v>
      </c>
      <c r="BV12" s="77">
        <f>BV13+BV23</f>
        <v>15.200000000000001</v>
      </c>
      <c r="BW12" s="62">
        <f t="shared" ref="BW12:BW35" si="21">SUM(BT12:BV12)</f>
        <v>51.900000000000006</v>
      </c>
      <c r="BX12" s="67">
        <f>BX13+BX23</f>
        <v>14.489999999999998</v>
      </c>
      <c r="BY12" s="67">
        <f>BY13+BY23</f>
        <v>17.600000000000001</v>
      </c>
      <c r="BZ12" s="67">
        <f>BZ13+BZ23</f>
        <v>1.3</v>
      </c>
      <c r="CA12" s="62">
        <f t="shared" ref="CA12:CA35" si="22">SUM(BX12:BZ12)</f>
        <v>33.39</v>
      </c>
      <c r="CB12" s="67">
        <f>CB13+CB23</f>
        <v>2.5</v>
      </c>
      <c r="CC12" s="67">
        <f>CC13+CC23</f>
        <v>1.98</v>
      </c>
      <c r="CD12" s="67">
        <f>CD13+CD23</f>
        <v>2.6199999999999997</v>
      </c>
      <c r="CE12" s="62">
        <f t="shared" ref="CE12:CE35" si="23">SUM(CB12:CD12)</f>
        <v>7.1</v>
      </c>
      <c r="CF12" s="67">
        <f>CF13+CF23</f>
        <v>3.4470000000000001</v>
      </c>
      <c r="CG12" s="67">
        <f>CG13+CG23</f>
        <v>2.5999999999999996</v>
      </c>
      <c r="CH12" s="67">
        <f>CH13+CH23</f>
        <v>2.2000000000000002</v>
      </c>
      <c r="CI12" s="67">
        <f t="shared" ref="CI12:CI35" si="24">SUM(CF12:CH12)</f>
        <v>8.2469999999999999</v>
      </c>
      <c r="CJ12" s="71">
        <f t="shared" ref="CJ12:CJ35" si="25">BW12+CA12+CE12+CI12</f>
        <v>100.637</v>
      </c>
      <c r="CK12" s="71">
        <f>CK13+CK23</f>
        <v>3.7</v>
      </c>
      <c r="CL12" s="67">
        <f>CL13+CL23</f>
        <v>3.4000000000000004</v>
      </c>
      <c r="CM12" s="67">
        <f>CM13+CM23</f>
        <v>3.2</v>
      </c>
      <c r="CN12" s="62">
        <f t="shared" ref="CN12:CN35" si="26">SUM(CK12:CM12)</f>
        <v>10.3</v>
      </c>
      <c r="CO12" s="67">
        <f>CO13+CO23</f>
        <v>3.1</v>
      </c>
      <c r="CP12" s="67">
        <f>CP13+CP23</f>
        <v>3.5</v>
      </c>
      <c r="CQ12" s="67">
        <f>CQ13+CQ23</f>
        <v>3.1999999999999997</v>
      </c>
      <c r="CR12" s="62">
        <f t="shared" ref="CR12:CR35" si="27">SUM(CO12:CQ12)</f>
        <v>9.7999999999999989</v>
      </c>
      <c r="CS12" s="101">
        <f>CS13+CS23</f>
        <v>1.9000000000000001</v>
      </c>
      <c r="CT12" s="67">
        <f>CT13+CT23</f>
        <v>2.1</v>
      </c>
      <c r="CU12" s="67">
        <f>CU13+CU23</f>
        <v>2.5</v>
      </c>
      <c r="CV12" s="62">
        <f t="shared" ref="CV12:CV30" si="28">SUM(CS12:CU12)</f>
        <v>6.5</v>
      </c>
      <c r="CW12" s="67">
        <f>CW13+CW23</f>
        <v>2.5</v>
      </c>
      <c r="CX12" s="67">
        <f>CX13+CX23</f>
        <v>2.3000000000000003</v>
      </c>
      <c r="CY12" s="112">
        <f>CY13+CY23</f>
        <v>2.2999999999999998</v>
      </c>
      <c r="CZ12" s="113">
        <f t="shared" ref="CZ12:CZ30" si="29">SUM(CW12:CY12)</f>
        <v>7.1000000000000005</v>
      </c>
      <c r="DA12" s="62">
        <f t="shared" ref="DA12:DA30" si="30">CN12+CR12+CV12+CZ12</f>
        <v>33.700000000000003</v>
      </c>
      <c r="DB12" s="71">
        <f>DB13+DB23</f>
        <v>2</v>
      </c>
      <c r="DC12" s="67">
        <f>DC13+DC23</f>
        <v>2.9000000000000004</v>
      </c>
      <c r="DD12" s="67">
        <f>DD13+DD23</f>
        <v>1.3</v>
      </c>
      <c r="DE12" s="62">
        <f t="shared" ref="DE12:DE30" si="31">SUM(DB12:DD12)</f>
        <v>6.2</v>
      </c>
      <c r="DF12" s="71">
        <f>DF13+DF23</f>
        <v>1.6</v>
      </c>
      <c r="DG12" s="67">
        <f>DG13+DG23</f>
        <v>1.3</v>
      </c>
      <c r="DH12" s="67">
        <f>DH13+DH23</f>
        <v>1.4000000000000001</v>
      </c>
      <c r="DI12" s="62">
        <f t="shared" ref="DI12:DI30" si="32">SUM(DF12:DH12)</f>
        <v>4.3000000000000007</v>
      </c>
      <c r="DJ12" s="71">
        <f>DJ13+DJ23</f>
        <v>2.3000000000000003</v>
      </c>
      <c r="DK12" s="67">
        <f>DK13+DK23</f>
        <v>1.9000000000000001</v>
      </c>
      <c r="DL12" s="67">
        <f>DL13+DL23</f>
        <v>2.4</v>
      </c>
      <c r="DM12" s="62">
        <f t="shared" ref="DM12:DM30" si="33">SUM(DJ12:DL12)</f>
        <v>6.6</v>
      </c>
      <c r="DN12" s="67">
        <f>DN13+DN23</f>
        <v>4.8</v>
      </c>
      <c r="DO12" s="67">
        <f>DO13+DO23</f>
        <v>2.2000000000000002</v>
      </c>
      <c r="DP12" s="67">
        <f>DP13+DP23</f>
        <v>6.5</v>
      </c>
      <c r="DQ12" s="113">
        <f t="shared" ref="DQ12:DQ30" si="34">SUM(DN12:DP12)</f>
        <v>13.5</v>
      </c>
      <c r="DR12" s="140">
        <f t="shared" ref="DR12:DR30" si="35">DE12+DI12+DM12+DQ12</f>
        <v>30.6</v>
      </c>
      <c r="DS12" s="141">
        <f>DS13+DS23</f>
        <v>3</v>
      </c>
      <c r="DT12" s="141">
        <f>DT13+DT23</f>
        <v>1.9</v>
      </c>
      <c r="DU12" s="141">
        <f>DU13+DU23</f>
        <v>7.4</v>
      </c>
      <c r="DV12" s="140">
        <f t="shared" ref="DV12:DV43" si="36">SUM(DS12:DU12)</f>
        <v>12.3</v>
      </c>
      <c r="DW12" s="142">
        <f>DW13+DW23</f>
        <v>2.2000000000000002</v>
      </c>
      <c r="DX12" s="141">
        <f>DX13+DX23</f>
        <v>5.6999999999999993</v>
      </c>
      <c r="DY12" s="141">
        <f>DY13+DY23</f>
        <v>3</v>
      </c>
      <c r="DZ12" s="140">
        <f t="shared" ref="DZ12:DZ43" si="37">SUM(DW12:DY12)</f>
        <v>10.899999999999999</v>
      </c>
      <c r="EA12" s="142">
        <f>EA13+EA23</f>
        <v>2.2999999999999998</v>
      </c>
      <c r="EB12" s="141">
        <f>EB13+EB23</f>
        <v>6.7</v>
      </c>
      <c r="EC12" s="141">
        <f>EC13+EC23</f>
        <v>6.6</v>
      </c>
      <c r="ED12" s="140">
        <f t="shared" ref="ED12:ED43" si="38">SUM(EA12:EC12)</f>
        <v>15.6</v>
      </c>
      <c r="EE12" s="141">
        <f>EE13+EE23</f>
        <v>2.0999999999999996</v>
      </c>
      <c r="EF12" s="141">
        <f>EF13+EF23</f>
        <v>7.2</v>
      </c>
      <c r="EG12" s="141">
        <f>EG13+EG23</f>
        <v>2.5</v>
      </c>
      <c r="EH12" s="140">
        <f t="shared" ref="EH12:EH43" si="39">SUM(EE12:EG12)</f>
        <v>11.8</v>
      </c>
      <c r="EI12" s="140">
        <f t="shared" ref="EI12:EI77" si="40">DV12+DZ12+ED12+EH12</f>
        <v>50.599999999999994</v>
      </c>
      <c r="EJ12" s="141">
        <f>EJ13+EJ23</f>
        <v>2.2999999999999998</v>
      </c>
      <c r="EK12" s="141">
        <f>EK13+EK23</f>
        <v>3</v>
      </c>
      <c r="EL12" s="141">
        <f>EL13+EL23</f>
        <v>2.7</v>
      </c>
      <c r="EM12" s="140">
        <f t="shared" ref="EM12:EM43" si="41">SUM(EJ12:EL12)</f>
        <v>8</v>
      </c>
      <c r="EN12" s="141">
        <f>EN13+EN23</f>
        <v>3.6</v>
      </c>
      <c r="EO12" s="141">
        <f>EO13+EO23</f>
        <v>4.2</v>
      </c>
      <c r="EP12" s="141">
        <f>EP13+EP23</f>
        <v>3.1199999999999997</v>
      </c>
      <c r="EQ12" s="140">
        <f t="shared" ref="EQ12:EQ43" si="42">SUM(EN12:EP12)</f>
        <v>10.92</v>
      </c>
      <c r="ER12" s="141">
        <f>ER13+ER23</f>
        <v>7.9099999999999993</v>
      </c>
      <c r="ES12" s="141">
        <f>ES13+ES23</f>
        <v>5.0999999999999996</v>
      </c>
      <c r="ET12" s="141">
        <f>ET13+ET23</f>
        <v>7.3</v>
      </c>
      <c r="EU12" s="140">
        <f t="shared" ref="EU12:EU43" si="43">SUM(ER12:ET12)</f>
        <v>20.309999999999999</v>
      </c>
      <c r="EV12" s="141">
        <f>EV13+EV23</f>
        <v>7.5</v>
      </c>
      <c r="EW12" s="141">
        <f>EW13+EW23</f>
        <v>4.4000000000000004</v>
      </c>
      <c r="EX12" s="141">
        <f>EX13+EX23</f>
        <v>8.2887020163000003</v>
      </c>
      <c r="EY12" s="140">
        <f t="shared" ref="EY12:EY43" si="44">SUM(EV12:EX12)</f>
        <v>20.188702016299999</v>
      </c>
      <c r="EZ12" s="169">
        <f t="shared" ref="EZ12:EZ77" si="45">EM12+EQ12+EU12+EY12</f>
        <v>59.418702016300003</v>
      </c>
      <c r="FA12" s="170"/>
      <c r="FB12" s="169">
        <f>FB13+FB23</f>
        <v>8.1999999999999993</v>
      </c>
      <c r="FC12" s="169">
        <f>FC13+FC23</f>
        <v>3.6999999999999997</v>
      </c>
      <c r="FD12" s="169">
        <f>FD13+FD23</f>
        <v>10.7</v>
      </c>
      <c r="FE12" s="171">
        <f t="shared" ref="FE12:FE43" si="46">SUM(FB12:FD12)</f>
        <v>22.599999999999998</v>
      </c>
      <c r="FF12" s="169">
        <f>FF13+FF23</f>
        <v>7.6604518694629888</v>
      </c>
      <c r="FG12" s="169">
        <f>FG13+FG23</f>
        <v>10.28153486205275</v>
      </c>
      <c r="FH12" s="169">
        <f>FH13+FH23</f>
        <v>18.299705310952536</v>
      </c>
      <c r="FI12" s="171">
        <f t="shared" ref="FI12:FI43" si="47">SUM(FF12:FH12)</f>
        <v>36.241692042468273</v>
      </c>
      <c r="FJ12" s="169">
        <f>FJ13+FJ23</f>
        <v>15.613660121298</v>
      </c>
      <c r="FK12" s="169">
        <f>FK13+FK23</f>
        <v>15.900160621622808</v>
      </c>
      <c r="FL12" s="169">
        <f>FL13+FL23</f>
        <v>20.0488148719189</v>
      </c>
      <c r="FM12" s="171">
        <f t="shared" ref="FM12:FM43" si="48">SUM(FJ12:FL12)</f>
        <v>51.562635614839706</v>
      </c>
      <c r="FN12" s="172">
        <f>FN13+FN23</f>
        <v>21.43403965071813</v>
      </c>
      <c r="FO12" s="173">
        <f>FO13+FO23</f>
        <v>28.998191308409293</v>
      </c>
      <c r="FP12" s="173">
        <f>FP13+FP23</f>
        <v>17.2478884114667</v>
      </c>
      <c r="FQ12" s="175">
        <f t="shared" ref="FQ12:FQ43" si="49">SUM(FN12:FP12)</f>
        <v>67.680119370594127</v>
      </c>
      <c r="FR12" s="175">
        <f t="shared" ref="FR12:FR77" si="50">FE12+FI12+FM12+FQ12</f>
        <v>178.08444702790212</v>
      </c>
      <c r="FS12" s="172">
        <f>FS13+FS23</f>
        <v>20.635534189999845</v>
      </c>
      <c r="FT12" s="173">
        <f>FT13+FT23</f>
        <v>21.215191514897001</v>
      </c>
      <c r="FU12" s="174">
        <f>FU13+FU23</f>
        <v>14.235972086772932</v>
      </c>
      <c r="FV12" s="175">
        <f t="shared" ref="FV12:FV43" si="51">SUM(FS12:FU12)</f>
        <v>56.086697791669778</v>
      </c>
      <c r="FW12" s="172">
        <f>FW13+FW23</f>
        <v>16.146592493333632</v>
      </c>
      <c r="FX12" s="173">
        <f>FX13+FX23</f>
        <v>25.192217083685563</v>
      </c>
      <c r="FY12" s="174">
        <v>37.922600315851469</v>
      </c>
      <c r="FZ12" s="175">
        <f t="shared" ref="FZ12:FZ43" si="52">SUM(FW12:FY12)</f>
        <v>79.26140989287066</v>
      </c>
      <c r="GA12" s="172">
        <f>GA13+GA23</f>
        <v>102.289168489834</v>
      </c>
      <c r="GB12" s="173">
        <f>GB13+GB23</f>
        <v>111.7337536277671</v>
      </c>
      <c r="GC12" s="174">
        <f>GC13+GC23</f>
        <v>142.11291415025158</v>
      </c>
      <c r="GD12" s="175">
        <f t="shared" ref="GD12:GD43" si="53">SUM(GA12:GC12)</f>
        <v>356.13583626785271</v>
      </c>
      <c r="GE12" s="172">
        <f>GE13+GE23</f>
        <v>188.23759317215419</v>
      </c>
      <c r="GF12" s="173">
        <f>GF13+GF23</f>
        <v>220.23055497927288</v>
      </c>
      <c r="GG12" s="159">
        <f>GG13+GG23</f>
        <v>187.786005225601</v>
      </c>
      <c r="GH12" s="174">
        <f t="shared" ref="GH12:GH43" si="54">SUM(GE12:GG12)</f>
        <v>596.25415337702805</v>
      </c>
      <c r="GI12" s="174">
        <f t="shared" ref="GI12:GI77" si="55">FV12+FZ12+GD12+GH12</f>
        <v>1087.7380973294212</v>
      </c>
      <c r="GJ12" s="221">
        <f>GJ13+GJ23</f>
        <v>177.602442513336</v>
      </c>
      <c r="GK12" s="222">
        <f>GK13+GK23</f>
        <v>191.06796753813748</v>
      </c>
      <c r="GL12" s="223">
        <f>GL13+GL23</f>
        <v>187.6977516661195</v>
      </c>
      <c r="GM12" s="175">
        <f t="shared" ref="GM12:GM25" si="56">SUM(GJ12:GL12)</f>
        <v>556.36816171759301</v>
      </c>
      <c r="GN12" s="221">
        <f>GN13+GN23</f>
        <v>281.25729464878515</v>
      </c>
      <c r="GO12" s="222">
        <f>GO13+GO23</f>
        <v>225.0408264459397</v>
      </c>
      <c r="GP12" s="222">
        <f>GP13+GP23</f>
        <v>223.45503418402191</v>
      </c>
      <c r="GQ12" s="175">
        <f t="shared" ref="GQ12:GQ25" si="57">SUM(GN12:GP12)</f>
        <v>729.7531552787467</v>
      </c>
      <c r="GR12" s="222">
        <f>GR13+GR23</f>
        <v>214.37819477017618</v>
      </c>
      <c r="GS12" s="222">
        <f>GS13+GS23</f>
        <v>264.1114207990347</v>
      </c>
      <c r="GT12" s="222">
        <f>GT13+GT23</f>
        <v>272.9555258105226</v>
      </c>
      <c r="GU12" s="175">
        <f t="shared" ref="GU12:GU25" si="58">SUM(GR12:GT12)</f>
        <v>751.44514137973351</v>
      </c>
      <c r="GV12" s="221">
        <f>GV13+GV23</f>
        <v>233.52195758251929</v>
      </c>
      <c r="GW12" s="222">
        <f>GW13+GW23</f>
        <v>205.63156406421808</v>
      </c>
      <c r="GX12" s="223">
        <f>GX13+GX23</f>
        <v>273.39663167772869</v>
      </c>
      <c r="GY12" s="174">
        <f t="shared" ref="GY12:GY25" si="59">SUM(GV12:GX12)</f>
        <v>712.55015332446601</v>
      </c>
      <c r="GZ12" s="159">
        <f t="shared" ref="GZ12:GZ25" si="60">GM12+GQ12+GU12+GY12</f>
        <v>2750.1166117005396</v>
      </c>
      <c r="HA12" s="254">
        <f>HA13+HA23</f>
        <v>236.71924548508233</v>
      </c>
      <c r="HB12" s="160">
        <f>HB13+HB23</f>
        <v>224.33753500000705</v>
      </c>
      <c r="HC12" s="159">
        <f>HC13+HC23</f>
        <v>238.29389727545478</v>
      </c>
      <c r="HD12" s="273">
        <f t="shared" ref="HD12:HD43" si="61">SUM(HA12:HC12)</f>
        <v>699.35067776054416</v>
      </c>
      <c r="HE12" s="254">
        <f>HE13+HE23</f>
        <v>149.59693426586009</v>
      </c>
      <c r="HF12" s="160">
        <f>HF13+HF23</f>
        <v>148.81999187389107</v>
      </c>
      <c r="HG12" s="160">
        <f>HG13+HG23</f>
        <v>142.86856486542121</v>
      </c>
      <c r="HH12" s="273">
        <f t="shared" ref="HH12:HH17" si="62">SUM(HE12:HG12)</f>
        <v>441.28549100517233</v>
      </c>
      <c r="HI12" s="160">
        <f>HI13+HI23</f>
        <v>136.70439776395366</v>
      </c>
      <c r="HJ12" s="160">
        <f>HJ13+HJ23</f>
        <v>148.96304520310196</v>
      </c>
      <c r="HK12" s="160">
        <f>HK13+HK23</f>
        <v>183.37174648073767</v>
      </c>
      <c r="HL12" s="273">
        <f t="shared" ref="HL12:HL43" si="63">SUM(HI12:HK12)</f>
        <v>469.03918944779332</v>
      </c>
      <c r="HM12" s="254">
        <f>HM13+HM23</f>
        <v>185.40222012420838</v>
      </c>
      <c r="HN12" s="160">
        <f>HN13+HN23</f>
        <v>166.82493443789068</v>
      </c>
      <c r="HO12" s="159">
        <f>HO13+HO23</f>
        <v>149.02794610035869</v>
      </c>
      <c r="HP12" s="273">
        <f t="shared" ref="HP12:HP43" si="64">SUM(HM12:HO12)</f>
        <v>501.25510066245772</v>
      </c>
      <c r="HQ12" s="273">
        <f t="shared" ref="HQ12:HQ44" si="65">HD12+HH12+HL12+HP12</f>
        <v>2110.9304588759674</v>
      </c>
      <c r="HR12" s="254">
        <f>HR13+HR23</f>
        <v>147.68727686315637</v>
      </c>
      <c r="HS12" s="160">
        <f>HS13+HS23</f>
        <v>217.02294299573887</v>
      </c>
      <c r="HT12" s="159">
        <f>HT13+HT23</f>
        <v>141.02129428113003</v>
      </c>
      <c r="HU12" s="273">
        <f t="shared" ref="HU12:HU43" si="66">SUM(HR12:HT12)</f>
        <v>505.7315141400253</v>
      </c>
      <c r="HV12" s="254">
        <f>HV13+HV23</f>
        <v>141.82960387450501</v>
      </c>
      <c r="HW12" s="160">
        <f>HW13+HW23</f>
        <v>158.14367111774749</v>
      </c>
      <c r="HX12" s="160">
        <f>HX13+HX23</f>
        <v>162.21538730024869</v>
      </c>
      <c r="HY12" s="273">
        <f t="shared" ref="HY12:HY43" si="67">SUM(HV12:HX12)</f>
        <v>462.18866229250125</v>
      </c>
      <c r="HZ12" s="160">
        <f>HZ13+HZ23</f>
        <v>162.61376534939743</v>
      </c>
      <c r="IA12" s="160">
        <f>IA13+IA23</f>
        <v>208.41774320895135</v>
      </c>
      <c r="IB12" s="160">
        <f>IB13+IB23</f>
        <v>211.17887802248205</v>
      </c>
      <c r="IC12" s="273">
        <f t="shared" ref="IC12:IC22" si="68">SUM(HZ12:IB12)</f>
        <v>582.2103865808308</v>
      </c>
      <c r="ID12" s="254">
        <f>ID13+ID23</f>
        <v>206.78758975000002</v>
      </c>
      <c r="IE12" s="160">
        <f>IE13+IE23</f>
        <v>213.26093940073096</v>
      </c>
      <c r="IF12" s="159">
        <f>IF13+IF23</f>
        <v>220.04211219638415</v>
      </c>
      <c r="IG12" s="273">
        <f t="shared" ref="IG12:IG43" si="69">SUM(ID12:IF12)</f>
        <v>640.09064134711514</v>
      </c>
      <c r="IH12" s="273">
        <v>2190.2212043604727</v>
      </c>
      <c r="II12" s="254">
        <v>200.36970464999999</v>
      </c>
      <c r="IJ12" s="160">
        <v>240.00831284000003</v>
      </c>
      <c r="IK12" s="159">
        <v>206.36678820999995</v>
      </c>
      <c r="IL12" s="273">
        <v>646.74480570000003</v>
      </c>
      <c r="IM12" s="254">
        <v>160.69143211058051</v>
      </c>
      <c r="IN12" s="160">
        <v>207.71174937835997</v>
      </c>
      <c r="IO12" s="160">
        <v>232.69885796000003</v>
      </c>
      <c r="IP12" s="273">
        <v>601.10203944894056</v>
      </c>
      <c r="IQ12" s="254">
        <v>243.65975522999997</v>
      </c>
      <c r="IR12" s="160">
        <v>234.63479041000002</v>
      </c>
      <c r="IS12" s="159">
        <v>231.25561479298398</v>
      </c>
      <c r="IT12" s="273">
        <v>709.55016043298406</v>
      </c>
      <c r="IU12" s="254">
        <v>270.57114478299854</v>
      </c>
      <c r="IV12" s="160">
        <v>385.91275217801774</v>
      </c>
      <c r="IW12" s="159">
        <v>316.72350504058306</v>
      </c>
      <c r="IX12" s="273">
        <v>973.20740200159935</v>
      </c>
      <c r="IY12" s="273">
        <v>2930.6044075835243</v>
      </c>
      <c r="IZ12" s="254">
        <v>271.61250948046649</v>
      </c>
      <c r="JA12" s="160">
        <v>261.86035837999992</v>
      </c>
      <c r="JB12" s="159">
        <v>277.1756530598542</v>
      </c>
      <c r="JC12" s="273">
        <v>810.64852092032061</v>
      </c>
      <c r="JD12" s="254">
        <v>222.23701667997076</v>
      </c>
      <c r="JE12" s="160">
        <v>312.74075462000002</v>
      </c>
      <c r="JF12" s="159">
        <v>288.42004764000006</v>
      </c>
      <c r="JG12" s="273">
        <v>823.39781893997088</v>
      </c>
      <c r="JH12" s="254">
        <v>325.44632939897957</v>
      </c>
      <c r="JI12" s="160">
        <v>424.31619400256562</v>
      </c>
      <c r="JJ12" s="159">
        <v>355.13415007000003</v>
      </c>
      <c r="JK12" s="273">
        <v>1104.8966734715452</v>
      </c>
      <c r="JL12" s="254">
        <v>391.70727997026233</v>
      </c>
      <c r="JM12" s="160">
        <v>305.27248385163267</v>
      </c>
      <c r="JN12" s="160">
        <v>348.70755426967924</v>
      </c>
      <c r="JO12" s="273">
        <v>1045.6873180915741</v>
      </c>
      <c r="JP12" s="273">
        <v>3784.6303314234106</v>
      </c>
      <c r="JQ12" s="254">
        <v>496.57273564000002</v>
      </c>
      <c r="JR12" s="160">
        <v>363.02052905871716</v>
      </c>
      <c r="JS12" s="159">
        <v>357.98316341000003</v>
      </c>
      <c r="JT12" s="273">
        <v>1217.5764281087172</v>
      </c>
      <c r="JU12" s="254">
        <v>339.67253323000006</v>
      </c>
      <c r="JV12" s="160">
        <v>347.58477535008751</v>
      </c>
      <c r="JW12" s="159">
        <v>346.12273969000006</v>
      </c>
      <c r="JX12" s="273">
        <v>1033.3800482700876</v>
      </c>
      <c r="JY12" s="254">
        <v>422.3989849300001</v>
      </c>
      <c r="JZ12" s="160">
        <v>353.85422786000009</v>
      </c>
      <c r="KA12" s="159">
        <v>408.94206690046644</v>
      </c>
      <c r="KB12" s="273">
        <v>1185.1952796904666</v>
      </c>
      <c r="KC12" s="254">
        <v>442.99539049000145</v>
      </c>
      <c r="KD12" s="160">
        <v>391.26359071000007</v>
      </c>
      <c r="KE12" s="160">
        <v>524.77456837991258</v>
      </c>
      <c r="KF12" s="273">
        <v>1359.0335495799141</v>
      </c>
      <c r="KG12" s="273">
        <v>4795.1853056491855</v>
      </c>
      <c r="KH12" s="221">
        <v>361.34916403999995</v>
      </c>
      <c r="KI12" s="222">
        <v>326.73432917000008</v>
      </c>
      <c r="KJ12" s="223">
        <v>381.5872745499999</v>
      </c>
      <c r="KK12" s="273">
        <v>1069.67076776</v>
      </c>
      <c r="KL12" s="221">
        <v>482.05833732000002</v>
      </c>
      <c r="KM12" s="222">
        <v>503.94003927</v>
      </c>
      <c r="KN12" s="223">
        <v>431.14084543999996</v>
      </c>
      <c r="KO12" s="273">
        <v>1417.1392220299999</v>
      </c>
      <c r="KP12" s="221">
        <v>537.26497169000015</v>
      </c>
      <c r="KQ12" s="222">
        <v>842.6123127699999</v>
      </c>
      <c r="KR12" s="223">
        <v>372.57385687999994</v>
      </c>
      <c r="KS12" s="273">
        <v>1752.45114134</v>
      </c>
      <c r="KT12" s="254">
        <v>417.27200073000006</v>
      </c>
      <c r="KU12" s="160">
        <v>406.20001609999997</v>
      </c>
      <c r="KV12" s="159">
        <v>390.17419345999997</v>
      </c>
      <c r="KW12" s="273">
        <v>1213.64621029</v>
      </c>
      <c r="KX12" s="273">
        <v>5452.9073414200011</v>
      </c>
      <c r="KY12" s="221">
        <v>311.52881221000007</v>
      </c>
      <c r="KZ12" s="222">
        <v>342.17789591999997</v>
      </c>
      <c r="LA12" s="223">
        <v>250.34115324999999</v>
      </c>
      <c r="LB12" s="273">
        <v>904.04786138000009</v>
      </c>
      <c r="LC12" s="221">
        <v>285.69851538999995</v>
      </c>
      <c r="LD12" s="222">
        <v>261.65959108999999</v>
      </c>
      <c r="LE12" s="223">
        <v>284.80504673999997</v>
      </c>
      <c r="LF12" s="273">
        <v>832.16315321999991</v>
      </c>
      <c r="LG12" s="221">
        <v>250.71039207000007</v>
      </c>
      <c r="LH12" s="222">
        <v>241.35879005999996</v>
      </c>
      <c r="LI12" s="223">
        <v>237.43591139</v>
      </c>
      <c r="LJ12" s="273">
        <v>729.50509352000006</v>
      </c>
      <c r="LK12" s="254">
        <v>229.62459283999999</v>
      </c>
      <c r="LL12" s="160">
        <v>194.11588105000004</v>
      </c>
      <c r="LM12" s="159">
        <v>253.51295708320001</v>
      </c>
      <c r="LN12" s="273">
        <v>677.25343097320001</v>
      </c>
      <c r="LO12" s="273">
        <v>3142.9695390932002</v>
      </c>
    </row>
    <row r="13" spans="1:327" ht="17.100000000000001" customHeight="1" x14ac:dyDescent="0.2">
      <c r="A13" s="75" t="s">
        <v>72</v>
      </c>
      <c r="B13" s="24"/>
      <c r="C13" s="5">
        <v>810.4</v>
      </c>
      <c r="D13" s="5">
        <v>65.2</v>
      </c>
      <c r="E13" s="5">
        <v>51</v>
      </c>
      <c r="F13" s="5">
        <v>59.5</v>
      </c>
      <c r="G13" s="5">
        <v>175.7</v>
      </c>
      <c r="H13" s="5">
        <v>81.099999999999994</v>
      </c>
      <c r="I13" s="5">
        <v>71.7</v>
      </c>
      <c r="J13" s="5">
        <v>68.400000000000006</v>
      </c>
      <c r="K13" s="5">
        <v>221.2</v>
      </c>
      <c r="L13" s="5">
        <v>91.3</v>
      </c>
      <c r="M13" s="5">
        <f>M14+M18+M22</f>
        <v>60.1</v>
      </c>
      <c r="N13" s="5">
        <f>N14+N18+N22</f>
        <v>30.800000000000004</v>
      </c>
      <c r="O13" s="5">
        <f t="shared" si="0"/>
        <v>182.20000000000002</v>
      </c>
      <c r="P13" s="5">
        <f>P14+P18+P22</f>
        <v>25.4</v>
      </c>
      <c r="Q13" s="5">
        <f>Q14+Q18+Q22</f>
        <v>23.6</v>
      </c>
      <c r="R13" s="5">
        <f>R14+R18+R22</f>
        <v>20.95</v>
      </c>
      <c r="S13" s="5">
        <f t="shared" si="1"/>
        <v>69.95</v>
      </c>
      <c r="T13" s="16">
        <f t="shared" si="7"/>
        <v>649.04999999999995</v>
      </c>
      <c r="U13" s="5">
        <f>U14+U18+U22</f>
        <v>24.7</v>
      </c>
      <c r="V13" s="5">
        <f>V14+V18+V22</f>
        <v>14.4</v>
      </c>
      <c r="W13" s="5">
        <f>W14+W18+W22</f>
        <v>15.499999999999998</v>
      </c>
      <c r="X13" s="4">
        <f t="shared" si="2"/>
        <v>54.6</v>
      </c>
      <c r="Y13" s="5">
        <f>Y14+Y18+Y22</f>
        <v>13.85115824</v>
      </c>
      <c r="Z13" s="5">
        <f>Z14+Z18+Z22</f>
        <v>11.399999999999999</v>
      </c>
      <c r="AA13" s="5">
        <f>AA14+AA18+AA22</f>
        <v>17.36</v>
      </c>
      <c r="AB13" s="5">
        <f t="shared" si="3"/>
        <v>42.611158239999995</v>
      </c>
      <c r="AC13" s="5">
        <f>AC14+AC18+AC22</f>
        <v>13.36</v>
      </c>
      <c r="AD13" s="5">
        <f>AD14+AD18+AD22</f>
        <v>11.399999999999999</v>
      </c>
      <c r="AE13" s="5">
        <f>AE14+AE18+AE22</f>
        <v>14.879999999999999</v>
      </c>
      <c r="AF13" s="5">
        <f t="shared" si="4"/>
        <v>39.64</v>
      </c>
      <c r="AG13" s="5">
        <f>AG14+AG18+AG22</f>
        <v>8.92</v>
      </c>
      <c r="AH13" s="5">
        <f>AH14+AH18+AH22</f>
        <v>9.82</v>
      </c>
      <c r="AI13" s="5">
        <f>AI14+AI18+AI22</f>
        <v>8.9400000000000013</v>
      </c>
      <c r="AJ13" s="5">
        <f t="shared" si="8"/>
        <v>27.680000000000003</v>
      </c>
      <c r="AK13" s="16">
        <f t="shared" si="9"/>
        <v>164.53115824000002</v>
      </c>
      <c r="AL13" s="5">
        <f t="shared" ref="AL13:AT13" si="70">AL14+AL18+AL22</f>
        <v>8.3000000000000007</v>
      </c>
      <c r="AM13" s="5">
        <f t="shared" si="70"/>
        <v>6.24</v>
      </c>
      <c r="AN13" s="5">
        <f t="shared" si="70"/>
        <v>7.2200000000000006</v>
      </c>
      <c r="AO13" s="5">
        <f t="shared" si="11"/>
        <v>21.76</v>
      </c>
      <c r="AP13" s="5">
        <f t="shared" si="70"/>
        <v>5.8</v>
      </c>
      <c r="AQ13" s="5">
        <f t="shared" si="70"/>
        <v>7.5</v>
      </c>
      <c r="AR13" s="5">
        <f t="shared" si="70"/>
        <v>8.14</v>
      </c>
      <c r="AS13" s="54">
        <f t="shared" si="12"/>
        <v>21.44</v>
      </c>
      <c r="AT13" s="5">
        <f t="shared" si="70"/>
        <v>7.64</v>
      </c>
      <c r="AU13" s="5">
        <f>AU14+AU18+AU22</f>
        <v>7.8</v>
      </c>
      <c r="AV13" s="5">
        <f>AV14+AV18+AV22</f>
        <v>10.01758867</v>
      </c>
      <c r="AW13" s="54">
        <f t="shared" si="13"/>
        <v>25.45758867</v>
      </c>
      <c r="AX13" s="5">
        <f>AX14+AX18+AX22</f>
        <v>9.1999999999999993</v>
      </c>
      <c r="AY13" s="5">
        <f>AY14+AY18+AY22</f>
        <v>8.9500000000000011</v>
      </c>
      <c r="AZ13" s="5">
        <f>AZ14+AZ18+AZ22</f>
        <v>9.2000000000000011</v>
      </c>
      <c r="BA13" s="54">
        <f t="shared" si="14"/>
        <v>27.35</v>
      </c>
      <c r="BB13" s="54">
        <f t="shared" si="15"/>
        <v>96.00758866999999</v>
      </c>
      <c r="BC13" s="5">
        <f>BC14+BC18+BC22</f>
        <v>10.97065213</v>
      </c>
      <c r="BD13" s="66">
        <f>BD14+BD18+BD22</f>
        <v>12.229905549999998</v>
      </c>
      <c r="BE13" s="66">
        <f>BE14+BE18+BE22</f>
        <v>8.8186217899999999</v>
      </c>
      <c r="BF13" s="62">
        <f t="shared" si="16"/>
        <v>32.019179469999997</v>
      </c>
      <c r="BG13" s="67">
        <f>BG14+BG18+BG22</f>
        <v>8.8637110000000003</v>
      </c>
      <c r="BH13" s="67">
        <f>BH14+BH18+BH22</f>
        <v>8.354610000000001</v>
      </c>
      <c r="BI13" s="67">
        <f>BI14+BI18+BI22</f>
        <v>8.4525900000000007</v>
      </c>
      <c r="BJ13" s="62">
        <f t="shared" si="17"/>
        <v>25.670911000000004</v>
      </c>
      <c r="BK13" s="67">
        <f>BK14+BK18+BK22</f>
        <v>8.7836799999999986</v>
      </c>
      <c r="BL13" s="67">
        <f>BL14+BL18+BL22</f>
        <v>8.7014000000000014</v>
      </c>
      <c r="BM13" s="67">
        <f>BM14+BM18+BM22</f>
        <v>11.716895000000001</v>
      </c>
      <c r="BN13" s="62">
        <f t="shared" si="18"/>
        <v>29.201975000000001</v>
      </c>
      <c r="BO13" s="71">
        <f>BO14+BO18+BO22</f>
        <v>14.6121286</v>
      </c>
      <c r="BP13" s="67">
        <f>BP14+BP18+BP22</f>
        <v>11.845369999999999</v>
      </c>
      <c r="BQ13" s="67">
        <f>BQ14+BQ18+BQ22</f>
        <v>12.384869999999999</v>
      </c>
      <c r="BR13" s="62">
        <f t="shared" si="19"/>
        <v>38.8423686</v>
      </c>
      <c r="BS13" s="62">
        <f t="shared" si="20"/>
        <v>125.73443407000001</v>
      </c>
      <c r="BT13" s="71">
        <f>BT14+BT18+BT22</f>
        <v>15.9</v>
      </c>
      <c r="BU13" s="67">
        <f>BU14+BU18+BU22</f>
        <v>14</v>
      </c>
      <c r="BV13" s="77">
        <f>BV14+BV18+BV22</f>
        <v>14.600000000000001</v>
      </c>
      <c r="BW13" s="62">
        <f t="shared" si="21"/>
        <v>44.5</v>
      </c>
      <c r="BX13" s="67">
        <f>BX14+BX18+BX22</f>
        <v>13.989999999999998</v>
      </c>
      <c r="BY13" s="67">
        <f>BY14+BY18+BY22</f>
        <v>16.900000000000002</v>
      </c>
      <c r="BZ13" s="67">
        <f>BZ14+BZ18+BZ22</f>
        <v>0.60000000000000009</v>
      </c>
      <c r="CA13" s="62">
        <f t="shared" si="22"/>
        <v>31.490000000000002</v>
      </c>
      <c r="CB13" s="67">
        <f>CB14+CB18+CB22</f>
        <v>0.5</v>
      </c>
      <c r="CC13" s="67">
        <f>CC14+CC18+CC22</f>
        <v>0.73</v>
      </c>
      <c r="CD13" s="67">
        <f>CD14+CD18+CD22</f>
        <v>0.27999999999999997</v>
      </c>
      <c r="CE13" s="62">
        <f t="shared" si="23"/>
        <v>1.51</v>
      </c>
      <c r="CF13" s="67">
        <f>CF14+CF18+CF22</f>
        <v>0.4</v>
      </c>
      <c r="CG13" s="67">
        <f>CG14+CG18+CG22</f>
        <v>0.8</v>
      </c>
      <c r="CH13" s="67">
        <f>CH14+CH18+CH22</f>
        <v>0.7</v>
      </c>
      <c r="CI13" s="67">
        <f t="shared" si="24"/>
        <v>1.9000000000000001</v>
      </c>
      <c r="CJ13" s="71">
        <f t="shared" si="25"/>
        <v>79.40000000000002</v>
      </c>
      <c r="CK13" s="71">
        <f>CK14+CK18+CK22</f>
        <v>0.8</v>
      </c>
      <c r="CL13" s="67">
        <f>CL14+CL18+CL22</f>
        <v>0.7</v>
      </c>
      <c r="CM13" s="67">
        <f>CM14+CM18+CM22</f>
        <v>0.5</v>
      </c>
      <c r="CN13" s="62">
        <f t="shared" si="26"/>
        <v>2</v>
      </c>
      <c r="CO13" s="67">
        <f>CO14+CO18+CO22</f>
        <v>0.5</v>
      </c>
      <c r="CP13" s="67">
        <f>CP14+CP18+CP22</f>
        <v>1</v>
      </c>
      <c r="CQ13" s="67">
        <f>CQ14+CQ18+CQ22</f>
        <v>0.79999999999999993</v>
      </c>
      <c r="CR13" s="62">
        <f t="shared" si="27"/>
        <v>2.2999999999999998</v>
      </c>
      <c r="CS13" s="101">
        <f>CS14+CS18+CS22</f>
        <v>0.3</v>
      </c>
      <c r="CT13" s="67">
        <f>CT14+CT18+CT22</f>
        <v>0.30000000000000004</v>
      </c>
      <c r="CU13" s="67">
        <f>CU14+CU18+CU22</f>
        <v>0.7</v>
      </c>
      <c r="CV13" s="62">
        <f t="shared" si="28"/>
        <v>1.3</v>
      </c>
      <c r="CW13" s="67">
        <f>CW14+CW18+CW22</f>
        <v>0.7</v>
      </c>
      <c r="CX13" s="67">
        <f>CX14+CX18+CX22</f>
        <v>0.9</v>
      </c>
      <c r="CY13" s="112">
        <f>CY14+CY18+CY22</f>
        <v>0.60000000000000009</v>
      </c>
      <c r="CZ13" s="113">
        <f t="shared" si="29"/>
        <v>2.2000000000000002</v>
      </c>
      <c r="DA13" s="62">
        <f t="shared" si="30"/>
        <v>7.8</v>
      </c>
      <c r="DB13" s="71">
        <f>DB14+DB18+DB22</f>
        <v>0.8</v>
      </c>
      <c r="DC13" s="67">
        <f>DC14+DC18+DC22</f>
        <v>0.8</v>
      </c>
      <c r="DD13" s="67">
        <f>DD14+DD18+DD22</f>
        <v>0.3</v>
      </c>
      <c r="DE13" s="62">
        <f t="shared" si="31"/>
        <v>1.9000000000000001</v>
      </c>
      <c r="DF13" s="71">
        <f>DF14+DF18+DF22</f>
        <v>0.5</v>
      </c>
      <c r="DG13" s="67">
        <f>DG14+DG18+DG22</f>
        <v>0.1</v>
      </c>
      <c r="DH13" s="67">
        <f>DH14+DH18+DH22</f>
        <v>0.2</v>
      </c>
      <c r="DI13" s="62">
        <f t="shared" si="32"/>
        <v>0.8</v>
      </c>
      <c r="DJ13" s="71">
        <f>DJ14+DJ18+DJ22</f>
        <v>0.1</v>
      </c>
      <c r="DK13" s="67">
        <f>DK14+DK18+DK22</f>
        <v>0.3</v>
      </c>
      <c r="DL13" s="67">
        <f>DL14+DL18+DL22</f>
        <v>0.4</v>
      </c>
      <c r="DM13" s="62">
        <f t="shared" si="33"/>
        <v>0.8</v>
      </c>
      <c r="DN13" s="67">
        <f>DN14+DN18+DN22</f>
        <v>3.3</v>
      </c>
      <c r="DO13" s="67">
        <f>DO14+DO18+DO22</f>
        <v>0.7</v>
      </c>
      <c r="DP13" s="67">
        <f>DP14+DP18+DP22</f>
        <v>5.2</v>
      </c>
      <c r="DQ13" s="113">
        <f t="shared" si="34"/>
        <v>9.1999999999999993</v>
      </c>
      <c r="DR13" s="140">
        <f t="shared" si="35"/>
        <v>12.7</v>
      </c>
      <c r="DS13" s="141">
        <f>DS14+DS18+DS22</f>
        <v>2</v>
      </c>
      <c r="DT13" s="141">
        <f>DT14+DT18+DT22</f>
        <v>0.4</v>
      </c>
      <c r="DU13" s="141">
        <f>DU14+DU18+DU22</f>
        <v>6.2</v>
      </c>
      <c r="DV13" s="140">
        <f t="shared" si="36"/>
        <v>8.6</v>
      </c>
      <c r="DW13" s="142">
        <f>DW14+DW18+DW22</f>
        <v>0.5</v>
      </c>
      <c r="DX13" s="141">
        <f>DX14+DX18+DX22</f>
        <v>0</v>
      </c>
      <c r="DY13" s="141">
        <f>DY14+DY18+DY22</f>
        <v>2</v>
      </c>
      <c r="DZ13" s="140">
        <f t="shared" si="37"/>
        <v>2.5</v>
      </c>
      <c r="EA13" s="142">
        <f>EA14+EA18+EA22</f>
        <v>1.3</v>
      </c>
      <c r="EB13" s="141">
        <f>EB14+EB18+EB22</f>
        <v>5.2</v>
      </c>
      <c r="EC13" s="141">
        <f>EC14+EC18+EC22</f>
        <v>5</v>
      </c>
      <c r="ED13" s="140">
        <f t="shared" si="38"/>
        <v>11.5</v>
      </c>
      <c r="EE13" s="141">
        <f>EE14+EE18+EE22</f>
        <v>0.7</v>
      </c>
      <c r="EF13" s="141">
        <f>EF14+EF18+EF22</f>
        <v>2.7</v>
      </c>
      <c r="EG13" s="141">
        <f>EG14+EG18+EG22</f>
        <v>0.6</v>
      </c>
      <c r="EH13" s="140">
        <f t="shared" si="39"/>
        <v>4</v>
      </c>
      <c r="EI13" s="140">
        <f t="shared" si="40"/>
        <v>26.6</v>
      </c>
      <c r="EJ13" s="141">
        <f>EJ14+EJ18+EJ22</f>
        <v>0.5</v>
      </c>
      <c r="EK13" s="141">
        <f>EK14+EK18+EK22</f>
        <v>0.7</v>
      </c>
      <c r="EL13" s="141">
        <f>EL14+EL18+EL22</f>
        <v>0.7</v>
      </c>
      <c r="EM13" s="140">
        <f t="shared" si="41"/>
        <v>1.9</v>
      </c>
      <c r="EN13" s="141">
        <f>EN14+EN18+EN22</f>
        <v>0.9</v>
      </c>
      <c r="EO13" s="141">
        <f>EO14+EO18+EO22</f>
        <v>0.4</v>
      </c>
      <c r="EP13" s="141">
        <f>EP14+EP18+EP22</f>
        <v>0.32</v>
      </c>
      <c r="EQ13" s="140">
        <f t="shared" si="42"/>
        <v>1.62</v>
      </c>
      <c r="ER13" s="141">
        <f>ER14+ER18+ER22</f>
        <v>3.3</v>
      </c>
      <c r="ES13" s="141">
        <f>ES14+ES18+ES22</f>
        <v>1.6</v>
      </c>
      <c r="ET13" s="141">
        <f>ET14+ET18+ET22</f>
        <v>0.1</v>
      </c>
      <c r="EU13" s="140">
        <f t="shared" si="43"/>
        <v>5</v>
      </c>
      <c r="EV13" s="141">
        <f>EV14+EV18+EV22</f>
        <v>4</v>
      </c>
      <c r="EW13" s="141">
        <f>EW14+EW18+EW22</f>
        <v>0.2</v>
      </c>
      <c r="EX13" s="141">
        <f>EX14+EX18+EX22</f>
        <v>3.8444049999999996</v>
      </c>
      <c r="EY13" s="140">
        <f t="shared" si="44"/>
        <v>8.0444049999999994</v>
      </c>
      <c r="EZ13" s="169">
        <f t="shared" si="45"/>
        <v>16.564405000000001</v>
      </c>
      <c r="FA13" s="170"/>
      <c r="FB13" s="169">
        <f>FB14+FB18+FB22</f>
        <v>2</v>
      </c>
      <c r="FC13" s="169">
        <f>FC14+FC18+FC22</f>
        <v>0.1</v>
      </c>
      <c r="FD13" s="169">
        <f>FD14+FD18+FD22</f>
        <v>3.7</v>
      </c>
      <c r="FE13" s="171">
        <f t="shared" si="46"/>
        <v>5.8000000000000007</v>
      </c>
      <c r="FF13" s="169">
        <f>FF14+FF18+FF22</f>
        <v>0.32132254999999998</v>
      </c>
      <c r="FG13" s="169">
        <f>FG14+FG18+FG22</f>
        <v>1.90385296</v>
      </c>
      <c r="FH13" s="169">
        <f>FH14+FH18+FH22</f>
        <v>3.8232447099999995</v>
      </c>
      <c r="FI13" s="171">
        <f t="shared" si="47"/>
        <v>6.0484202199999997</v>
      </c>
      <c r="FJ13" s="169">
        <f>FJ14+FJ18+FJ22</f>
        <v>5.2799988397000002</v>
      </c>
      <c r="FK13" s="169">
        <f>FK14+FK18+FK22</f>
        <v>4.0001161899</v>
      </c>
      <c r="FL13" s="169">
        <f>FL14+FL18+FL22</f>
        <v>7.2935160999999997</v>
      </c>
      <c r="FM13" s="171">
        <f t="shared" si="48"/>
        <v>16.573631129600003</v>
      </c>
      <c r="FN13" s="172">
        <f>FN14+FN18+FN22</f>
        <v>5.4127950596999996</v>
      </c>
      <c r="FO13" s="173">
        <f>FO14+FO18+FO22</f>
        <v>16.059381109869999</v>
      </c>
      <c r="FP13" s="173">
        <f>FP14+FP18+FP22</f>
        <v>6.3687393300000004</v>
      </c>
      <c r="FQ13" s="175">
        <f t="shared" si="49"/>
        <v>27.840915499569999</v>
      </c>
      <c r="FR13" s="175">
        <f t="shared" si="50"/>
        <v>56.262966849169999</v>
      </c>
      <c r="FS13" s="172">
        <f>FS14+FS18+FS22</f>
        <v>7.5939351000000004</v>
      </c>
      <c r="FT13" s="173">
        <f>FT14+FT18+FT22</f>
        <v>5.4524821303</v>
      </c>
      <c r="FU13" s="174">
        <f>FU14+FU18+FU22</f>
        <v>1.4932189996999998</v>
      </c>
      <c r="FV13" s="175">
        <f t="shared" si="51"/>
        <v>14.539636230000001</v>
      </c>
      <c r="FW13" s="172">
        <f>FW14+FW18+FW22</f>
        <v>2.4840198501000001</v>
      </c>
      <c r="FX13" s="173">
        <f>FX14+FX18+FX22</f>
        <v>6.0104152504000004</v>
      </c>
      <c r="FY13" s="174">
        <v>20.97362382</v>
      </c>
      <c r="FZ13" s="175">
        <f t="shared" si="52"/>
        <v>29.468058920499999</v>
      </c>
      <c r="GA13" s="172">
        <f>GA14+GA18+GA22</f>
        <v>80.623034379799989</v>
      </c>
      <c r="GB13" s="173">
        <f>GB14+GB18+GB22</f>
        <v>88.44926111049999</v>
      </c>
      <c r="GC13" s="174">
        <f>GC14+GC18+GC22</f>
        <v>121.08792528999999</v>
      </c>
      <c r="GD13" s="175">
        <f t="shared" si="53"/>
        <v>290.16022078029994</v>
      </c>
      <c r="GE13" s="172">
        <f>GE14+GE18+GE22</f>
        <v>165.33721531892999</v>
      </c>
      <c r="GF13" s="173">
        <f>GF14+GF18+GF22</f>
        <v>190.71547222099997</v>
      </c>
      <c r="GG13" s="159">
        <f>GG14+GG18+GG22</f>
        <v>171.25793467610001</v>
      </c>
      <c r="GH13" s="174">
        <f t="shared" si="54"/>
        <v>527.31062221602997</v>
      </c>
      <c r="GI13" s="174">
        <f t="shared" si="55"/>
        <v>861.47853814682992</v>
      </c>
      <c r="GJ13" s="221">
        <f>GJ14+GJ18+GJ22</f>
        <v>176.5847342715</v>
      </c>
      <c r="GK13" s="222">
        <f>GK14+GK18+GK22</f>
        <v>190.18065396119999</v>
      </c>
      <c r="GL13" s="223">
        <f>GL14+GL18+GL22</f>
        <v>185.3605433056</v>
      </c>
      <c r="GM13" s="175">
        <f t="shared" si="56"/>
        <v>552.12593153829994</v>
      </c>
      <c r="GN13" s="221">
        <f>GN14+GN18+GN22</f>
        <v>279.38163437089997</v>
      </c>
      <c r="GO13" s="222">
        <f>GO14+GO18+GO22</f>
        <v>223.89299761977193</v>
      </c>
      <c r="GP13" s="222">
        <f>GP14+GP18+GP22</f>
        <v>222.62296175734457</v>
      </c>
      <c r="GQ13" s="175">
        <f t="shared" si="57"/>
        <v>725.89759374801645</v>
      </c>
      <c r="GR13" s="222">
        <f>GR14+GR18+GR22</f>
        <v>212.47819477017617</v>
      </c>
      <c r="GS13" s="222">
        <f>GS14+GS18+GS22</f>
        <v>263.14001757062783</v>
      </c>
      <c r="GT13" s="222">
        <f>GT14+GT18+GT22</f>
        <v>271.90127305951563</v>
      </c>
      <c r="GU13" s="175">
        <f t="shared" si="58"/>
        <v>747.51948540031958</v>
      </c>
      <c r="GV13" s="221">
        <f>GV14+GV18+GV22</f>
        <v>229.74771211601137</v>
      </c>
      <c r="GW13" s="222">
        <f>GW14+GW18+GW22</f>
        <v>203.50910391837877</v>
      </c>
      <c r="GX13" s="223">
        <f>GX14+GX18+GX22</f>
        <v>271.42083242472046</v>
      </c>
      <c r="GY13" s="174">
        <f t="shared" si="59"/>
        <v>704.67764845911051</v>
      </c>
      <c r="GZ13" s="159">
        <f t="shared" si="60"/>
        <v>2730.2206591457461</v>
      </c>
      <c r="HA13" s="254">
        <f>HA14+HA18+HA22</f>
        <v>235.08967686097557</v>
      </c>
      <c r="HB13" s="160">
        <f>HB14+HB18+HB22</f>
        <v>217.93541045193672</v>
      </c>
      <c r="HC13" s="159">
        <f>HC14+HC18+HC22</f>
        <v>234.80788042180984</v>
      </c>
      <c r="HD13" s="273">
        <f t="shared" si="61"/>
        <v>687.83296773472216</v>
      </c>
      <c r="HE13" s="254">
        <f>HE14+HE18+HE22</f>
        <v>145.81438536076476</v>
      </c>
      <c r="HF13" s="160">
        <f>HF14+HF18+HF22</f>
        <v>145.63535177335726</v>
      </c>
      <c r="HG13" s="160">
        <f>HG14+HG18+HG22</f>
        <v>140.65466500308591</v>
      </c>
      <c r="HH13" s="273">
        <f t="shared" si="62"/>
        <v>432.1044021372079</v>
      </c>
      <c r="HI13" s="160">
        <f>HI14+HI18+HI22</f>
        <v>135.61224710257031</v>
      </c>
      <c r="HJ13" s="160">
        <f>HJ14+HJ18+HJ22</f>
        <v>146.78158891776781</v>
      </c>
      <c r="HK13" s="160">
        <f>HK14+HK18+HK22</f>
        <v>182.08669515320736</v>
      </c>
      <c r="HL13" s="273">
        <f t="shared" si="63"/>
        <v>464.48053117354544</v>
      </c>
      <c r="HM13" s="254">
        <f>HM14+HM18+HM22</f>
        <v>183.61191733199087</v>
      </c>
      <c r="HN13" s="160">
        <f>HN14+HN18+HN22</f>
        <v>165.3404428056958</v>
      </c>
      <c r="HO13" s="159">
        <f>HO14+HO18+HO22</f>
        <v>143.99837796035868</v>
      </c>
      <c r="HP13" s="273">
        <f t="shared" si="64"/>
        <v>492.95073809804535</v>
      </c>
      <c r="HQ13" s="273">
        <f t="shared" si="65"/>
        <v>2077.3686391435208</v>
      </c>
      <c r="HR13" s="254">
        <f>HR14+HR18+HR22</f>
        <v>134.68057260109038</v>
      </c>
      <c r="HS13" s="160">
        <f>HS14+HS18+HS22</f>
        <v>214.13524674649926</v>
      </c>
      <c r="HT13" s="159">
        <f>HT14+HT18+HT22</f>
        <v>137.65016500000002</v>
      </c>
      <c r="HU13" s="273">
        <f t="shared" si="66"/>
        <v>486.46598434758965</v>
      </c>
      <c r="HV13" s="254">
        <f>HV14+HV18+HV22</f>
        <v>133.95503459012912</v>
      </c>
      <c r="HW13" s="160">
        <f>HW14+HW18+HW22</f>
        <v>154.46564881329985</v>
      </c>
      <c r="HX13" s="160">
        <f>HX14+HX18+HX22</f>
        <v>160.47946323953133</v>
      </c>
      <c r="HY13" s="273">
        <f t="shared" si="67"/>
        <v>448.90014664296029</v>
      </c>
      <c r="HZ13" s="160">
        <f>HZ14+HZ18+HZ22</f>
        <v>158.44162607187948</v>
      </c>
      <c r="IA13" s="160">
        <f>IA14+IA18+IA22</f>
        <v>206.07015097751793</v>
      </c>
      <c r="IB13" s="160">
        <f>IB14+IB18+IB22</f>
        <v>208.18307543202295</v>
      </c>
      <c r="IC13" s="273">
        <f t="shared" si="68"/>
        <v>572.69485248142041</v>
      </c>
      <c r="ID13" s="254">
        <f>ID14+ID18+ID22</f>
        <v>199.20575734000002</v>
      </c>
      <c r="IE13" s="160">
        <f>IE14+IE18+IE22</f>
        <v>209.24881978999997</v>
      </c>
      <c r="IF13" s="159">
        <f>IF14+IF18+IF22</f>
        <v>216.47585478573401</v>
      </c>
      <c r="IG13" s="273">
        <f t="shared" si="69"/>
        <v>624.93043191573395</v>
      </c>
      <c r="IH13" s="273">
        <v>2132.9914153877044</v>
      </c>
      <c r="II13" s="254">
        <v>197.37610436</v>
      </c>
      <c r="IJ13" s="160">
        <v>238.02262355000002</v>
      </c>
      <c r="IK13" s="159">
        <v>201.04886157999996</v>
      </c>
      <c r="IL13" s="273">
        <v>636.44758949000004</v>
      </c>
      <c r="IM13" s="254">
        <v>158.15666688999997</v>
      </c>
      <c r="IN13" s="160">
        <v>204.55958407050801</v>
      </c>
      <c r="IO13" s="160">
        <v>229.07682808000001</v>
      </c>
      <c r="IP13" s="273">
        <v>591.79307904050802</v>
      </c>
      <c r="IQ13" s="254">
        <v>240.35263905999997</v>
      </c>
      <c r="IR13" s="160">
        <v>230.89027213000003</v>
      </c>
      <c r="IS13" s="159">
        <v>227.29492514116447</v>
      </c>
      <c r="IT13" s="273">
        <v>698.5378363311645</v>
      </c>
      <c r="IU13" s="254">
        <v>259.33437026071323</v>
      </c>
      <c r="IV13" s="160">
        <v>382.80948772225963</v>
      </c>
      <c r="IW13" s="159">
        <v>309.78023763078716</v>
      </c>
      <c r="IX13" s="273">
        <v>951.92409561375996</v>
      </c>
      <c r="IY13" s="273">
        <v>2878.7026004754325</v>
      </c>
      <c r="IZ13" s="254">
        <v>269.33298841985425</v>
      </c>
      <c r="JA13" s="160">
        <v>258.15224040999993</v>
      </c>
      <c r="JB13" s="159">
        <v>273.86801746985418</v>
      </c>
      <c r="JC13" s="273">
        <v>801.3532462997083</v>
      </c>
      <c r="JD13" s="254">
        <v>218.07516345997075</v>
      </c>
      <c r="JE13" s="160">
        <v>310.08664168000001</v>
      </c>
      <c r="JF13" s="159">
        <v>285.95448043000005</v>
      </c>
      <c r="JG13" s="273">
        <v>814.11628556997084</v>
      </c>
      <c r="JH13" s="254">
        <v>319.10190205897959</v>
      </c>
      <c r="JI13" s="160">
        <v>419.22462922099129</v>
      </c>
      <c r="JJ13" s="159">
        <v>343.14614390000003</v>
      </c>
      <c r="JK13" s="273">
        <v>1081.4726751799708</v>
      </c>
      <c r="JL13" s="254">
        <v>388.82020300991246</v>
      </c>
      <c r="JM13" s="160">
        <v>300.81976299029157</v>
      </c>
      <c r="JN13" s="160">
        <v>342.89028376008741</v>
      </c>
      <c r="JO13" s="273">
        <v>1032.5302497602916</v>
      </c>
      <c r="JP13" s="273">
        <v>3729.4724568099414</v>
      </c>
      <c r="JQ13" s="254">
        <v>493.75129984</v>
      </c>
      <c r="JR13" s="160">
        <v>360.86761439970843</v>
      </c>
      <c r="JS13" s="159">
        <v>353.93449721000002</v>
      </c>
      <c r="JT13" s="273">
        <v>1208.5534114497084</v>
      </c>
      <c r="JU13" s="254">
        <v>331.02479228000004</v>
      </c>
      <c r="JV13" s="160">
        <v>342.29175167008754</v>
      </c>
      <c r="JW13" s="159">
        <v>338.82753616000008</v>
      </c>
      <c r="JX13" s="273">
        <v>1012.1440801100878</v>
      </c>
      <c r="JY13" s="254">
        <v>416.6575567700001</v>
      </c>
      <c r="JZ13" s="160">
        <v>349.99450488000008</v>
      </c>
      <c r="KA13" s="159">
        <v>405.24847109046647</v>
      </c>
      <c r="KB13" s="273">
        <v>1171.9005327404666</v>
      </c>
      <c r="KC13" s="254">
        <v>433.81519727000148</v>
      </c>
      <c r="KD13" s="160">
        <v>386.95650256000005</v>
      </c>
      <c r="KE13" s="160">
        <v>521.03707283000006</v>
      </c>
      <c r="KF13" s="273">
        <v>1341.8087726600015</v>
      </c>
      <c r="KG13" s="273">
        <v>4734.4067969602638</v>
      </c>
      <c r="KH13" s="221">
        <v>358.35913045999996</v>
      </c>
      <c r="KI13" s="222">
        <v>323.43568592000008</v>
      </c>
      <c r="KJ13" s="223">
        <v>376.77681645999991</v>
      </c>
      <c r="KK13" s="273">
        <v>1058.5716328399999</v>
      </c>
      <c r="KL13" s="221">
        <v>478.89178280000004</v>
      </c>
      <c r="KM13" s="222">
        <v>496.94833949999997</v>
      </c>
      <c r="KN13" s="223">
        <v>422.36192427999998</v>
      </c>
      <c r="KO13" s="273">
        <v>1398.2020465800001</v>
      </c>
      <c r="KP13" s="221">
        <v>529.49812620000012</v>
      </c>
      <c r="KQ13" s="222">
        <v>837.72303954999995</v>
      </c>
      <c r="KR13" s="223">
        <v>365.17055068999991</v>
      </c>
      <c r="KS13" s="273">
        <v>1732.39171644</v>
      </c>
      <c r="KT13" s="254">
        <v>412.95185375000005</v>
      </c>
      <c r="KU13" s="160">
        <v>397.02395748999999</v>
      </c>
      <c r="KV13" s="159">
        <v>379.50727033999999</v>
      </c>
      <c r="KW13" s="273">
        <v>1189.4830815800001</v>
      </c>
      <c r="KX13" s="273">
        <v>5378.6484774399996</v>
      </c>
      <c r="KY13" s="221">
        <v>307.97145259000007</v>
      </c>
      <c r="KZ13" s="222">
        <v>326.60625142999999</v>
      </c>
      <c r="LA13" s="223">
        <v>246.24971854999998</v>
      </c>
      <c r="LB13" s="273">
        <v>880.82742257000007</v>
      </c>
      <c r="LC13" s="221">
        <v>283.49424555999997</v>
      </c>
      <c r="LD13" s="222">
        <v>254.93437093</v>
      </c>
      <c r="LE13" s="223">
        <v>281.02675214999999</v>
      </c>
      <c r="LF13" s="273">
        <v>819.45536863999996</v>
      </c>
      <c r="LG13" s="221">
        <v>246.76726488000006</v>
      </c>
      <c r="LH13" s="222">
        <v>238.96258222999995</v>
      </c>
      <c r="LI13" s="223">
        <v>227.33800902999999</v>
      </c>
      <c r="LJ13" s="273">
        <v>713.06785614</v>
      </c>
      <c r="LK13" s="254">
        <v>225.50663259999999</v>
      </c>
      <c r="LL13" s="160">
        <v>190.07579978000004</v>
      </c>
      <c r="LM13" s="159">
        <v>244.14168012000002</v>
      </c>
      <c r="LN13" s="273">
        <v>659.72411250000005</v>
      </c>
      <c r="LO13" s="273">
        <v>3073.0747598500002</v>
      </c>
    </row>
    <row r="14" spans="1:327" ht="17.100000000000001" customHeight="1" x14ac:dyDescent="0.2">
      <c r="A14" s="2" t="s">
        <v>73</v>
      </c>
      <c r="B14" s="24"/>
      <c r="C14" s="5">
        <v>172.6</v>
      </c>
      <c r="D14" s="5">
        <v>16.3</v>
      </c>
      <c r="E14" s="5">
        <v>9.3000000000000007</v>
      </c>
      <c r="F14" s="5">
        <v>9.4</v>
      </c>
      <c r="G14" s="5">
        <v>35</v>
      </c>
      <c r="H14" s="5">
        <v>12.5</v>
      </c>
      <c r="I14" s="5">
        <v>9.6</v>
      </c>
      <c r="J14" s="5">
        <v>6.7</v>
      </c>
      <c r="K14" s="5">
        <v>28.8</v>
      </c>
      <c r="L14" s="5">
        <v>19.600000000000001</v>
      </c>
      <c r="M14" s="5">
        <f>SUM(M15:M17)</f>
        <v>6.5</v>
      </c>
      <c r="N14" s="5">
        <f>SUM(N15:N17)</f>
        <v>12.100000000000001</v>
      </c>
      <c r="O14" s="5">
        <f t="shared" si="0"/>
        <v>38.200000000000003</v>
      </c>
      <c r="P14" s="5">
        <f>SUM(P15:P17)</f>
        <v>13.2</v>
      </c>
      <c r="Q14" s="5">
        <f>SUM(Q15:Q17)</f>
        <v>11.7</v>
      </c>
      <c r="R14" s="5">
        <f>SUM(R15:R17)</f>
        <v>12.2</v>
      </c>
      <c r="S14" s="5">
        <f t="shared" si="1"/>
        <v>37.099999999999994</v>
      </c>
      <c r="T14" s="16">
        <f t="shared" si="7"/>
        <v>139.1</v>
      </c>
      <c r="U14" s="5">
        <f>SUM(U15:U17)</f>
        <v>7.1</v>
      </c>
      <c r="V14" s="5">
        <f>SUM(V15:V17)</f>
        <v>7.9</v>
      </c>
      <c r="W14" s="5">
        <f>SUM(W15:W17)</f>
        <v>11.2</v>
      </c>
      <c r="X14" s="4">
        <f t="shared" si="2"/>
        <v>26.2</v>
      </c>
      <c r="Y14" s="5">
        <f>SUM(Y15:Y17)</f>
        <v>11.45115824</v>
      </c>
      <c r="Z14" s="5">
        <f>SUM(Z15:Z17)</f>
        <v>7.9</v>
      </c>
      <c r="AA14" s="5">
        <f>SUM(AA15:AA17)</f>
        <v>15.68</v>
      </c>
      <c r="AB14" s="5">
        <f t="shared" si="3"/>
        <v>35.031158239999996</v>
      </c>
      <c r="AC14" s="5">
        <f>SUM(AC15:AC17)</f>
        <v>10.26</v>
      </c>
      <c r="AD14" s="5">
        <f>SUM(AD15:AD17)</f>
        <v>8</v>
      </c>
      <c r="AE14" s="5">
        <f>SUM(AE15:AE17)</f>
        <v>9.1999999999999993</v>
      </c>
      <c r="AF14" s="5">
        <f t="shared" si="4"/>
        <v>27.459999999999997</v>
      </c>
      <c r="AG14" s="5">
        <f>SUM(AG15:AG17)</f>
        <v>7.16</v>
      </c>
      <c r="AH14" s="5">
        <f>SUM(AH15:AH17)</f>
        <v>7.66</v>
      </c>
      <c r="AI14" s="5">
        <f>SUM(AI15:AI17)</f>
        <v>7.1999999999999993</v>
      </c>
      <c r="AJ14" s="5">
        <f t="shared" si="8"/>
        <v>22.02</v>
      </c>
      <c r="AK14" s="16">
        <f t="shared" si="9"/>
        <v>110.71115823999999</v>
      </c>
      <c r="AL14" s="5">
        <f>SUM(AL15:AL16)</f>
        <v>7</v>
      </c>
      <c r="AM14" s="5">
        <f>SUM(AM15:AM16)</f>
        <v>5</v>
      </c>
      <c r="AN14" s="5">
        <f>SUM(AN15:AN16)</f>
        <v>6.16</v>
      </c>
      <c r="AO14" s="5">
        <f t="shared" si="11"/>
        <v>18.16</v>
      </c>
      <c r="AP14" s="5">
        <f>SUM(AP15:AP16)</f>
        <v>4.6999999999999993</v>
      </c>
      <c r="AQ14" s="5">
        <f>SUM(AQ15:AQ16)</f>
        <v>6.1</v>
      </c>
      <c r="AR14" s="5">
        <f>SUM(AR15:AR17)</f>
        <v>7.14</v>
      </c>
      <c r="AS14" s="54">
        <f t="shared" si="12"/>
        <v>17.939999999999998</v>
      </c>
      <c r="AT14" s="5">
        <f>SUM(AT15:AT17)</f>
        <v>6.84</v>
      </c>
      <c r="AU14" s="5">
        <f>SUM(AU15:AU17)</f>
        <v>4.3499999999999996</v>
      </c>
      <c r="AV14" s="5">
        <f>SUM(AV15:AV17)</f>
        <v>6.11758867</v>
      </c>
      <c r="AW14" s="54">
        <f t="shared" si="13"/>
        <v>17.307588670000001</v>
      </c>
      <c r="AX14" s="5">
        <f>SUM(AX15:AX17)</f>
        <v>6.9</v>
      </c>
      <c r="AY14" s="5">
        <f>SUM(AY15:AY17)</f>
        <v>7.3000000000000007</v>
      </c>
      <c r="AZ14" s="5">
        <f>SUM(AZ15:AZ17)</f>
        <v>7.7000000000000011</v>
      </c>
      <c r="BA14" s="54">
        <f t="shared" si="14"/>
        <v>21.900000000000002</v>
      </c>
      <c r="BB14" s="54">
        <f t="shared" si="15"/>
        <v>75.307588670000001</v>
      </c>
      <c r="BC14" s="5">
        <f>SUM(BC15:BC17)</f>
        <v>9.2470153699999997</v>
      </c>
      <c r="BD14" s="66">
        <f>SUM(BD15:BD17)</f>
        <v>9.9384297999999998</v>
      </c>
      <c r="BE14" s="66">
        <f>SUM(BE15:BE17)</f>
        <v>7.2852408400000002</v>
      </c>
      <c r="BF14" s="62">
        <f t="shared" si="16"/>
        <v>26.470686010000001</v>
      </c>
      <c r="BG14" s="67">
        <f>SUM(BG15:BG17)</f>
        <v>6.6705589999999999</v>
      </c>
      <c r="BH14" s="67">
        <f>SUM(BH15:BH17)</f>
        <v>6.1608400000000003</v>
      </c>
      <c r="BI14" s="67">
        <f>SUM(BI15:BI17)</f>
        <v>6.5921900000000004</v>
      </c>
      <c r="BJ14" s="62">
        <f t="shared" si="17"/>
        <v>19.423589</v>
      </c>
      <c r="BK14" s="67">
        <f>SUM(BK15:BK17)</f>
        <v>7.3036899999999996</v>
      </c>
      <c r="BL14" s="67">
        <f>SUM(BL15:BL17)</f>
        <v>7.5349000000000004</v>
      </c>
      <c r="BM14" s="67">
        <f>SUM(BM15:BM17)</f>
        <v>9.963654</v>
      </c>
      <c r="BN14" s="62">
        <f t="shared" si="18"/>
        <v>24.802244000000002</v>
      </c>
      <c r="BO14" s="71">
        <f>SUM(BO15:BO17)</f>
        <v>13.365247500000001</v>
      </c>
      <c r="BP14" s="67">
        <f>SUM(BP15:BP17)</f>
        <v>10.48569</v>
      </c>
      <c r="BQ14" s="67">
        <f>SUM(BQ15:BQ17)</f>
        <v>10.907859999999999</v>
      </c>
      <c r="BR14" s="62">
        <f t="shared" si="19"/>
        <v>34.7587975</v>
      </c>
      <c r="BS14" s="62">
        <f t="shared" si="20"/>
        <v>105.45531651</v>
      </c>
      <c r="BT14" s="71">
        <f>SUM(BT15:BT17)</f>
        <v>14.5</v>
      </c>
      <c r="BU14" s="67">
        <f>SUM(BU15:BU17)</f>
        <v>13.6</v>
      </c>
      <c r="BV14" s="77">
        <f>SUM(BV15:BV17)</f>
        <v>13.3</v>
      </c>
      <c r="BW14" s="62">
        <f t="shared" si="21"/>
        <v>41.400000000000006</v>
      </c>
      <c r="BX14" s="67">
        <f>SUM(BX15:BX17)</f>
        <v>13.7</v>
      </c>
      <c r="BY14" s="67">
        <f>SUM(BY15:BY17)</f>
        <v>15.8</v>
      </c>
      <c r="BZ14" s="67">
        <f>SUM(BZ15:BZ17)</f>
        <v>0</v>
      </c>
      <c r="CA14" s="62">
        <f t="shared" si="22"/>
        <v>29.5</v>
      </c>
      <c r="CB14" s="67">
        <f>SUM(CB15:CB17)</f>
        <v>0</v>
      </c>
      <c r="CC14" s="67">
        <f>SUM(CC15:CC17)</f>
        <v>0</v>
      </c>
      <c r="CD14" s="67">
        <f>SUM(CD15:CD17)</f>
        <v>0</v>
      </c>
      <c r="CE14" s="62">
        <f t="shared" si="23"/>
        <v>0</v>
      </c>
      <c r="CF14" s="67">
        <f>SUM(CF15:CF17)</f>
        <v>0</v>
      </c>
      <c r="CG14" s="67">
        <f>SUM(CG15:CG17)</f>
        <v>0</v>
      </c>
      <c r="CH14" s="67">
        <f>SUM(CH15:CH17)</f>
        <v>0</v>
      </c>
      <c r="CI14" s="67">
        <f t="shared" si="24"/>
        <v>0</v>
      </c>
      <c r="CJ14" s="71">
        <f t="shared" si="25"/>
        <v>70.900000000000006</v>
      </c>
      <c r="CK14" s="71">
        <f>SUM(CK15:CK17)</f>
        <v>0</v>
      </c>
      <c r="CL14" s="67">
        <f>SUM(CL15:CL17)</f>
        <v>0</v>
      </c>
      <c r="CM14" s="67">
        <f>SUM(CM15:CM17)</f>
        <v>0</v>
      </c>
      <c r="CN14" s="62">
        <f t="shared" si="26"/>
        <v>0</v>
      </c>
      <c r="CO14" s="67">
        <f>SUM(CO15:CO17)</f>
        <v>0</v>
      </c>
      <c r="CP14" s="67">
        <f>SUM(CP15:CP17)</f>
        <v>0</v>
      </c>
      <c r="CQ14" s="67">
        <f>SUM(CQ15:CQ17)</f>
        <v>0</v>
      </c>
      <c r="CR14" s="62">
        <f t="shared" si="27"/>
        <v>0</v>
      </c>
      <c r="CS14" s="101">
        <f>SUM(CS15:CS17)</f>
        <v>0</v>
      </c>
      <c r="CT14" s="67">
        <f>SUM(CT15:CT17)</f>
        <v>0</v>
      </c>
      <c r="CU14" s="67">
        <f>SUM(CU15:CU17)</f>
        <v>0</v>
      </c>
      <c r="CV14" s="62">
        <f t="shared" si="28"/>
        <v>0</v>
      </c>
      <c r="CW14" s="67">
        <f>SUM(CW15:CW17)</f>
        <v>0</v>
      </c>
      <c r="CX14" s="67">
        <f>SUM(CX15:CX17)</f>
        <v>0</v>
      </c>
      <c r="CY14" s="112">
        <f>SUM(CY15:CY17)</f>
        <v>0</v>
      </c>
      <c r="CZ14" s="113">
        <f t="shared" si="29"/>
        <v>0</v>
      </c>
      <c r="DA14" s="62">
        <f t="shared" si="30"/>
        <v>0</v>
      </c>
      <c r="DB14" s="71">
        <f>SUM(DB15:DB17)</f>
        <v>0</v>
      </c>
      <c r="DC14" s="67">
        <f>SUM(DC15:DC17)</f>
        <v>0</v>
      </c>
      <c r="DD14" s="67">
        <f>SUM(DD15:DD17)</f>
        <v>0</v>
      </c>
      <c r="DE14" s="62">
        <f t="shared" si="31"/>
        <v>0</v>
      </c>
      <c r="DF14" s="71">
        <f>SUM(DF15:DF17)</f>
        <v>0</v>
      </c>
      <c r="DG14" s="67">
        <f>SUM(DG15:DG17)</f>
        <v>0</v>
      </c>
      <c r="DH14" s="67">
        <f>SUM(DH15:DH17)</f>
        <v>0</v>
      </c>
      <c r="DI14" s="62">
        <f t="shared" si="32"/>
        <v>0</v>
      </c>
      <c r="DJ14" s="71">
        <f>SUM(DJ15:DJ17)</f>
        <v>0</v>
      </c>
      <c r="DK14" s="67">
        <f>SUM(DK15:DK17)</f>
        <v>0</v>
      </c>
      <c r="DL14" s="67">
        <f>SUM(DL15:DL17)</f>
        <v>0</v>
      </c>
      <c r="DM14" s="62">
        <f t="shared" si="33"/>
        <v>0</v>
      </c>
      <c r="DN14" s="67">
        <f>SUM(DN15:DN17)</f>
        <v>0</v>
      </c>
      <c r="DO14" s="67">
        <f>SUM(DO15:DO17)</f>
        <v>0</v>
      </c>
      <c r="DP14" s="67">
        <f>SUM(DP15:DP17)</f>
        <v>0</v>
      </c>
      <c r="DQ14" s="113">
        <f t="shared" si="34"/>
        <v>0</v>
      </c>
      <c r="DR14" s="140">
        <f t="shared" si="35"/>
        <v>0</v>
      </c>
      <c r="DS14" s="141">
        <f>SUM(DS15:DS17)</f>
        <v>0</v>
      </c>
      <c r="DT14" s="141">
        <f>SUM(DT15:DT17)</f>
        <v>0</v>
      </c>
      <c r="DU14" s="141">
        <f>SUM(DU15:DU17)</f>
        <v>0</v>
      </c>
      <c r="DV14" s="140">
        <f t="shared" si="36"/>
        <v>0</v>
      </c>
      <c r="DW14" s="142">
        <f>SUM(DW15:DW17)</f>
        <v>0</v>
      </c>
      <c r="DX14" s="141">
        <f>SUM(DX15:DX17)</f>
        <v>0</v>
      </c>
      <c r="DY14" s="141">
        <f>SUM(DY15:DY17)</f>
        <v>0</v>
      </c>
      <c r="DZ14" s="140">
        <f t="shared" si="37"/>
        <v>0</v>
      </c>
      <c r="EA14" s="142">
        <f>SUM(EA15:EA17)</f>
        <v>0</v>
      </c>
      <c r="EB14" s="141">
        <f>SUM(EB15:EB17)</f>
        <v>0</v>
      </c>
      <c r="EC14" s="141">
        <f>SUM(EC15:EC17)</f>
        <v>0</v>
      </c>
      <c r="ED14" s="140">
        <f t="shared" si="38"/>
        <v>0</v>
      </c>
      <c r="EE14" s="141">
        <f>SUM(EE15:EE17)</f>
        <v>0</v>
      </c>
      <c r="EF14" s="141">
        <f>SUM(EF15:EF17)</f>
        <v>0</v>
      </c>
      <c r="EG14" s="141">
        <f>SUM(EG15:EG17)</f>
        <v>0</v>
      </c>
      <c r="EH14" s="140">
        <f t="shared" si="39"/>
        <v>0</v>
      </c>
      <c r="EI14" s="140">
        <f t="shared" si="40"/>
        <v>0</v>
      </c>
      <c r="EJ14" s="141">
        <f>SUM(EJ15:EJ17)</f>
        <v>0</v>
      </c>
      <c r="EK14" s="141">
        <f>SUM(EK15:EK17)</f>
        <v>0</v>
      </c>
      <c r="EL14" s="141">
        <f>SUM(EL15:EL17)</f>
        <v>0</v>
      </c>
      <c r="EM14" s="140">
        <f t="shared" si="41"/>
        <v>0</v>
      </c>
      <c r="EN14" s="141">
        <f>SUM(EN15:EN17)</f>
        <v>0</v>
      </c>
      <c r="EO14" s="141">
        <f>SUM(EO15:EO17)</f>
        <v>0</v>
      </c>
      <c r="EP14" s="141">
        <f>SUM(EP15:EP17)</f>
        <v>0</v>
      </c>
      <c r="EQ14" s="140">
        <f t="shared" si="42"/>
        <v>0</v>
      </c>
      <c r="ER14" s="141">
        <f>SUM(ER15:ER17)</f>
        <v>0</v>
      </c>
      <c r="ES14" s="141">
        <f>SUM(ES15:ES17)</f>
        <v>0</v>
      </c>
      <c r="ET14" s="141">
        <f>SUM(ET15:ET17)</f>
        <v>0</v>
      </c>
      <c r="EU14" s="140">
        <f t="shared" si="43"/>
        <v>0</v>
      </c>
      <c r="EV14" s="141">
        <f>SUM(EV15:EV17)</f>
        <v>0</v>
      </c>
      <c r="EW14" s="141">
        <f>SUM(EW15:EW17)</f>
        <v>0</v>
      </c>
      <c r="EX14" s="141">
        <f>SUM(EX15:EX17)</f>
        <v>0</v>
      </c>
      <c r="EY14" s="140">
        <f t="shared" si="44"/>
        <v>0</v>
      </c>
      <c r="EZ14" s="169">
        <f t="shared" si="45"/>
        <v>0</v>
      </c>
      <c r="FA14" s="170"/>
      <c r="FB14" s="169">
        <f>SUM(FB15:FB17)</f>
        <v>0</v>
      </c>
      <c r="FC14" s="169">
        <f>SUM(FC15:FC17)</f>
        <v>0</v>
      </c>
      <c r="FD14" s="169">
        <f>SUM(FD15:FD17)</f>
        <v>0</v>
      </c>
      <c r="FE14" s="171">
        <f t="shared" si="46"/>
        <v>0</v>
      </c>
      <c r="FF14" s="169">
        <f>SUM(FF15:FF17)</f>
        <v>0</v>
      </c>
      <c r="FG14" s="169">
        <f>SUM(FG15:FG17)</f>
        <v>0</v>
      </c>
      <c r="FH14" s="169">
        <f>SUM(FH15:FH17)</f>
        <v>0</v>
      </c>
      <c r="FI14" s="171">
        <f t="shared" si="47"/>
        <v>0</v>
      </c>
      <c r="FJ14" s="169">
        <f>SUM(FJ15:FJ17)</f>
        <v>0</v>
      </c>
      <c r="FK14" s="169">
        <f>SUM(FK15:FK17)</f>
        <v>0</v>
      </c>
      <c r="FL14" s="169">
        <f>SUM(FL15:FL17)</f>
        <v>0</v>
      </c>
      <c r="FM14" s="171">
        <f t="shared" si="48"/>
        <v>0</v>
      </c>
      <c r="FN14" s="172">
        <f>SUM(FN15:FN17)</f>
        <v>0</v>
      </c>
      <c r="FO14" s="173">
        <f>SUM(FO15:FO17)</f>
        <v>0</v>
      </c>
      <c r="FP14" s="174">
        <f>SUM(FP15:FP17)</f>
        <v>0</v>
      </c>
      <c r="FQ14" s="175">
        <f t="shared" si="49"/>
        <v>0</v>
      </c>
      <c r="FR14" s="175">
        <f t="shared" si="50"/>
        <v>0</v>
      </c>
      <c r="FS14" s="172">
        <f>SUM(FS15:FS17)</f>
        <v>0</v>
      </c>
      <c r="FT14" s="173">
        <f>SUM(FT15:FT17)</f>
        <v>0</v>
      </c>
      <c r="FU14" s="174">
        <f>SUM(FU15:FU17)</f>
        <v>0</v>
      </c>
      <c r="FV14" s="175">
        <f t="shared" si="51"/>
        <v>0</v>
      </c>
      <c r="FW14" s="172">
        <f>SUM(FW15:FW17)</f>
        <v>0</v>
      </c>
      <c r="FX14" s="173">
        <f>SUM(FX15:FX17)</f>
        <v>0</v>
      </c>
      <c r="FY14" s="174">
        <v>16.787633119999999</v>
      </c>
      <c r="FZ14" s="175">
        <f t="shared" si="52"/>
        <v>16.787633119999999</v>
      </c>
      <c r="GA14" s="172">
        <f>SUM(GA15:GA17)</f>
        <v>65.454329909999998</v>
      </c>
      <c r="GB14" s="173">
        <f>SUM(GB15:GB17)</f>
        <v>75.391368329999992</v>
      </c>
      <c r="GC14" s="174">
        <f>SUM(GC15:GC17)</f>
        <v>104.77788704999999</v>
      </c>
      <c r="GD14" s="175">
        <f t="shared" si="53"/>
        <v>245.62358528999999</v>
      </c>
      <c r="GE14" s="172">
        <f>SUM(GE15:GE17)</f>
        <v>145.0525691496</v>
      </c>
      <c r="GF14" s="173">
        <f>SUM(GF15:GF17)</f>
        <v>154.27821905079998</v>
      </c>
      <c r="GG14" s="159">
        <f>SUM(GG15:GG17)</f>
        <v>129.59028174159999</v>
      </c>
      <c r="GH14" s="174">
        <f t="shared" si="54"/>
        <v>428.92106994199997</v>
      </c>
      <c r="GI14" s="174">
        <f t="shared" si="55"/>
        <v>691.33228835199998</v>
      </c>
      <c r="GJ14" s="221">
        <f>SUM(GJ15:GJ17)</f>
        <v>131.015477172</v>
      </c>
      <c r="GK14" s="222">
        <f>SUM(GK15:GK17)</f>
        <v>157.51071182000001</v>
      </c>
      <c r="GL14" s="223">
        <f>SUM(GL15:GL17)</f>
        <v>146.62322968039999</v>
      </c>
      <c r="GM14" s="175">
        <f t="shared" si="56"/>
        <v>435.14941867239997</v>
      </c>
      <c r="GN14" s="221">
        <f>SUM(GN15:GN17)</f>
        <v>240.07316412109998</v>
      </c>
      <c r="GO14" s="222">
        <f>SUM(GO15:GO17)</f>
        <v>179.55420233166299</v>
      </c>
      <c r="GP14" s="223">
        <f>SUM(GP15:GP17)</f>
        <v>186.81423186224819</v>
      </c>
      <c r="GQ14" s="175">
        <f t="shared" si="57"/>
        <v>606.44159831501122</v>
      </c>
      <c r="GR14" s="221">
        <f>SUM(GR15:GR17)</f>
        <v>160.30327446965362</v>
      </c>
      <c r="GS14" s="222">
        <f>SUM(GS15:GS17)</f>
        <v>220.07853205017111</v>
      </c>
      <c r="GT14" s="223">
        <f>SUM(GT15:GT17)</f>
        <v>239.09083296861348</v>
      </c>
      <c r="GU14" s="175">
        <f t="shared" si="58"/>
        <v>619.47263948843829</v>
      </c>
      <c r="GV14" s="221">
        <f>SUM(GV15:GV17)</f>
        <v>192.36864460001232</v>
      </c>
      <c r="GW14" s="222">
        <f>SUM(GW15:GW17)</f>
        <v>176.2411918292683</v>
      </c>
      <c r="GX14" s="223">
        <f>SUM(GX15:GX17)</f>
        <v>226.98874790875203</v>
      </c>
      <c r="GY14" s="174">
        <f t="shared" si="59"/>
        <v>595.59858433803265</v>
      </c>
      <c r="GZ14" s="159">
        <f t="shared" si="60"/>
        <v>2256.6622408138819</v>
      </c>
      <c r="HA14" s="254">
        <f>SUM(HA15:HA17)</f>
        <v>215.39956656097559</v>
      </c>
      <c r="HB14" s="160">
        <f>SUM(HB15:HB17)</f>
        <v>196.23704485078895</v>
      </c>
      <c r="HC14" s="159">
        <f>SUM(HC15:HC17)</f>
        <v>209.66456492109251</v>
      </c>
      <c r="HD14" s="273">
        <f t="shared" si="61"/>
        <v>621.30117633285704</v>
      </c>
      <c r="HE14" s="254">
        <f>SUM(HE15:HE17)</f>
        <v>116.46390934835441</v>
      </c>
      <c r="HF14" s="160">
        <f>SUM(HF15:HF17)</f>
        <v>126.12779992985652</v>
      </c>
      <c r="HG14" s="159">
        <f>SUM(HG15:HG17)</f>
        <v>124.22548824985779</v>
      </c>
      <c r="HH14" s="273">
        <f t="shared" si="62"/>
        <v>366.81719752806873</v>
      </c>
      <c r="HI14" s="254">
        <f>SUM(HI15:HI17)</f>
        <v>115.74739471916999</v>
      </c>
      <c r="HJ14" s="160">
        <f>SUM(HJ15:HJ17)</f>
        <v>114.64389628974341</v>
      </c>
      <c r="HK14" s="159">
        <f>SUM(HK15:HK17)</f>
        <v>153.12188895234652</v>
      </c>
      <c r="HL14" s="273">
        <f t="shared" si="63"/>
        <v>383.51317996125994</v>
      </c>
      <c r="HM14" s="254">
        <f>SUM(HM15:HM17)</f>
        <v>155.3763038234051</v>
      </c>
      <c r="HN14" s="160">
        <f>SUM(HN15:HN17)</f>
        <v>139.77004980951216</v>
      </c>
      <c r="HO14" s="159">
        <f>SUM(HO15:HO17)</f>
        <v>114.81486008035868</v>
      </c>
      <c r="HP14" s="273">
        <f t="shared" si="64"/>
        <v>409.96121371327592</v>
      </c>
      <c r="HQ14" s="273">
        <f t="shared" si="65"/>
        <v>1781.5927675354615</v>
      </c>
      <c r="HR14" s="254">
        <f>SUM(HR15:HR17)</f>
        <v>119.20860900034432</v>
      </c>
      <c r="HS14" s="160">
        <f>SUM(HS15:HS17)</f>
        <v>201.79025976972738</v>
      </c>
      <c r="HT14" s="159">
        <f>SUM(HT15:HT17)</f>
        <v>116.23111243</v>
      </c>
      <c r="HU14" s="273">
        <f t="shared" si="66"/>
        <v>437.22998120007168</v>
      </c>
      <c r="HV14" s="254">
        <f>SUM(HV15:HV17)</f>
        <v>120.91520763999999</v>
      </c>
      <c r="HW14" s="160">
        <f>SUM(HW15:HW17)</f>
        <v>143.88751677086083</v>
      </c>
      <c r="HX14" s="159">
        <f>SUM(HX15:HX17)</f>
        <v>149.81850985140602</v>
      </c>
      <c r="HY14" s="273">
        <f t="shared" si="67"/>
        <v>414.62123426226685</v>
      </c>
      <c r="HZ14" s="254">
        <f>SUM(HZ15:HZ17)</f>
        <v>147.40614192032999</v>
      </c>
      <c r="IA14" s="160">
        <f>SUM(IA15:IA17)</f>
        <v>196.80315486898135</v>
      </c>
      <c r="IB14" s="159">
        <f>SUM(IB15:IB17)</f>
        <v>191.06520029091823</v>
      </c>
      <c r="IC14" s="273">
        <f t="shared" si="68"/>
        <v>535.27449708022959</v>
      </c>
      <c r="ID14" s="254">
        <f>SUM(ID15:ID17)</f>
        <v>182.80746898000001</v>
      </c>
      <c r="IE14" s="160">
        <f>SUM(IE15:IE17)</f>
        <v>192.85773982999999</v>
      </c>
      <c r="IF14" s="159">
        <f>SUM(IF15:IF17)</f>
        <v>191.52356194999999</v>
      </c>
      <c r="IG14" s="273">
        <f t="shared" si="69"/>
        <v>567.1887707599999</v>
      </c>
      <c r="IH14" s="273">
        <v>1954.3144833025681</v>
      </c>
      <c r="II14" s="254">
        <v>180.0257278</v>
      </c>
      <c r="IJ14" s="160">
        <v>223.73762969000001</v>
      </c>
      <c r="IK14" s="159">
        <v>191.11510986999997</v>
      </c>
      <c r="IL14" s="273">
        <v>594.87846735999995</v>
      </c>
      <c r="IM14" s="254">
        <v>145.74255213999999</v>
      </c>
      <c r="IN14" s="160">
        <v>190.96312810050799</v>
      </c>
      <c r="IO14" s="160">
        <v>218.61442023000001</v>
      </c>
      <c r="IP14" s="273">
        <v>555.3201004705079</v>
      </c>
      <c r="IQ14" s="254">
        <v>226.48138336999997</v>
      </c>
      <c r="IR14" s="160">
        <v>216.61504270000003</v>
      </c>
      <c r="IS14" s="159">
        <v>200.26346235</v>
      </c>
      <c r="IT14" s="273">
        <v>643.35988842000006</v>
      </c>
      <c r="IU14" s="254">
        <v>240.14624744915574</v>
      </c>
      <c r="IV14" s="160">
        <v>273.52616602137027</v>
      </c>
      <c r="IW14" s="159">
        <v>273.53259419976672</v>
      </c>
      <c r="IX14" s="273">
        <v>787.20500767029262</v>
      </c>
      <c r="IY14" s="273">
        <v>2580.7634639208004</v>
      </c>
      <c r="IZ14" s="254">
        <v>260.56509886000003</v>
      </c>
      <c r="JA14" s="160">
        <v>244.88376056999996</v>
      </c>
      <c r="JB14" s="159">
        <v>257.64661856985418</v>
      </c>
      <c r="JC14" s="273">
        <v>763.09547799985421</v>
      </c>
      <c r="JD14" s="254">
        <v>204.54875922997076</v>
      </c>
      <c r="JE14" s="160">
        <v>291.24769501999998</v>
      </c>
      <c r="JF14" s="159">
        <v>266.21257515000002</v>
      </c>
      <c r="JG14" s="273">
        <v>762.00902939997081</v>
      </c>
      <c r="JH14" s="254">
        <v>273.72115557897956</v>
      </c>
      <c r="JI14" s="160">
        <v>357.27882667000006</v>
      </c>
      <c r="JJ14" s="159">
        <v>277.1788234</v>
      </c>
      <c r="JK14" s="273">
        <v>908.17880564897973</v>
      </c>
      <c r="JL14" s="254">
        <v>345.42875176999996</v>
      </c>
      <c r="JM14" s="160">
        <v>293.47398557029152</v>
      </c>
      <c r="JN14" s="160">
        <v>332.50827510046645</v>
      </c>
      <c r="JO14" s="273">
        <v>971.41101244075787</v>
      </c>
      <c r="JP14" s="273">
        <v>3404.6943254895627</v>
      </c>
      <c r="JQ14" s="254">
        <v>353.83445511999997</v>
      </c>
      <c r="JR14" s="160">
        <v>349.37790153999998</v>
      </c>
      <c r="JS14" s="159">
        <v>344.65226559000001</v>
      </c>
      <c r="JT14" s="273">
        <v>1047.8646222499999</v>
      </c>
      <c r="JU14" s="254">
        <v>326.12918392</v>
      </c>
      <c r="JV14" s="160">
        <v>335.34073868008755</v>
      </c>
      <c r="JW14" s="159">
        <v>331.29070423000007</v>
      </c>
      <c r="JX14" s="273">
        <v>992.76062683008763</v>
      </c>
      <c r="JY14" s="254">
        <v>397.14176447000011</v>
      </c>
      <c r="JZ14" s="160">
        <v>343.94294613000005</v>
      </c>
      <c r="KA14" s="159">
        <v>394.30118423046645</v>
      </c>
      <c r="KB14" s="273">
        <v>1135.3858948304664</v>
      </c>
      <c r="KC14" s="254">
        <v>426.14634730000148</v>
      </c>
      <c r="KD14" s="160">
        <v>381.00150006000001</v>
      </c>
      <c r="KE14" s="160">
        <v>516.63395383</v>
      </c>
      <c r="KF14" s="273">
        <v>1323.7818011900015</v>
      </c>
      <c r="KG14" s="273">
        <v>4499.7929451005557</v>
      </c>
      <c r="KH14" s="221">
        <v>334.56303269</v>
      </c>
      <c r="KI14" s="222">
        <v>319.68158515000005</v>
      </c>
      <c r="KJ14" s="223">
        <v>373.47863687999995</v>
      </c>
      <c r="KK14" s="273">
        <v>1027.7232547200001</v>
      </c>
      <c r="KL14" s="221">
        <v>466.23473507000006</v>
      </c>
      <c r="KM14" s="222">
        <v>491.43897071999999</v>
      </c>
      <c r="KN14" s="223">
        <v>417.43091610999994</v>
      </c>
      <c r="KO14" s="273">
        <v>1375.1046219</v>
      </c>
      <c r="KP14" s="221">
        <v>499.00105084000006</v>
      </c>
      <c r="KQ14" s="222">
        <v>836.71796646999996</v>
      </c>
      <c r="KR14" s="223">
        <v>365.13779048999993</v>
      </c>
      <c r="KS14" s="273">
        <v>1700.8568077999998</v>
      </c>
      <c r="KT14" s="254">
        <v>412.83624466000003</v>
      </c>
      <c r="KU14" s="160">
        <v>389.43129576999996</v>
      </c>
      <c r="KV14" s="159">
        <v>378.36327033999999</v>
      </c>
      <c r="KW14" s="273">
        <v>1180.6308107700002</v>
      </c>
      <c r="KX14" s="273">
        <v>5284.3154951899996</v>
      </c>
      <c r="KY14" s="221">
        <v>300.21726672000005</v>
      </c>
      <c r="KZ14" s="222">
        <v>326.60625142999999</v>
      </c>
      <c r="LA14" s="223">
        <v>236.22986854999999</v>
      </c>
      <c r="LB14" s="273">
        <v>863.05338670000003</v>
      </c>
      <c r="LC14" s="221">
        <v>283.49424555999997</v>
      </c>
      <c r="LD14" s="222">
        <v>254.93437093</v>
      </c>
      <c r="LE14" s="223">
        <v>281.02675214999999</v>
      </c>
      <c r="LF14" s="273">
        <v>819.45536863999996</v>
      </c>
      <c r="LG14" s="221">
        <v>239.46559850000006</v>
      </c>
      <c r="LH14" s="222">
        <v>225.76428977999996</v>
      </c>
      <c r="LI14" s="223">
        <v>227.19274325000001</v>
      </c>
      <c r="LJ14" s="273">
        <v>692.42263152999999</v>
      </c>
      <c r="LK14" s="254">
        <v>225.50663259999999</v>
      </c>
      <c r="LL14" s="160">
        <v>190.07579978000004</v>
      </c>
      <c r="LM14" s="159">
        <v>244.14168012000002</v>
      </c>
      <c r="LN14" s="273">
        <v>659.72411250000005</v>
      </c>
      <c r="LO14" s="273">
        <v>3034.6554993700001</v>
      </c>
    </row>
    <row r="15" spans="1:327" ht="17.100000000000001" customHeight="1" x14ac:dyDescent="0.25">
      <c r="A15" s="2" t="s">
        <v>74</v>
      </c>
      <c r="B15" s="24"/>
      <c r="C15" s="5">
        <v>69.400000000000006</v>
      </c>
      <c r="D15" s="5">
        <v>6.7</v>
      </c>
      <c r="E15" s="5">
        <v>2.4</v>
      </c>
      <c r="F15" s="5">
        <v>5.9</v>
      </c>
      <c r="G15" s="5">
        <v>15</v>
      </c>
      <c r="H15" s="5">
        <v>6.4</v>
      </c>
      <c r="I15" s="5">
        <v>4.8</v>
      </c>
      <c r="J15" s="5">
        <v>5</v>
      </c>
      <c r="K15" s="5">
        <v>16.2</v>
      </c>
      <c r="L15" s="5">
        <v>7.7</v>
      </c>
      <c r="M15" s="5">
        <v>6.4</v>
      </c>
      <c r="N15" s="5">
        <v>4.9000000000000004</v>
      </c>
      <c r="O15" s="5">
        <f t="shared" si="0"/>
        <v>19</v>
      </c>
      <c r="P15" s="5">
        <v>6.2</v>
      </c>
      <c r="Q15" s="5">
        <v>5.2</v>
      </c>
      <c r="R15" s="5">
        <v>5.8</v>
      </c>
      <c r="S15" s="5">
        <f t="shared" si="1"/>
        <v>17.2</v>
      </c>
      <c r="T15" s="16">
        <f t="shared" si="7"/>
        <v>67.400000000000006</v>
      </c>
      <c r="U15" s="5">
        <v>2.6</v>
      </c>
      <c r="V15" s="5">
        <v>2.9</v>
      </c>
      <c r="W15" s="5">
        <v>5</v>
      </c>
      <c r="X15" s="4">
        <f t="shared" si="2"/>
        <v>10.5</v>
      </c>
      <c r="Y15" s="6">
        <v>3.9511582399999998</v>
      </c>
      <c r="Z15" s="6">
        <v>2.6</v>
      </c>
      <c r="AA15" s="5">
        <v>0</v>
      </c>
      <c r="AB15" s="5">
        <f t="shared" si="3"/>
        <v>6.5511582399999995</v>
      </c>
      <c r="AC15" s="6">
        <f>5.5-0.04</f>
        <v>5.46</v>
      </c>
      <c r="AD15" s="6">
        <v>2.9</v>
      </c>
      <c r="AE15" s="6">
        <v>3.9</v>
      </c>
      <c r="AF15" s="5">
        <f t="shared" si="4"/>
        <v>12.26</v>
      </c>
      <c r="AG15" s="6">
        <f>1.9-0.04</f>
        <v>1.8599999999999999</v>
      </c>
      <c r="AH15" s="6">
        <f>2.36</f>
        <v>2.36</v>
      </c>
      <c r="AI15" s="6">
        <f>2.1</f>
        <v>2.1</v>
      </c>
      <c r="AJ15" s="5">
        <f t="shared" si="8"/>
        <v>6.32</v>
      </c>
      <c r="AK15" s="16">
        <f t="shared" si="9"/>
        <v>35.631158239999998</v>
      </c>
      <c r="AL15" s="5">
        <v>2.5</v>
      </c>
      <c r="AM15" s="6">
        <v>1.9</v>
      </c>
      <c r="AN15" s="5">
        <f>3.4-0.04</f>
        <v>3.36</v>
      </c>
      <c r="AO15" s="5">
        <f t="shared" si="11"/>
        <v>7.76</v>
      </c>
      <c r="AP15" s="5">
        <v>1.4</v>
      </c>
      <c r="AQ15" s="5">
        <v>3.2</v>
      </c>
      <c r="AR15" s="5">
        <v>4.34</v>
      </c>
      <c r="AS15" s="54">
        <f>+SUM(AP15:AR15)</f>
        <v>8.94</v>
      </c>
      <c r="AT15" s="5">
        <v>4.4400000000000004</v>
      </c>
      <c r="AU15" s="5">
        <v>4.3499999999999996</v>
      </c>
      <c r="AV15" s="5">
        <v>4.5999999999999996</v>
      </c>
      <c r="AW15" s="54">
        <f t="shared" si="13"/>
        <v>13.389999999999999</v>
      </c>
      <c r="AX15" s="5">
        <v>5.3</v>
      </c>
      <c r="AY15" s="5">
        <v>5.45</v>
      </c>
      <c r="AZ15" s="5">
        <v>4.4000000000000004</v>
      </c>
      <c r="BA15" s="54">
        <f t="shared" si="14"/>
        <v>15.15</v>
      </c>
      <c r="BB15" s="54">
        <f t="shared" si="15"/>
        <v>45.239999999999995</v>
      </c>
      <c r="BC15" s="5">
        <v>6.0392089000000002</v>
      </c>
      <c r="BD15" s="66">
        <v>6.6905118100000003</v>
      </c>
      <c r="BE15" s="66">
        <v>3.45426221</v>
      </c>
      <c r="BF15" s="62">
        <f t="shared" si="16"/>
        <v>16.183982920000002</v>
      </c>
      <c r="BG15" s="67">
        <v>0</v>
      </c>
      <c r="BH15" s="67"/>
      <c r="BI15" s="67"/>
      <c r="BJ15" s="62">
        <f t="shared" si="17"/>
        <v>0</v>
      </c>
      <c r="BK15" s="67"/>
      <c r="BL15" s="67">
        <v>2.2000000000000001E-3</v>
      </c>
      <c r="BM15" s="67">
        <v>0.21810399999999999</v>
      </c>
      <c r="BN15" s="62">
        <f t="shared" si="18"/>
        <v>0.220304</v>
      </c>
      <c r="BO15" s="71"/>
      <c r="BP15" s="67"/>
      <c r="BQ15" s="67"/>
      <c r="BR15" s="62">
        <f t="shared" si="19"/>
        <v>0</v>
      </c>
      <c r="BS15" s="62">
        <f t="shared" si="20"/>
        <v>16.404286920000001</v>
      </c>
      <c r="BT15" s="71"/>
      <c r="BU15" s="67"/>
      <c r="BV15" s="77"/>
      <c r="BW15" s="62">
        <f t="shared" si="21"/>
        <v>0</v>
      </c>
      <c r="BX15" s="67"/>
      <c r="BY15" s="67"/>
      <c r="BZ15" s="67"/>
      <c r="CA15" s="62">
        <f t="shared" si="22"/>
        <v>0</v>
      </c>
      <c r="CB15" s="67"/>
      <c r="CC15" s="67"/>
      <c r="CD15" s="67"/>
      <c r="CE15" s="62">
        <f t="shared" si="23"/>
        <v>0</v>
      </c>
      <c r="CF15" s="67"/>
      <c r="CG15" s="67"/>
      <c r="CH15" s="67"/>
      <c r="CI15" s="67">
        <f t="shared" si="24"/>
        <v>0</v>
      </c>
      <c r="CJ15" s="71">
        <f t="shared" si="25"/>
        <v>0</v>
      </c>
      <c r="CK15" s="71"/>
      <c r="CL15" s="67"/>
      <c r="CM15" s="67"/>
      <c r="CN15" s="62">
        <f t="shared" si="26"/>
        <v>0</v>
      </c>
      <c r="CO15" s="67"/>
      <c r="CP15" s="67"/>
      <c r="CQ15" s="67"/>
      <c r="CR15" s="62">
        <f t="shared" si="27"/>
        <v>0</v>
      </c>
      <c r="CS15" s="101"/>
      <c r="CT15" s="67"/>
      <c r="CU15" s="67"/>
      <c r="CV15" s="62">
        <f t="shared" si="28"/>
        <v>0</v>
      </c>
      <c r="CW15" s="67"/>
      <c r="CX15" s="67"/>
      <c r="CY15" s="112"/>
      <c r="CZ15" s="113">
        <f t="shared" si="29"/>
        <v>0</v>
      </c>
      <c r="DA15" s="62">
        <f t="shared" si="30"/>
        <v>0</v>
      </c>
      <c r="DB15" s="71"/>
      <c r="DC15" s="67"/>
      <c r="DD15" s="67"/>
      <c r="DE15" s="62">
        <f t="shared" si="31"/>
        <v>0</v>
      </c>
      <c r="DF15" s="71"/>
      <c r="DG15" s="67"/>
      <c r="DH15" s="67"/>
      <c r="DI15" s="62">
        <f t="shared" si="32"/>
        <v>0</v>
      </c>
      <c r="DJ15" s="71"/>
      <c r="DK15" s="67"/>
      <c r="DL15" s="67"/>
      <c r="DM15" s="62">
        <f t="shared" si="33"/>
        <v>0</v>
      </c>
      <c r="DN15" s="67"/>
      <c r="DO15" s="67"/>
      <c r="DP15" s="67"/>
      <c r="DQ15" s="113">
        <f t="shared" si="34"/>
        <v>0</v>
      </c>
      <c r="DR15" s="140">
        <f t="shared" si="35"/>
        <v>0</v>
      </c>
      <c r="DS15" s="141"/>
      <c r="DT15" s="141"/>
      <c r="DU15" s="141"/>
      <c r="DV15" s="140">
        <f t="shared" si="36"/>
        <v>0</v>
      </c>
      <c r="DW15" s="142"/>
      <c r="DX15" s="141"/>
      <c r="DY15" s="141"/>
      <c r="DZ15" s="140">
        <f t="shared" si="37"/>
        <v>0</v>
      </c>
      <c r="EA15" s="142"/>
      <c r="EB15" s="141"/>
      <c r="EC15" s="141"/>
      <c r="ED15" s="140">
        <f t="shared" si="38"/>
        <v>0</v>
      </c>
      <c r="EE15" s="141"/>
      <c r="EF15" s="141"/>
      <c r="EG15" s="141"/>
      <c r="EH15" s="140">
        <f t="shared" si="39"/>
        <v>0</v>
      </c>
      <c r="EI15" s="140">
        <f t="shared" si="40"/>
        <v>0</v>
      </c>
      <c r="EJ15" s="141"/>
      <c r="EK15" s="141"/>
      <c r="EL15" s="141"/>
      <c r="EM15" s="140">
        <f t="shared" si="41"/>
        <v>0</v>
      </c>
      <c r="EN15" s="141"/>
      <c r="EO15" s="141"/>
      <c r="EP15" s="141"/>
      <c r="EQ15" s="140">
        <f t="shared" si="42"/>
        <v>0</v>
      </c>
      <c r="ER15" s="141"/>
      <c r="ES15" s="141"/>
      <c r="ET15" s="141"/>
      <c r="EU15" s="140">
        <f t="shared" si="43"/>
        <v>0</v>
      </c>
      <c r="EV15" s="141"/>
      <c r="EW15" s="141"/>
      <c r="EX15" s="141"/>
      <c r="EY15" s="140">
        <f t="shared" si="44"/>
        <v>0</v>
      </c>
      <c r="EZ15" s="169">
        <f t="shared" si="45"/>
        <v>0</v>
      </c>
      <c r="FA15" s="170"/>
      <c r="FB15" s="169"/>
      <c r="FC15" s="169"/>
      <c r="FD15" s="169"/>
      <c r="FE15" s="171">
        <f t="shared" si="46"/>
        <v>0</v>
      </c>
      <c r="FF15" s="169"/>
      <c r="FG15" s="169"/>
      <c r="FH15" s="169"/>
      <c r="FI15" s="171">
        <f t="shared" si="47"/>
        <v>0</v>
      </c>
      <c r="FJ15" s="169"/>
      <c r="FK15" s="169"/>
      <c r="FL15" s="169"/>
      <c r="FM15" s="171">
        <f t="shared" si="48"/>
        <v>0</v>
      </c>
      <c r="FN15" s="172"/>
      <c r="FO15" s="173"/>
      <c r="FP15" s="174"/>
      <c r="FQ15" s="175">
        <f t="shared" si="49"/>
        <v>0</v>
      </c>
      <c r="FR15" s="175">
        <f t="shared" si="50"/>
        <v>0</v>
      </c>
      <c r="FS15" s="172"/>
      <c r="FT15" s="173"/>
      <c r="FU15" s="174"/>
      <c r="FV15" s="175">
        <f t="shared" si="51"/>
        <v>0</v>
      </c>
      <c r="FW15" s="172"/>
      <c r="FX15" s="173"/>
      <c r="FY15" s="174">
        <v>0</v>
      </c>
      <c r="FZ15" s="175">
        <f t="shared" si="52"/>
        <v>0</v>
      </c>
      <c r="GA15" s="172"/>
      <c r="GB15" s="173"/>
      <c r="GC15" s="174"/>
      <c r="GD15" s="175">
        <f t="shared" si="53"/>
        <v>0</v>
      </c>
      <c r="GE15" s="172">
        <v>21.343285999599999</v>
      </c>
      <c r="GF15" s="173">
        <v>18.3526674698</v>
      </c>
      <c r="GG15" s="159">
        <v>18.6949126216</v>
      </c>
      <c r="GH15" s="174">
        <f t="shared" si="54"/>
        <v>58.390866090999992</v>
      </c>
      <c r="GI15" s="174">
        <f t="shared" si="55"/>
        <v>58.390866090999992</v>
      </c>
      <c r="GJ15" s="221">
        <v>11.764198192</v>
      </c>
      <c r="GK15" s="222">
        <v>9.247991969000001</v>
      </c>
      <c r="GL15" s="223">
        <v>11.1620214804</v>
      </c>
      <c r="GM15" s="175">
        <f t="shared" si="56"/>
        <v>32.174211641399999</v>
      </c>
      <c r="GN15" s="221">
        <v>20.260400421</v>
      </c>
      <c r="GO15" s="222">
        <v>10.65045491166298</v>
      </c>
      <c r="GP15" s="223">
        <v>19.06573055166319</v>
      </c>
      <c r="GQ15" s="175">
        <f t="shared" si="57"/>
        <v>49.97658588432617</v>
      </c>
      <c r="GR15" s="244">
        <v>7.7032744696536346</v>
      </c>
      <c r="GS15" s="222">
        <v>18.452672560313694</v>
      </c>
      <c r="GT15" s="223">
        <v>24.159346778957076</v>
      </c>
      <c r="GU15" s="175">
        <f t="shared" si="58"/>
        <v>50.315293808924409</v>
      </c>
      <c r="GV15" s="221">
        <v>7.8923110203853213</v>
      </c>
      <c r="GW15" s="222">
        <v>3.4622187804878046</v>
      </c>
      <c r="GX15" s="223"/>
      <c r="GY15" s="174">
        <f t="shared" si="59"/>
        <v>11.354529800873125</v>
      </c>
      <c r="GZ15" s="159">
        <f t="shared" si="60"/>
        <v>143.82062113552371</v>
      </c>
      <c r="HA15" s="254">
        <v>9.5594364505021492</v>
      </c>
      <c r="HB15" s="160">
        <v>4.1583610502152091</v>
      </c>
      <c r="HC15" s="159">
        <v>6.8476778001456227</v>
      </c>
      <c r="HD15" s="273">
        <f t="shared" si="61"/>
        <v>20.565475300862982</v>
      </c>
      <c r="HE15" s="254">
        <v>10.219105038512197</v>
      </c>
      <c r="HF15" s="160">
        <v>7.6883053400717412</v>
      </c>
      <c r="HG15" s="159">
        <v>13.667053020302582</v>
      </c>
      <c r="HH15" s="273">
        <f t="shared" si="62"/>
        <v>31.574463398886522</v>
      </c>
      <c r="HI15" s="274">
        <v>10.242493299629126</v>
      </c>
      <c r="HJ15" s="160">
        <v>13.739362219442182</v>
      </c>
      <c r="HK15" s="159">
        <v>17.442006901356532</v>
      </c>
      <c r="HL15" s="273">
        <f t="shared" si="63"/>
        <v>41.423862420427838</v>
      </c>
      <c r="HM15" s="254">
        <v>14.627200691953838</v>
      </c>
      <c r="HN15" s="160">
        <v>15.01545063958393</v>
      </c>
      <c r="HO15" s="159">
        <v>12.076524840000001</v>
      </c>
      <c r="HP15" s="273">
        <f t="shared" si="64"/>
        <v>41.719176171537768</v>
      </c>
      <c r="HQ15" s="273">
        <f t="shared" si="65"/>
        <v>135.2829772917151</v>
      </c>
      <c r="HR15" s="254">
        <v>12.783431780559541</v>
      </c>
      <c r="HS15" s="160">
        <v>9.2270336205164973</v>
      </c>
      <c r="HT15" s="159">
        <v>21.671173320000001</v>
      </c>
      <c r="HU15" s="273">
        <f t="shared" si="66"/>
        <v>43.681638721076041</v>
      </c>
      <c r="HV15" s="254">
        <v>11.795282980000001</v>
      </c>
      <c r="HW15" s="160">
        <v>16.361772960860833</v>
      </c>
      <c r="HX15" s="159">
        <v>13.670988461133428</v>
      </c>
      <c r="HY15" s="273">
        <f t="shared" si="67"/>
        <v>41.828044401994262</v>
      </c>
      <c r="HZ15" s="275">
        <v>18.338890829383068</v>
      </c>
      <c r="IA15" s="160">
        <v>19.075420749698708</v>
      </c>
      <c r="IB15" s="159">
        <v>21.165564880344334</v>
      </c>
      <c r="IC15" s="273">
        <f t="shared" si="68"/>
        <v>58.57987645942611</v>
      </c>
      <c r="ID15" s="254">
        <v>17.869031960000001</v>
      </c>
      <c r="IE15" s="160">
        <v>23.757157240000002</v>
      </c>
      <c r="IF15" s="159">
        <v>25.670010180000002</v>
      </c>
      <c r="IG15" s="273">
        <f t="shared" si="69"/>
        <v>67.296199380000004</v>
      </c>
      <c r="IH15" s="273">
        <v>211.38575896249642</v>
      </c>
      <c r="II15" s="254">
        <v>16.583945960000001</v>
      </c>
      <c r="IJ15" s="160">
        <v>32.327678799999994</v>
      </c>
      <c r="IK15" s="159">
        <v>18.83017152</v>
      </c>
      <c r="IL15" s="273">
        <v>67.741796279999988</v>
      </c>
      <c r="IM15" s="254">
        <v>25.058111010000001</v>
      </c>
      <c r="IN15" s="160">
        <v>30.760713309999996</v>
      </c>
      <c r="IO15" s="160">
        <v>18.899999999999999</v>
      </c>
      <c r="IP15" s="273">
        <v>74.718824319999996</v>
      </c>
      <c r="IQ15" s="254">
        <v>23.738318120000002</v>
      </c>
      <c r="IR15" s="160">
        <v>35.397326469999996</v>
      </c>
      <c r="IS15" s="159">
        <v>14.176426620000001</v>
      </c>
      <c r="IT15" s="273">
        <v>73.312071209999999</v>
      </c>
      <c r="IU15" s="254">
        <v>22.834355979446869</v>
      </c>
      <c r="IV15" s="160">
        <v>19.584275831457724</v>
      </c>
      <c r="IW15" s="159">
        <v>11.055483619533527</v>
      </c>
      <c r="IX15" s="273">
        <v>53.474115430438118</v>
      </c>
      <c r="IY15" s="273">
        <v>269.2468072404381</v>
      </c>
      <c r="IZ15" s="254">
        <v>18.946722460000004</v>
      </c>
      <c r="JA15" s="160">
        <v>15.99005988</v>
      </c>
      <c r="JB15" s="159">
        <v>22.411147380000003</v>
      </c>
      <c r="JC15" s="273">
        <v>57.34792972000001</v>
      </c>
      <c r="JD15" s="254">
        <v>10.693028089999999</v>
      </c>
      <c r="JE15" s="160">
        <v>15.74177237</v>
      </c>
      <c r="JF15" s="159">
        <v>17.264027609999999</v>
      </c>
      <c r="JG15" s="273">
        <v>43.698828069999998</v>
      </c>
      <c r="JH15" s="254">
        <v>16.603860860000001</v>
      </c>
      <c r="JI15" s="160">
        <v>19.15417287</v>
      </c>
      <c r="JJ15" s="159">
        <v>14.17429125</v>
      </c>
      <c r="JK15" s="273">
        <v>49.932324980000004</v>
      </c>
      <c r="JL15" s="254">
        <v>22.740721910000001</v>
      </c>
      <c r="JM15" s="160">
        <v>21.735680220000003</v>
      </c>
      <c r="JN15" s="159">
        <v>13.2448482</v>
      </c>
      <c r="JO15" s="273">
        <v>57.721250330000004</v>
      </c>
      <c r="JP15" s="273">
        <v>208.70033310000002</v>
      </c>
      <c r="JQ15" s="254">
        <v>21.493562480000001</v>
      </c>
      <c r="JR15" s="160">
        <v>14.342232660000002</v>
      </c>
      <c r="JS15" s="159">
        <v>18.338985209999997</v>
      </c>
      <c r="JT15" s="273">
        <v>54.174780349999999</v>
      </c>
      <c r="JU15" s="254">
        <v>19.067308570000002</v>
      </c>
      <c r="JV15" s="160">
        <v>14.663210320000001</v>
      </c>
      <c r="JW15" s="159">
        <v>11.521873190000001</v>
      </c>
      <c r="JX15" s="273">
        <v>45.25239208</v>
      </c>
      <c r="JY15" s="254">
        <v>19.059442449999999</v>
      </c>
      <c r="JZ15" s="160">
        <v>9.1107191499999995</v>
      </c>
      <c r="KA15" s="159">
        <v>18.977543749999999</v>
      </c>
      <c r="KB15" s="273">
        <v>47.147705349999995</v>
      </c>
      <c r="KC15" s="254">
        <v>26.409323470001453</v>
      </c>
      <c r="KD15" s="160">
        <v>18.863651009999998</v>
      </c>
      <c r="KE15" s="159">
        <v>24.125391650000001</v>
      </c>
      <c r="KF15" s="273">
        <v>69.398366130001449</v>
      </c>
      <c r="KG15" s="273">
        <v>215.97324391000146</v>
      </c>
      <c r="KH15" s="221">
        <v>28.77496335</v>
      </c>
      <c r="KI15" s="222">
        <v>23.695701270000001</v>
      </c>
      <c r="KJ15" s="223">
        <v>20.898393689999999</v>
      </c>
      <c r="KK15" s="273">
        <v>73.36905831</v>
      </c>
      <c r="KL15" s="221">
        <v>15.033986560000001</v>
      </c>
      <c r="KM15" s="222">
        <v>19.18817554</v>
      </c>
      <c r="KN15" s="223">
        <v>6.9116107299999996</v>
      </c>
      <c r="KO15" s="273">
        <v>41.133772829999998</v>
      </c>
      <c r="KP15" s="221">
        <v>15.614300880000002</v>
      </c>
      <c r="KQ15" s="222">
        <v>18.625556029999998</v>
      </c>
      <c r="KR15" s="223">
        <v>31.457594380000003</v>
      </c>
      <c r="KS15" s="273">
        <v>65.697451290000004</v>
      </c>
      <c r="KT15" s="254">
        <v>17.958748799999999</v>
      </c>
      <c r="KU15" s="160">
        <v>24.394991749999999</v>
      </c>
      <c r="KV15" s="159">
        <v>16.469923489999999</v>
      </c>
      <c r="KW15" s="273">
        <v>58.823664039999997</v>
      </c>
      <c r="KX15" s="273">
        <v>239.02394647</v>
      </c>
      <c r="KY15" s="221">
        <v>23.567520820000002</v>
      </c>
      <c r="KZ15" s="222">
        <v>17.92310883</v>
      </c>
      <c r="LA15" s="223">
        <v>11.1564526</v>
      </c>
      <c r="LB15" s="273">
        <v>52.647082250000004</v>
      </c>
      <c r="LC15" s="221">
        <v>13.559646500000001</v>
      </c>
      <c r="LD15" s="222">
        <v>19.954834739999999</v>
      </c>
      <c r="LE15" s="223">
        <v>9.3774246099999985</v>
      </c>
      <c r="LF15" s="273">
        <v>42.891905850000001</v>
      </c>
      <c r="LG15" s="221">
        <v>22.773105130000001</v>
      </c>
      <c r="LH15" s="222">
        <v>6.0820726499999989</v>
      </c>
      <c r="LI15" s="223">
        <v>9.7975864500000007</v>
      </c>
      <c r="LJ15" s="273">
        <v>38.652764230000002</v>
      </c>
      <c r="LK15" s="254">
        <v>19.526414340000002</v>
      </c>
      <c r="LL15" s="160">
        <v>10.333891939999999</v>
      </c>
      <c r="LM15" s="159">
        <v>12.91966098</v>
      </c>
      <c r="LN15" s="273">
        <v>42.779967260000006</v>
      </c>
      <c r="LO15" s="273">
        <v>176.97171959000002</v>
      </c>
    </row>
    <row r="16" spans="1:327" ht="17.100000000000001" customHeight="1" x14ac:dyDescent="0.25">
      <c r="A16" s="2" t="s">
        <v>25</v>
      </c>
      <c r="B16" s="24"/>
      <c r="C16" s="5">
        <v>102.7</v>
      </c>
      <c r="D16" s="5">
        <v>7</v>
      </c>
      <c r="E16" s="5">
        <v>6.9</v>
      </c>
      <c r="F16" s="5">
        <v>0</v>
      </c>
      <c r="G16" s="5">
        <v>13.9</v>
      </c>
      <c r="H16" s="5">
        <v>6.1</v>
      </c>
      <c r="I16" s="5">
        <v>4.8</v>
      </c>
      <c r="J16" s="5">
        <v>0</v>
      </c>
      <c r="K16" s="5">
        <v>10.9</v>
      </c>
      <c r="L16" s="5">
        <v>11.9</v>
      </c>
      <c r="M16" s="5">
        <v>0.1</v>
      </c>
      <c r="N16" s="5">
        <v>7.2</v>
      </c>
      <c r="O16" s="5">
        <f t="shared" si="0"/>
        <v>19.2</v>
      </c>
      <c r="P16" s="5">
        <v>7</v>
      </c>
      <c r="Q16" s="5">
        <v>6.5</v>
      </c>
      <c r="R16" s="5">
        <v>5.9</v>
      </c>
      <c r="S16" s="5">
        <f t="shared" si="1"/>
        <v>19.399999999999999</v>
      </c>
      <c r="T16" s="16">
        <f t="shared" si="7"/>
        <v>63.399999999999991</v>
      </c>
      <c r="U16" s="5">
        <v>4.5</v>
      </c>
      <c r="V16" s="5">
        <v>5</v>
      </c>
      <c r="W16" s="5">
        <v>6.2</v>
      </c>
      <c r="X16" s="4">
        <f t="shared" si="2"/>
        <v>15.7</v>
      </c>
      <c r="Y16" s="6">
        <v>6.5</v>
      </c>
      <c r="Z16" s="6">
        <v>5.3</v>
      </c>
      <c r="AA16" s="5">
        <v>5.5</v>
      </c>
      <c r="AB16" s="5">
        <f t="shared" si="3"/>
        <v>17.3</v>
      </c>
      <c r="AC16" s="6">
        <v>4.8</v>
      </c>
      <c r="AD16" s="6">
        <v>4.9000000000000004</v>
      </c>
      <c r="AE16" s="6">
        <v>5.3</v>
      </c>
      <c r="AF16" s="5">
        <f t="shared" si="4"/>
        <v>15</v>
      </c>
      <c r="AG16" s="6">
        <v>5.3</v>
      </c>
      <c r="AH16" s="6">
        <v>5.3</v>
      </c>
      <c r="AI16" s="6">
        <v>5.0999999999999996</v>
      </c>
      <c r="AJ16" s="5">
        <f t="shared" si="8"/>
        <v>15.7</v>
      </c>
      <c r="AK16" s="16">
        <f t="shared" si="9"/>
        <v>63.7</v>
      </c>
      <c r="AL16" s="5">
        <v>4.5</v>
      </c>
      <c r="AM16" s="6">
        <v>3.1</v>
      </c>
      <c r="AN16" s="5">
        <v>2.8</v>
      </c>
      <c r="AO16" s="5"/>
      <c r="AP16" s="5">
        <v>3.3</v>
      </c>
      <c r="AQ16" s="5">
        <v>2.9</v>
      </c>
      <c r="AR16" s="5">
        <v>2.8</v>
      </c>
      <c r="AS16" s="54">
        <f t="shared" si="12"/>
        <v>9</v>
      </c>
      <c r="AT16" s="5">
        <f>1.2+1.2</f>
        <v>2.4</v>
      </c>
      <c r="AU16" s="5">
        <v>0</v>
      </c>
      <c r="AV16" s="5">
        <v>1.2775886700000001</v>
      </c>
      <c r="AW16" s="54">
        <f t="shared" si="13"/>
        <v>3.67758867</v>
      </c>
      <c r="AX16" s="5">
        <v>1.6</v>
      </c>
      <c r="AY16" s="5">
        <v>1.85</v>
      </c>
      <c r="AZ16" s="5">
        <v>1.9</v>
      </c>
      <c r="BA16" s="54">
        <f t="shared" si="14"/>
        <v>5.35</v>
      </c>
      <c r="BB16" s="54">
        <f t="shared" si="15"/>
        <v>18.02758867</v>
      </c>
      <c r="BC16" s="5">
        <v>2.8234094700000001</v>
      </c>
      <c r="BD16" s="66">
        <v>3.0672042799999999</v>
      </c>
      <c r="BE16" s="66">
        <v>3.8309786300000002</v>
      </c>
      <c r="BF16" s="62">
        <f t="shared" si="16"/>
        <v>9.7215923800000006</v>
      </c>
      <c r="BG16" s="67">
        <v>6.5543849999999999</v>
      </c>
      <c r="BH16" s="67">
        <v>6.1608400000000003</v>
      </c>
      <c r="BI16" s="67">
        <v>6.5921900000000004</v>
      </c>
      <c r="BJ16" s="62">
        <f t="shared" si="17"/>
        <v>19.307414999999999</v>
      </c>
      <c r="BK16" s="67">
        <v>7.3036899999999996</v>
      </c>
      <c r="BL16" s="67">
        <v>7.5327000000000002</v>
      </c>
      <c r="BM16" s="67">
        <v>9.7455499999999997</v>
      </c>
      <c r="BN16" s="62">
        <f t="shared" si="18"/>
        <v>24.581939999999999</v>
      </c>
      <c r="BO16" s="71">
        <v>13.365247500000001</v>
      </c>
      <c r="BP16" s="67">
        <v>10.48569</v>
      </c>
      <c r="BQ16" s="67">
        <v>10.907859999999999</v>
      </c>
      <c r="BR16" s="62">
        <f t="shared" si="19"/>
        <v>34.7587975</v>
      </c>
      <c r="BS16" s="62">
        <f t="shared" si="20"/>
        <v>88.369744879999999</v>
      </c>
      <c r="BT16" s="71">
        <v>14.5</v>
      </c>
      <c r="BU16" s="67">
        <v>13.6</v>
      </c>
      <c r="BV16" s="77">
        <v>13.3</v>
      </c>
      <c r="BW16" s="62">
        <f t="shared" si="21"/>
        <v>41.400000000000006</v>
      </c>
      <c r="BX16" s="67">
        <v>13.7</v>
      </c>
      <c r="BY16" s="67">
        <v>15.8</v>
      </c>
      <c r="BZ16" s="67">
        <v>0</v>
      </c>
      <c r="CA16" s="62">
        <f t="shared" si="22"/>
        <v>29.5</v>
      </c>
      <c r="CB16" s="67"/>
      <c r="CC16" s="67"/>
      <c r="CD16" s="67"/>
      <c r="CE16" s="62">
        <f t="shared" si="23"/>
        <v>0</v>
      </c>
      <c r="CF16" s="67"/>
      <c r="CG16" s="67"/>
      <c r="CH16" s="67"/>
      <c r="CI16" s="67">
        <f t="shared" si="24"/>
        <v>0</v>
      </c>
      <c r="CJ16" s="71">
        <f t="shared" si="25"/>
        <v>70.900000000000006</v>
      </c>
      <c r="CK16" s="71"/>
      <c r="CL16" s="67"/>
      <c r="CM16" s="67"/>
      <c r="CN16" s="62">
        <f t="shared" si="26"/>
        <v>0</v>
      </c>
      <c r="CO16" s="67"/>
      <c r="CP16" s="67"/>
      <c r="CQ16" s="67"/>
      <c r="CR16" s="62">
        <f t="shared" si="27"/>
        <v>0</v>
      </c>
      <c r="CS16" s="101"/>
      <c r="CT16" s="67"/>
      <c r="CU16" s="67"/>
      <c r="CV16" s="62">
        <f t="shared" si="28"/>
        <v>0</v>
      </c>
      <c r="CW16" s="67"/>
      <c r="CX16" s="67"/>
      <c r="CY16" s="112"/>
      <c r="CZ16" s="113">
        <f t="shared" si="29"/>
        <v>0</v>
      </c>
      <c r="DA16" s="62">
        <f t="shared" si="30"/>
        <v>0</v>
      </c>
      <c r="DB16" s="71"/>
      <c r="DC16" s="67"/>
      <c r="DD16" s="67"/>
      <c r="DE16" s="62">
        <f t="shared" si="31"/>
        <v>0</v>
      </c>
      <c r="DF16" s="71"/>
      <c r="DG16" s="67"/>
      <c r="DH16" s="67"/>
      <c r="DI16" s="62">
        <f t="shared" si="32"/>
        <v>0</v>
      </c>
      <c r="DJ16" s="71"/>
      <c r="DK16" s="67"/>
      <c r="DL16" s="67"/>
      <c r="DM16" s="62">
        <f t="shared" si="33"/>
        <v>0</v>
      </c>
      <c r="DN16" s="67"/>
      <c r="DO16" s="67"/>
      <c r="DP16" s="67"/>
      <c r="DQ16" s="113">
        <f t="shared" si="34"/>
        <v>0</v>
      </c>
      <c r="DR16" s="140">
        <f t="shared" si="35"/>
        <v>0</v>
      </c>
      <c r="DS16" s="141"/>
      <c r="DT16" s="141"/>
      <c r="DU16" s="141"/>
      <c r="DV16" s="140">
        <f t="shared" si="36"/>
        <v>0</v>
      </c>
      <c r="DW16" s="142"/>
      <c r="DX16" s="141"/>
      <c r="DY16" s="141"/>
      <c r="DZ16" s="140">
        <f t="shared" si="37"/>
        <v>0</v>
      </c>
      <c r="EA16" s="142"/>
      <c r="EB16" s="141"/>
      <c r="EC16" s="141"/>
      <c r="ED16" s="140">
        <f t="shared" si="38"/>
        <v>0</v>
      </c>
      <c r="EE16" s="141"/>
      <c r="EF16" s="141"/>
      <c r="EG16" s="141"/>
      <c r="EH16" s="140">
        <f t="shared" si="39"/>
        <v>0</v>
      </c>
      <c r="EI16" s="140">
        <f t="shared" si="40"/>
        <v>0</v>
      </c>
      <c r="EJ16" s="141"/>
      <c r="EK16" s="141"/>
      <c r="EL16" s="141"/>
      <c r="EM16" s="140">
        <f t="shared" si="41"/>
        <v>0</v>
      </c>
      <c r="EN16" s="141"/>
      <c r="EO16" s="141"/>
      <c r="EP16" s="141"/>
      <c r="EQ16" s="140">
        <f t="shared" si="42"/>
        <v>0</v>
      </c>
      <c r="ER16" s="141"/>
      <c r="ES16" s="141"/>
      <c r="ET16" s="141"/>
      <c r="EU16" s="140">
        <f t="shared" si="43"/>
        <v>0</v>
      </c>
      <c r="EV16" s="141"/>
      <c r="EW16" s="141"/>
      <c r="EX16" s="141"/>
      <c r="EY16" s="140">
        <f t="shared" si="44"/>
        <v>0</v>
      </c>
      <c r="EZ16" s="169">
        <f t="shared" si="45"/>
        <v>0</v>
      </c>
      <c r="FA16" s="170"/>
      <c r="FB16" s="169"/>
      <c r="FC16" s="169"/>
      <c r="FD16" s="169"/>
      <c r="FE16" s="171">
        <f t="shared" si="46"/>
        <v>0</v>
      </c>
      <c r="FF16" s="169"/>
      <c r="FG16" s="169"/>
      <c r="FH16" s="169"/>
      <c r="FI16" s="171">
        <f t="shared" si="47"/>
        <v>0</v>
      </c>
      <c r="FJ16" s="169"/>
      <c r="FK16" s="169"/>
      <c r="FL16" s="169"/>
      <c r="FM16" s="171">
        <f t="shared" si="48"/>
        <v>0</v>
      </c>
      <c r="FN16" s="172"/>
      <c r="FO16" s="173"/>
      <c r="FP16" s="174"/>
      <c r="FQ16" s="175">
        <f t="shared" si="49"/>
        <v>0</v>
      </c>
      <c r="FR16" s="175">
        <f t="shared" si="50"/>
        <v>0</v>
      </c>
      <c r="FS16" s="172"/>
      <c r="FT16" s="173"/>
      <c r="FU16" s="174"/>
      <c r="FV16" s="175">
        <f t="shared" si="51"/>
        <v>0</v>
      </c>
      <c r="FW16" s="172"/>
      <c r="FX16" s="173"/>
      <c r="FY16" s="174">
        <v>0</v>
      </c>
      <c r="FZ16" s="175">
        <f t="shared" si="52"/>
        <v>0</v>
      </c>
      <c r="GA16" s="172"/>
      <c r="GB16" s="173"/>
      <c r="GC16" s="174"/>
      <c r="GD16" s="175">
        <f t="shared" si="53"/>
        <v>0</v>
      </c>
      <c r="GE16" s="172"/>
      <c r="GF16" s="173"/>
      <c r="GG16" s="159"/>
      <c r="GH16" s="174">
        <f t="shared" si="54"/>
        <v>0</v>
      </c>
      <c r="GI16" s="174">
        <f t="shared" si="55"/>
        <v>0</v>
      </c>
      <c r="GJ16" s="221"/>
      <c r="GK16" s="222"/>
      <c r="GL16" s="223"/>
      <c r="GM16" s="175">
        <f t="shared" si="56"/>
        <v>0</v>
      </c>
      <c r="GN16" s="221"/>
      <c r="GO16" s="222"/>
      <c r="GP16" s="223">
        <v>0</v>
      </c>
      <c r="GQ16" s="175">
        <f t="shared" si="57"/>
        <v>0</v>
      </c>
      <c r="GR16" s="244"/>
      <c r="GS16" s="222"/>
      <c r="GT16" s="223"/>
      <c r="GU16" s="175">
        <f t="shared" si="58"/>
        <v>0</v>
      </c>
      <c r="GV16" s="221"/>
      <c r="GW16" s="222"/>
      <c r="GX16" s="223"/>
      <c r="GY16" s="174">
        <f t="shared" si="59"/>
        <v>0</v>
      </c>
      <c r="GZ16" s="159">
        <f t="shared" si="60"/>
        <v>0</v>
      </c>
      <c r="HA16" s="254"/>
      <c r="HB16" s="160"/>
      <c r="HC16" s="159"/>
      <c r="HD16" s="273">
        <f t="shared" si="61"/>
        <v>0</v>
      </c>
      <c r="HE16" s="254"/>
      <c r="HF16" s="160"/>
      <c r="HG16" s="159">
        <v>0</v>
      </c>
      <c r="HH16" s="273">
        <f t="shared" si="62"/>
        <v>0</v>
      </c>
      <c r="HI16" s="274"/>
      <c r="HJ16" s="160"/>
      <c r="HK16" s="159"/>
      <c r="HL16" s="273">
        <f t="shared" si="63"/>
        <v>0</v>
      </c>
      <c r="HM16" s="254"/>
      <c r="HN16" s="160"/>
      <c r="HO16" s="159"/>
      <c r="HP16" s="273">
        <f t="shared" si="64"/>
        <v>0</v>
      </c>
      <c r="HQ16" s="273">
        <f t="shared" si="65"/>
        <v>0</v>
      </c>
      <c r="HR16" s="254"/>
      <c r="HS16" s="160"/>
      <c r="HT16" s="159"/>
      <c r="HU16" s="273">
        <f t="shared" si="66"/>
        <v>0</v>
      </c>
      <c r="HV16" s="254"/>
      <c r="HW16" s="160"/>
      <c r="HX16" s="159">
        <v>0</v>
      </c>
      <c r="HY16" s="273">
        <f t="shared" si="67"/>
        <v>0</v>
      </c>
      <c r="HZ16" s="275"/>
      <c r="IA16" s="160"/>
      <c r="IB16" s="159"/>
      <c r="IC16" s="273">
        <f t="shared" si="68"/>
        <v>0</v>
      </c>
      <c r="ID16" s="254"/>
      <c r="IE16" s="160"/>
      <c r="IF16" s="159"/>
      <c r="IG16" s="273">
        <f t="shared" si="69"/>
        <v>0</v>
      </c>
      <c r="IH16" s="273">
        <v>0</v>
      </c>
      <c r="II16" s="254"/>
      <c r="IJ16" s="160"/>
      <c r="IK16" s="159"/>
      <c r="IL16" s="273">
        <v>0</v>
      </c>
      <c r="IM16" s="254"/>
      <c r="IN16" s="160"/>
      <c r="IO16" s="160">
        <v>0</v>
      </c>
      <c r="IP16" s="273">
        <v>0</v>
      </c>
      <c r="IQ16" s="254"/>
      <c r="IR16" s="160"/>
      <c r="IS16" s="159"/>
      <c r="IT16" s="273">
        <v>0</v>
      </c>
      <c r="IU16" s="254"/>
      <c r="IV16" s="160"/>
      <c r="IW16" s="159"/>
      <c r="IX16" s="273">
        <v>0</v>
      </c>
      <c r="IY16" s="273">
        <v>0</v>
      </c>
      <c r="IZ16" s="254"/>
      <c r="JA16" s="160"/>
      <c r="JB16" s="159"/>
      <c r="JC16" s="273">
        <v>0</v>
      </c>
      <c r="JD16" s="254"/>
      <c r="JE16" s="160"/>
      <c r="JF16" s="159"/>
      <c r="JG16" s="273">
        <v>0</v>
      </c>
      <c r="JH16" s="254"/>
      <c r="JI16" s="160"/>
      <c r="JJ16" s="159"/>
      <c r="JK16" s="273">
        <v>0</v>
      </c>
      <c r="JL16" s="254"/>
      <c r="JM16" s="160"/>
      <c r="JN16" s="159"/>
      <c r="JO16" s="273">
        <v>0</v>
      </c>
      <c r="JP16" s="273">
        <v>0</v>
      </c>
      <c r="JQ16" s="254"/>
      <c r="JR16" s="160"/>
      <c r="JS16" s="159"/>
      <c r="JT16" s="273">
        <v>0</v>
      </c>
      <c r="JU16" s="254"/>
      <c r="JV16" s="160"/>
      <c r="JW16" s="159"/>
      <c r="JX16" s="273">
        <v>0</v>
      </c>
      <c r="JY16" s="254"/>
      <c r="JZ16" s="160"/>
      <c r="KA16" s="159"/>
      <c r="KB16" s="273">
        <v>0</v>
      </c>
      <c r="KC16" s="254"/>
      <c r="KD16" s="160"/>
      <c r="KE16" s="159"/>
      <c r="KF16" s="273">
        <v>0</v>
      </c>
      <c r="KG16" s="273">
        <v>0</v>
      </c>
      <c r="KH16" s="221"/>
      <c r="KI16" s="222"/>
      <c r="KJ16" s="223"/>
      <c r="KK16" s="273">
        <v>0</v>
      </c>
      <c r="KL16" s="221"/>
      <c r="KM16" s="222"/>
      <c r="KN16" s="223"/>
      <c r="KO16" s="273">
        <v>0</v>
      </c>
      <c r="KP16" s="221"/>
      <c r="KQ16" s="222"/>
      <c r="KR16" s="223"/>
      <c r="KS16" s="273">
        <v>0</v>
      </c>
      <c r="KT16" s="254"/>
      <c r="KU16" s="160"/>
      <c r="KV16" s="159"/>
      <c r="KW16" s="273">
        <v>0</v>
      </c>
      <c r="KX16" s="273">
        <v>0</v>
      </c>
      <c r="KY16" s="221">
        <v>0</v>
      </c>
      <c r="KZ16" s="222">
        <v>0</v>
      </c>
      <c r="LA16" s="223">
        <v>0</v>
      </c>
      <c r="LB16" s="273">
        <v>0</v>
      </c>
      <c r="LC16" s="221">
        <v>0</v>
      </c>
      <c r="LD16" s="222">
        <v>0</v>
      </c>
      <c r="LE16" s="223">
        <v>0</v>
      </c>
      <c r="LF16" s="273">
        <v>0</v>
      </c>
      <c r="LG16" s="221">
        <v>0</v>
      </c>
      <c r="LH16" s="222">
        <v>0</v>
      </c>
      <c r="LI16" s="223">
        <v>0</v>
      </c>
      <c r="LJ16" s="273">
        <v>0</v>
      </c>
      <c r="LK16" s="254"/>
      <c r="LL16" s="160"/>
      <c r="LM16" s="159"/>
      <c r="LN16" s="273">
        <v>0</v>
      </c>
      <c r="LO16" s="273">
        <v>0</v>
      </c>
    </row>
    <row r="17" spans="1:327" ht="17.100000000000001" customHeight="1" x14ac:dyDescent="0.25">
      <c r="A17" s="2" t="s">
        <v>26</v>
      </c>
      <c r="B17" s="24"/>
      <c r="C17" s="5">
        <v>0.5</v>
      </c>
      <c r="D17" s="5">
        <v>2.6</v>
      </c>
      <c r="E17" s="5">
        <v>0</v>
      </c>
      <c r="F17" s="5">
        <v>3.5</v>
      </c>
      <c r="G17" s="5">
        <v>6.1</v>
      </c>
      <c r="H17" s="5">
        <v>0</v>
      </c>
      <c r="I17" s="5">
        <v>0</v>
      </c>
      <c r="J17" s="5">
        <v>1.7</v>
      </c>
      <c r="K17" s="5">
        <v>1.7</v>
      </c>
      <c r="L17" s="5">
        <v>0</v>
      </c>
      <c r="M17" s="5">
        <v>0</v>
      </c>
      <c r="N17" s="5">
        <v>0</v>
      </c>
      <c r="O17" s="5">
        <f t="shared" si="0"/>
        <v>0</v>
      </c>
      <c r="P17" s="5">
        <v>0</v>
      </c>
      <c r="Q17" s="5">
        <v>0</v>
      </c>
      <c r="R17" s="5">
        <v>0.5</v>
      </c>
      <c r="S17" s="5">
        <f t="shared" si="1"/>
        <v>0.5</v>
      </c>
      <c r="T17" s="16">
        <f t="shared" si="7"/>
        <v>8.3000000000000007</v>
      </c>
      <c r="U17" s="5">
        <v>0</v>
      </c>
      <c r="V17" s="5">
        <v>0</v>
      </c>
      <c r="W17" s="5">
        <v>0</v>
      </c>
      <c r="X17" s="4">
        <f t="shared" si="2"/>
        <v>0</v>
      </c>
      <c r="Y17" s="6">
        <v>1</v>
      </c>
      <c r="Z17" s="6">
        <v>0</v>
      </c>
      <c r="AA17" s="5">
        <f>4.14+6.04</f>
        <v>10.18</v>
      </c>
      <c r="AB17" s="5">
        <f t="shared" si="3"/>
        <v>11.18</v>
      </c>
      <c r="AC17" s="6">
        <v>0</v>
      </c>
      <c r="AD17" s="6">
        <v>0.2</v>
      </c>
      <c r="AE17" s="6"/>
      <c r="AF17" s="5">
        <f t="shared" si="4"/>
        <v>0.2</v>
      </c>
      <c r="AG17" s="6"/>
      <c r="AH17" s="6">
        <v>0</v>
      </c>
      <c r="AI17" s="6">
        <v>0</v>
      </c>
      <c r="AJ17" s="5">
        <f t="shared" si="8"/>
        <v>0</v>
      </c>
      <c r="AK17" s="16">
        <f t="shared" si="9"/>
        <v>11.379999999999999</v>
      </c>
      <c r="AL17" s="320"/>
      <c r="AM17" s="320"/>
      <c r="AN17" s="320"/>
      <c r="AO17" s="5"/>
      <c r="AP17" s="320"/>
      <c r="AQ17" s="320"/>
      <c r="AR17" s="5">
        <v>0</v>
      </c>
      <c r="AS17" s="54">
        <f t="shared" si="12"/>
        <v>0</v>
      </c>
      <c r="AT17" s="5">
        <v>0</v>
      </c>
      <c r="AU17" s="5">
        <v>0</v>
      </c>
      <c r="AV17" s="5">
        <v>0.24</v>
      </c>
      <c r="AW17" s="54">
        <f t="shared" si="13"/>
        <v>0.24</v>
      </c>
      <c r="AX17" s="5">
        <v>0</v>
      </c>
      <c r="AY17" s="5">
        <v>0</v>
      </c>
      <c r="AZ17" s="5">
        <v>1.4</v>
      </c>
      <c r="BA17" s="54">
        <f t="shared" si="14"/>
        <v>1.4</v>
      </c>
      <c r="BB17" s="54">
        <f t="shared" si="15"/>
        <v>1.64</v>
      </c>
      <c r="BC17" s="5">
        <v>0.38439699999999999</v>
      </c>
      <c r="BD17" s="66">
        <v>0.18071371</v>
      </c>
      <c r="BE17" s="66">
        <v>0</v>
      </c>
      <c r="BF17" s="62">
        <f t="shared" si="16"/>
        <v>0.56511071000000002</v>
      </c>
      <c r="BG17" s="67">
        <v>0.116174</v>
      </c>
      <c r="BH17" s="67"/>
      <c r="BI17" s="67"/>
      <c r="BJ17" s="62">
        <f t="shared" si="17"/>
        <v>0.116174</v>
      </c>
      <c r="BK17" s="67"/>
      <c r="BL17" s="67"/>
      <c r="BM17" s="67"/>
      <c r="BN17" s="62">
        <f t="shared" si="18"/>
        <v>0</v>
      </c>
      <c r="BO17" s="71"/>
      <c r="BP17" s="67"/>
      <c r="BQ17" s="67"/>
      <c r="BR17" s="62">
        <f t="shared" si="19"/>
        <v>0</v>
      </c>
      <c r="BS17" s="62">
        <f t="shared" si="20"/>
        <v>0.68128471000000002</v>
      </c>
      <c r="BT17" s="71"/>
      <c r="BU17" s="67"/>
      <c r="BV17" s="77"/>
      <c r="BW17" s="62">
        <f t="shared" si="21"/>
        <v>0</v>
      </c>
      <c r="BX17" s="67"/>
      <c r="BY17" s="67"/>
      <c r="BZ17" s="67"/>
      <c r="CA17" s="62">
        <f t="shared" si="22"/>
        <v>0</v>
      </c>
      <c r="CB17" s="67"/>
      <c r="CC17" s="67"/>
      <c r="CD17" s="67"/>
      <c r="CE17" s="62">
        <f t="shared" si="23"/>
        <v>0</v>
      </c>
      <c r="CF17" s="67"/>
      <c r="CG17" s="67"/>
      <c r="CH17" s="67"/>
      <c r="CI17" s="67">
        <f t="shared" si="24"/>
        <v>0</v>
      </c>
      <c r="CJ17" s="71">
        <f t="shared" si="25"/>
        <v>0</v>
      </c>
      <c r="CK17" s="71"/>
      <c r="CL17" s="67"/>
      <c r="CM17" s="67"/>
      <c r="CN17" s="62">
        <f t="shared" si="26"/>
        <v>0</v>
      </c>
      <c r="CO17" s="67"/>
      <c r="CP17" s="67"/>
      <c r="CQ17" s="67"/>
      <c r="CR17" s="62">
        <f t="shared" si="27"/>
        <v>0</v>
      </c>
      <c r="CS17" s="101"/>
      <c r="CT17" s="67"/>
      <c r="CU17" s="67"/>
      <c r="CV17" s="62">
        <f t="shared" si="28"/>
        <v>0</v>
      </c>
      <c r="CW17" s="67"/>
      <c r="CX17" s="67"/>
      <c r="CY17" s="112"/>
      <c r="CZ17" s="113">
        <f t="shared" si="29"/>
        <v>0</v>
      </c>
      <c r="DA17" s="62">
        <f t="shared" si="30"/>
        <v>0</v>
      </c>
      <c r="DB17" s="71"/>
      <c r="DC17" s="67"/>
      <c r="DD17" s="67"/>
      <c r="DE17" s="62">
        <f t="shared" si="31"/>
        <v>0</v>
      </c>
      <c r="DF17" s="71"/>
      <c r="DG17" s="67"/>
      <c r="DH17" s="67"/>
      <c r="DI17" s="62">
        <f t="shared" si="32"/>
        <v>0</v>
      </c>
      <c r="DJ17" s="71"/>
      <c r="DK17" s="67"/>
      <c r="DL17" s="67"/>
      <c r="DM17" s="62">
        <f t="shared" si="33"/>
        <v>0</v>
      </c>
      <c r="DN17" s="67"/>
      <c r="DO17" s="67"/>
      <c r="DP17" s="67"/>
      <c r="DQ17" s="113">
        <f t="shared" si="34"/>
        <v>0</v>
      </c>
      <c r="DR17" s="140">
        <f t="shared" si="35"/>
        <v>0</v>
      </c>
      <c r="DS17" s="141"/>
      <c r="DT17" s="141"/>
      <c r="DU17" s="141"/>
      <c r="DV17" s="140">
        <f t="shared" si="36"/>
        <v>0</v>
      </c>
      <c r="DW17" s="142"/>
      <c r="DX17" s="141"/>
      <c r="DY17" s="141"/>
      <c r="DZ17" s="140">
        <f t="shared" si="37"/>
        <v>0</v>
      </c>
      <c r="EA17" s="142"/>
      <c r="EB17" s="141"/>
      <c r="EC17" s="141"/>
      <c r="ED17" s="140">
        <f t="shared" si="38"/>
        <v>0</v>
      </c>
      <c r="EE17" s="141"/>
      <c r="EF17" s="141"/>
      <c r="EG17" s="141"/>
      <c r="EH17" s="140">
        <f t="shared" si="39"/>
        <v>0</v>
      </c>
      <c r="EI17" s="140">
        <f t="shared" si="40"/>
        <v>0</v>
      </c>
      <c r="EJ17" s="141"/>
      <c r="EK17" s="141"/>
      <c r="EL17" s="141"/>
      <c r="EM17" s="140">
        <f t="shared" si="41"/>
        <v>0</v>
      </c>
      <c r="EN17" s="141"/>
      <c r="EO17" s="141"/>
      <c r="EP17" s="141"/>
      <c r="EQ17" s="140">
        <f t="shared" si="42"/>
        <v>0</v>
      </c>
      <c r="ER17" s="141"/>
      <c r="ES17" s="141"/>
      <c r="ET17" s="141"/>
      <c r="EU17" s="140">
        <f t="shared" si="43"/>
        <v>0</v>
      </c>
      <c r="EV17" s="141"/>
      <c r="EW17" s="141"/>
      <c r="EX17" s="141"/>
      <c r="EY17" s="140">
        <f t="shared" si="44"/>
        <v>0</v>
      </c>
      <c r="EZ17" s="169">
        <f t="shared" si="45"/>
        <v>0</v>
      </c>
      <c r="FA17" s="170"/>
      <c r="FB17" s="169"/>
      <c r="FC17" s="169"/>
      <c r="FD17" s="169"/>
      <c r="FE17" s="171">
        <f t="shared" si="46"/>
        <v>0</v>
      </c>
      <c r="FF17" s="169"/>
      <c r="FG17" s="169"/>
      <c r="FH17" s="169"/>
      <c r="FI17" s="171">
        <f t="shared" si="47"/>
        <v>0</v>
      </c>
      <c r="FJ17" s="169"/>
      <c r="FK17" s="169"/>
      <c r="FL17" s="169"/>
      <c r="FM17" s="171">
        <f t="shared" si="48"/>
        <v>0</v>
      </c>
      <c r="FN17" s="172"/>
      <c r="FO17" s="173"/>
      <c r="FP17" s="174"/>
      <c r="FQ17" s="175">
        <f t="shared" si="49"/>
        <v>0</v>
      </c>
      <c r="FR17" s="175">
        <f t="shared" si="50"/>
        <v>0</v>
      </c>
      <c r="FS17" s="172"/>
      <c r="FT17" s="173"/>
      <c r="FU17" s="174"/>
      <c r="FV17" s="175">
        <f t="shared" si="51"/>
        <v>0</v>
      </c>
      <c r="FW17" s="172"/>
      <c r="FX17" s="173"/>
      <c r="FY17" s="174">
        <v>0</v>
      </c>
      <c r="FZ17" s="175">
        <f t="shared" si="52"/>
        <v>0</v>
      </c>
      <c r="GA17" s="172">
        <v>65.454329909999998</v>
      </c>
      <c r="GB17" s="173">
        <v>75.391368329999992</v>
      </c>
      <c r="GC17" s="174">
        <v>104.77788704999999</v>
      </c>
      <c r="GD17" s="175">
        <f t="shared" si="53"/>
        <v>245.62358528999999</v>
      </c>
      <c r="GE17" s="172">
        <v>123.70928314999999</v>
      </c>
      <c r="GF17" s="173">
        <v>135.92555158099998</v>
      </c>
      <c r="GG17" s="159">
        <v>110.89536912</v>
      </c>
      <c r="GH17" s="174">
        <f t="shared" si="54"/>
        <v>370.53020385099995</v>
      </c>
      <c r="GI17" s="174">
        <f t="shared" si="55"/>
        <v>616.15378914099995</v>
      </c>
      <c r="GJ17" s="221">
        <v>119.25127898</v>
      </c>
      <c r="GK17" s="222">
        <v>148.26271985100001</v>
      </c>
      <c r="GL17" s="223">
        <v>135.46120819999999</v>
      </c>
      <c r="GM17" s="175">
        <f t="shared" si="56"/>
        <v>402.97520703099997</v>
      </c>
      <c r="GN17" s="221">
        <v>219.81276370009999</v>
      </c>
      <c r="GO17" s="222">
        <v>168.90374742</v>
      </c>
      <c r="GP17" s="223">
        <v>167.748501310585</v>
      </c>
      <c r="GQ17" s="175">
        <f t="shared" si="57"/>
        <v>556.46501243068496</v>
      </c>
      <c r="GR17" s="244">
        <v>152.6</v>
      </c>
      <c r="GS17" s="222">
        <v>201.62585948985742</v>
      </c>
      <c r="GT17" s="223">
        <v>214.9314861896564</v>
      </c>
      <c r="GU17" s="175">
        <f t="shared" si="58"/>
        <v>569.15734567951381</v>
      </c>
      <c r="GV17" s="221">
        <v>184.47633357962701</v>
      </c>
      <c r="GW17" s="222">
        <v>172.7789730487805</v>
      </c>
      <c r="GX17" s="223">
        <v>226.98874790875203</v>
      </c>
      <c r="GY17" s="174">
        <f t="shared" si="59"/>
        <v>584.24405453715963</v>
      </c>
      <c r="GZ17" s="159">
        <f t="shared" si="60"/>
        <v>2112.8416196783583</v>
      </c>
      <c r="HA17" s="254">
        <v>205.84013011047344</v>
      </c>
      <c r="HB17" s="160">
        <v>192.07868380057374</v>
      </c>
      <c r="HC17" s="159">
        <v>202.81688712094689</v>
      </c>
      <c r="HD17" s="273">
        <f t="shared" si="61"/>
        <v>600.73570103199404</v>
      </c>
      <c r="HE17" s="254">
        <v>106.24480430984221</v>
      </c>
      <c r="HF17" s="160">
        <v>118.43949458978479</v>
      </c>
      <c r="HG17" s="159">
        <v>110.55843522955522</v>
      </c>
      <c r="HH17" s="273">
        <f t="shared" si="62"/>
        <v>335.24273412918217</v>
      </c>
      <c r="HI17" s="274">
        <v>105.50490141954086</v>
      </c>
      <c r="HJ17" s="160">
        <v>100.90453407030122</v>
      </c>
      <c r="HK17" s="159">
        <v>135.67988205098999</v>
      </c>
      <c r="HL17" s="273">
        <f t="shared" si="63"/>
        <v>342.0893175408321</v>
      </c>
      <c r="HM17" s="254">
        <v>140.74910313145125</v>
      </c>
      <c r="HN17" s="160">
        <v>124.75459916992823</v>
      </c>
      <c r="HO17" s="159">
        <v>102.73833524035868</v>
      </c>
      <c r="HP17" s="273">
        <f t="shared" si="64"/>
        <v>368.24203754173811</v>
      </c>
      <c r="HQ17" s="273">
        <f t="shared" si="65"/>
        <v>1646.3097902437466</v>
      </c>
      <c r="HR17" s="254">
        <v>106.42517721978479</v>
      </c>
      <c r="HS17" s="160">
        <v>192.56322614921089</v>
      </c>
      <c r="HT17" s="159">
        <v>94.559939110000002</v>
      </c>
      <c r="HU17" s="273">
        <f t="shared" si="66"/>
        <v>393.54834247899572</v>
      </c>
      <c r="HV17" s="254">
        <v>109.11992466</v>
      </c>
      <c r="HW17" s="160">
        <v>127.52574380999999</v>
      </c>
      <c r="HX17" s="159">
        <v>136.1475213902726</v>
      </c>
      <c r="HY17" s="273">
        <f t="shared" si="67"/>
        <v>372.79318986027261</v>
      </c>
      <c r="HZ17" s="275">
        <v>129.06725109094691</v>
      </c>
      <c r="IA17" s="160">
        <v>177.72773411928264</v>
      </c>
      <c r="IB17" s="159">
        <v>169.89963541057389</v>
      </c>
      <c r="IC17" s="273">
        <f t="shared" si="68"/>
        <v>476.69462062080345</v>
      </c>
      <c r="ID17" s="254">
        <v>164.93843702000001</v>
      </c>
      <c r="IE17" s="160">
        <v>169.10058258999999</v>
      </c>
      <c r="IF17" s="159">
        <v>165.85355177</v>
      </c>
      <c r="IG17" s="273">
        <f t="shared" si="69"/>
        <v>499.89257137999994</v>
      </c>
      <c r="IH17" s="273">
        <v>1742.9287243400718</v>
      </c>
      <c r="II17" s="254">
        <v>163.44178184</v>
      </c>
      <c r="IJ17" s="160">
        <v>191.40995089</v>
      </c>
      <c r="IK17" s="159">
        <v>172.28493834999998</v>
      </c>
      <c r="IL17" s="273">
        <v>527.13667107999993</v>
      </c>
      <c r="IM17" s="254">
        <v>120.68444112999998</v>
      </c>
      <c r="IN17" s="160">
        <v>160.20241479050799</v>
      </c>
      <c r="IO17" s="160">
        <v>199.71442023</v>
      </c>
      <c r="IP17" s="273">
        <v>480.60127615050794</v>
      </c>
      <c r="IQ17" s="254">
        <v>202.74306524999997</v>
      </c>
      <c r="IR17" s="160">
        <v>181.21771623000004</v>
      </c>
      <c r="IS17" s="159">
        <v>186.08703573</v>
      </c>
      <c r="IT17" s="273">
        <v>570.04781721000006</v>
      </c>
      <c r="IU17" s="254">
        <v>217.31189146970885</v>
      </c>
      <c r="IV17" s="160">
        <v>253.94189018991256</v>
      </c>
      <c r="IW17" s="159">
        <v>262.47711058023322</v>
      </c>
      <c r="IX17" s="273">
        <v>733.7308922398546</v>
      </c>
      <c r="IY17" s="273">
        <v>2311.5166566803628</v>
      </c>
      <c r="IZ17" s="254">
        <v>241.61837640000002</v>
      </c>
      <c r="JA17" s="160">
        <v>228.89370068999997</v>
      </c>
      <c r="JB17" s="159">
        <v>235.2354711898542</v>
      </c>
      <c r="JC17" s="273">
        <v>705.74754827985419</v>
      </c>
      <c r="JD17" s="254">
        <v>193.85573113997077</v>
      </c>
      <c r="JE17" s="160">
        <v>275.50592265</v>
      </c>
      <c r="JF17" s="159">
        <v>248.94854753999999</v>
      </c>
      <c r="JG17" s="273">
        <v>718.31020132997082</v>
      </c>
      <c r="JH17" s="254">
        <v>257.11729471897957</v>
      </c>
      <c r="JI17" s="160">
        <v>338.12465380000003</v>
      </c>
      <c r="JJ17" s="159">
        <v>263.00453214999999</v>
      </c>
      <c r="JK17" s="273">
        <v>858.24648066897953</v>
      </c>
      <c r="JL17" s="254">
        <v>322.68802985999997</v>
      </c>
      <c r="JM17" s="160">
        <v>271.73830535029151</v>
      </c>
      <c r="JN17" s="159">
        <v>319.26342690046647</v>
      </c>
      <c r="JO17" s="273">
        <v>913.6897621107579</v>
      </c>
      <c r="JP17" s="273">
        <v>3195.9939923895622</v>
      </c>
      <c r="JQ17" s="254">
        <v>332.34089263999999</v>
      </c>
      <c r="JR17" s="160">
        <v>335.03566888</v>
      </c>
      <c r="JS17" s="159">
        <v>326.31328038000004</v>
      </c>
      <c r="JT17" s="273">
        <v>993.68984190000003</v>
      </c>
      <c r="JU17" s="254">
        <v>307.06187534999998</v>
      </c>
      <c r="JV17" s="160">
        <v>320.67752836008754</v>
      </c>
      <c r="JW17" s="159">
        <v>319.76883104000007</v>
      </c>
      <c r="JX17" s="273">
        <v>947.50823475008769</v>
      </c>
      <c r="JY17" s="254">
        <v>378.08232202000011</v>
      </c>
      <c r="JZ17" s="160">
        <v>334.83222698000003</v>
      </c>
      <c r="KA17" s="159">
        <v>375.32364048046645</v>
      </c>
      <c r="KB17" s="273">
        <v>1088.2381894804666</v>
      </c>
      <c r="KC17" s="254">
        <v>399.73702383</v>
      </c>
      <c r="KD17" s="160">
        <v>362.13784905</v>
      </c>
      <c r="KE17" s="159">
        <v>492.50856218000001</v>
      </c>
      <c r="KF17" s="273">
        <v>1254.38343506</v>
      </c>
      <c r="KG17" s="273">
        <v>4283.819701190554</v>
      </c>
      <c r="KH17" s="221">
        <v>305.78806933999999</v>
      </c>
      <c r="KI17" s="222">
        <v>295.98588388000002</v>
      </c>
      <c r="KJ17" s="223">
        <v>352.58024318999998</v>
      </c>
      <c r="KK17" s="273">
        <v>954.35419640999999</v>
      </c>
      <c r="KL17" s="221">
        <v>451.20074851000004</v>
      </c>
      <c r="KM17" s="222">
        <v>472.25079518000001</v>
      </c>
      <c r="KN17" s="223">
        <v>410.51930537999993</v>
      </c>
      <c r="KO17" s="273">
        <v>1333.97084907</v>
      </c>
      <c r="KP17" s="221">
        <v>483.38674996000003</v>
      </c>
      <c r="KQ17" s="222">
        <v>818.09241043999998</v>
      </c>
      <c r="KR17" s="223">
        <v>333.68019610999994</v>
      </c>
      <c r="KS17" s="273">
        <v>1635.15935651</v>
      </c>
      <c r="KT17" s="254">
        <v>394.87749586000001</v>
      </c>
      <c r="KU17" s="160">
        <v>365.03630401999999</v>
      </c>
      <c r="KV17" s="159">
        <v>361.89320180999999</v>
      </c>
      <c r="KW17" s="273">
        <v>1121.8070016899999</v>
      </c>
      <c r="KX17" s="273">
        <v>5045.2914036800003</v>
      </c>
      <c r="KY17" s="221">
        <v>276.64974590000003</v>
      </c>
      <c r="KZ17" s="222">
        <v>308.6831426</v>
      </c>
      <c r="LA17" s="223">
        <v>225.07341595</v>
      </c>
      <c r="LB17" s="273">
        <v>810.40630445000011</v>
      </c>
      <c r="LC17" s="221">
        <v>269.93459905999998</v>
      </c>
      <c r="LD17" s="222">
        <v>234.97953619</v>
      </c>
      <c r="LE17" s="223">
        <v>271.64932754</v>
      </c>
      <c r="LF17" s="273">
        <v>776.5634627899999</v>
      </c>
      <c r="LG17" s="221">
        <v>216.69249337000005</v>
      </c>
      <c r="LH17" s="222">
        <v>219.68221712999997</v>
      </c>
      <c r="LI17" s="223">
        <v>217.3951568</v>
      </c>
      <c r="LJ17" s="273">
        <v>653.76986729999999</v>
      </c>
      <c r="LK17" s="254">
        <v>205.98021825999999</v>
      </c>
      <c r="LL17" s="160">
        <v>179.74190784000004</v>
      </c>
      <c r="LM17" s="159">
        <v>231.22201914000001</v>
      </c>
      <c r="LN17" s="273">
        <v>616.94414524000001</v>
      </c>
      <c r="LO17" s="273">
        <v>2857.6837797800004</v>
      </c>
    </row>
    <row r="18" spans="1:327" ht="17.100000000000001" customHeight="1" x14ac:dyDescent="0.2">
      <c r="A18" s="2" t="s">
        <v>65</v>
      </c>
      <c r="B18" s="24"/>
      <c r="C18" s="5">
        <v>566.6</v>
      </c>
      <c r="D18" s="5">
        <v>45.1</v>
      </c>
      <c r="E18" s="5">
        <v>40.6</v>
      </c>
      <c r="F18" s="5">
        <v>46</v>
      </c>
      <c r="G18" s="5">
        <v>131.69999999999999</v>
      </c>
      <c r="H18" s="5">
        <v>63.9</v>
      </c>
      <c r="I18" s="5">
        <v>58.9</v>
      </c>
      <c r="J18" s="5">
        <v>56</v>
      </c>
      <c r="K18" s="5">
        <v>178.8</v>
      </c>
      <c r="L18" s="5">
        <v>63</v>
      </c>
      <c r="M18" s="5">
        <f>SUM(M19:M21)</f>
        <v>46.6</v>
      </c>
      <c r="N18" s="5">
        <f>SUM(N19:N21)</f>
        <v>9.9000000000000021</v>
      </c>
      <c r="O18" s="5">
        <f t="shared" si="0"/>
        <v>119.5</v>
      </c>
      <c r="P18" s="5">
        <f>SUM(P19:P21)</f>
        <v>4.8</v>
      </c>
      <c r="Q18" s="5">
        <f>SUM(Q19:Q21)</f>
        <v>6.3</v>
      </c>
      <c r="R18" s="5">
        <f>SUM(R19:R21)</f>
        <v>2.1</v>
      </c>
      <c r="S18" s="5">
        <f t="shared" si="1"/>
        <v>13.2</v>
      </c>
      <c r="T18" s="16">
        <f t="shared" si="7"/>
        <v>443.2</v>
      </c>
      <c r="U18" s="5">
        <f>SUM(U19:U21)</f>
        <v>6.6</v>
      </c>
      <c r="V18" s="5">
        <f>SUM(V19:V21)</f>
        <v>2</v>
      </c>
      <c r="W18" s="5">
        <f>SUM(W19:W21)</f>
        <v>1.7</v>
      </c>
      <c r="X18" s="4">
        <f t="shared" si="2"/>
        <v>10.299999999999999</v>
      </c>
      <c r="Y18" s="5">
        <f>SUM(Y19:Y21)</f>
        <v>1.5</v>
      </c>
      <c r="Z18" s="5">
        <f>SUM(Z19:Z21)</f>
        <v>0.2</v>
      </c>
      <c r="AA18" s="5">
        <f>SUM(AA19:AA21)</f>
        <v>0.18000000000000002</v>
      </c>
      <c r="AB18" s="5">
        <f t="shared" si="3"/>
        <v>1.88</v>
      </c>
      <c r="AC18" s="5">
        <f>SUM(AC19:AC21)</f>
        <v>0.5</v>
      </c>
      <c r="AD18" s="5">
        <f>SUM(AD19:AD21)</f>
        <v>1.6</v>
      </c>
      <c r="AE18" s="5">
        <f>SUM(AE19:AE21)</f>
        <v>0.78</v>
      </c>
      <c r="AF18" s="5">
        <f t="shared" si="4"/>
        <v>2.88</v>
      </c>
      <c r="AG18" s="5">
        <f>SUM(AG19:AG21)</f>
        <v>0.85999999999999988</v>
      </c>
      <c r="AH18" s="5">
        <f>SUM(AH19:AH21)</f>
        <v>1.26</v>
      </c>
      <c r="AI18" s="5">
        <f>SUM(AI19:AI21)</f>
        <v>1.1400000000000001</v>
      </c>
      <c r="AJ18" s="5">
        <f t="shared" si="8"/>
        <v>3.2600000000000002</v>
      </c>
      <c r="AK18" s="16">
        <f t="shared" si="9"/>
        <v>18.32</v>
      </c>
      <c r="AL18" s="5">
        <f t="shared" ref="AL18:AT18" si="71">SUM(AL19:AL21)</f>
        <v>0.8</v>
      </c>
      <c r="AM18" s="5">
        <f t="shared" si="71"/>
        <v>0.84000000000000008</v>
      </c>
      <c r="AN18" s="5">
        <f t="shared" si="71"/>
        <v>1.06</v>
      </c>
      <c r="AO18" s="5">
        <f t="shared" si="11"/>
        <v>2.7</v>
      </c>
      <c r="AP18" s="5">
        <f t="shared" si="71"/>
        <v>0.7</v>
      </c>
      <c r="AQ18" s="5">
        <f t="shared" si="71"/>
        <v>1</v>
      </c>
      <c r="AR18" s="5">
        <f t="shared" si="71"/>
        <v>1</v>
      </c>
      <c r="AS18" s="54">
        <f t="shared" si="12"/>
        <v>2.7</v>
      </c>
      <c r="AT18" s="5">
        <f t="shared" si="71"/>
        <v>0.8</v>
      </c>
      <c r="AU18" s="5">
        <f>SUM(AU19:AU21)</f>
        <v>1.25</v>
      </c>
      <c r="AV18" s="5">
        <f>SUM(AV19:AV21)</f>
        <v>1.2</v>
      </c>
      <c r="AW18" s="54">
        <f t="shared" si="13"/>
        <v>3.25</v>
      </c>
      <c r="AX18" s="5">
        <f>SUM(AX19:AX21)</f>
        <v>1.1000000000000001</v>
      </c>
      <c r="AY18" s="5">
        <f>SUM(AY19:AY21)</f>
        <v>1.25</v>
      </c>
      <c r="AZ18" s="5">
        <f>SUM(AZ19:AZ21)</f>
        <v>1.1000000000000001</v>
      </c>
      <c r="BA18" s="54">
        <f t="shared" si="14"/>
        <v>3.45</v>
      </c>
      <c r="BB18" s="54">
        <f t="shared" si="15"/>
        <v>12.100000000000001</v>
      </c>
      <c r="BC18" s="5">
        <f>SUM(BC19:BC21)</f>
        <v>0.82663675999999997</v>
      </c>
      <c r="BD18" s="66">
        <f>SUM(BD19:BD21)</f>
        <v>1.1294757499999999</v>
      </c>
      <c r="BE18" s="66">
        <f>SUM(BE19:BE21)</f>
        <v>0.79338094999999997</v>
      </c>
      <c r="BF18" s="62">
        <f t="shared" si="16"/>
        <v>2.7494934600000001</v>
      </c>
      <c r="BG18" s="67">
        <f>SUM(BG19:BG21)</f>
        <v>0.81515199999999999</v>
      </c>
      <c r="BH18" s="67">
        <f>SUM(BH19:BH21)</f>
        <v>1.4027700000000001</v>
      </c>
      <c r="BI18" s="67">
        <f>SUM(BI19:BI21)</f>
        <v>0.55640000000000001</v>
      </c>
      <c r="BJ18" s="62">
        <f t="shared" si="17"/>
        <v>2.7743220000000002</v>
      </c>
      <c r="BK18" s="67">
        <f>SUM(BK19:BK21)</f>
        <v>0.98499000000000003</v>
      </c>
      <c r="BL18" s="67">
        <f>SUM(BL19:BL21)</f>
        <v>1.0165</v>
      </c>
      <c r="BM18" s="67">
        <f>SUM(BM19:BM21)</f>
        <v>0.96524100000000002</v>
      </c>
      <c r="BN18" s="62">
        <f t="shared" si="18"/>
        <v>2.9667310000000002</v>
      </c>
      <c r="BO18" s="71">
        <f>SUM(BO19:BO21)</f>
        <v>1.0898810999999999</v>
      </c>
      <c r="BP18" s="67">
        <f>SUM(BP19:BP21)</f>
        <v>0.77168000000000003</v>
      </c>
      <c r="BQ18" s="67">
        <f>SUM(BQ19:BQ21)</f>
        <v>0.79400999999999999</v>
      </c>
      <c r="BR18" s="62">
        <f t="shared" si="19"/>
        <v>2.6555711</v>
      </c>
      <c r="BS18" s="62">
        <f t="shared" si="20"/>
        <v>11.14611756</v>
      </c>
      <c r="BT18" s="71">
        <f>SUM(BT19:BT21)</f>
        <v>0.6</v>
      </c>
      <c r="BU18" s="67">
        <f>SUM(BU19:BU21)</f>
        <v>0.4</v>
      </c>
      <c r="BV18" s="77">
        <f>SUM(BV19:BV21)</f>
        <v>0.5</v>
      </c>
      <c r="BW18" s="62">
        <f t="shared" si="21"/>
        <v>1.5</v>
      </c>
      <c r="BX18" s="67">
        <f>SUM(BX19:BX21)</f>
        <v>0.28999999999999998</v>
      </c>
      <c r="BY18" s="67">
        <f>SUM(BY19:BY21)</f>
        <v>0.6</v>
      </c>
      <c r="BZ18" s="67">
        <f>SUM(BZ19:BZ21)</f>
        <v>0.4</v>
      </c>
      <c r="CA18" s="62">
        <f t="shared" si="22"/>
        <v>1.29</v>
      </c>
      <c r="CB18" s="67">
        <f>SUM(CB19:CB21)</f>
        <v>0.3</v>
      </c>
      <c r="CC18" s="67">
        <f>SUM(CC19:CC21)</f>
        <v>0.43</v>
      </c>
      <c r="CD18" s="67">
        <f>SUM(CD19:CD21)</f>
        <v>0.24</v>
      </c>
      <c r="CE18" s="62">
        <f t="shared" si="23"/>
        <v>0.97</v>
      </c>
      <c r="CF18" s="67">
        <f>SUM(CF19:CF21)</f>
        <v>0.37</v>
      </c>
      <c r="CG18" s="67">
        <f>SUM(CG19:CG21)</f>
        <v>0.3</v>
      </c>
      <c r="CH18" s="67">
        <f>SUM(CH19:CH21)</f>
        <v>0.5</v>
      </c>
      <c r="CI18" s="67">
        <f t="shared" si="24"/>
        <v>1.17</v>
      </c>
      <c r="CJ18" s="71">
        <f t="shared" si="25"/>
        <v>4.93</v>
      </c>
      <c r="CK18" s="71">
        <f>SUM(CK19:CK21)</f>
        <v>0.6</v>
      </c>
      <c r="CL18" s="67">
        <f>SUM(CL19:CL21)</f>
        <v>0.4</v>
      </c>
      <c r="CM18" s="67">
        <f>SUM(CM19:CM21)</f>
        <v>0.5</v>
      </c>
      <c r="CN18" s="62">
        <f t="shared" si="26"/>
        <v>1.5</v>
      </c>
      <c r="CO18" s="67">
        <f>SUM(CO19:CO21)</f>
        <v>0.5</v>
      </c>
      <c r="CP18" s="67">
        <f>SUM(CP19:CP21)</f>
        <v>0.6</v>
      </c>
      <c r="CQ18" s="67">
        <f>SUM(CQ19:CQ21)</f>
        <v>0.7</v>
      </c>
      <c r="CR18" s="62">
        <f t="shared" si="27"/>
        <v>1.8</v>
      </c>
      <c r="CS18" s="101">
        <f>SUM(CS19:CS21)</f>
        <v>0.3</v>
      </c>
      <c r="CT18" s="67">
        <f>SUM(CT19:CT21)</f>
        <v>0.1</v>
      </c>
      <c r="CU18" s="67">
        <f>SUM(CU19:CU21)</f>
        <v>0.4</v>
      </c>
      <c r="CV18" s="62">
        <f t="shared" si="28"/>
        <v>0.8</v>
      </c>
      <c r="CW18" s="67">
        <f>SUM(CW19:CW21)</f>
        <v>0.4</v>
      </c>
      <c r="CX18" s="67">
        <f>SUM(CX19:CX21)</f>
        <v>0.4</v>
      </c>
      <c r="CY18" s="112">
        <f>SUM(CY19:CY21)</f>
        <v>0.4</v>
      </c>
      <c r="CZ18" s="113">
        <f t="shared" si="29"/>
        <v>1.2000000000000002</v>
      </c>
      <c r="DA18" s="62">
        <f t="shared" si="30"/>
        <v>5.3</v>
      </c>
      <c r="DB18" s="71">
        <f>SUM(DB19:DB21)</f>
        <v>0.3</v>
      </c>
      <c r="DC18" s="67">
        <f>SUM(DC19:DC21)</f>
        <v>0.4</v>
      </c>
      <c r="DD18" s="67">
        <f>SUM(DD19:DD21)</f>
        <v>0.3</v>
      </c>
      <c r="DE18" s="62">
        <f t="shared" si="31"/>
        <v>1</v>
      </c>
      <c r="DF18" s="71">
        <f>SUM(DF19:DF21)</f>
        <v>0.3</v>
      </c>
      <c r="DG18" s="67">
        <f>SUM(DG19:DG21)</f>
        <v>0.1</v>
      </c>
      <c r="DH18" s="67">
        <f>SUM(DH19:DH21)</f>
        <v>0</v>
      </c>
      <c r="DI18" s="62">
        <f t="shared" si="32"/>
        <v>0.4</v>
      </c>
      <c r="DJ18" s="71">
        <f>SUM(DJ19:DJ21)</f>
        <v>0</v>
      </c>
      <c r="DK18" s="67">
        <f>SUM(DK19:DK21)</f>
        <v>0</v>
      </c>
      <c r="DL18" s="67">
        <f>SUM(DL19:DL21)</f>
        <v>0</v>
      </c>
      <c r="DM18" s="62">
        <f t="shared" si="33"/>
        <v>0</v>
      </c>
      <c r="DN18" s="67">
        <f>SUM(DN19:DN21)</f>
        <v>0</v>
      </c>
      <c r="DO18" s="67">
        <f>SUM(DO19:DO21)</f>
        <v>0</v>
      </c>
      <c r="DP18" s="67">
        <f>SUM(DP19:DP21)</f>
        <v>0</v>
      </c>
      <c r="DQ18" s="113">
        <f t="shared" si="34"/>
        <v>0</v>
      </c>
      <c r="DR18" s="140">
        <f t="shared" si="35"/>
        <v>1.4</v>
      </c>
      <c r="DS18" s="141">
        <f>SUM(DS19:DS21)</f>
        <v>0</v>
      </c>
      <c r="DT18" s="141">
        <f>SUM(DT19:DT21)</f>
        <v>0</v>
      </c>
      <c r="DU18" s="141">
        <f>SUM(DU19:DU21)</f>
        <v>0</v>
      </c>
      <c r="DV18" s="140">
        <f t="shared" si="36"/>
        <v>0</v>
      </c>
      <c r="DW18" s="142">
        <f>SUM(DW19:DW21)</f>
        <v>0</v>
      </c>
      <c r="DX18" s="141">
        <f>SUM(DX19:DX21)</f>
        <v>0</v>
      </c>
      <c r="DY18" s="141">
        <f>SUM(DY19:DY21)</f>
        <v>0</v>
      </c>
      <c r="DZ18" s="140">
        <f t="shared" si="37"/>
        <v>0</v>
      </c>
      <c r="EA18" s="142">
        <f>SUM(EA19:EA21)</f>
        <v>0</v>
      </c>
      <c r="EB18" s="141">
        <f>SUM(EB19:EB21)</f>
        <v>0</v>
      </c>
      <c r="EC18" s="141">
        <f>SUM(EC19:EC21)</f>
        <v>0</v>
      </c>
      <c r="ED18" s="140">
        <f t="shared" si="38"/>
        <v>0</v>
      </c>
      <c r="EE18" s="141">
        <f>SUM(EE19:EE21)</f>
        <v>0</v>
      </c>
      <c r="EF18" s="141">
        <f>SUM(EF19:EF21)</f>
        <v>0</v>
      </c>
      <c r="EG18" s="141">
        <f>SUM(EG19:EG21)</f>
        <v>0</v>
      </c>
      <c r="EH18" s="140">
        <f t="shared" si="39"/>
        <v>0</v>
      </c>
      <c r="EI18" s="140">
        <f t="shared" si="40"/>
        <v>0</v>
      </c>
      <c r="EJ18" s="141">
        <f>SUM(EJ19:EJ21)</f>
        <v>0</v>
      </c>
      <c r="EK18" s="141">
        <f>SUM(EK19:EK21)</f>
        <v>0</v>
      </c>
      <c r="EL18" s="141">
        <f>SUM(EL19:EL21)</f>
        <v>0</v>
      </c>
      <c r="EM18" s="140">
        <f t="shared" si="41"/>
        <v>0</v>
      </c>
      <c r="EN18" s="141">
        <f>SUM(EN19:EN21)</f>
        <v>0.4</v>
      </c>
      <c r="EO18" s="141">
        <f>SUM(EO19:EO21)</f>
        <v>0</v>
      </c>
      <c r="EP18" s="141">
        <f>SUM(EP19:EP21)</f>
        <v>0</v>
      </c>
      <c r="EQ18" s="140">
        <f t="shared" si="42"/>
        <v>0.4</v>
      </c>
      <c r="ER18" s="141">
        <f>SUM(ER19:ER21)</f>
        <v>0</v>
      </c>
      <c r="ES18" s="141">
        <f>SUM(ES19:ES21)</f>
        <v>0</v>
      </c>
      <c r="ET18" s="141">
        <f>SUM(ET19:ET21)</f>
        <v>0</v>
      </c>
      <c r="EU18" s="140">
        <f t="shared" si="43"/>
        <v>0</v>
      </c>
      <c r="EV18" s="141">
        <f>SUM(EV19:EV21)</f>
        <v>0</v>
      </c>
      <c r="EW18" s="141">
        <f>SUM(EW19:EW21)</f>
        <v>0</v>
      </c>
      <c r="EX18" s="141">
        <f>SUM(EX19:EX21)</f>
        <v>0</v>
      </c>
      <c r="EY18" s="140">
        <f t="shared" si="44"/>
        <v>0</v>
      </c>
      <c r="EZ18" s="169">
        <f t="shared" si="45"/>
        <v>0.4</v>
      </c>
      <c r="FA18" s="170"/>
      <c r="FB18" s="169">
        <f>SUM(FB19:FB21)</f>
        <v>0</v>
      </c>
      <c r="FC18" s="169">
        <f>SUM(FC19:FC21)</f>
        <v>0</v>
      </c>
      <c r="FD18" s="169">
        <f>SUM(FD19:FD21)</f>
        <v>0</v>
      </c>
      <c r="FE18" s="171">
        <f t="shared" si="46"/>
        <v>0</v>
      </c>
      <c r="FF18" s="169">
        <f>SUM(FF19:FF21)</f>
        <v>0</v>
      </c>
      <c r="FG18" s="169">
        <f>SUM(FG19:FG21)</f>
        <v>0</v>
      </c>
      <c r="FH18" s="169">
        <f>SUM(FH19:FH21)</f>
        <v>0</v>
      </c>
      <c r="FI18" s="171">
        <f t="shared" si="47"/>
        <v>0</v>
      </c>
      <c r="FJ18" s="169">
        <f>SUM(FJ19:FJ21)</f>
        <v>0</v>
      </c>
      <c r="FK18" s="169">
        <f>SUM(FK19:FK21)</f>
        <v>0</v>
      </c>
      <c r="FL18" s="169">
        <f>SUM(FL19:FL21)</f>
        <v>0</v>
      </c>
      <c r="FM18" s="171">
        <f t="shared" si="48"/>
        <v>0</v>
      </c>
      <c r="FN18" s="172">
        <f>SUM(FN19:FN21)</f>
        <v>0</v>
      </c>
      <c r="FO18" s="173">
        <f>SUM(FO19:FO21)</f>
        <v>0</v>
      </c>
      <c r="FP18" s="174">
        <f>SUM(FP19:FP21)</f>
        <v>0</v>
      </c>
      <c r="FQ18" s="175">
        <f t="shared" si="49"/>
        <v>0</v>
      </c>
      <c r="FR18" s="175">
        <f t="shared" si="50"/>
        <v>0</v>
      </c>
      <c r="FS18" s="172">
        <f>SUM(FS19:FS21)</f>
        <v>0</v>
      </c>
      <c r="FT18" s="173">
        <f>SUM(FT19:FT21)</f>
        <v>0</v>
      </c>
      <c r="FU18" s="174">
        <f>SUM(FU19:FU21)</f>
        <v>0</v>
      </c>
      <c r="FV18" s="175">
        <f t="shared" si="51"/>
        <v>0</v>
      </c>
      <c r="FW18" s="172">
        <f>SUM(FW19:FW21)</f>
        <v>0</v>
      </c>
      <c r="FX18" s="173">
        <f>SUM(FX19:FX21)</f>
        <v>5.8661626099999999</v>
      </c>
      <c r="FY18" s="174">
        <v>16.787633119999999</v>
      </c>
      <c r="FZ18" s="175">
        <f t="shared" si="52"/>
        <v>22.653795729999999</v>
      </c>
      <c r="GA18" s="172">
        <f>SUM(GA19:GA21)</f>
        <v>7.0489547000000004</v>
      </c>
      <c r="GB18" s="173">
        <f>SUM(GB19:GB21)</f>
        <v>12.39328158</v>
      </c>
      <c r="GC18" s="174">
        <f>SUM(GC19:GC21)</f>
        <v>9.3072005400000002</v>
      </c>
      <c r="GD18" s="175">
        <f t="shared" si="53"/>
        <v>28.74943682</v>
      </c>
      <c r="GE18" s="172">
        <f>SUM(GE19:GE21)</f>
        <v>15.21918595863</v>
      </c>
      <c r="GF18" s="173">
        <f>SUM(GF19:GF21)</f>
        <v>30.816291690199996</v>
      </c>
      <c r="GG18" s="159">
        <f>SUM(GG19:GG21)</f>
        <v>37.168379423899999</v>
      </c>
      <c r="GH18" s="174">
        <f t="shared" si="54"/>
        <v>83.203857072729988</v>
      </c>
      <c r="GI18" s="174">
        <f t="shared" si="55"/>
        <v>134.60708962272997</v>
      </c>
      <c r="GJ18" s="221">
        <f>SUM(GJ19:GJ21)</f>
        <v>33.913468399899998</v>
      </c>
      <c r="GK18" s="222">
        <f>SUM(GK19:GK21)</f>
        <v>29.391905101199995</v>
      </c>
      <c r="GL18" s="223">
        <f>SUM(GL19:GL21)</f>
        <v>33.030101024899999</v>
      </c>
      <c r="GM18" s="175">
        <f t="shared" si="56"/>
        <v>96.335474525999985</v>
      </c>
      <c r="GN18" s="221">
        <f>SUM(GN19:GN21)</f>
        <v>35.970364680099998</v>
      </c>
      <c r="GO18" s="222">
        <f>SUM(GO19:GO21)</f>
        <v>38.235388198606181</v>
      </c>
      <c r="GP18" s="222">
        <f>SUM(GP19:GP21)</f>
        <v>32.012066535499997</v>
      </c>
      <c r="GQ18" s="175">
        <f t="shared" si="57"/>
        <v>106.21781941420618</v>
      </c>
      <c r="GR18" s="222">
        <f>SUM(GR19:GR21)</f>
        <v>41.874920300522533</v>
      </c>
      <c r="GS18" s="222">
        <f>SUM(GS19:GS21)</f>
        <v>38.701769761081742</v>
      </c>
      <c r="GT18" s="222">
        <f>SUM(GT19:GT21)</f>
        <v>31.642019701774803</v>
      </c>
      <c r="GU18" s="175">
        <f t="shared" si="58"/>
        <v>112.21870976337907</v>
      </c>
      <c r="GV18" s="221">
        <f>SUM(GV19:GV21)</f>
        <v>27.333487524980942</v>
      </c>
      <c r="GW18" s="222">
        <f>SUM(GW19:GW21)</f>
        <v>22.303589289741751</v>
      </c>
      <c r="GX18" s="223">
        <f>SUM(GX19:GX21)</f>
        <v>39.772548845954098</v>
      </c>
      <c r="GY18" s="174">
        <f t="shared" si="59"/>
        <v>89.409625660676795</v>
      </c>
      <c r="GZ18" s="159">
        <f t="shared" si="60"/>
        <v>404.18162936426205</v>
      </c>
      <c r="HA18" s="254">
        <f>SUM(HA19:HA21)</f>
        <v>17.828557000000004</v>
      </c>
      <c r="HB18" s="160">
        <f>SUM(HB19:HB21)</f>
        <v>16.963405591104717</v>
      </c>
      <c r="HC18" s="159">
        <f>SUM(HC19:HC21)</f>
        <v>16.36592360114777</v>
      </c>
      <c r="HD18" s="273">
        <f t="shared" si="61"/>
        <v>51.157886192252491</v>
      </c>
      <c r="HE18" s="254">
        <f>SUM(HE19:HE21)</f>
        <v>16.466479461477771</v>
      </c>
      <c r="HF18" s="160">
        <f>SUM(HF19:HF21)</f>
        <v>19.109197994146349</v>
      </c>
      <c r="HG18" s="160">
        <f>SUM(HG19:HG21)</f>
        <v>15.514284553802007</v>
      </c>
      <c r="HH18" s="273">
        <f t="shared" ref="HH18:HH43" si="72">SUM(HE18:HG18)</f>
        <v>51.089962009426124</v>
      </c>
      <c r="HI18" s="160">
        <f>SUM(HI19:HI21)</f>
        <v>18.400590083543801</v>
      </c>
      <c r="HJ18" s="160">
        <f>SUM(HJ19:HJ21)</f>
        <v>20.901351769010056</v>
      </c>
      <c r="HK18" s="160">
        <f>SUM(HK19:HK21)</f>
        <v>24.312955470588246</v>
      </c>
      <c r="HL18" s="273">
        <f t="shared" si="63"/>
        <v>63.614897323142102</v>
      </c>
      <c r="HM18" s="254">
        <f>SUM(HM19:HM21)</f>
        <v>25.044879487753626</v>
      </c>
      <c r="HN18" s="160">
        <f>SUM(HN19:HN21)</f>
        <v>23.222222596771875</v>
      </c>
      <c r="HO18" s="159">
        <f>SUM(HO19:HO21)</f>
        <v>26.82582021</v>
      </c>
      <c r="HP18" s="273">
        <f t="shared" si="64"/>
        <v>75.092922294525508</v>
      </c>
      <c r="HQ18" s="273">
        <f t="shared" si="65"/>
        <v>240.95566781934622</v>
      </c>
      <c r="HR18" s="254">
        <f>SUM(HR19:HR21)</f>
        <v>15.387970870746054</v>
      </c>
      <c r="HS18" s="160">
        <f>SUM(HS19:HS21)</f>
        <v>12.265194377058823</v>
      </c>
      <c r="HT18" s="159">
        <f>SUM(HT19:HT21)</f>
        <v>18.913566190000001</v>
      </c>
      <c r="HU18" s="273">
        <f t="shared" si="66"/>
        <v>46.566731437804876</v>
      </c>
      <c r="HV18" s="254">
        <f>SUM(HV19:HV21)</f>
        <v>12.042002040129123</v>
      </c>
      <c r="HW18" s="160">
        <f>SUM(HW19:HW21)</f>
        <v>9.32804364215208</v>
      </c>
      <c r="HX18" s="160">
        <f>SUM(HX19:HX21)</f>
        <v>9.0050569781253085</v>
      </c>
      <c r="HY18" s="273">
        <f t="shared" si="67"/>
        <v>30.375102660406512</v>
      </c>
      <c r="HZ18" s="160">
        <f>SUM(HZ19:HZ21)</f>
        <v>8.9569536108321373</v>
      </c>
      <c r="IA18" s="160">
        <f>SUM(IA19:IA21)</f>
        <v>9.1197083579770464</v>
      </c>
      <c r="IB18" s="160">
        <f>SUM(IB19:IB21)</f>
        <v>14.956671191104736</v>
      </c>
      <c r="IC18" s="273">
        <f t="shared" si="68"/>
        <v>33.033333159913923</v>
      </c>
      <c r="ID18" s="254">
        <f>SUM(ID19:ID21)</f>
        <v>14.225351059999999</v>
      </c>
      <c r="IE18" s="160">
        <f>SUM(IE19:IE21)</f>
        <v>12.51217168</v>
      </c>
      <c r="IF18" s="159">
        <v>23.730560985734044</v>
      </c>
      <c r="IG18" s="273">
        <f t="shared" si="69"/>
        <v>50.468083725734047</v>
      </c>
      <c r="IH18" s="273">
        <v>160.44325098385934</v>
      </c>
      <c r="II18" s="254">
        <v>10.158551320000001</v>
      </c>
      <c r="IJ18" s="160">
        <v>13.773637389999998</v>
      </c>
      <c r="IK18" s="159">
        <v>9.5038867099999997</v>
      </c>
      <c r="IL18" s="273">
        <v>33.436075419999995</v>
      </c>
      <c r="IM18" s="254">
        <v>9.5985393600000002</v>
      </c>
      <c r="IN18" s="160">
        <v>13.398141290000002</v>
      </c>
      <c r="IO18" s="160">
        <v>9.5479799500000002</v>
      </c>
      <c r="IP18" s="273">
        <v>32.5446606</v>
      </c>
      <c r="IQ18" s="254">
        <v>12.57821755</v>
      </c>
      <c r="IR18" s="160">
        <v>13.777666549999999</v>
      </c>
      <c r="IS18" s="159">
        <v>26.869916150698693</v>
      </c>
      <c r="IT18" s="273">
        <v>53.22580025069869</v>
      </c>
      <c r="IU18" s="254">
        <v>16.380274321601163</v>
      </c>
      <c r="IV18" s="160">
        <v>108.02607216088938</v>
      </c>
      <c r="IW18" s="160">
        <v>25.267146281020405</v>
      </c>
      <c r="IX18" s="273">
        <v>149.67349276351095</v>
      </c>
      <c r="IY18" s="273">
        <v>268.88002903420966</v>
      </c>
      <c r="IZ18" s="254">
        <v>8.6598815598542256</v>
      </c>
      <c r="JA18" s="160">
        <v>12.154891840000001</v>
      </c>
      <c r="JB18" s="159">
        <v>12.5303389</v>
      </c>
      <c r="JC18" s="273">
        <v>33.345112299854222</v>
      </c>
      <c r="JD18" s="254">
        <v>10.548436580000001</v>
      </c>
      <c r="JE18" s="160">
        <v>17.374860860000002</v>
      </c>
      <c r="JF18" s="159">
        <v>17.888635200000003</v>
      </c>
      <c r="JG18" s="273">
        <v>45.811932640000009</v>
      </c>
      <c r="JH18" s="254">
        <v>41.636453119999999</v>
      </c>
      <c r="JI18" s="160">
        <v>59.994935670991254</v>
      </c>
      <c r="JJ18" s="159">
        <v>64.838262119999996</v>
      </c>
      <c r="JK18" s="273">
        <v>166.46965091099125</v>
      </c>
      <c r="JL18" s="254">
        <v>42.107552279912539</v>
      </c>
      <c r="JM18" s="160">
        <v>7.2921136399999993</v>
      </c>
      <c r="JN18" s="160">
        <v>10.38200865962099</v>
      </c>
      <c r="JO18" s="273">
        <v>59.781674579533529</v>
      </c>
      <c r="JP18" s="273">
        <v>305.40837043037902</v>
      </c>
      <c r="JQ18" s="254">
        <v>18.349345569999997</v>
      </c>
      <c r="JR18" s="160">
        <v>9.694319799708456</v>
      </c>
      <c r="JS18" s="159">
        <v>8.3623136200000001</v>
      </c>
      <c r="JT18" s="273">
        <v>36.405978989708451</v>
      </c>
      <c r="JU18" s="254">
        <v>4.8385123399999994</v>
      </c>
      <c r="JV18" s="160">
        <v>6.9510129900000006</v>
      </c>
      <c r="JW18" s="159">
        <v>7.1200719699999997</v>
      </c>
      <c r="JX18" s="273">
        <v>18.909597300000001</v>
      </c>
      <c r="JY18" s="254">
        <v>4.5863880400000001</v>
      </c>
      <c r="JZ18" s="160">
        <v>5.6754681900000001</v>
      </c>
      <c r="KA18" s="159">
        <v>7.6843924399999999</v>
      </c>
      <c r="KB18" s="273">
        <v>17.946248669999999</v>
      </c>
      <c r="KC18" s="254">
        <v>6.7692902499999992</v>
      </c>
      <c r="KD18" s="160">
        <v>5.8785710600000005</v>
      </c>
      <c r="KE18" s="160">
        <v>4.1412389999999997</v>
      </c>
      <c r="KF18" s="273">
        <v>16.789100309999998</v>
      </c>
      <c r="KG18" s="273">
        <v>90.050925269708443</v>
      </c>
      <c r="KH18" s="221">
        <v>6.5192264099999999</v>
      </c>
      <c r="KI18" s="222">
        <v>3.4005447700000002</v>
      </c>
      <c r="KJ18" s="223">
        <v>2.44225878</v>
      </c>
      <c r="KK18" s="273">
        <v>12.362029959999999</v>
      </c>
      <c r="KL18" s="221">
        <v>10.287207729999999</v>
      </c>
      <c r="KM18" s="222">
        <v>3.1412927799999997</v>
      </c>
      <c r="KN18" s="223">
        <v>4.4510081700000006</v>
      </c>
      <c r="KO18" s="273">
        <v>17.879508680000001</v>
      </c>
      <c r="KP18" s="221">
        <v>0.46204056999999998</v>
      </c>
      <c r="KQ18" s="222">
        <v>1.0050730800000001</v>
      </c>
      <c r="KR18" s="223">
        <v>3.2760200000000003E-2</v>
      </c>
      <c r="KS18" s="273">
        <v>1.49987385</v>
      </c>
      <c r="KT18" s="254">
        <v>0.11560909</v>
      </c>
      <c r="KU18" s="160">
        <v>0</v>
      </c>
      <c r="KV18" s="159">
        <v>0</v>
      </c>
      <c r="KW18" s="273">
        <v>0.11560909</v>
      </c>
      <c r="KX18" s="273">
        <v>31.857021580000001</v>
      </c>
      <c r="KY18" s="221">
        <v>0</v>
      </c>
      <c r="KZ18" s="222">
        <v>0</v>
      </c>
      <c r="LA18" s="223">
        <v>0</v>
      </c>
      <c r="LB18" s="273">
        <v>0</v>
      </c>
      <c r="LC18" s="221">
        <v>0</v>
      </c>
      <c r="LD18" s="222">
        <v>0</v>
      </c>
      <c r="LE18" s="223">
        <v>0</v>
      </c>
      <c r="LF18" s="273">
        <v>0</v>
      </c>
      <c r="LG18" s="221">
        <v>3.1213013799999998</v>
      </c>
      <c r="LH18" s="222">
        <v>13.198292449999999</v>
      </c>
      <c r="LI18" s="223">
        <v>0</v>
      </c>
      <c r="LJ18" s="273">
        <v>16.319593829999999</v>
      </c>
      <c r="LK18" s="254">
        <v>0</v>
      </c>
      <c r="LL18" s="160">
        <v>0</v>
      </c>
      <c r="LM18" s="159">
        <v>0</v>
      </c>
      <c r="LN18" s="273">
        <v>0</v>
      </c>
      <c r="LO18" s="273">
        <v>16.319593829999999</v>
      </c>
    </row>
    <row r="19" spans="1:327" ht="17.100000000000001" customHeight="1" x14ac:dyDescent="0.25">
      <c r="A19" s="2" t="s">
        <v>27</v>
      </c>
      <c r="B19" s="24"/>
      <c r="C19" s="5">
        <v>213</v>
      </c>
      <c r="D19" s="5">
        <v>17.2</v>
      </c>
      <c r="E19" s="5">
        <v>11.8</v>
      </c>
      <c r="F19" s="5">
        <v>14.3</v>
      </c>
      <c r="G19" s="5">
        <v>43.3</v>
      </c>
      <c r="H19" s="5">
        <v>30.2</v>
      </c>
      <c r="I19" s="5">
        <v>36.1</v>
      </c>
      <c r="J19" s="5">
        <v>21</v>
      </c>
      <c r="K19" s="5">
        <v>87.3</v>
      </c>
      <c r="L19" s="5">
        <v>21.490227272727275</v>
      </c>
      <c r="M19" s="5">
        <f>7.7+2.8</f>
        <v>10.5</v>
      </c>
      <c r="N19" s="5">
        <v>5.9</v>
      </c>
      <c r="O19" s="5">
        <f t="shared" si="0"/>
        <v>37.890227272727273</v>
      </c>
      <c r="P19" s="5">
        <v>2.4</v>
      </c>
      <c r="Q19" s="5">
        <v>2.7</v>
      </c>
      <c r="R19" s="5">
        <v>1.8</v>
      </c>
      <c r="S19" s="5">
        <f t="shared" si="1"/>
        <v>6.8999999999999995</v>
      </c>
      <c r="T19" s="16">
        <f t="shared" si="7"/>
        <v>175.39022727272726</v>
      </c>
      <c r="U19" s="5">
        <v>1.1000000000000001</v>
      </c>
      <c r="V19" s="5">
        <v>1</v>
      </c>
      <c r="W19" s="5">
        <v>1.5</v>
      </c>
      <c r="X19" s="4">
        <f t="shared" si="2"/>
        <v>3.6</v>
      </c>
      <c r="Y19" s="5">
        <v>1.4</v>
      </c>
      <c r="Z19" s="5">
        <v>0.2</v>
      </c>
      <c r="AA19" s="5">
        <v>0.1</v>
      </c>
      <c r="AB19" s="5">
        <f t="shared" si="3"/>
        <v>1.7</v>
      </c>
      <c r="AC19" s="5">
        <v>0.5</v>
      </c>
      <c r="AD19" s="5">
        <v>1.6</v>
      </c>
      <c r="AE19" s="5">
        <v>0.64</v>
      </c>
      <c r="AF19" s="5">
        <f t="shared" si="4"/>
        <v>2.74</v>
      </c>
      <c r="AG19" s="5">
        <f>0.6-0.04</f>
        <v>0.55999999999999994</v>
      </c>
      <c r="AH19" s="5">
        <v>1.26</v>
      </c>
      <c r="AI19" s="5">
        <f>0.9+0.04</f>
        <v>0.94000000000000006</v>
      </c>
      <c r="AJ19" s="5">
        <f t="shared" si="8"/>
        <v>2.76</v>
      </c>
      <c r="AK19" s="16">
        <f t="shared" si="9"/>
        <v>10.799999999999999</v>
      </c>
      <c r="AL19" s="5">
        <v>0.8</v>
      </c>
      <c r="AM19" s="5">
        <f>0.8+0.04</f>
        <v>0.84000000000000008</v>
      </c>
      <c r="AN19" s="5">
        <f>1.1-0.04</f>
        <v>1.06</v>
      </c>
      <c r="AO19" s="5">
        <f t="shared" si="11"/>
        <v>2.7</v>
      </c>
      <c r="AP19" s="5">
        <v>0.7</v>
      </c>
      <c r="AQ19" s="5">
        <v>1</v>
      </c>
      <c r="AR19" s="5">
        <v>1</v>
      </c>
      <c r="AS19" s="54">
        <f t="shared" si="12"/>
        <v>2.7</v>
      </c>
      <c r="AT19" s="5">
        <v>0.8</v>
      </c>
      <c r="AU19" s="5">
        <v>1.25</v>
      </c>
      <c r="AV19" s="5">
        <v>1.2</v>
      </c>
      <c r="AW19" s="54">
        <f t="shared" si="13"/>
        <v>3.25</v>
      </c>
      <c r="AX19" s="5">
        <v>1.1000000000000001</v>
      </c>
      <c r="AY19" s="5">
        <v>1.25</v>
      </c>
      <c r="AZ19" s="5">
        <v>0.8</v>
      </c>
      <c r="BA19" s="54">
        <f t="shared" si="14"/>
        <v>3.1500000000000004</v>
      </c>
      <c r="BB19" s="54">
        <f t="shared" si="15"/>
        <v>11.8</v>
      </c>
      <c r="BC19" s="5">
        <v>0.82663675999999997</v>
      </c>
      <c r="BD19" s="66">
        <v>1.1294757499999999</v>
      </c>
      <c r="BE19" s="66">
        <v>0.79338094999999997</v>
      </c>
      <c r="BF19" s="62">
        <f t="shared" si="16"/>
        <v>2.7494934600000001</v>
      </c>
      <c r="BG19" s="67">
        <v>0.81515199999999999</v>
      </c>
      <c r="BH19" s="67">
        <v>1.10185</v>
      </c>
      <c r="BI19" s="67">
        <v>0.55640000000000001</v>
      </c>
      <c r="BJ19" s="62">
        <f t="shared" si="17"/>
        <v>2.4734020000000001</v>
      </c>
      <c r="BK19" s="67">
        <v>0.98499000000000003</v>
      </c>
      <c r="BL19" s="67">
        <v>1.0165</v>
      </c>
      <c r="BM19" s="67">
        <v>0.96524100000000002</v>
      </c>
      <c r="BN19" s="62">
        <f t="shared" si="18"/>
        <v>2.9667310000000002</v>
      </c>
      <c r="BO19" s="71">
        <v>1.0898810999999999</v>
      </c>
      <c r="BP19" s="67">
        <v>0.77168000000000003</v>
      </c>
      <c r="BQ19" s="67">
        <v>0.79400999999999999</v>
      </c>
      <c r="BR19" s="62">
        <f t="shared" si="19"/>
        <v>2.6555711</v>
      </c>
      <c r="BS19" s="62">
        <f t="shared" si="20"/>
        <v>10.845197559999999</v>
      </c>
      <c r="BT19" s="71">
        <v>0.6</v>
      </c>
      <c r="BU19" s="67">
        <v>0.4</v>
      </c>
      <c r="BV19" s="77">
        <v>0.5</v>
      </c>
      <c r="BW19" s="62">
        <f t="shared" si="21"/>
        <v>1.5</v>
      </c>
      <c r="BX19" s="67">
        <v>0.28999999999999998</v>
      </c>
      <c r="BY19" s="67">
        <v>0.6</v>
      </c>
      <c r="BZ19" s="67">
        <v>0.4</v>
      </c>
      <c r="CA19" s="62">
        <f t="shared" si="22"/>
        <v>1.29</v>
      </c>
      <c r="CB19" s="67">
        <v>0.3</v>
      </c>
      <c r="CC19" s="67">
        <v>0.43</v>
      </c>
      <c r="CD19" s="67">
        <v>0.24</v>
      </c>
      <c r="CE19" s="62">
        <f t="shared" si="23"/>
        <v>0.97</v>
      </c>
      <c r="CF19" s="67">
        <v>0.37</v>
      </c>
      <c r="CG19" s="67">
        <v>0.3</v>
      </c>
      <c r="CH19" s="67">
        <v>0.5</v>
      </c>
      <c r="CI19" s="67">
        <f t="shared" si="24"/>
        <v>1.17</v>
      </c>
      <c r="CJ19" s="71">
        <f t="shared" si="25"/>
        <v>4.93</v>
      </c>
      <c r="CK19" s="71">
        <v>0.6</v>
      </c>
      <c r="CL19" s="67">
        <v>0.4</v>
      </c>
      <c r="CM19" s="67">
        <v>0.5</v>
      </c>
      <c r="CN19" s="62">
        <f t="shared" si="26"/>
        <v>1.5</v>
      </c>
      <c r="CO19" s="67">
        <v>0.5</v>
      </c>
      <c r="CP19" s="67">
        <v>0.6</v>
      </c>
      <c r="CQ19" s="67">
        <v>0.7</v>
      </c>
      <c r="CR19" s="62">
        <f t="shared" si="27"/>
        <v>1.8</v>
      </c>
      <c r="CS19" s="101">
        <v>0.3</v>
      </c>
      <c r="CT19" s="67">
        <v>0.1</v>
      </c>
      <c r="CU19" s="67">
        <v>0.4</v>
      </c>
      <c r="CV19" s="62">
        <f t="shared" si="28"/>
        <v>0.8</v>
      </c>
      <c r="CW19" s="67">
        <v>0.4</v>
      </c>
      <c r="CX19" s="67">
        <v>0.4</v>
      </c>
      <c r="CY19" s="112">
        <v>0.4</v>
      </c>
      <c r="CZ19" s="113">
        <f t="shared" si="29"/>
        <v>1.2000000000000002</v>
      </c>
      <c r="DA19" s="62">
        <f t="shared" si="30"/>
        <v>5.3</v>
      </c>
      <c r="DB19" s="71">
        <v>0.3</v>
      </c>
      <c r="DC19" s="67">
        <v>0.4</v>
      </c>
      <c r="DD19" s="67">
        <v>0.3</v>
      </c>
      <c r="DE19" s="62">
        <f t="shared" si="31"/>
        <v>1</v>
      </c>
      <c r="DF19" s="71">
        <v>0.3</v>
      </c>
      <c r="DG19" s="67">
        <v>0.1</v>
      </c>
      <c r="DH19" s="67">
        <v>0</v>
      </c>
      <c r="DI19" s="62">
        <f t="shared" si="32"/>
        <v>0.4</v>
      </c>
      <c r="DJ19" s="71"/>
      <c r="DK19" s="67"/>
      <c r="DL19" s="67"/>
      <c r="DM19" s="62">
        <f t="shared" si="33"/>
        <v>0</v>
      </c>
      <c r="DN19" s="67"/>
      <c r="DO19" s="67"/>
      <c r="DP19" s="67"/>
      <c r="DQ19" s="113">
        <f t="shared" si="34"/>
        <v>0</v>
      </c>
      <c r="DR19" s="140">
        <f t="shared" si="35"/>
        <v>1.4</v>
      </c>
      <c r="DS19" s="141"/>
      <c r="DT19" s="141"/>
      <c r="DU19" s="141"/>
      <c r="DV19" s="140">
        <f t="shared" si="36"/>
        <v>0</v>
      </c>
      <c r="DW19" s="142"/>
      <c r="DX19" s="141"/>
      <c r="DY19" s="141"/>
      <c r="DZ19" s="140">
        <f t="shared" si="37"/>
        <v>0</v>
      </c>
      <c r="EA19" s="142"/>
      <c r="EB19" s="141"/>
      <c r="EC19" s="141"/>
      <c r="ED19" s="140">
        <f t="shared" si="38"/>
        <v>0</v>
      </c>
      <c r="EE19" s="141"/>
      <c r="EF19" s="141"/>
      <c r="EG19" s="141"/>
      <c r="EH19" s="140">
        <f t="shared" si="39"/>
        <v>0</v>
      </c>
      <c r="EI19" s="140">
        <f t="shared" si="40"/>
        <v>0</v>
      </c>
      <c r="EJ19" s="141"/>
      <c r="EK19" s="141"/>
      <c r="EL19" s="141"/>
      <c r="EM19" s="140">
        <f t="shared" si="41"/>
        <v>0</v>
      </c>
      <c r="EN19" s="141">
        <v>0.4</v>
      </c>
      <c r="EO19" s="141"/>
      <c r="EP19" s="141"/>
      <c r="EQ19" s="140">
        <f t="shared" si="42"/>
        <v>0.4</v>
      </c>
      <c r="ER19" s="141"/>
      <c r="ES19" s="141"/>
      <c r="ET19" s="141"/>
      <c r="EU19" s="140">
        <f t="shared" si="43"/>
        <v>0</v>
      </c>
      <c r="EV19" s="141"/>
      <c r="EW19" s="141"/>
      <c r="EX19" s="141"/>
      <c r="EY19" s="140">
        <f t="shared" si="44"/>
        <v>0</v>
      </c>
      <c r="EZ19" s="169">
        <f t="shared" si="45"/>
        <v>0.4</v>
      </c>
      <c r="FA19" s="170"/>
      <c r="FB19" s="169"/>
      <c r="FC19" s="169"/>
      <c r="FD19" s="169"/>
      <c r="FE19" s="171">
        <f t="shared" si="46"/>
        <v>0</v>
      </c>
      <c r="FF19" s="169"/>
      <c r="FG19" s="169"/>
      <c r="FH19" s="169"/>
      <c r="FI19" s="171">
        <f t="shared" si="47"/>
        <v>0</v>
      </c>
      <c r="FJ19" s="169"/>
      <c r="FK19" s="169"/>
      <c r="FL19" s="169"/>
      <c r="FM19" s="171">
        <f t="shared" si="48"/>
        <v>0</v>
      </c>
      <c r="FN19" s="172"/>
      <c r="FO19" s="173"/>
      <c r="FP19" s="174"/>
      <c r="FQ19" s="175">
        <f t="shared" si="49"/>
        <v>0</v>
      </c>
      <c r="FR19" s="175">
        <f t="shared" si="50"/>
        <v>0</v>
      </c>
      <c r="FS19" s="172"/>
      <c r="FT19" s="173"/>
      <c r="FU19" s="174"/>
      <c r="FV19" s="175">
        <f t="shared" si="51"/>
        <v>0</v>
      </c>
      <c r="FW19" s="172"/>
      <c r="FX19" s="173"/>
      <c r="FY19" s="174">
        <v>0</v>
      </c>
      <c r="FZ19" s="175">
        <f t="shared" si="52"/>
        <v>0</v>
      </c>
      <c r="GA19" s="172"/>
      <c r="GB19" s="173"/>
      <c r="GC19" s="174"/>
      <c r="GD19" s="175">
        <f t="shared" si="53"/>
        <v>0</v>
      </c>
      <c r="GE19" s="172">
        <v>0.4</v>
      </c>
      <c r="GF19" s="173">
        <v>2.5</v>
      </c>
      <c r="GG19" s="159">
        <v>1.16825259</v>
      </c>
      <c r="GH19" s="174">
        <f t="shared" si="54"/>
        <v>4.0682525900000002</v>
      </c>
      <c r="GI19" s="174">
        <f t="shared" si="55"/>
        <v>4.0682525900000002</v>
      </c>
      <c r="GJ19" s="221">
        <v>8.1585629799999992</v>
      </c>
      <c r="GK19" s="222">
        <v>1.3651438200000001</v>
      </c>
      <c r="GL19" s="223">
        <v>0.2</v>
      </c>
      <c r="GM19" s="175">
        <f t="shared" si="56"/>
        <v>9.7237067999999987</v>
      </c>
      <c r="GN19" s="221">
        <v>2.3726221098</v>
      </c>
      <c r="GO19" s="222">
        <v>6.9164127221740017</v>
      </c>
      <c r="GP19" s="223">
        <v>9.7345655100999995</v>
      </c>
      <c r="GQ19" s="175">
        <f t="shared" si="57"/>
        <v>19.023600342074001</v>
      </c>
      <c r="GR19" s="244">
        <v>9.7749203005225347</v>
      </c>
      <c r="GS19" s="222">
        <v>13.980311618315694</v>
      </c>
      <c r="GT19" s="223">
        <v>2.2325951623462101</v>
      </c>
      <c r="GU19" s="175">
        <f t="shared" si="58"/>
        <v>25.987827081184438</v>
      </c>
      <c r="GV19" s="221">
        <v>2.6045322395685169</v>
      </c>
      <c r="GW19" s="222">
        <v>5.1036708206599712</v>
      </c>
      <c r="GX19" s="223">
        <v>12.425957510760401</v>
      </c>
      <c r="GY19" s="174">
        <f t="shared" si="59"/>
        <v>20.13416057098889</v>
      </c>
      <c r="GZ19" s="159">
        <f t="shared" si="60"/>
        <v>74.869294794247338</v>
      </c>
      <c r="HA19" s="254">
        <v>0</v>
      </c>
      <c r="HB19" s="160">
        <v>1.16996250071736</v>
      </c>
      <c r="HC19" s="159">
        <v>0</v>
      </c>
      <c r="HD19" s="273">
        <f t="shared" si="61"/>
        <v>1.16996250071736</v>
      </c>
      <c r="HE19" s="254">
        <v>0.97942958999999996</v>
      </c>
      <c r="HF19" s="160">
        <v>2.3116771893830701</v>
      </c>
      <c r="HG19" s="159"/>
      <c r="HH19" s="273">
        <f t="shared" si="72"/>
        <v>3.2911067793830702</v>
      </c>
      <c r="HI19" s="276">
        <v>0</v>
      </c>
      <c r="HJ19" s="160"/>
      <c r="HK19" s="159"/>
      <c r="HL19" s="273">
        <f t="shared" si="63"/>
        <v>0</v>
      </c>
      <c r="HM19" s="254"/>
      <c r="HN19" s="160"/>
      <c r="HO19" s="159"/>
      <c r="HP19" s="273">
        <f t="shared" si="64"/>
        <v>0</v>
      </c>
      <c r="HQ19" s="273">
        <f t="shared" si="65"/>
        <v>4.4610692801004301</v>
      </c>
      <c r="HR19" s="254"/>
      <c r="HS19" s="160"/>
      <c r="HT19" s="159"/>
      <c r="HU19" s="273">
        <f t="shared" si="66"/>
        <v>0</v>
      </c>
      <c r="HV19" s="254"/>
      <c r="HW19" s="160"/>
      <c r="HX19" s="159">
        <v>4.8625080344332897E-2</v>
      </c>
      <c r="HY19" s="273">
        <f t="shared" si="67"/>
        <v>4.8625080344332897E-2</v>
      </c>
      <c r="HZ19" s="277">
        <v>0</v>
      </c>
      <c r="IA19" s="160"/>
      <c r="IB19" s="159"/>
      <c r="IC19" s="273">
        <f t="shared" si="68"/>
        <v>0</v>
      </c>
      <c r="ID19" s="254"/>
      <c r="IE19" s="160">
        <v>1.2</v>
      </c>
      <c r="IF19" s="159"/>
      <c r="IG19" s="273">
        <f t="shared" si="69"/>
        <v>1.2</v>
      </c>
      <c r="IH19" s="273">
        <v>1.2486250803443328</v>
      </c>
      <c r="II19" s="254"/>
      <c r="IJ19" s="160"/>
      <c r="IK19" s="159"/>
      <c r="IL19" s="273">
        <v>0</v>
      </c>
      <c r="IM19" s="254"/>
      <c r="IN19" s="160"/>
      <c r="IO19" s="160"/>
      <c r="IP19" s="273">
        <v>0</v>
      </c>
      <c r="IQ19" s="254"/>
      <c r="IR19" s="160"/>
      <c r="IS19" s="159"/>
      <c r="IT19" s="273">
        <v>0</v>
      </c>
      <c r="IU19" s="254"/>
      <c r="IV19" s="160"/>
      <c r="IW19" s="159"/>
      <c r="IX19" s="273">
        <v>0</v>
      </c>
      <c r="IY19" s="273">
        <v>0</v>
      </c>
      <c r="IZ19" s="254"/>
      <c r="JA19" s="160"/>
      <c r="JB19" s="159"/>
      <c r="JC19" s="273">
        <v>0</v>
      </c>
      <c r="JD19" s="254"/>
      <c r="JE19" s="160"/>
      <c r="JF19" s="159"/>
      <c r="JG19" s="273">
        <v>0</v>
      </c>
      <c r="JH19" s="254"/>
      <c r="JI19" s="160"/>
      <c r="JJ19" s="159"/>
      <c r="JK19" s="273">
        <v>0</v>
      </c>
      <c r="JL19" s="254"/>
      <c r="JM19" s="160"/>
      <c r="JN19" s="159"/>
      <c r="JO19" s="273">
        <v>0</v>
      </c>
      <c r="JP19" s="273">
        <v>0</v>
      </c>
      <c r="JQ19" s="254"/>
      <c r="JR19" s="160"/>
      <c r="JS19" s="159"/>
      <c r="JT19" s="273">
        <v>0</v>
      </c>
      <c r="JU19" s="254"/>
      <c r="JV19" s="160"/>
      <c r="JW19" s="159"/>
      <c r="JX19" s="273">
        <v>0</v>
      </c>
      <c r="JY19" s="254"/>
      <c r="JZ19" s="160"/>
      <c r="KA19" s="159"/>
      <c r="KB19" s="273">
        <v>0</v>
      </c>
      <c r="KC19" s="254"/>
      <c r="KD19" s="160"/>
      <c r="KE19" s="159"/>
      <c r="KF19" s="273">
        <v>0</v>
      </c>
      <c r="KG19" s="273">
        <v>0</v>
      </c>
      <c r="KH19" s="221"/>
      <c r="KI19" s="222"/>
      <c r="KJ19" s="223"/>
      <c r="KK19" s="273">
        <v>0</v>
      </c>
      <c r="KL19" s="221"/>
      <c r="KM19" s="222"/>
      <c r="KN19" s="223"/>
      <c r="KO19" s="273">
        <v>0</v>
      </c>
      <c r="KP19" s="221"/>
      <c r="KQ19" s="222"/>
      <c r="KR19" s="223"/>
      <c r="KS19" s="273">
        <v>0</v>
      </c>
      <c r="KT19" s="254"/>
      <c r="KU19" s="160"/>
      <c r="KV19" s="159"/>
      <c r="KW19" s="273">
        <v>0</v>
      </c>
      <c r="KX19" s="273">
        <v>0</v>
      </c>
      <c r="KY19" s="221">
        <v>0</v>
      </c>
      <c r="KZ19" s="222">
        <v>0</v>
      </c>
      <c r="LA19" s="223">
        <v>0</v>
      </c>
      <c r="LB19" s="273">
        <v>0</v>
      </c>
      <c r="LC19" s="221">
        <v>0</v>
      </c>
      <c r="LD19" s="222">
        <v>0</v>
      </c>
      <c r="LE19" s="223">
        <v>0</v>
      </c>
      <c r="LF19" s="273">
        <v>0</v>
      </c>
      <c r="LG19" s="221">
        <v>0</v>
      </c>
      <c r="LH19" s="222">
        <v>0</v>
      </c>
      <c r="LI19" s="223">
        <v>0</v>
      </c>
      <c r="LJ19" s="273">
        <v>0</v>
      </c>
      <c r="LK19" s="254"/>
      <c r="LL19" s="160"/>
      <c r="LM19" s="159"/>
      <c r="LN19" s="273">
        <v>0</v>
      </c>
      <c r="LO19" s="273">
        <v>0</v>
      </c>
    </row>
    <row r="20" spans="1:327" ht="17.100000000000001" hidden="1" customHeight="1" outlineLevel="1" x14ac:dyDescent="0.25">
      <c r="A20" s="2" t="s">
        <v>28</v>
      </c>
      <c r="B20" s="24"/>
      <c r="C20" s="5">
        <v>82.9</v>
      </c>
      <c r="D20" s="5">
        <v>7.3</v>
      </c>
      <c r="E20" s="5">
        <v>3.5</v>
      </c>
      <c r="F20" s="5">
        <v>6.5</v>
      </c>
      <c r="G20" s="5">
        <v>17.3</v>
      </c>
      <c r="H20" s="5">
        <v>10.6</v>
      </c>
      <c r="I20" s="5">
        <v>8.1</v>
      </c>
      <c r="J20" s="5">
        <v>17.100000000000001</v>
      </c>
      <c r="K20" s="5">
        <v>35.799999999999997</v>
      </c>
      <c r="L20" s="5">
        <v>9.0611363636363649</v>
      </c>
      <c r="M20" s="5">
        <f>1.1+20.6</f>
        <v>21.700000000000003</v>
      </c>
      <c r="N20" s="5">
        <f>0.5+2.2</f>
        <v>2.7</v>
      </c>
      <c r="O20" s="5">
        <f t="shared" si="0"/>
        <v>33.461136363636371</v>
      </c>
      <c r="P20" s="5">
        <v>1.2</v>
      </c>
      <c r="Q20" s="5">
        <v>2.8</v>
      </c>
      <c r="R20" s="5">
        <v>0.3</v>
      </c>
      <c r="S20" s="5">
        <f t="shared" si="1"/>
        <v>4.3</v>
      </c>
      <c r="T20" s="16">
        <f t="shared" si="7"/>
        <v>90.861136363636362</v>
      </c>
      <c r="U20" s="5">
        <f>0.6+1.7</f>
        <v>2.2999999999999998</v>
      </c>
      <c r="V20" s="5">
        <v>0.3</v>
      </c>
      <c r="W20" s="5">
        <v>0.2</v>
      </c>
      <c r="X20" s="4">
        <f t="shared" si="2"/>
        <v>2.8</v>
      </c>
      <c r="Y20" s="5">
        <v>0.1</v>
      </c>
      <c r="Z20" s="5">
        <v>0</v>
      </c>
      <c r="AA20" s="5">
        <v>0.04</v>
      </c>
      <c r="AB20" s="5">
        <f t="shared" si="3"/>
        <v>0.14000000000000001</v>
      </c>
      <c r="AC20" s="5">
        <v>0</v>
      </c>
      <c r="AD20" s="5">
        <v>0</v>
      </c>
      <c r="AE20" s="5">
        <v>0.14000000000000001</v>
      </c>
      <c r="AF20" s="5">
        <f t="shared" si="4"/>
        <v>0.14000000000000001</v>
      </c>
      <c r="AG20" s="5">
        <v>0.3</v>
      </c>
      <c r="AH20" s="5">
        <v>0</v>
      </c>
      <c r="AI20" s="5">
        <v>0</v>
      </c>
      <c r="AJ20" s="5">
        <f t="shared" si="8"/>
        <v>0.3</v>
      </c>
      <c r="AK20" s="16">
        <f t="shared" si="9"/>
        <v>3.38</v>
      </c>
      <c r="AL20" s="5">
        <v>0</v>
      </c>
      <c r="AM20" s="5">
        <v>0</v>
      </c>
      <c r="AN20" s="5">
        <v>0</v>
      </c>
      <c r="AO20" s="5">
        <f t="shared" si="11"/>
        <v>0</v>
      </c>
      <c r="AP20" s="5">
        <v>0</v>
      </c>
      <c r="AQ20" s="5">
        <v>0</v>
      </c>
      <c r="AR20" s="5">
        <v>0</v>
      </c>
      <c r="AS20" s="54">
        <f t="shared" si="12"/>
        <v>0</v>
      </c>
      <c r="AT20" s="5">
        <v>0</v>
      </c>
      <c r="AU20" s="5">
        <v>0</v>
      </c>
      <c r="AV20" s="5">
        <v>0</v>
      </c>
      <c r="AW20" s="54">
        <f t="shared" si="13"/>
        <v>0</v>
      </c>
      <c r="AX20" s="5">
        <v>0</v>
      </c>
      <c r="AY20" s="5">
        <v>0</v>
      </c>
      <c r="AZ20" s="5">
        <v>0</v>
      </c>
      <c r="BA20" s="54">
        <f t="shared" si="14"/>
        <v>0</v>
      </c>
      <c r="BB20" s="54">
        <f t="shared" si="15"/>
        <v>0</v>
      </c>
      <c r="BC20" s="5">
        <v>0</v>
      </c>
      <c r="BD20" s="66"/>
      <c r="BE20" s="66"/>
      <c r="BF20" s="62">
        <f>SUM(BB20:BD20)</f>
        <v>0</v>
      </c>
      <c r="BG20" s="67"/>
      <c r="BH20" s="67"/>
      <c r="BI20" s="67"/>
      <c r="BJ20" s="62">
        <f>SUM(BF20:BH20)</f>
        <v>0</v>
      </c>
      <c r="BK20" s="67"/>
      <c r="BL20" s="67"/>
      <c r="BM20" s="67"/>
      <c r="BN20" s="62">
        <f t="shared" si="18"/>
        <v>0</v>
      </c>
      <c r="BO20" s="71"/>
      <c r="BP20" s="67"/>
      <c r="BQ20" s="67"/>
      <c r="BR20" s="62">
        <f t="shared" si="19"/>
        <v>0</v>
      </c>
      <c r="BS20" s="62">
        <f t="shared" si="20"/>
        <v>0</v>
      </c>
      <c r="BT20" s="67"/>
      <c r="BU20" s="67"/>
      <c r="BV20" s="67"/>
      <c r="BW20" s="62">
        <f t="shared" si="21"/>
        <v>0</v>
      </c>
      <c r="BX20" s="67"/>
      <c r="BY20" s="67"/>
      <c r="BZ20" s="67"/>
      <c r="CA20" s="62">
        <f t="shared" si="22"/>
        <v>0</v>
      </c>
      <c r="CB20" s="67"/>
      <c r="CC20" s="67"/>
      <c r="CD20" s="67"/>
      <c r="CE20" s="62">
        <f t="shared" si="23"/>
        <v>0</v>
      </c>
      <c r="CF20" s="67"/>
      <c r="CG20" s="67"/>
      <c r="CH20" s="67"/>
      <c r="CI20" s="67">
        <f t="shared" si="24"/>
        <v>0</v>
      </c>
      <c r="CJ20" s="71">
        <f t="shared" si="25"/>
        <v>0</v>
      </c>
      <c r="CK20" s="71"/>
      <c r="CL20" s="67"/>
      <c r="CM20" s="67"/>
      <c r="CN20" s="62">
        <f t="shared" si="26"/>
        <v>0</v>
      </c>
      <c r="CO20" s="67"/>
      <c r="CP20" s="67"/>
      <c r="CQ20" s="67"/>
      <c r="CR20" s="62">
        <f t="shared" si="27"/>
        <v>0</v>
      </c>
      <c r="CS20" s="101"/>
      <c r="CT20" s="67"/>
      <c r="CU20" s="67"/>
      <c r="CV20" s="62">
        <f t="shared" si="28"/>
        <v>0</v>
      </c>
      <c r="CW20" s="67"/>
      <c r="CX20" s="67"/>
      <c r="CY20" s="112"/>
      <c r="CZ20" s="113">
        <f t="shared" si="29"/>
        <v>0</v>
      </c>
      <c r="DA20" s="62">
        <f t="shared" si="30"/>
        <v>0</v>
      </c>
      <c r="DB20" s="71"/>
      <c r="DC20" s="67"/>
      <c r="DD20" s="67"/>
      <c r="DE20" s="62">
        <f t="shared" si="31"/>
        <v>0</v>
      </c>
      <c r="DF20" s="71"/>
      <c r="DG20" s="67"/>
      <c r="DH20" s="67"/>
      <c r="DI20" s="62">
        <f t="shared" si="32"/>
        <v>0</v>
      </c>
      <c r="DJ20" s="71"/>
      <c r="DK20" s="67"/>
      <c r="DL20" s="67"/>
      <c r="DM20" s="62">
        <f t="shared" si="33"/>
        <v>0</v>
      </c>
      <c r="DN20" s="67"/>
      <c r="DO20" s="67"/>
      <c r="DP20" s="67"/>
      <c r="DQ20" s="113">
        <f t="shared" si="34"/>
        <v>0</v>
      </c>
      <c r="DR20" s="140">
        <f t="shared" si="35"/>
        <v>0</v>
      </c>
      <c r="DS20" s="141"/>
      <c r="DT20" s="141"/>
      <c r="DU20" s="141"/>
      <c r="DV20" s="140">
        <f t="shared" si="36"/>
        <v>0</v>
      </c>
      <c r="DW20" s="142"/>
      <c r="DX20" s="141"/>
      <c r="DY20" s="141"/>
      <c r="DZ20" s="140">
        <f t="shared" si="37"/>
        <v>0</v>
      </c>
      <c r="EA20" s="142"/>
      <c r="EB20" s="141"/>
      <c r="EC20" s="141"/>
      <c r="ED20" s="140">
        <f t="shared" si="38"/>
        <v>0</v>
      </c>
      <c r="EE20" s="141"/>
      <c r="EF20" s="141"/>
      <c r="EG20" s="141"/>
      <c r="EH20" s="140">
        <f t="shared" si="39"/>
        <v>0</v>
      </c>
      <c r="EI20" s="140">
        <f t="shared" si="40"/>
        <v>0</v>
      </c>
      <c r="EJ20" s="141"/>
      <c r="EK20" s="141"/>
      <c r="EL20" s="141"/>
      <c r="EM20" s="140">
        <f t="shared" si="41"/>
        <v>0</v>
      </c>
      <c r="EN20" s="141"/>
      <c r="EO20" s="141"/>
      <c r="EP20" s="141"/>
      <c r="EQ20" s="140">
        <f t="shared" si="42"/>
        <v>0</v>
      </c>
      <c r="ER20" s="141"/>
      <c r="ES20" s="141"/>
      <c r="ET20" s="141"/>
      <c r="EU20" s="140">
        <f t="shared" si="43"/>
        <v>0</v>
      </c>
      <c r="EV20" s="141"/>
      <c r="EW20" s="141"/>
      <c r="EX20" s="141"/>
      <c r="EY20" s="140">
        <f t="shared" si="44"/>
        <v>0</v>
      </c>
      <c r="EZ20" s="169">
        <f t="shared" si="45"/>
        <v>0</v>
      </c>
      <c r="FA20" s="170"/>
      <c r="FB20" s="169"/>
      <c r="FC20" s="169"/>
      <c r="FD20" s="169"/>
      <c r="FE20" s="171">
        <f t="shared" si="46"/>
        <v>0</v>
      </c>
      <c r="FF20" s="169"/>
      <c r="FG20" s="169"/>
      <c r="FH20" s="169"/>
      <c r="FI20" s="171">
        <f t="shared" si="47"/>
        <v>0</v>
      </c>
      <c r="FJ20" s="169"/>
      <c r="FK20" s="169"/>
      <c r="FL20" s="169"/>
      <c r="FM20" s="171">
        <f t="shared" si="48"/>
        <v>0</v>
      </c>
      <c r="FN20" s="172"/>
      <c r="FO20" s="173"/>
      <c r="FP20" s="174"/>
      <c r="FQ20" s="175">
        <f t="shared" si="49"/>
        <v>0</v>
      </c>
      <c r="FR20" s="175">
        <f t="shared" si="50"/>
        <v>0</v>
      </c>
      <c r="FS20" s="172"/>
      <c r="FT20" s="173"/>
      <c r="FU20" s="174"/>
      <c r="FV20" s="175">
        <f t="shared" si="51"/>
        <v>0</v>
      </c>
      <c r="FW20" s="172"/>
      <c r="FX20" s="173"/>
      <c r="FY20" s="174">
        <v>0</v>
      </c>
      <c r="FZ20" s="175">
        <f t="shared" si="52"/>
        <v>0</v>
      </c>
      <c r="GA20" s="172"/>
      <c r="GB20" s="173"/>
      <c r="GC20" s="174"/>
      <c r="GD20" s="175">
        <f t="shared" si="53"/>
        <v>0</v>
      </c>
      <c r="GE20" s="172"/>
      <c r="GF20" s="173"/>
      <c r="GG20" s="159"/>
      <c r="GH20" s="174">
        <f t="shared" si="54"/>
        <v>0</v>
      </c>
      <c r="GI20" s="174">
        <f t="shared" si="55"/>
        <v>0</v>
      </c>
      <c r="GJ20" s="221"/>
      <c r="GK20" s="222"/>
      <c r="GL20" s="223"/>
      <c r="GM20" s="175">
        <f t="shared" si="56"/>
        <v>0</v>
      </c>
      <c r="GN20" s="221"/>
      <c r="GO20" s="222">
        <v>0</v>
      </c>
      <c r="GP20" s="223">
        <v>0.1530155215</v>
      </c>
      <c r="GQ20" s="175">
        <f t="shared" si="57"/>
        <v>0.1530155215</v>
      </c>
      <c r="GR20" s="244">
        <v>0</v>
      </c>
      <c r="GS20" s="222"/>
      <c r="GT20" s="223"/>
      <c r="GU20" s="175">
        <f t="shared" si="58"/>
        <v>0</v>
      </c>
      <c r="GV20" s="221">
        <v>0</v>
      </c>
      <c r="GW20" s="222">
        <v>0.31886294978479196</v>
      </c>
      <c r="GX20" s="223"/>
      <c r="GY20" s="174">
        <f t="shared" si="59"/>
        <v>0.31886294978479196</v>
      </c>
      <c r="GZ20" s="159">
        <f t="shared" si="60"/>
        <v>0.47187847128479199</v>
      </c>
      <c r="HA20" s="254">
        <v>0</v>
      </c>
      <c r="HB20" s="160"/>
      <c r="HC20" s="159">
        <v>0</v>
      </c>
      <c r="HD20" s="273">
        <f t="shared" si="61"/>
        <v>0</v>
      </c>
      <c r="HE20" s="254">
        <v>0</v>
      </c>
      <c r="HF20" s="160">
        <v>0</v>
      </c>
      <c r="HG20" s="159"/>
      <c r="HH20" s="273">
        <f t="shared" si="72"/>
        <v>0</v>
      </c>
      <c r="HI20" s="276">
        <v>0</v>
      </c>
      <c r="HJ20" s="160"/>
      <c r="HK20" s="159"/>
      <c r="HL20" s="273">
        <f t="shared" si="63"/>
        <v>0</v>
      </c>
      <c r="HM20" s="254">
        <v>0</v>
      </c>
      <c r="HN20" s="160"/>
      <c r="HO20" s="159"/>
      <c r="HP20" s="273">
        <f t="shared" si="64"/>
        <v>0</v>
      </c>
      <c r="HQ20" s="273">
        <f t="shared" si="65"/>
        <v>0</v>
      </c>
      <c r="HR20" s="254">
        <v>0</v>
      </c>
      <c r="HS20" s="160"/>
      <c r="HT20" s="159">
        <v>0</v>
      </c>
      <c r="HU20" s="273">
        <f t="shared" si="66"/>
        <v>0</v>
      </c>
      <c r="HV20" s="254">
        <v>0</v>
      </c>
      <c r="HW20" s="160">
        <v>0</v>
      </c>
      <c r="HX20" s="159"/>
      <c r="HY20" s="273">
        <f t="shared" si="67"/>
        <v>0</v>
      </c>
      <c r="HZ20" s="277">
        <v>0</v>
      </c>
      <c r="IA20" s="160"/>
      <c r="IB20" s="159"/>
      <c r="IC20" s="273">
        <f t="shared" si="68"/>
        <v>0</v>
      </c>
      <c r="ID20" s="254">
        <v>0</v>
      </c>
      <c r="IE20" s="160"/>
      <c r="IF20" s="159"/>
      <c r="IG20" s="273">
        <f t="shared" si="69"/>
        <v>0</v>
      </c>
      <c r="IH20" s="273">
        <v>0</v>
      </c>
      <c r="II20" s="254"/>
      <c r="IJ20" s="160">
        <v>0</v>
      </c>
      <c r="IK20" s="159">
        <v>0</v>
      </c>
      <c r="IL20" s="273">
        <v>0</v>
      </c>
      <c r="IM20" s="254">
        <v>0</v>
      </c>
      <c r="IN20" s="160">
        <v>0</v>
      </c>
      <c r="IO20" s="160"/>
      <c r="IP20" s="273">
        <v>0</v>
      </c>
      <c r="IQ20" s="254"/>
      <c r="IR20" s="160">
        <v>0</v>
      </c>
      <c r="IS20" s="159">
        <v>0</v>
      </c>
      <c r="IT20" s="273">
        <v>0</v>
      </c>
      <c r="IU20" s="254">
        <v>0</v>
      </c>
      <c r="IV20" s="160">
        <v>0</v>
      </c>
      <c r="IW20" s="159">
        <v>0</v>
      </c>
      <c r="IX20" s="273">
        <v>0</v>
      </c>
      <c r="IY20" s="273">
        <v>0</v>
      </c>
      <c r="IZ20" s="254">
        <v>0</v>
      </c>
      <c r="JA20" s="160">
        <v>0</v>
      </c>
      <c r="JB20" s="159">
        <v>0</v>
      </c>
      <c r="JC20" s="273">
        <v>0</v>
      </c>
      <c r="JD20" s="254">
        <v>0</v>
      </c>
      <c r="JE20" s="160">
        <v>0</v>
      </c>
      <c r="JF20" s="159">
        <v>0</v>
      </c>
      <c r="JG20" s="273">
        <v>0</v>
      </c>
      <c r="JH20" s="254">
        <v>0</v>
      </c>
      <c r="JI20" s="160">
        <v>0</v>
      </c>
      <c r="JJ20" s="159">
        <v>0</v>
      </c>
      <c r="JK20" s="273">
        <v>0</v>
      </c>
      <c r="JL20" s="254">
        <v>0</v>
      </c>
      <c r="JM20" s="160">
        <v>0</v>
      </c>
      <c r="JN20" s="159">
        <v>0</v>
      </c>
      <c r="JO20" s="273">
        <v>0</v>
      </c>
      <c r="JP20" s="273">
        <v>0</v>
      </c>
      <c r="JQ20" s="254"/>
      <c r="JR20" s="160"/>
      <c r="JS20" s="159"/>
      <c r="JT20" s="273">
        <v>0</v>
      </c>
      <c r="JU20" s="254"/>
      <c r="JV20" s="160"/>
      <c r="JW20" s="159"/>
      <c r="JX20" s="273">
        <v>0</v>
      </c>
      <c r="JY20" s="254"/>
      <c r="JZ20" s="160"/>
      <c r="KA20" s="159"/>
      <c r="KB20" s="273">
        <v>0</v>
      </c>
      <c r="KC20" s="254"/>
      <c r="KD20" s="160"/>
      <c r="KE20" s="159"/>
      <c r="KF20" s="273">
        <v>0</v>
      </c>
      <c r="KG20" s="273">
        <v>0</v>
      </c>
      <c r="KH20" s="221"/>
      <c r="KI20" s="222"/>
      <c r="KJ20" s="223"/>
      <c r="KK20" s="273">
        <v>0</v>
      </c>
      <c r="KL20" s="221"/>
      <c r="KM20" s="222"/>
      <c r="KN20" s="223"/>
      <c r="KO20" s="273">
        <v>0</v>
      </c>
      <c r="KP20" s="221"/>
      <c r="KQ20" s="222"/>
      <c r="KR20" s="223"/>
      <c r="KS20" s="273">
        <v>0</v>
      </c>
      <c r="KT20" s="254"/>
      <c r="KU20" s="160"/>
      <c r="KV20" s="159"/>
      <c r="KW20" s="273">
        <v>0</v>
      </c>
      <c r="KX20" s="273">
        <v>0</v>
      </c>
      <c r="KY20" s="221">
        <v>0</v>
      </c>
      <c r="KZ20" s="222">
        <v>0</v>
      </c>
      <c r="LA20" s="223">
        <v>0</v>
      </c>
      <c r="LB20" s="273">
        <v>0</v>
      </c>
      <c r="LC20" s="221">
        <v>0</v>
      </c>
      <c r="LD20" s="222">
        <v>0</v>
      </c>
      <c r="LE20" s="223">
        <v>0</v>
      </c>
      <c r="LF20" s="273">
        <v>0</v>
      </c>
      <c r="LG20" s="221">
        <v>0</v>
      </c>
      <c r="LH20" s="222">
        <v>0</v>
      </c>
      <c r="LI20" s="223">
        <v>0</v>
      </c>
      <c r="LJ20" s="273">
        <v>0</v>
      </c>
      <c r="LK20" s="254"/>
      <c r="LL20" s="160"/>
      <c r="LM20" s="159"/>
      <c r="LN20" s="273">
        <v>0</v>
      </c>
      <c r="LO20" s="273">
        <v>0</v>
      </c>
    </row>
    <row r="21" spans="1:327" ht="17.100000000000001" customHeight="1" collapsed="1" x14ac:dyDescent="0.25">
      <c r="A21" s="2" t="s">
        <v>29</v>
      </c>
      <c r="B21" s="24"/>
      <c r="C21" s="5">
        <v>270.7</v>
      </c>
      <c r="D21" s="5">
        <v>20.6</v>
      </c>
      <c r="E21" s="5">
        <v>25.3</v>
      </c>
      <c r="F21" s="5">
        <v>25.2</v>
      </c>
      <c r="G21" s="5">
        <v>71.099999999999994</v>
      </c>
      <c r="H21" s="5">
        <v>23.1</v>
      </c>
      <c r="I21" s="5">
        <v>14.7</v>
      </c>
      <c r="J21" s="5">
        <v>17.899999999999999</v>
      </c>
      <c r="K21" s="5">
        <v>55.7</v>
      </c>
      <c r="L21" s="5">
        <v>32.448636363636361</v>
      </c>
      <c r="M21" s="5">
        <f>0.9+13.5</f>
        <v>14.4</v>
      </c>
      <c r="N21" s="5">
        <v>1.3</v>
      </c>
      <c r="O21" s="5">
        <f t="shared" si="0"/>
        <v>48.148636363636356</v>
      </c>
      <c r="P21" s="5">
        <f>0.3+0.9</f>
        <v>1.2</v>
      </c>
      <c r="Q21" s="5">
        <v>0.8</v>
      </c>
      <c r="R21" s="5">
        <v>0</v>
      </c>
      <c r="S21" s="5">
        <f t="shared" si="1"/>
        <v>2</v>
      </c>
      <c r="T21" s="16">
        <f t="shared" si="7"/>
        <v>176.94863636363635</v>
      </c>
      <c r="U21" s="5">
        <f>0.1+3.1</f>
        <v>3.2</v>
      </c>
      <c r="V21" s="5">
        <f>0.3+0.4</f>
        <v>0.7</v>
      </c>
      <c r="W21" s="5">
        <v>0</v>
      </c>
      <c r="X21" s="4">
        <f t="shared" si="2"/>
        <v>3.9000000000000004</v>
      </c>
      <c r="Y21" s="5">
        <v>0</v>
      </c>
      <c r="Z21" s="5">
        <v>0</v>
      </c>
      <c r="AA21" s="5">
        <v>0.04</v>
      </c>
      <c r="AB21" s="5">
        <f t="shared" si="3"/>
        <v>0.04</v>
      </c>
      <c r="AC21" s="5"/>
      <c r="AD21" s="5">
        <v>0</v>
      </c>
      <c r="AE21" s="5">
        <v>0</v>
      </c>
      <c r="AF21" s="5">
        <f t="shared" si="4"/>
        <v>0</v>
      </c>
      <c r="AG21" s="5">
        <v>0</v>
      </c>
      <c r="AH21" s="5">
        <v>0</v>
      </c>
      <c r="AI21" s="5">
        <v>0.2</v>
      </c>
      <c r="AJ21" s="5">
        <f t="shared" si="8"/>
        <v>0.2</v>
      </c>
      <c r="AK21" s="16">
        <f t="shared" si="9"/>
        <v>4.1400000000000006</v>
      </c>
      <c r="AL21" s="5">
        <v>0</v>
      </c>
      <c r="AM21" s="5">
        <v>0</v>
      </c>
      <c r="AN21" s="5">
        <v>0</v>
      </c>
      <c r="AO21" s="5">
        <f t="shared" si="11"/>
        <v>0</v>
      </c>
      <c r="AP21" s="5">
        <v>0</v>
      </c>
      <c r="AQ21" s="5">
        <v>0</v>
      </c>
      <c r="AR21" s="5">
        <v>0</v>
      </c>
      <c r="AS21" s="54">
        <f t="shared" si="12"/>
        <v>0</v>
      </c>
      <c r="AT21" s="5">
        <v>0</v>
      </c>
      <c r="AU21" s="5">
        <v>0</v>
      </c>
      <c r="AV21" s="5">
        <v>0</v>
      </c>
      <c r="AW21" s="54">
        <f t="shared" si="13"/>
        <v>0</v>
      </c>
      <c r="AX21" s="5">
        <v>0</v>
      </c>
      <c r="AY21" s="5">
        <v>0</v>
      </c>
      <c r="AZ21" s="5">
        <v>0.3</v>
      </c>
      <c r="BA21" s="54">
        <f t="shared" si="14"/>
        <v>0.3</v>
      </c>
      <c r="BB21" s="54">
        <f t="shared" si="15"/>
        <v>0.3</v>
      </c>
      <c r="BC21" s="5">
        <v>0</v>
      </c>
      <c r="BD21" s="66"/>
      <c r="BE21" s="66"/>
      <c r="BF21" s="62">
        <f t="shared" ref="BF21:BF33" si="73">SUM(BC21:BE21)</f>
        <v>0</v>
      </c>
      <c r="BG21" s="67"/>
      <c r="BH21" s="67">
        <v>0.30092000000000002</v>
      </c>
      <c r="BI21" s="67"/>
      <c r="BJ21" s="62">
        <f t="shared" ref="BJ21:BJ41" si="74">SUM(BG21:BI21)</f>
        <v>0.30092000000000002</v>
      </c>
      <c r="BK21" s="67"/>
      <c r="BL21" s="67"/>
      <c r="BM21" s="67"/>
      <c r="BN21" s="62">
        <f t="shared" si="18"/>
        <v>0</v>
      </c>
      <c r="BO21" s="71"/>
      <c r="BP21" s="67"/>
      <c r="BQ21" s="67"/>
      <c r="BR21" s="62">
        <f t="shared" si="19"/>
        <v>0</v>
      </c>
      <c r="BS21" s="62">
        <f t="shared" si="20"/>
        <v>0.30092000000000002</v>
      </c>
      <c r="BT21" s="67"/>
      <c r="BU21" s="67"/>
      <c r="BV21" s="67"/>
      <c r="BW21" s="62">
        <f t="shared" si="21"/>
        <v>0</v>
      </c>
      <c r="BX21" s="67"/>
      <c r="BY21" s="67"/>
      <c r="BZ21" s="67"/>
      <c r="CA21" s="62">
        <f t="shared" si="22"/>
        <v>0</v>
      </c>
      <c r="CB21" s="67"/>
      <c r="CC21" s="67"/>
      <c r="CD21" s="67"/>
      <c r="CE21" s="62">
        <f t="shared" si="23"/>
        <v>0</v>
      </c>
      <c r="CF21" s="67"/>
      <c r="CG21" s="67"/>
      <c r="CH21" s="67"/>
      <c r="CI21" s="67">
        <f t="shared" si="24"/>
        <v>0</v>
      </c>
      <c r="CJ21" s="71">
        <f t="shared" si="25"/>
        <v>0</v>
      </c>
      <c r="CK21" s="71"/>
      <c r="CL21" s="67"/>
      <c r="CM21" s="67"/>
      <c r="CN21" s="62">
        <f t="shared" si="26"/>
        <v>0</v>
      </c>
      <c r="CO21" s="67"/>
      <c r="CP21" s="67"/>
      <c r="CQ21" s="67"/>
      <c r="CR21" s="62">
        <f t="shared" si="27"/>
        <v>0</v>
      </c>
      <c r="CS21" s="101"/>
      <c r="CT21" s="67"/>
      <c r="CU21" s="67"/>
      <c r="CV21" s="62">
        <f t="shared" si="28"/>
        <v>0</v>
      </c>
      <c r="CW21" s="67"/>
      <c r="CX21" s="67"/>
      <c r="CY21" s="112"/>
      <c r="CZ21" s="113">
        <f t="shared" si="29"/>
        <v>0</v>
      </c>
      <c r="DA21" s="62">
        <f t="shared" si="30"/>
        <v>0</v>
      </c>
      <c r="DB21" s="71"/>
      <c r="DC21" s="67"/>
      <c r="DD21" s="67"/>
      <c r="DE21" s="62">
        <f t="shared" si="31"/>
        <v>0</v>
      </c>
      <c r="DF21" s="71"/>
      <c r="DG21" s="67"/>
      <c r="DH21" s="67"/>
      <c r="DI21" s="62">
        <f t="shared" si="32"/>
        <v>0</v>
      </c>
      <c r="DJ21" s="71"/>
      <c r="DK21" s="67"/>
      <c r="DL21" s="67"/>
      <c r="DM21" s="62">
        <f t="shared" si="33"/>
        <v>0</v>
      </c>
      <c r="DN21" s="67"/>
      <c r="DO21" s="67"/>
      <c r="DP21" s="67"/>
      <c r="DQ21" s="113">
        <f t="shared" si="34"/>
        <v>0</v>
      </c>
      <c r="DR21" s="140">
        <f t="shared" si="35"/>
        <v>0</v>
      </c>
      <c r="DS21" s="141"/>
      <c r="DT21" s="141"/>
      <c r="DU21" s="141"/>
      <c r="DV21" s="140">
        <f t="shared" si="36"/>
        <v>0</v>
      </c>
      <c r="DW21" s="142"/>
      <c r="DX21" s="141"/>
      <c r="DY21" s="141"/>
      <c r="DZ21" s="140">
        <f t="shared" si="37"/>
        <v>0</v>
      </c>
      <c r="EA21" s="142"/>
      <c r="EB21" s="141"/>
      <c r="EC21" s="141"/>
      <c r="ED21" s="140">
        <f t="shared" si="38"/>
        <v>0</v>
      </c>
      <c r="EE21" s="141"/>
      <c r="EF21" s="141"/>
      <c r="EG21" s="141"/>
      <c r="EH21" s="140">
        <f t="shared" si="39"/>
        <v>0</v>
      </c>
      <c r="EI21" s="140">
        <f t="shared" si="40"/>
        <v>0</v>
      </c>
      <c r="EJ21" s="141"/>
      <c r="EK21" s="141"/>
      <c r="EL21" s="141"/>
      <c r="EM21" s="140">
        <f t="shared" si="41"/>
        <v>0</v>
      </c>
      <c r="EN21" s="141"/>
      <c r="EO21" s="141"/>
      <c r="EP21" s="141"/>
      <c r="EQ21" s="140">
        <f t="shared" si="42"/>
        <v>0</v>
      </c>
      <c r="ER21" s="141"/>
      <c r="ES21" s="141"/>
      <c r="ET21" s="141"/>
      <c r="EU21" s="140">
        <f t="shared" si="43"/>
        <v>0</v>
      </c>
      <c r="EV21" s="141"/>
      <c r="EW21" s="141"/>
      <c r="EX21" s="141"/>
      <c r="EY21" s="140">
        <f t="shared" si="44"/>
        <v>0</v>
      </c>
      <c r="EZ21" s="169">
        <f t="shared" si="45"/>
        <v>0</v>
      </c>
      <c r="FA21" s="170"/>
      <c r="FB21" s="169"/>
      <c r="FC21" s="169"/>
      <c r="FD21" s="169"/>
      <c r="FE21" s="171">
        <f t="shared" si="46"/>
        <v>0</v>
      </c>
      <c r="FF21" s="169"/>
      <c r="FG21" s="169"/>
      <c r="FH21" s="169"/>
      <c r="FI21" s="171">
        <f t="shared" si="47"/>
        <v>0</v>
      </c>
      <c r="FJ21" s="169"/>
      <c r="FK21" s="169"/>
      <c r="FL21" s="169"/>
      <c r="FM21" s="171">
        <f t="shared" si="48"/>
        <v>0</v>
      </c>
      <c r="FN21" s="172"/>
      <c r="FO21" s="173"/>
      <c r="FP21" s="174"/>
      <c r="FQ21" s="175">
        <f t="shared" si="49"/>
        <v>0</v>
      </c>
      <c r="FR21" s="175">
        <f t="shared" si="50"/>
        <v>0</v>
      </c>
      <c r="FS21" s="172"/>
      <c r="FT21" s="173"/>
      <c r="FU21" s="174"/>
      <c r="FV21" s="175">
        <f t="shared" si="51"/>
        <v>0</v>
      </c>
      <c r="FW21" s="173"/>
      <c r="FX21" s="173">
        <v>5.8661626099999999</v>
      </c>
      <c r="FY21" s="174">
        <v>0</v>
      </c>
      <c r="FZ21" s="175">
        <f t="shared" si="52"/>
        <v>5.8661626099999999</v>
      </c>
      <c r="GA21" s="172">
        <v>7.0489547000000004</v>
      </c>
      <c r="GB21" s="173">
        <v>12.39328158</v>
      </c>
      <c r="GC21" s="174">
        <f>6.24692195+3.06027859</f>
        <v>9.3072005400000002</v>
      </c>
      <c r="GD21" s="175">
        <f t="shared" si="53"/>
        <v>28.74943682</v>
      </c>
      <c r="GE21" s="172">
        <v>14.819185958629999</v>
      </c>
      <c r="GF21" s="173">
        <v>28.316291690199996</v>
      </c>
      <c r="GG21" s="159">
        <v>36.000126833899998</v>
      </c>
      <c r="GH21" s="174">
        <f t="shared" si="54"/>
        <v>79.135604482730002</v>
      </c>
      <c r="GI21" s="174">
        <f t="shared" si="55"/>
        <v>113.75120391273001</v>
      </c>
      <c r="GJ21" s="221">
        <v>25.754905419899998</v>
      </c>
      <c r="GK21" s="222">
        <v>28.026761281199995</v>
      </c>
      <c r="GL21" s="223">
        <v>32.830101024899996</v>
      </c>
      <c r="GM21" s="175">
        <f t="shared" si="56"/>
        <v>86.611767725999982</v>
      </c>
      <c r="GN21" s="222">
        <v>33.597742570299999</v>
      </c>
      <c r="GO21" s="222">
        <v>31.318975476432179</v>
      </c>
      <c r="GP21" s="223">
        <v>22.124485503899997</v>
      </c>
      <c r="GQ21" s="175">
        <f t="shared" si="57"/>
        <v>87.041203550632162</v>
      </c>
      <c r="GR21" s="244">
        <v>32.1</v>
      </c>
      <c r="GS21" s="222">
        <v>24.721458142766046</v>
      </c>
      <c r="GT21" s="223">
        <v>29.409424539428592</v>
      </c>
      <c r="GU21" s="175">
        <f t="shared" si="58"/>
        <v>86.230882682194647</v>
      </c>
      <c r="GV21" s="221">
        <v>24.728955285412425</v>
      </c>
      <c r="GW21" s="222">
        <v>16.881055519296986</v>
      </c>
      <c r="GX21" s="223">
        <v>27.346591335193697</v>
      </c>
      <c r="GY21" s="174">
        <f t="shared" si="59"/>
        <v>68.956602139903111</v>
      </c>
      <c r="GZ21" s="159">
        <f t="shared" si="60"/>
        <v>328.84045609872987</v>
      </c>
      <c r="HA21" s="254">
        <v>17.828557000000004</v>
      </c>
      <c r="HB21" s="160">
        <v>15.793443090387358</v>
      </c>
      <c r="HC21" s="159">
        <v>16.36592360114777</v>
      </c>
      <c r="HD21" s="273">
        <f t="shared" si="61"/>
        <v>49.98792369153513</v>
      </c>
      <c r="HE21" s="160">
        <v>15.487049871477772</v>
      </c>
      <c r="HF21" s="160">
        <v>16.79752080476328</v>
      </c>
      <c r="HG21" s="159">
        <v>15.514284553802007</v>
      </c>
      <c r="HH21" s="273">
        <f t="shared" si="72"/>
        <v>47.79885523004306</v>
      </c>
      <c r="HI21" s="274">
        <v>18.400590083543801</v>
      </c>
      <c r="HJ21" s="160">
        <v>20.901351769010056</v>
      </c>
      <c r="HK21" s="159">
        <v>24.312955470588246</v>
      </c>
      <c r="HL21" s="273">
        <f t="shared" si="63"/>
        <v>63.614897323142102</v>
      </c>
      <c r="HM21" s="254">
        <v>25.044879487753626</v>
      </c>
      <c r="HN21" s="160">
        <v>23.222222596771875</v>
      </c>
      <c r="HO21" s="159">
        <v>26.82582021</v>
      </c>
      <c r="HP21" s="273">
        <f t="shared" si="64"/>
        <v>75.092922294525508</v>
      </c>
      <c r="HQ21" s="273">
        <f t="shared" si="65"/>
        <v>236.49459853924583</v>
      </c>
      <c r="HR21" s="254">
        <v>15.387970870746054</v>
      </c>
      <c r="HS21" s="160">
        <v>12.265194377058823</v>
      </c>
      <c r="HT21" s="159">
        <v>18.913566190000001</v>
      </c>
      <c r="HU21" s="273">
        <f t="shared" si="66"/>
        <v>46.566731437804876</v>
      </c>
      <c r="HV21" s="160">
        <v>12.042002040129123</v>
      </c>
      <c r="HW21" s="160">
        <v>9.32804364215208</v>
      </c>
      <c r="HX21" s="159">
        <v>8.9564318977809751</v>
      </c>
      <c r="HY21" s="273">
        <f t="shared" si="67"/>
        <v>30.326477580062175</v>
      </c>
      <c r="HZ21" s="275">
        <v>8.9569536108321373</v>
      </c>
      <c r="IA21" s="160">
        <v>9.1197083579770464</v>
      </c>
      <c r="IB21" s="159">
        <v>14.956671191104736</v>
      </c>
      <c r="IC21" s="273">
        <f t="shared" si="68"/>
        <v>33.033333159913923</v>
      </c>
      <c r="ID21" s="254">
        <v>14.225351059999999</v>
      </c>
      <c r="IE21" s="160">
        <v>11.312171680000001</v>
      </c>
      <c r="IF21" s="159">
        <v>23.730560985734044</v>
      </c>
      <c r="IG21" s="273">
        <f t="shared" si="69"/>
        <v>49.268083725734044</v>
      </c>
      <c r="IH21" s="273">
        <v>159.19462590351503</v>
      </c>
      <c r="II21" s="254">
        <v>10.158551320000001</v>
      </c>
      <c r="IJ21" s="160">
        <v>13.773637389999998</v>
      </c>
      <c r="IK21" s="159">
        <v>9.5038867099999997</v>
      </c>
      <c r="IL21" s="273">
        <v>33.436075419999995</v>
      </c>
      <c r="IM21" s="254">
        <v>9.5985393600000002</v>
      </c>
      <c r="IN21" s="160">
        <v>13.398141290000002</v>
      </c>
      <c r="IO21" s="160">
        <v>9.5479799500000002</v>
      </c>
      <c r="IP21" s="273">
        <v>9.5985393600000002</v>
      </c>
      <c r="IQ21" s="254">
        <v>12.57821755</v>
      </c>
      <c r="IR21" s="160">
        <v>13.777666549999999</v>
      </c>
      <c r="IS21" s="159">
        <v>26.869916150698693</v>
      </c>
      <c r="IT21" s="273">
        <v>53.22580025069869</v>
      </c>
      <c r="IU21" s="254">
        <v>16.380274321601163</v>
      </c>
      <c r="IV21" s="160">
        <v>108.02607216088938</v>
      </c>
      <c r="IW21" s="159">
        <v>25.267146281020405</v>
      </c>
      <c r="IX21" s="273">
        <v>149.67349276351095</v>
      </c>
      <c r="IY21" s="273">
        <v>245.93390779420963</v>
      </c>
      <c r="IZ21" s="254">
        <v>8.6598815598542256</v>
      </c>
      <c r="JA21" s="160">
        <v>12.154891840000001</v>
      </c>
      <c r="JB21" s="159">
        <v>12.5303389</v>
      </c>
      <c r="JC21" s="273">
        <v>33.345112299854222</v>
      </c>
      <c r="JD21" s="254">
        <v>10.548436580000001</v>
      </c>
      <c r="JE21" s="160">
        <v>17.374860860000002</v>
      </c>
      <c r="JF21" s="159">
        <v>17.888635200000003</v>
      </c>
      <c r="JG21" s="273">
        <v>45.811932640000009</v>
      </c>
      <c r="JH21" s="254">
        <v>41.636453119999999</v>
      </c>
      <c r="JI21" s="160">
        <v>59.994935670991254</v>
      </c>
      <c r="JJ21" s="159">
        <v>64.838262119999996</v>
      </c>
      <c r="JK21" s="273">
        <v>166.46965091099125</v>
      </c>
      <c r="JL21" s="254">
        <v>42.107552279912539</v>
      </c>
      <c r="JM21" s="160">
        <v>7.2921136399999993</v>
      </c>
      <c r="JN21" s="159">
        <v>10.38200865962099</v>
      </c>
      <c r="JO21" s="273">
        <v>59.781674579533529</v>
      </c>
      <c r="JP21" s="273">
        <v>305.40837043037902</v>
      </c>
      <c r="JQ21" s="254">
        <v>18.349345569999997</v>
      </c>
      <c r="JR21" s="160">
        <v>9.694319799708456</v>
      </c>
      <c r="JS21" s="159">
        <v>8.3623136200000001</v>
      </c>
      <c r="JT21" s="273">
        <v>36.405978989708451</v>
      </c>
      <c r="JU21" s="254">
        <v>4.8385123399999994</v>
      </c>
      <c r="JV21" s="160">
        <v>6.9510129900000006</v>
      </c>
      <c r="JW21" s="159">
        <v>7.1200719699999997</v>
      </c>
      <c r="JX21" s="273">
        <v>18.909597300000001</v>
      </c>
      <c r="JY21" s="254">
        <v>4.5863880400000001</v>
      </c>
      <c r="JZ21" s="160">
        <v>5.6754681900000001</v>
      </c>
      <c r="KA21" s="159">
        <v>7.6843924399999999</v>
      </c>
      <c r="KB21" s="273">
        <v>17.946248669999999</v>
      </c>
      <c r="KC21" s="254">
        <v>6.7692902499999992</v>
      </c>
      <c r="KD21" s="160">
        <v>5.8785710600000005</v>
      </c>
      <c r="KE21" s="159">
        <v>4.1412389999999997</v>
      </c>
      <c r="KF21" s="273">
        <v>16.789100309999998</v>
      </c>
      <c r="KG21" s="273">
        <v>90.050925269708443</v>
      </c>
      <c r="KH21" s="221">
        <v>6.5192264099999999</v>
      </c>
      <c r="KI21" s="222">
        <v>3.4005447700000002</v>
      </c>
      <c r="KJ21" s="223">
        <v>2.44225878</v>
      </c>
      <c r="KK21" s="273">
        <v>12.362029959999999</v>
      </c>
      <c r="KL21" s="221">
        <v>10.287207729999999</v>
      </c>
      <c r="KM21" s="222">
        <v>3.1412927799999997</v>
      </c>
      <c r="KN21" s="223">
        <v>4.4510081700000006</v>
      </c>
      <c r="KO21" s="273">
        <v>17.879508680000001</v>
      </c>
      <c r="KP21" s="221">
        <v>0.46204056999999998</v>
      </c>
      <c r="KQ21" s="222">
        <v>1.0050730800000001</v>
      </c>
      <c r="KR21" s="223">
        <v>3.2760200000000003E-2</v>
      </c>
      <c r="KS21" s="273">
        <v>1.49987385</v>
      </c>
      <c r="KT21" s="254">
        <v>0.11560909</v>
      </c>
      <c r="KU21" s="160">
        <v>0</v>
      </c>
      <c r="KV21" s="159"/>
      <c r="KW21" s="273">
        <v>0.11560909</v>
      </c>
      <c r="KX21" s="273">
        <v>31.857021580000001</v>
      </c>
      <c r="KY21" s="221">
        <v>0</v>
      </c>
      <c r="KZ21" s="222">
        <v>0</v>
      </c>
      <c r="LA21" s="223">
        <v>0</v>
      </c>
      <c r="LB21" s="273">
        <v>0</v>
      </c>
      <c r="LC21" s="221">
        <v>0</v>
      </c>
      <c r="LD21" s="222">
        <v>0</v>
      </c>
      <c r="LE21" s="223">
        <v>0</v>
      </c>
      <c r="LF21" s="273">
        <v>0</v>
      </c>
      <c r="LG21" s="221">
        <v>3.1213013799999998</v>
      </c>
      <c r="LH21" s="222">
        <v>13.198292449999999</v>
      </c>
      <c r="LI21" s="223">
        <v>0</v>
      </c>
      <c r="LJ21" s="273">
        <v>16.319593829999999</v>
      </c>
      <c r="LK21" s="254"/>
      <c r="LL21" s="160"/>
      <c r="LM21" s="159"/>
      <c r="LN21" s="273">
        <v>0</v>
      </c>
      <c r="LO21" s="273">
        <v>16.319593829999999</v>
      </c>
    </row>
    <row r="22" spans="1:327" ht="17.100000000000001" customHeight="1" x14ac:dyDescent="0.25">
      <c r="A22" s="2" t="s">
        <v>97</v>
      </c>
      <c r="B22" s="24"/>
      <c r="C22" s="5">
        <v>71.2</v>
      </c>
      <c r="D22" s="5">
        <v>3.8</v>
      </c>
      <c r="E22" s="5">
        <v>1.1000000000000001</v>
      </c>
      <c r="F22" s="5">
        <v>4.0999999999999996</v>
      </c>
      <c r="G22" s="5">
        <v>9</v>
      </c>
      <c r="H22" s="5">
        <v>4.7</v>
      </c>
      <c r="I22" s="5">
        <v>3.2</v>
      </c>
      <c r="J22" s="5">
        <v>5.7</v>
      </c>
      <c r="K22" s="5">
        <v>13.6</v>
      </c>
      <c r="L22" s="5">
        <v>8.6999999999999993</v>
      </c>
      <c r="M22" s="5">
        <v>7</v>
      </c>
      <c r="N22" s="5">
        <v>8.8000000000000007</v>
      </c>
      <c r="O22" s="5">
        <f t="shared" si="0"/>
        <v>24.5</v>
      </c>
      <c r="P22" s="5">
        <v>7.4</v>
      </c>
      <c r="Q22" s="5">
        <v>5.6</v>
      </c>
      <c r="R22" s="5">
        <v>6.65</v>
      </c>
      <c r="S22" s="5">
        <f t="shared" si="1"/>
        <v>19.649999999999999</v>
      </c>
      <c r="T22" s="16">
        <f t="shared" si="7"/>
        <v>66.75</v>
      </c>
      <c r="U22" s="5">
        <v>11</v>
      </c>
      <c r="V22" s="5">
        <v>4.5</v>
      </c>
      <c r="W22" s="5">
        <v>2.6</v>
      </c>
      <c r="X22" s="4">
        <f t="shared" si="2"/>
        <v>18.100000000000001</v>
      </c>
      <c r="Y22" s="5">
        <v>0.9</v>
      </c>
      <c r="Z22" s="5">
        <f>8.6-5.3</f>
        <v>3.3</v>
      </c>
      <c r="AA22" s="5">
        <v>1.5</v>
      </c>
      <c r="AB22" s="5">
        <f t="shared" si="3"/>
        <v>5.7</v>
      </c>
      <c r="AC22" s="5">
        <f>7.4-4.8</f>
        <v>2.6000000000000005</v>
      </c>
      <c r="AD22" s="5">
        <f>6.7-4.9</f>
        <v>1.7999999999999998</v>
      </c>
      <c r="AE22" s="5">
        <f>10.2-5.3</f>
        <v>4.8999999999999995</v>
      </c>
      <c r="AF22" s="5">
        <f t="shared" si="4"/>
        <v>9.3000000000000007</v>
      </c>
      <c r="AG22" s="5">
        <f>6.2-5.3</f>
        <v>0.90000000000000036</v>
      </c>
      <c r="AH22" s="5">
        <f>6.2-5.3</f>
        <v>0.90000000000000036</v>
      </c>
      <c r="AI22" s="5">
        <f>5.7-5.1</f>
        <v>0.60000000000000053</v>
      </c>
      <c r="AJ22" s="5">
        <f t="shared" si="8"/>
        <v>2.4000000000000012</v>
      </c>
      <c r="AK22" s="16">
        <f t="shared" si="9"/>
        <v>35.5</v>
      </c>
      <c r="AL22" s="5">
        <v>0.5</v>
      </c>
      <c r="AM22" s="5">
        <f>3.5-3.1</f>
        <v>0.39999999999999991</v>
      </c>
      <c r="AN22" s="5"/>
      <c r="AO22" s="5">
        <f t="shared" si="11"/>
        <v>0.89999999999999991</v>
      </c>
      <c r="AP22" s="5">
        <f>3.7-3.3</f>
        <v>0.40000000000000036</v>
      </c>
      <c r="AQ22" s="5">
        <f>3.3-2.9</f>
        <v>0.39999999999999991</v>
      </c>
      <c r="AR22" s="5">
        <v>0</v>
      </c>
      <c r="AS22" s="54">
        <f t="shared" si="12"/>
        <v>0.80000000000000027</v>
      </c>
      <c r="AT22" s="5"/>
      <c r="AU22" s="5">
        <v>2.2000000000000002</v>
      </c>
      <c r="AV22" s="5">
        <v>2.7</v>
      </c>
      <c r="AW22" s="54">
        <f t="shared" si="13"/>
        <v>4.9000000000000004</v>
      </c>
      <c r="AX22" s="5">
        <v>1.2</v>
      </c>
      <c r="AY22" s="5">
        <v>0.4</v>
      </c>
      <c r="AZ22" s="5">
        <v>0.4</v>
      </c>
      <c r="BA22" s="54">
        <f t="shared" si="14"/>
        <v>2</v>
      </c>
      <c r="BB22" s="54">
        <f t="shared" si="15"/>
        <v>8.6000000000000014</v>
      </c>
      <c r="BC22" s="5">
        <v>0.89700000000000002</v>
      </c>
      <c r="BD22" s="66">
        <v>1.1619999999999999</v>
      </c>
      <c r="BE22" s="66">
        <v>0.74</v>
      </c>
      <c r="BF22" s="62">
        <f t="shared" si="73"/>
        <v>2.7990000000000004</v>
      </c>
      <c r="BG22" s="67">
        <v>1.3779999999999999</v>
      </c>
      <c r="BH22" s="67">
        <v>0.79100000000000004</v>
      </c>
      <c r="BI22" s="67">
        <v>1.304</v>
      </c>
      <c r="BJ22" s="62">
        <f t="shared" si="74"/>
        <v>3.4729999999999999</v>
      </c>
      <c r="BK22" s="67">
        <v>0.495</v>
      </c>
      <c r="BL22" s="67">
        <v>0.15</v>
      </c>
      <c r="BM22" s="67">
        <v>0.78800000000000003</v>
      </c>
      <c r="BN22" s="62">
        <f t="shared" si="18"/>
        <v>1.4330000000000001</v>
      </c>
      <c r="BO22" s="71">
        <v>0.157</v>
      </c>
      <c r="BP22" s="67">
        <v>0.58799999999999997</v>
      </c>
      <c r="BQ22" s="67">
        <v>0.68300000000000005</v>
      </c>
      <c r="BR22" s="62">
        <f t="shared" si="19"/>
        <v>1.4279999999999999</v>
      </c>
      <c r="BS22" s="62">
        <f t="shared" si="20"/>
        <v>9.1329999999999991</v>
      </c>
      <c r="BT22" s="67">
        <v>0.8</v>
      </c>
      <c r="BU22" s="67"/>
      <c r="BV22" s="67">
        <v>0.8</v>
      </c>
      <c r="BW22" s="62">
        <f t="shared" si="21"/>
        <v>1.6</v>
      </c>
      <c r="BX22" s="67">
        <v>0</v>
      </c>
      <c r="BY22" s="67">
        <v>0.5</v>
      </c>
      <c r="BZ22" s="67">
        <v>0.2</v>
      </c>
      <c r="CA22" s="62">
        <f t="shared" si="22"/>
        <v>0.7</v>
      </c>
      <c r="CB22" s="67">
        <v>0.2</v>
      </c>
      <c r="CC22" s="67">
        <v>0.3</v>
      </c>
      <c r="CD22" s="67">
        <v>0.04</v>
      </c>
      <c r="CE22" s="62">
        <f t="shared" si="23"/>
        <v>0.54</v>
      </c>
      <c r="CF22" s="67">
        <v>0.03</v>
      </c>
      <c r="CG22" s="67">
        <v>0.5</v>
      </c>
      <c r="CH22" s="67">
        <v>0.2</v>
      </c>
      <c r="CI22" s="67">
        <f t="shared" si="24"/>
        <v>0.73</v>
      </c>
      <c r="CJ22" s="71">
        <f t="shared" si="25"/>
        <v>3.57</v>
      </c>
      <c r="CK22" s="71">
        <v>0.2</v>
      </c>
      <c r="CL22" s="67">
        <v>0.3</v>
      </c>
      <c r="CM22" s="67">
        <v>0</v>
      </c>
      <c r="CN22" s="62">
        <f t="shared" si="26"/>
        <v>0.5</v>
      </c>
      <c r="CO22" s="67">
        <v>0</v>
      </c>
      <c r="CP22" s="67">
        <v>0.4</v>
      </c>
      <c r="CQ22" s="67">
        <v>0.1</v>
      </c>
      <c r="CR22" s="62">
        <f t="shared" si="27"/>
        <v>0.5</v>
      </c>
      <c r="CS22" s="101">
        <v>0</v>
      </c>
      <c r="CT22" s="67">
        <v>0.2</v>
      </c>
      <c r="CU22" s="67">
        <v>0.3</v>
      </c>
      <c r="CV22" s="62">
        <f t="shared" si="28"/>
        <v>0.5</v>
      </c>
      <c r="CW22" s="67">
        <v>0.3</v>
      </c>
      <c r="CX22" s="67">
        <f>0.4+0.1</f>
        <v>0.5</v>
      </c>
      <c r="CY22" s="112">
        <v>0.2</v>
      </c>
      <c r="CZ22" s="113">
        <f t="shared" si="29"/>
        <v>1</v>
      </c>
      <c r="DA22" s="62">
        <f t="shared" si="30"/>
        <v>2.5</v>
      </c>
      <c r="DB22" s="71">
        <v>0.5</v>
      </c>
      <c r="DC22" s="67">
        <v>0.4</v>
      </c>
      <c r="DD22" s="67">
        <v>0</v>
      </c>
      <c r="DE22" s="62">
        <f t="shared" si="31"/>
        <v>0.9</v>
      </c>
      <c r="DF22" s="71">
        <v>0.2</v>
      </c>
      <c r="DG22" s="67">
        <v>0</v>
      </c>
      <c r="DH22" s="67">
        <v>0.2</v>
      </c>
      <c r="DI22" s="62">
        <f t="shared" si="32"/>
        <v>0.4</v>
      </c>
      <c r="DJ22" s="71">
        <v>0.1</v>
      </c>
      <c r="DK22" s="67">
        <v>0.3</v>
      </c>
      <c r="DL22" s="67">
        <v>0.4</v>
      </c>
      <c r="DM22" s="62">
        <f t="shared" si="33"/>
        <v>0.8</v>
      </c>
      <c r="DN22" s="67">
        <v>3.3</v>
      </c>
      <c r="DO22" s="67">
        <v>0.7</v>
      </c>
      <c r="DP22" s="67">
        <v>5.2</v>
      </c>
      <c r="DQ22" s="113">
        <f t="shared" si="34"/>
        <v>9.1999999999999993</v>
      </c>
      <c r="DR22" s="140">
        <f t="shared" si="35"/>
        <v>11.299999999999999</v>
      </c>
      <c r="DS22" s="141">
        <v>2</v>
      </c>
      <c r="DT22" s="141">
        <v>0.4</v>
      </c>
      <c r="DU22" s="141">
        <v>6.2</v>
      </c>
      <c r="DV22" s="140">
        <f t="shared" si="36"/>
        <v>8.6</v>
      </c>
      <c r="DW22" s="142">
        <v>0.5</v>
      </c>
      <c r="DX22" s="141">
        <v>0</v>
      </c>
      <c r="DY22" s="141">
        <v>2</v>
      </c>
      <c r="DZ22" s="140">
        <f t="shared" si="37"/>
        <v>2.5</v>
      </c>
      <c r="EA22" s="142">
        <v>1.3</v>
      </c>
      <c r="EB22" s="141">
        <v>5.2</v>
      </c>
      <c r="EC22" s="141">
        <v>5</v>
      </c>
      <c r="ED22" s="140">
        <f t="shared" si="38"/>
        <v>11.5</v>
      </c>
      <c r="EE22" s="141">
        <v>0.7</v>
      </c>
      <c r="EF22" s="141">
        <v>2.7</v>
      </c>
      <c r="EG22" s="141">
        <v>0.6</v>
      </c>
      <c r="EH22" s="140">
        <f t="shared" si="39"/>
        <v>4</v>
      </c>
      <c r="EI22" s="140">
        <f t="shared" si="40"/>
        <v>26.6</v>
      </c>
      <c r="EJ22" s="141">
        <v>0.5</v>
      </c>
      <c r="EK22" s="141">
        <v>0.7</v>
      </c>
      <c r="EL22" s="141">
        <v>0.7</v>
      </c>
      <c r="EM22" s="140">
        <f t="shared" si="41"/>
        <v>1.9</v>
      </c>
      <c r="EN22" s="141">
        <v>0.5</v>
      </c>
      <c r="EO22" s="141">
        <v>0.4</v>
      </c>
      <c r="EP22" s="141">
        <v>0.32</v>
      </c>
      <c r="EQ22" s="140">
        <f t="shared" si="42"/>
        <v>1.22</v>
      </c>
      <c r="ER22" s="141">
        <v>3.3</v>
      </c>
      <c r="ES22" s="141">
        <v>1.6</v>
      </c>
      <c r="ET22" s="141">
        <v>0.1</v>
      </c>
      <c r="EU22" s="140">
        <f t="shared" si="43"/>
        <v>5</v>
      </c>
      <c r="EV22" s="141">
        <v>4</v>
      </c>
      <c r="EW22" s="141">
        <v>0.2</v>
      </c>
      <c r="EX22" s="141">
        <v>3.8444049999999996</v>
      </c>
      <c r="EY22" s="140">
        <f t="shared" si="44"/>
        <v>8.0444049999999994</v>
      </c>
      <c r="EZ22" s="169">
        <f t="shared" si="45"/>
        <v>16.164405000000002</v>
      </c>
      <c r="FA22" s="170"/>
      <c r="FB22" s="169">
        <v>2</v>
      </c>
      <c r="FC22" s="169">
        <v>0.1</v>
      </c>
      <c r="FD22" s="169">
        <v>3.7</v>
      </c>
      <c r="FE22" s="171">
        <f t="shared" si="46"/>
        <v>5.8000000000000007</v>
      </c>
      <c r="FF22" s="169">
        <v>0.32132254999999998</v>
      </c>
      <c r="FG22" s="169">
        <v>1.90385296</v>
      </c>
      <c r="FH22" s="169">
        <v>3.8232447099999995</v>
      </c>
      <c r="FI22" s="171">
        <f t="shared" si="47"/>
        <v>6.0484202199999997</v>
      </c>
      <c r="FJ22" s="169">
        <v>5.2799988397000002</v>
      </c>
      <c r="FK22" s="169">
        <v>4.0001161899</v>
      </c>
      <c r="FL22" s="169">
        <v>7.2935160999999997</v>
      </c>
      <c r="FM22" s="171">
        <f t="shared" si="48"/>
        <v>16.573631129600003</v>
      </c>
      <c r="FN22" s="172">
        <v>5.4127950596999996</v>
      </c>
      <c r="FO22" s="173">
        <v>16.059381109869999</v>
      </c>
      <c r="FP22" s="174">
        <v>6.3687393300000004</v>
      </c>
      <c r="FQ22" s="175">
        <f t="shared" si="49"/>
        <v>27.840915499569999</v>
      </c>
      <c r="FR22" s="175">
        <f t="shared" si="50"/>
        <v>56.262966849169999</v>
      </c>
      <c r="FS22" s="172">
        <v>7.5939351000000004</v>
      </c>
      <c r="FT22" s="176">
        <v>5.4524821303</v>
      </c>
      <c r="FU22" s="174">
        <v>1.4932189996999998</v>
      </c>
      <c r="FV22" s="175">
        <f t="shared" si="51"/>
        <v>14.539636230000001</v>
      </c>
      <c r="FW22" s="177">
        <v>2.4840198501000001</v>
      </c>
      <c r="FX22" s="173">
        <v>0.14425264040000002</v>
      </c>
      <c r="FY22" s="174">
        <v>4.1859906999999996</v>
      </c>
      <c r="FZ22" s="175">
        <f t="shared" si="52"/>
        <v>6.8142631905000002</v>
      </c>
      <c r="GA22" s="172">
        <v>8.1197497698000003</v>
      </c>
      <c r="GB22" s="173">
        <v>0.6646112005</v>
      </c>
      <c r="GC22" s="174">
        <v>7.0028376999999997</v>
      </c>
      <c r="GD22" s="175">
        <f t="shared" si="53"/>
        <v>15.7871986703</v>
      </c>
      <c r="GE22" s="172">
        <v>5.0654602106999995</v>
      </c>
      <c r="GF22" s="173">
        <v>5.6209614800000001</v>
      </c>
      <c r="GG22" s="159">
        <v>4.4992735106000001</v>
      </c>
      <c r="GH22" s="174">
        <f t="shared" si="54"/>
        <v>15.1856952013</v>
      </c>
      <c r="GI22" s="174">
        <f t="shared" si="55"/>
        <v>52.3267932921</v>
      </c>
      <c r="GJ22" s="221">
        <v>11.6557886996</v>
      </c>
      <c r="GK22" s="246">
        <v>3.2780370400000001</v>
      </c>
      <c r="GL22" s="223">
        <v>5.7072126003000001</v>
      </c>
      <c r="GM22" s="175">
        <f t="shared" si="56"/>
        <v>20.6410383399</v>
      </c>
      <c r="GN22" s="224">
        <v>3.3381055696999997</v>
      </c>
      <c r="GO22" s="222">
        <v>6.1034070895027615</v>
      </c>
      <c r="GP22" s="223">
        <v>3.7966633595963906</v>
      </c>
      <c r="GQ22" s="175">
        <f t="shared" si="57"/>
        <v>13.238176018799152</v>
      </c>
      <c r="GR22" s="244">
        <v>10.3</v>
      </c>
      <c r="GS22" s="222">
        <v>4.3597157593749998</v>
      </c>
      <c r="GT22" s="223">
        <v>1.1684203891273239</v>
      </c>
      <c r="GU22" s="175">
        <f t="shared" si="58"/>
        <v>15.828136148502324</v>
      </c>
      <c r="GV22" s="221">
        <v>10.045579991018117</v>
      </c>
      <c r="GW22" s="222">
        <v>4.9643227993687233</v>
      </c>
      <c r="GX22" s="223">
        <v>4.6595356700143498</v>
      </c>
      <c r="GY22" s="174">
        <f t="shared" si="59"/>
        <v>19.669438460401189</v>
      </c>
      <c r="GZ22" s="159">
        <f t="shared" si="60"/>
        <v>69.376788967602664</v>
      </c>
      <c r="HA22" s="254">
        <v>1.8615533</v>
      </c>
      <c r="HB22" s="278">
        <v>4.73496001004305</v>
      </c>
      <c r="HC22" s="159">
        <v>8.7773918995695794</v>
      </c>
      <c r="HD22" s="273">
        <f t="shared" si="61"/>
        <v>15.37390520961263</v>
      </c>
      <c r="HE22" s="143">
        <v>12.88399655093257</v>
      </c>
      <c r="HF22" s="160">
        <v>0.39835384935437601</v>
      </c>
      <c r="HG22" s="159">
        <v>0.914892199426112</v>
      </c>
      <c r="HH22" s="273">
        <f t="shared" si="72"/>
        <v>14.197242599713057</v>
      </c>
      <c r="HI22" s="274">
        <v>1.46426229985653</v>
      </c>
      <c r="HJ22" s="160">
        <v>11.236340859014341</v>
      </c>
      <c r="HK22" s="159">
        <v>4.6518507302726002</v>
      </c>
      <c r="HL22" s="273">
        <f t="shared" si="63"/>
        <v>17.352453889143472</v>
      </c>
      <c r="HM22" s="254">
        <v>3.1907340208321426</v>
      </c>
      <c r="HN22" s="160">
        <v>2.3481703994117598</v>
      </c>
      <c r="HO22" s="159">
        <v>2.3576976699999999</v>
      </c>
      <c r="HP22" s="273">
        <f t="shared" si="64"/>
        <v>7.8966020902439027</v>
      </c>
      <c r="HQ22" s="273">
        <f t="shared" si="65"/>
        <v>54.820203788713059</v>
      </c>
      <c r="HR22" s="254">
        <v>8.3992730000000002E-2</v>
      </c>
      <c r="HS22" s="278">
        <v>7.9792599713055953E-2</v>
      </c>
      <c r="HT22" s="159">
        <v>2.5054863799999998</v>
      </c>
      <c r="HU22" s="273">
        <f t="shared" si="66"/>
        <v>2.6692717097130556</v>
      </c>
      <c r="HV22" s="143">
        <v>0.99782491000000006</v>
      </c>
      <c r="HW22" s="160">
        <v>1.2500884002869439</v>
      </c>
      <c r="HX22" s="159">
        <v>1.65589641</v>
      </c>
      <c r="HY22" s="273">
        <f t="shared" si="67"/>
        <v>3.9038097202869442</v>
      </c>
      <c r="HZ22" s="275">
        <v>2.07853054071736</v>
      </c>
      <c r="IA22" s="160">
        <v>0.14728775055954085</v>
      </c>
      <c r="IB22" s="159">
        <v>2.1612039500000004</v>
      </c>
      <c r="IC22" s="273">
        <f t="shared" si="68"/>
        <v>4.3870222412769007</v>
      </c>
      <c r="ID22" s="254">
        <v>2.1729373000000001</v>
      </c>
      <c r="IE22" s="160">
        <v>3.8789082799999997</v>
      </c>
      <c r="IF22" s="159">
        <v>1.2217318499999998</v>
      </c>
      <c r="IG22" s="273">
        <f t="shared" si="69"/>
        <v>7.2735774299999996</v>
      </c>
      <c r="IH22" s="273">
        <v>18.2336811012769</v>
      </c>
      <c r="II22" s="254">
        <v>7.19182524</v>
      </c>
      <c r="IJ22" s="160">
        <v>0.51135646999999995</v>
      </c>
      <c r="IK22" s="159">
        <v>0.429865</v>
      </c>
      <c r="IL22" s="273">
        <v>8.1330467100000003</v>
      </c>
      <c r="IM22" s="254">
        <v>2.8155753899999998</v>
      </c>
      <c r="IN22" s="160">
        <v>0.19831467999999999</v>
      </c>
      <c r="IO22" s="160">
        <v>0.91442789999999996</v>
      </c>
      <c r="IP22" s="273">
        <v>3.9283179700000002</v>
      </c>
      <c r="IQ22" s="254">
        <v>1.2930381399999999</v>
      </c>
      <c r="IR22" s="160">
        <v>0.49756288000000004</v>
      </c>
      <c r="IS22" s="159">
        <v>0.16154664046579328</v>
      </c>
      <c r="IT22" s="273">
        <v>1.9521476604657932</v>
      </c>
      <c r="IU22" s="254">
        <v>2.8078484899563318</v>
      </c>
      <c r="IV22" s="160">
        <v>1.2572495400000001</v>
      </c>
      <c r="IW22" s="159">
        <v>10.98049715</v>
      </c>
      <c r="IX22" s="273">
        <v>15.045595179956331</v>
      </c>
      <c r="IY22" s="273">
        <v>29.059107520422124</v>
      </c>
      <c r="IZ22" s="254">
        <v>0.10800800000000001</v>
      </c>
      <c r="JA22" s="160">
        <v>1.113588</v>
      </c>
      <c r="JB22" s="159">
        <v>3.6910600000000002</v>
      </c>
      <c r="JC22" s="273">
        <v>4.9126560000000001</v>
      </c>
      <c r="JD22" s="254">
        <v>2.9779676500000001</v>
      </c>
      <c r="JE22" s="160">
        <v>1.4640857999999999</v>
      </c>
      <c r="JF22" s="159">
        <v>1.8532700799999999</v>
      </c>
      <c r="JG22" s="273">
        <v>6.2953235299999992</v>
      </c>
      <c r="JH22" s="254">
        <v>3.7442933600000003</v>
      </c>
      <c r="JI22" s="160">
        <v>1.95086688</v>
      </c>
      <c r="JJ22" s="159">
        <v>1.12905838</v>
      </c>
      <c r="JK22" s="273">
        <v>6.8242186199999999</v>
      </c>
      <c r="JL22" s="254">
        <v>1.2838989600000004</v>
      </c>
      <c r="JM22" s="160">
        <v>5.3663780000000001E-2</v>
      </c>
      <c r="JN22" s="159">
        <v>0</v>
      </c>
      <c r="JO22" s="273">
        <v>1.3375627400000003</v>
      </c>
      <c r="JP22" s="273">
        <v>19.369760889999998</v>
      </c>
      <c r="JQ22" s="254">
        <v>121.56749915</v>
      </c>
      <c r="JR22" s="160">
        <v>1.7953930600000001</v>
      </c>
      <c r="JS22" s="159">
        <v>0.91991800000000001</v>
      </c>
      <c r="JT22" s="273">
        <v>124.28281020999999</v>
      </c>
      <c r="JU22" s="254">
        <v>5.7096019999999997E-2</v>
      </c>
      <c r="JV22" s="160">
        <v>0</v>
      </c>
      <c r="JW22" s="159">
        <v>0.41675995999999998</v>
      </c>
      <c r="JX22" s="273">
        <v>0.47385597999999995</v>
      </c>
      <c r="JY22" s="254">
        <v>14.929404259999998</v>
      </c>
      <c r="JZ22" s="160">
        <v>0.37609056000000002</v>
      </c>
      <c r="KA22" s="159">
        <v>3.2628944200000003</v>
      </c>
      <c r="KB22" s="273">
        <v>18.568389239999998</v>
      </c>
      <c r="KC22" s="254">
        <v>0.89955971999999995</v>
      </c>
      <c r="KD22" s="160">
        <v>7.6431439999999989E-2</v>
      </c>
      <c r="KE22" s="159">
        <v>0.26188</v>
      </c>
      <c r="KF22" s="273">
        <v>1.2378711600000001</v>
      </c>
      <c r="KG22" s="273">
        <v>144.56292658999999</v>
      </c>
      <c r="KH22" s="221">
        <v>17.276871359999998</v>
      </c>
      <c r="KI22" s="222">
        <v>0.35355599999999998</v>
      </c>
      <c r="KJ22" s="223">
        <v>0.85592080000000004</v>
      </c>
      <c r="KK22" s="273">
        <v>18.486348159999999</v>
      </c>
      <c r="KL22" s="221">
        <v>2.3698399999999999</v>
      </c>
      <c r="KM22" s="222">
        <v>2.3680760000000003</v>
      </c>
      <c r="KN22" s="223">
        <v>0.48</v>
      </c>
      <c r="KO22" s="273">
        <v>5.2179160000000007</v>
      </c>
      <c r="KP22" s="221">
        <v>30.035034789999997</v>
      </c>
      <c r="KQ22" s="222">
        <v>0</v>
      </c>
      <c r="KR22" s="223">
        <v>0</v>
      </c>
      <c r="KS22" s="273">
        <v>30.035034789999997</v>
      </c>
      <c r="KT22" s="254">
        <v>0</v>
      </c>
      <c r="KU22" s="160">
        <v>7.5926617200000006</v>
      </c>
      <c r="KV22" s="159">
        <v>1.1439999999999999</v>
      </c>
      <c r="KW22" s="273">
        <v>8.7366617200000007</v>
      </c>
      <c r="KX22" s="273">
        <v>62.475960669999999</v>
      </c>
      <c r="KY22" s="221">
        <v>7.7541858699999997</v>
      </c>
      <c r="KZ22" s="222">
        <v>0</v>
      </c>
      <c r="LA22" s="223">
        <v>10.01985</v>
      </c>
      <c r="LB22" s="273">
        <v>17.774035869999999</v>
      </c>
      <c r="LC22" s="221">
        <v>0</v>
      </c>
      <c r="LD22" s="222">
        <v>0</v>
      </c>
      <c r="LE22" s="223">
        <v>0</v>
      </c>
      <c r="LF22" s="273">
        <v>0</v>
      </c>
      <c r="LG22" s="221">
        <v>4.1803650000000001</v>
      </c>
      <c r="LH22" s="222">
        <v>0</v>
      </c>
      <c r="LI22" s="223">
        <v>0.14526578000000001</v>
      </c>
      <c r="LJ22" s="273">
        <v>4.32563078</v>
      </c>
      <c r="LK22" s="254"/>
      <c r="LL22" s="160"/>
      <c r="LM22" s="159"/>
      <c r="LN22" s="273">
        <v>0</v>
      </c>
      <c r="LO22" s="273">
        <v>22.09966665</v>
      </c>
    </row>
    <row r="23" spans="1:327" ht="17.100000000000001" customHeight="1" x14ac:dyDescent="0.2">
      <c r="A23" s="75" t="s">
        <v>66</v>
      </c>
      <c r="B23" s="24"/>
      <c r="C23" s="5">
        <v>53.2</v>
      </c>
      <c r="D23" s="5">
        <v>5</v>
      </c>
      <c r="E23" s="5">
        <v>6.4</v>
      </c>
      <c r="F23" s="5">
        <v>5.2</v>
      </c>
      <c r="G23" s="5">
        <v>16.600000000000001</v>
      </c>
      <c r="H23" s="5">
        <v>3.6</v>
      </c>
      <c r="I23" s="5">
        <v>4.0999999999999996</v>
      </c>
      <c r="J23" s="5">
        <v>4.9000000000000004</v>
      </c>
      <c r="K23" s="5">
        <v>12.6</v>
      </c>
      <c r="L23" s="5">
        <v>4.5</v>
      </c>
      <c r="M23" s="5">
        <f>M24+M25</f>
        <v>5.3</v>
      </c>
      <c r="N23" s="5">
        <f>N24+N25</f>
        <v>7.8</v>
      </c>
      <c r="O23" s="5">
        <f t="shared" si="0"/>
        <v>17.600000000000001</v>
      </c>
      <c r="P23" s="5">
        <f>P24+P25</f>
        <v>6.3000000000000007</v>
      </c>
      <c r="Q23" s="5">
        <f>Q24+Q25</f>
        <v>6.4</v>
      </c>
      <c r="R23" s="5">
        <f>R24+R25</f>
        <v>4.8</v>
      </c>
      <c r="S23" s="5">
        <f t="shared" si="1"/>
        <v>17.5</v>
      </c>
      <c r="T23" s="16">
        <f t="shared" si="7"/>
        <v>64.300000000000011</v>
      </c>
      <c r="U23" s="5">
        <f>U24+U25</f>
        <v>8</v>
      </c>
      <c r="V23" s="5">
        <f>V24+V25</f>
        <v>4</v>
      </c>
      <c r="W23" s="5">
        <f>W24+W25</f>
        <v>5.9</v>
      </c>
      <c r="X23" s="4">
        <f t="shared" si="2"/>
        <v>17.899999999999999</v>
      </c>
      <c r="Y23" s="5">
        <f>Y24+Y25</f>
        <v>3.6</v>
      </c>
      <c r="Z23" s="5">
        <f>Z24+Z25</f>
        <v>1.7000000000000002</v>
      </c>
      <c r="AA23" s="5">
        <f>AA24+AA25</f>
        <v>3.1</v>
      </c>
      <c r="AB23" s="5">
        <f t="shared" si="3"/>
        <v>8.4</v>
      </c>
      <c r="AC23" s="5">
        <f>AC24+AC25</f>
        <v>4.0999999999999996</v>
      </c>
      <c r="AD23" s="5">
        <f>AD24+AD25</f>
        <v>3.1</v>
      </c>
      <c r="AE23" s="5">
        <v>1.6</v>
      </c>
      <c r="AF23" s="5">
        <f t="shared" si="4"/>
        <v>8.7999999999999989</v>
      </c>
      <c r="AG23" s="5">
        <f>AG24+AG25</f>
        <v>4</v>
      </c>
      <c r="AH23" s="5">
        <f>AH24+AH25</f>
        <v>2</v>
      </c>
      <c r="AI23" s="5">
        <f>AI24+AI25</f>
        <v>4.8</v>
      </c>
      <c r="AJ23" s="5">
        <f t="shared" si="8"/>
        <v>10.8</v>
      </c>
      <c r="AK23" s="16">
        <f t="shared" si="9"/>
        <v>45.899999999999991</v>
      </c>
      <c r="AL23" s="5">
        <f t="shared" ref="AL23:AT23" si="75">AL24+AL25</f>
        <v>5.3</v>
      </c>
      <c r="AM23" s="5">
        <f t="shared" si="75"/>
        <v>2.6</v>
      </c>
      <c r="AN23" s="5">
        <f t="shared" si="75"/>
        <v>0</v>
      </c>
      <c r="AO23" s="5">
        <f t="shared" si="11"/>
        <v>7.9</v>
      </c>
      <c r="AP23" s="5">
        <f t="shared" si="75"/>
        <v>1.8</v>
      </c>
      <c r="AQ23" s="5">
        <f t="shared" si="75"/>
        <v>1.8</v>
      </c>
      <c r="AR23" s="5">
        <f t="shared" si="75"/>
        <v>1.44</v>
      </c>
      <c r="AS23" s="54">
        <f t="shared" si="12"/>
        <v>5.04</v>
      </c>
      <c r="AT23" s="5">
        <f t="shared" si="75"/>
        <v>3.04</v>
      </c>
      <c r="AU23" s="5">
        <f>AU24+AU25</f>
        <v>2.7</v>
      </c>
      <c r="AV23" s="5">
        <f>AV24+AV25</f>
        <v>20</v>
      </c>
      <c r="AW23" s="54">
        <f t="shared" si="13"/>
        <v>25.740000000000002</v>
      </c>
      <c r="AX23" s="5">
        <f>AX24+AX25</f>
        <v>2.4</v>
      </c>
      <c r="AY23" s="5">
        <f>AY24+AY25</f>
        <v>3.25</v>
      </c>
      <c r="AZ23" s="5">
        <f>AZ24+AZ25</f>
        <v>4.2</v>
      </c>
      <c r="BA23" s="54">
        <f t="shared" si="14"/>
        <v>9.8500000000000014</v>
      </c>
      <c r="BB23" s="54">
        <f t="shared" si="15"/>
        <v>48.530000000000008</v>
      </c>
      <c r="BC23" s="5">
        <f>BC24+BC25</f>
        <v>2.9798277389999996</v>
      </c>
      <c r="BD23" s="66">
        <f>BD24+BD25</f>
        <v>2.6808524899999999</v>
      </c>
      <c r="BE23" s="66">
        <f>BE24+BE25</f>
        <v>11.179525620000001</v>
      </c>
      <c r="BF23" s="62">
        <f t="shared" si="73"/>
        <v>16.840205849</v>
      </c>
      <c r="BG23" s="67">
        <f>BG24+BG25</f>
        <v>2.3352539999999999</v>
      </c>
      <c r="BH23" s="67">
        <f>BH24+BH25</f>
        <v>2.2370700000000001</v>
      </c>
      <c r="BI23" s="67">
        <f>BI24+BI25</f>
        <v>2.2947600000000001</v>
      </c>
      <c r="BJ23" s="62">
        <f t="shared" si="74"/>
        <v>6.8670840000000002</v>
      </c>
      <c r="BK23" s="67">
        <f>BK24+BK25</f>
        <v>3.0775800000000002</v>
      </c>
      <c r="BL23" s="67">
        <f>BL24+BL25</f>
        <v>4.6524000000000001</v>
      </c>
      <c r="BM23" s="67">
        <f>BM24+BM25</f>
        <v>3.0164279999999999</v>
      </c>
      <c r="BN23" s="62">
        <f t="shared" si="18"/>
        <v>10.746408000000001</v>
      </c>
      <c r="BO23" s="71">
        <f>BO24+BO25</f>
        <v>3.1577453900000001</v>
      </c>
      <c r="BP23" s="67">
        <f>BP24+BP25</f>
        <v>3.2004299999999999</v>
      </c>
      <c r="BQ23" s="67">
        <f>BQ24+BQ25</f>
        <v>2.5703800000000001</v>
      </c>
      <c r="BR23" s="62">
        <f t="shared" si="19"/>
        <v>8.9285553899999996</v>
      </c>
      <c r="BS23" s="62">
        <f t="shared" si="20"/>
        <v>43.382253239000001</v>
      </c>
      <c r="BT23" s="67">
        <f>BT24+BT25</f>
        <v>3.6</v>
      </c>
      <c r="BU23" s="67">
        <f>BU24+BU25</f>
        <v>3.2</v>
      </c>
      <c r="BV23" s="67">
        <f>BV24+BV25</f>
        <v>0.6</v>
      </c>
      <c r="BW23" s="62">
        <f t="shared" si="21"/>
        <v>7.4</v>
      </c>
      <c r="BX23" s="67">
        <f>BX24+BX25</f>
        <v>0.5</v>
      </c>
      <c r="BY23" s="67">
        <f>BY24+BY25</f>
        <v>0.7</v>
      </c>
      <c r="BZ23" s="67">
        <f>BZ24+BZ25</f>
        <v>0.7</v>
      </c>
      <c r="CA23" s="62">
        <f t="shared" si="22"/>
        <v>1.9</v>
      </c>
      <c r="CB23" s="67">
        <f>CB24+CB25</f>
        <v>2</v>
      </c>
      <c r="CC23" s="67">
        <f>CC24+CC25</f>
        <v>1.25</v>
      </c>
      <c r="CD23" s="67">
        <f>CD24+CD25</f>
        <v>2.34</v>
      </c>
      <c r="CE23" s="62">
        <f t="shared" si="23"/>
        <v>5.59</v>
      </c>
      <c r="CF23" s="67">
        <f>CF24+CF25</f>
        <v>3.0470000000000002</v>
      </c>
      <c r="CG23" s="67">
        <f>CG24+CG25</f>
        <v>1.7999999999999998</v>
      </c>
      <c r="CH23" s="67">
        <f>CH24+CH25</f>
        <v>1.5</v>
      </c>
      <c r="CI23" s="67">
        <f t="shared" si="24"/>
        <v>6.3469999999999995</v>
      </c>
      <c r="CJ23" s="71">
        <f t="shared" si="25"/>
        <v>21.237000000000002</v>
      </c>
      <c r="CK23" s="71">
        <f>CK24+CK25</f>
        <v>2.9</v>
      </c>
      <c r="CL23" s="67">
        <f>CL24+CL25</f>
        <v>2.7</v>
      </c>
      <c r="CM23" s="67">
        <f>CM24+CM25</f>
        <v>2.7</v>
      </c>
      <c r="CN23" s="62">
        <f t="shared" si="26"/>
        <v>8.3000000000000007</v>
      </c>
      <c r="CO23" s="67">
        <f>CO24+CO25</f>
        <v>2.6</v>
      </c>
      <c r="CP23" s="67">
        <f>CP24+CP25</f>
        <v>2.5</v>
      </c>
      <c r="CQ23" s="67">
        <f>CQ24+CQ25</f>
        <v>2.4</v>
      </c>
      <c r="CR23" s="62">
        <f t="shared" si="27"/>
        <v>7.5</v>
      </c>
      <c r="CS23" s="101">
        <f>CS24+CS25</f>
        <v>1.6</v>
      </c>
      <c r="CT23" s="67">
        <f>CT24+CT25</f>
        <v>1.8</v>
      </c>
      <c r="CU23" s="67">
        <f>CU24+CU25</f>
        <v>1.8</v>
      </c>
      <c r="CV23" s="62">
        <f t="shared" si="28"/>
        <v>5.2</v>
      </c>
      <c r="CW23" s="67">
        <f>CW24+CW25</f>
        <v>1.8</v>
      </c>
      <c r="CX23" s="67">
        <f>CX24+CX25</f>
        <v>1.4000000000000001</v>
      </c>
      <c r="CY23" s="112">
        <f>CY24+CY25</f>
        <v>1.7</v>
      </c>
      <c r="CZ23" s="113">
        <f t="shared" si="29"/>
        <v>4.9000000000000004</v>
      </c>
      <c r="DA23" s="62">
        <f t="shared" si="30"/>
        <v>25.9</v>
      </c>
      <c r="DB23" s="71">
        <f>DB24+DB25</f>
        <v>1.2</v>
      </c>
      <c r="DC23" s="67">
        <f>DC24+DC25</f>
        <v>2.1</v>
      </c>
      <c r="DD23" s="67">
        <f>DD24+DD25</f>
        <v>1</v>
      </c>
      <c r="DE23" s="62">
        <f t="shared" si="31"/>
        <v>4.3</v>
      </c>
      <c r="DF23" s="71">
        <f>DF24+DF25</f>
        <v>1.1000000000000001</v>
      </c>
      <c r="DG23" s="67">
        <f>DG24+DG25</f>
        <v>1.2</v>
      </c>
      <c r="DH23" s="67">
        <f>DH24+DH25</f>
        <v>1.2000000000000002</v>
      </c>
      <c r="DI23" s="62">
        <f t="shared" si="32"/>
        <v>3.5</v>
      </c>
      <c r="DJ23" s="71">
        <f>DJ24+DJ25</f>
        <v>2.2000000000000002</v>
      </c>
      <c r="DK23" s="67">
        <f>DK24+DK25</f>
        <v>1.6</v>
      </c>
      <c r="DL23" s="67">
        <f>DL24+DL25</f>
        <v>2</v>
      </c>
      <c r="DM23" s="62">
        <f t="shared" si="33"/>
        <v>5.8000000000000007</v>
      </c>
      <c r="DN23" s="67">
        <f>DN24+DN25</f>
        <v>1.5</v>
      </c>
      <c r="DO23" s="67">
        <f>DO24+DO25</f>
        <v>1.5</v>
      </c>
      <c r="DP23" s="67">
        <f>DP24+DP25</f>
        <v>1.2999999999999998</v>
      </c>
      <c r="DQ23" s="113">
        <f t="shared" si="34"/>
        <v>4.3</v>
      </c>
      <c r="DR23" s="140">
        <f t="shared" si="35"/>
        <v>17.900000000000002</v>
      </c>
      <c r="DS23" s="141">
        <f>DS24+DS25</f>
        <v>1</v>
      </c>
      <c r="DT23" s="141">
        <f>DT24+DT25</f>
        <v>1.5</v>
      </c>
      <c r="DU23" s="141">
        <f>DU24+DU25</f>
        <v>1.2000000000000002</v>
      </c>
      <c r="DV23" s="140">
        <f t="shared" si="36"/>
        <v>3.7</v>
      </c>
      <c r="DW23" s="142">
        <f>DW24+DW25</f>
        <v>1.7000000000000002</v>
      </c>
      <c r="DX23" s="141">
        <f>DX24+DX25</f>
        <v>5.6999999999999993</v>
      </c>
      <c r="DY23" s="141">
        <f>DY24+DY25</f>
        <v>1</v>
      </c>
      <c r="DZ23" s="140">
        <f t="shared" si="37"/>
        <v>8.3999999999999986</v>
      </c>
      <c r="EA23" s="142">
        <f>EA24+EA25</f>
        <v>1</v>
      </c>
      <c r="EB23" s="141">
        <f>EB24+EB25</f>
        <v>1.5</v>
      </c>
      <c r="EC23" s="141">
        <f>EC24+EC25</f>
        <v>1.6</v>
      </c>
      <c r="ED23" s="140">
        <f t="shared" si="38"/>
        <v>4.0999999999999996</v>
      </c>
      <c r="EE23" s="141">
        <f>EE24+EE25</f>
        <v>1.4</v>
      </c>
      <c r="EF23" s="141">
        <f>EF24+EF25</f>
        <v>4.5</v>
      </c>
      <c r="EG23" s="141">
        <f>EG24+EG25</f>
        <v>1.9</v>
      </c>
      <c r="EH23" s="140">
        <f t="shared" si="39"/>
        <v>7.8000000000000007</v>
      </c>
      <c r="EI23" s="140">
        <f t="shared" si="40"/>
        <v>23.999999999999996</v>
      </c>
      <c r="EJ23" s="141">
        <f>EJ24+EJ25</f>
        <v>1.7999999999999998</v>
      </c>
      <c r="EK23" s="141">
        <f>EK24+EK25</f>
        <v>2.2999999999999998</v>
      </c>
      <c r="EL23" s="141">
        <f>EL24+EL25</f>
        <v>2</v>
      </c>
      <c r="EM23" s="140">
        <f t="shared" si="41"/>
        <v>6.1</v>
      </c>
      <c r="EN23" s="141">
        <f>EN24+EN25</f>
        <v>2.7</v>
      </c>
      <c r="EO23" s="141">
        <f>EO24+EO25</f>
        <v>3.8</v>
      </c>
      <c r="EP23" s="141">
        <f>EP24+EP25</f>
        <v>2.8</v>
      </c>
      <c r="EQ23" s="140">
        <f t="shared" si="42"/>
        <v>9.3000000000000007</v>
      </c>
      <c r="ER23" s="141">
        <f>ER24+ER25</f>
        <v>4.6099999999999994</v>
      </c>
      <c r="ES23" s="141">
        <f>ES24+ES25</f>
        <v>3.5</v>
      </c>
      <c r="ET23" s="141">
        <f>ET24+ET25</f>
        <v>7.2</v>
      </c>
      <c r="EU23" s="140">
        <f t="shared" si="43"/>
        <v>15.309999999999999</v>
      </c>
      <c r="EV23" s="141">
        <f>EV24+EV25</f>
        <v>3.5</v>
      </c>
      <c r="EW23" s="141">
        <f>EW24+EW25</f>
        <v>4.2</v>
      </c>
      <c r="EX23" s="141">
        <f>EX24+EX25</f>
        <v>4.4442970163000002</v>
      </c>
      <c r="EY23" s="140">
        <f t="shared" si="44"/>
        <v>12.144297016300001</v>
      </c>
      <c r="EZ23" s="169">
        <f t="shared" si="45"/>
        <v>42.854297016300002</v>
      </c>
      <c r="FA23" s="170"/>
      <c r="FB23" s="169">
        <f>FB24+FB25</f>
        <v>6.1999999999999993</v>
      </c>
      <c r="FC23" s="169">
        <f>FC24+FC25</f>
        <v>3.5999999999999996</v>
      </c>
      <c r="FD23" s="169">
        <f>FD24+FD25</f>
        <v>7</v>
      </c>
      <c r="FE23" s="171">
        <f t="shared" si="46"/>
        <v>16.799999999999997</v>
      </c>
      <c r="FF23" s="169">
        <f>FF24+FF25</f>
        <v>7.3391293194629892</v>
      </c>
      <c r="FG23" s="169">
        <f>FG24+FG25</f>
        <v>8.3776819020527498</v>
      </c>
      <c r="FH23" s="169">
        <f>FH24+FH25</f>
        <v>14.476460600952537</v>
      </c>
      <c r="FI23" s="171">
        <f t="shared" si="47"/>
        <v>30.193271822468276</v>
      </c>
      <c r="FJ23" s="169">
        <f>FJ24+FJ25</f>
        <v>10.333661281598001</v>
      </c>
      <c r="FK23" s="169">
        <f>FK24+FK25</f>
        <v>11.900044431722808</v>
      </c>
      <c r="FL23" s="169">
        <f>FL24+FL25</f>
        <v>12.755298771918898</v>
      </c>
      <c r="FM23" s="171">
        <f t="shared" si="48"/>
        <v>34.989004485239704</v>
      </c>
      <c r="FN23" s="172">
        <f>FN24+FN25</f>
        <v>16.021244591018132</v>
      </c>
      <c r="FO23" s="173">
        <f>FO24+FO25</f>
        <v>12.938810198539294</v>
      </c>
      <c r="FP23" s="173">
        <f>FP24+FP25</f>
        <v>10.8791490814667</v>
      </c>
      <c r="FQ23" s="175">
        <f t="shared" si="49"/>
        <v>39.839203871024125</v>
      </c>
      <c r="FR23" s="175">
        <f t="shared" si="50"/>
        <v>121.8214801787321</v>
      </c>
      <c r="FS23" s="172">
        <f>FS24+FS25</f>
        <v>13.041599089999844</v>
      </c>
      <c r="FT23" s="173">
        <f>FT24+FT25</f>
        <v>15.762709384596999</v>
      </c>
      <c r="FU23" s="174">
        <f>FU24+FU25</f>
        <v>12.742753087072932</v>
      </c>
      <c r="FV23" s="175">
        <f t="shared" si="51"/>
        <v>41.547061561669778</v>
      </c>
      <c r="FW23" s="173">
        <f>FW24+FW25</f>
        <v>13.662572643233631</v>
      </c>
      <c r="FX23" s="173">
        <f>FX24+FX25</f>
        <v>19.181801833285562</v>
      </c>
      <c r="FY23" s="174">
        <v>16.948976495851468</v>
      </c>
      <c r="FZ23" s="175">
        <f t="shared" si="52"/>
        <v>49.793350972370661</v>
      </c>
      <c r="GA23" s="172">
        <f>GA24+GA25</f>
        <v>21.666134110034001</v>
      </c>
      <c r="GB23" s="173">
        <f>GB24+GB25</f>
        <v>23.284492517267104</v>
      </c>
      <c r="GC23" s="174">
        <f>GC24+GC25</f>
        <v>21.0249888602516</v>
      </c>
      <c r="GD23" s="175">
        <f t="shared" si="53"/>
        <v>65.975615487552702</v>
      </c>
      <c r="GE23" s="172">
        <f>GE24+GE25</f>
        <v>22.900377853224199</v>
      </c>
      <c r="GF23" s="173">
        <f>GF24+GF25</f>
        <v>29.5150827582729</v>
      </c>
      <c r="GG23" s="159">
        <f>GG24+GG25</f>
        <v>16.528070549500999</v>
      </c>
      <c r="GH23" s="174">
        <f t="shared" si="54"/>
        <v>68.943531160998091</v>
      </c>
      <c r="GI23" s="174">
        <f t="shared" si="55"/>
        <v>226.2595591825912</v>
      </c>
      <c r="GJ23" s="221">
        <f>GJ24+GJ25</f>
        <v>1.0177082418359999</v>
      </c>
      <c r="GK23" s="222">
        <f>GK24+GK25</f>
        <v>0.88731357693750001</v>
      </c>
      <c r="GL23" s="223">
        <f>GL24+GL25</f>
        <v>2.3372083605195</v>
      </c>
      <c r="GM23" s="175">
        <f t="shared" si="56"/>
        <v>4.2422301792930002</v>
      </c>
      <c r="GN23" s="222">
        <f>GN24+GN25</f>
        <v>1.8756602778851699</v>
      </c>
      <c r="GO23" s="222">
        <f>GO24+GO25</f>
        <v>1.1478288261677561</v>
      </c>
      <c r="GP23" s="222">
        <f>GP24+GP25</f>
        <v>0.83207242667735071</v>
      </c>
      <c r="GQ23" s="175">
        <f t="shared" si="57"/>
        <v>3.8555615307302764</v>
      </c>
      <c r="GR23" s="222">
        <f>GR24+GR25</f>
        <v>1.9</v>
      </c>
      <c r="GS23" s="222">
        <f>GS24+GS25</f>
        <v>0.97140322840688864</v>
      </c>
      <c r="GT23" s="222">
        <f>GT24+GT25</f>
        <v>1.0542527510069826</v>
      </c>
      <c r="GU23" s="175">
        <f t="shared" si="58"/>
        <v>3.9256559794138708</v>
      </c>
      <c r="GV23" s="221">
        <f>GV24+GV25</f>
        <v>3.7742454665079239</v>
      </c>
      <c r="GW23" s="222">
        <f>GW24+GW25</f>
        <v>2.1224601458393111</v>
      </c>
      <c r="GX23" s="223">
        <f>GX24+GX25</f>
        <v>1.9757992530082071</v>
      </c>
      <c r="GY23" s="174">
        <f t="shared" si="59"/>
        <v>7.8725048653554417</v>
      </c>
      <c r="GZ23" s="159">
        <f t="shared" si="60"/>
        <v>19.89595255479259</v>
      </c>
      <c r="HA23" s="254">
        <f>HA24+HA25</f>
        <v>1.6295686241067453</v>
      </c>
      <c r="HB23" s="160">
        <f>HB24+HB25</f>
        <v>6.4021245480703257</v>
      </c>
      <c r="HC23" s="159">
        <f>HC24+HC25</f>
        <v>3.4860168536449283</v>
      </c>
      <c r="HD23" s="273">
        <f t="shared" si="61"/>
        <v>11.517710025822</v>
      </c>
      <c r="HE23" s="160">
        <f>HE24+HE25</f>
        <v>3.7825489050953292</v>
      </c>
      <c r="HF23" s="160">
        <f>HF24+HF25</f>
        <v>3.1846401005338061</v>
      </c>
      <c r="HG23" s="160">
        <f>HG24+HG25</f>
        <v>2.2138998623352921</v>
      </c>
      <c r="HH23" s="273">
        <f t="shared" si="72"/>
        <v>9.1810888679644282</v>
      </c>
      <c r="HI23" s="160">
        <f>HI24+HI25</f>
        <v>1.0921506613833523</v>
      </c>
      <c r="HJ23" s="160">
        <f>HJ24+HJ25</f>
        <v>2.1814562853341428</v>
      </c>
      <c r="HK23" s="160">
        <f>HK24+HK25</f>
        <v>1.2850513275302993</v>
      </c>
      <c r="HL23" s="273">
        <f t="shared" si="63"/>
        <v>4.5586582742477946</v>
      </c>
      <c r="HM23" s="254">
        <f>HM24+HM25</f>
        <v>1.7903027922175032</v>
      </c>
      <c r="HN23" s="160">
        <f>HN24+HN25</f>
        <v>1.4844916321948864</v>
      </c>
      <c r="HO23" s="159">
        <f>HO24+HO25</f>
        <v>5.0295681400000003</v>
      </c>
      <c r="HP23" s="273">
        <f t="shared" si="64"/>
        <v>8.30436256441239</v>
      </c>
      <c r="HQ23" s="273">
        <f t="shared" si="65"/>
        <v>33.561819732446608</v>
      </c>
      <c r="HR23" s="254">
        <f>HR24+HR25</f>
        <v>13.006704262065997</v>
      </c>
      <c r="HS23" s="160">
        <f>HS24+HS25</f>
        <v>2.8876962492395979</v>
      </c>
      <c r="HT23" s="159">
        <f>HT24+HT25</f>
        <v>3.37112928113</v>
      </c>
      <c r="HU23" s="273">
        <f t="shared" si="66"/>
        <v>19.265529792435593</v>
      </c>
      <c r="HV23" s="160">
        <f>HV24+HV25</f>
        <v>7.8745692843758954</v>
      </c>
      <c r="HW23" s="160">
        <f>HW24+HW25</f>
        <v>3.6780223044476332</v>
      </c>
      <c r="HX23" s="160">
        <f>HX24+HX25</f>
        <v>1.7359240607173601</v>
      </c>
      <c r="HY23" s="273">
        <f t="shared" si="67"/>
        <v>13.288515649540889</v>
      </c>
      <c r="HZ23" s="160">
        <f>HZ24+HZ25</f>
        <v>4.1721392775179336</v>
      </c>
      <c r="IA23" s="160">
        <f>IA24+IA25</f>
        <v>2.347592231433429</v>
      </c>
      <c r="IB23" s="160">
        <f>IB24+IB25</f>
        <v>2.9958025904591103</v>
      </c>
      <c r="IC23" s="273">
        <f>SUM(HZ23:IB23)</f>
        <v>9.5155340994104733</v>
      </c>
      <c r="ID23" s="254">
        <f>ID24+ID25</f>
        <v>7.5818324100000005</v>
      </c>
      <c r="IE23" s="160">
        <f>IE24+IE25</f>
        <v>4.0121196107309993</v>
      </c>
      <c r="IF23" s="159">
        <f>IF24+IF25</f>
        <v>3.566257410650127</v>
      </c>
      <c r="IG23" s="273">
        <f t="shared" si="69"/>
        <v>15.160209431381126</v>
      </c>
      <c r="IH23" s="273">
        <v>57.229788972768084</v>
      </c>
      <c r="II23" s="254">
        <v>2.9936002899999998</v>
      </c>
      <c r="IJ23" s="160">
        <v>1.9856892900000001</v>
      </c>
      <c r="IK23" s="159">
        <v>5.3179266300000005</v>
      </c>
      <c r="IL23" s="273">
        <v>10.29721621</v>
      </c>
      <c r="IM23" s="254">
        <v>2.5347652205805513</v>
      </c>
      <c r="IN23" s="160">
        <v>3.1521653078519591</v>
      </c>
      <c r="IO23" s="160">
        <v>3.6220298800000004</v>
      </c>
      <c r="IP23" s="273">
        <v>9.3089604084325117</v>
      </c>
      <c r="IQ23" s="254">
        <v>3.30711617</v>
      </c>
      <c r="IR23" s="160">
        <v>3.7445182799999999</v>
      </c>
      <c r="IS23" s="159">
        <v>3.9606896518195045</v>
      </c>
      <c r="IT23" s="273">
        <v>11.012324101819505</v>
      </c>
      <c r="IU23" s="254">
        <v>11.236774522285298</v>
      </c>
      <c r="IV23" s="160">
        <v>3.103264455758123</v>
      </c>
      <c r="IW23" s="159">
        <v>6.9432674097959168</v>
      </c>
      <c r="IX23" s="273">
        <v>21.283306387839339</v>
      </c>
      <c r="IY23" s="273">
        <v>51.901807108091361</v>
      </c>
      <c r="IZ23" s="254">
        <v>2.2795210606122449</v>
      </c>
      <c r="JA23" s="160">
        <v>3.7081179699999995</v>
      </c>
      <c r="JB23" s="160">
        <v>3.3076355900000003</v>
      </c>
      <c r="JC23" s="273">
        <v>9.2952746206122452</v>
      </c>
      <c r="JD23" s="254">
        <v>4.1618532200000002</v>
      </c>
      <c r="JE23" s="160">
        <v>2.6541129400000001</v>
      </c>
      <c r="JF23" s="159">
        <v>2.4655672100000001</v>
      </c>
      <c r="JG23" s="273">
        <v>9.28153337</v>
      </c>
      <c r="JH23" s="254">
        <v>6.3444273399999993</v>
      </c>
      <c r="JI23" s="160">
        <v>5.0915647815743439</v>
      </c>
      <c r="JJ23" s="159">
        <v>11.98800617</v>
      </c>
      <c r="JK23" s="273">
        <v>23.423998291574343</v>
      </c>
      <c r="JL23" s="254">
        <v>2.8870769603498543</v>
      </c>
      <c r="JM23" s="160">
        <v>4.452720861341108</v>
      </c>
      <c r="JN23" s="160">
        <v>5.817270509591836</v>
      </c>
      <c r="JO23" s="273">
        <v>13.157068331282797</v>
      </c>
      <c r="JP23" s="273">
        <v>55.157874613469389</v>
      </c>
      <c r="JQ23" s="254">
        <v>2.8214358000000002</v>
      </c>
      <c r="JR23" s="160">
        <v>2.1529146590087462</v>
      </c>
      <c r="JS23" s="160">
        <v>4.0486661999999995</v>
      </c>
      <c r="JT23" s="273">
        <v>9.0230166590087464</v>
      </c>
      <c r="JU23" s="254">
        <v>8.6477409499999993</v>
      </c>
      <c r="JV23" s="160">
        <v>5.2930236800000001</v>
      </c>
      <c r="JW23" s="159">
        <v>7.2952035300000002</v>
      </c>
      <c r="JX23" s="273">
        <v>21.235968159999999</v>
      </c>
      <c r="JY23" s="254">
        <v>5.7414281600000008</v>
      </c>
      <c r="JZ23" s="160">
        <v>3.8597229799999999</v>
      </c>
      <c r="KA23" s="159">
        <v>3.6935958099999997</v>
      </c>
      <c r="KB23" s="273">
        <v>13.29474695</v>
      </c>
      <c r="KC23" s="254">
        <v>9.1801932199999996</v>
      </c>
      <c r="KD23" s="160">
        <v>4.3070881500000002</v>
      </c>
      <c r="KE23" s="160">
        <v>3.737495549912536</v>
      </c>
      <c r="KF23" s="273">
        <v>17.224776919912536</v>
      </c>
      <c r="KG23" s="273">
        <v>60.778508688921285</v>
      </c>
      <c r="KH23" s="221">
        <v>2.9900335799999995</v>
      </c>
      <c r="KI23" s="222">
        <v>3.29864325</v>
      </c>
      <c r="KJ23" s="223">
        <v>4.81045809</v>
      </c>
      <c r="KK23" s="273">
        <v>11.099134920000001</v>
      </c>
      <c r="KL23" s="221">
        <v>3.1665545200000005</v>
      </c>
      <c r="KM23" s="222">
        <v>6.9916997700000003</v>
      </c>
      <c r="KN23" s="223">
        <v>8.7789211599999994</v>
      </c>
      <c r="KO23" s="273">
        <v>18.937175449999998</v>
      </c>
      <c r="KP23" s="221">
        <v>7.7668454899999979</v>
      </c>
      <c r="KQ23" s="222">
        <v>4.8892732199999998</v>
      </c>
      <c r="KR23" s="223">
        <v>7.4033061900000003</v>
      </c>
      <c r="KS23" s="273">
        <v>20.059424899999996</v>
      </c>
      <c r="KT23" s="254">
        <v>4.3201469800000005</v>
      </c>
      <c r="KU23" s="160">
        <v>9.1760586100000001</v>
      </c>
      <c r="KV23" s="160">
        <v>10.666923120000002</v>
      </c>
      <c r="KW23" s="273">
        <v>24.163128710000002</v>
      </c>
      <c r="KX23" s="273">
        <v>74.258863980000001</v>
      </c>
      <c r="KY23" s="221">
        <v>3.5573596200000011</v>
      </c>
      <c r="KZ23" s="222">
        <v>15.571644490000004</v>
      </c>
      <c r="LA23" s="223">
        <v>4.0914347000000006</v>
      </c>
      <c r="LB23" s="273">
        <v>23.220438810000005</v>
      </c>
      <c r="LC23" s="221">
        <v>2.2042698299999994</v>
      </c>
      <c r="LD23" s="222">
        <v>6.725220160000001</v>
      </c>
      <c r="LE23" s="223">
        <v>3.7782945899999998</v>
      </c>
      <c r="LF23" s="273">
        <v>12.70778458</v>
      </c>
      <c r="LG23" s="221">
        <v>3.9431271900000002</v>
      </c>
      <c r="LH23" s="222">
        <v>2.3962078300000003</v>
      </c>
      <c r="LI23" s="223">
        <v>10.097902359999999</v>
      </c>
      <c r="LJ23" s="273">
        <v>16.437237379999999</v>
      </c>
      <c r="LK23" s="254">
        <v>4.1179602400000004</v>
      </c>
      <c r="LL23" s="160">
        <v>4.0400812699999999</v>
      </c>
      <c r="LM23" s="160">
        <v>9.3712769631999979</v>
      </c>
      <c r="LN23" s="273">
        <v>17.5293184732</v>
      </c>
      <c r="LO23" s="273">
        <v>69.894779243200006</v>
      </c>
    </row>
    <row r="24" spans="1:327" ht="17.100000000000001" hidden="1" customHeight="1" outlineLevel="1" x14ac:dyDescent="0.25">
      <c r="A24" s="2" t="s">
        <v>30</v>
      </c>
      <c r="B24" s="24"/>
      <c r="C24" s="5">
        <v>15.4</v>
      </c>
      <c r="D24" s="5">
        <v>0.7</v>
      </c>
      <c r="E24" s="5">
        <v>0.8</v>
      </c>
      <c r="F24" s="5">
        <v>0.1</v>
      </c>
      <c r="G24" s="5">
        <v>1.6</v>
      </c>
      <c r="H24" s="5">
        <v>0.2</v>
      </c>
      <c r="I24" s="5">
        <v>0.2</v>
      </c>
      <c r="J24" s="5">
        <v>0</v>
      </c>
      <c r="K24" s="5">
        <v>0.4</v>
      </c>
      <c r="L24" s="5">
        <v>0.7</v>
      </c>
      <c r="M24" s="5">
        <v>0.8</v>
      </c>
      <c r="N24" s="5">
        <v>0.2</v>
      </c>
      <c r="O24" s="5">
        <f t="shared" si="0"/>
        <v>1.7</v>
      </c>
      <c r="P24" s="5">
        <v>1.1000000000000001</v>
      </c>
      <c r="Q24" s="5">
        <v>1.5</v>
      </c>
      <c r="R24" s="5">
        <v>0.8</v>
      </c>
      <c r="S24" s="5">
        <f t="shared" si="1"/>
        <v>3.4000000000000004</v>
      </c>
      <c r="T24" s="16">
        <f t="shared" si="7"/>
        <v>7.1000000000000014</v>
      </c>
      <c r="U24" s="5">
        <v>0.2</v>
      </c>
      <c r="V24" s="5">
        <v>0.5</v>
      </c>
      <c r="W24" s="5">
        <v>0.4</v>
      </c>
      <c r="X24" s="4">
        <f t="shared" si="2"/>
        <v>1.1000000000000001</v>
      </c>
      <c r="Y24" s="5">
        <v>0.6</v>
      </c>
      <c r="Z24" s="5">
        <v>0.8</v>
      </c>
      <c r="AA24" s="7">
        <v>0</v>
      </c>
      <c r="AB24" s="5">
        <f t="shared" si="3"/>
        <v>1.4</v>
      </c>
      <c r="AC24" s="5">
        <v>0</v>
      </c>
      <c r="AD24" s="5">
        <v>0</v>
      </c>
      <c r="AE24" s="5">
        <v>0</v>
      </c>
      <c r="AF24" s="5">
        <f t="shared" si="4"/>
        <v>0</v>
      </c>
      <c r="AG24" s="5">
        <v>0</v>
      </c>
      <c r="AH24" s="5">
        <v>0</v>
      </c>
      <c r="AI24" s="5">
        <v>0</v>
      </c>
      <c r="AJ24" s="5">
        <f t="shared" si="8"/>
        <v>0</v>
      </c>
      <c r="AK24" s="16">
        <f t="shared" si="9"/>
        <v>2.5</v>
      </c>
      <c r="AL24" s="5">
        <v>0</v>
      </c>
      <c r="AM24" s="5">
        <v>0</v>
      </c>
      <c r="AN24" s="5">
        <v>0</v>
      </c>
      <c r="AO24" s="58"/>
      <c r="AP24" s="5">
        <v>0</v>
      </c>
      <c r="AQ24" s="5">
        <v>0</v>
      </c>
      <c r="AR24" s="5">
        <v>0</v>
      </c>
      <c r="AS24" s="54">
        <f t="shared" si="12"/>
        <v>0</v>
      </c>
      <c r="AT24" s="5"/>
      <c r="AU24" s="5"/>
      <c r="AV24" s="5">
        <v>0.7</v>
      </c>
      <c r="AW24" s="54">
        <f t="shared" si="13"/>
        <v>0.7</v>
      </c>
      <c r="AX24" s="5">
        <v>0</v>
      </c>
      <c r="AY24" s="5">
        <v>0</v>
      </c>
      <c r="AZ24" s="5">
        <v>0</v>
      </c>
      <c r="BA24" s="54">
        <f t="shared" si="14"/>
        <v>0</v>
      </c>
      <c r="BB24" s="54">
        <f t="shared" si="15"/>
        <v>0.7</v>
      </c>
      <c r="BC24" s="5">
        <v>0</v>
      </c>
      <c r="BD24" s="66">
        <v>0.62152171000000001</v>
      </c>
      <c r="BE24" s="66">
        <v>1.6063E-3</v>
      </c>
      <c r="BF24" s="62">
        <f t="shared" si="73"/>
        <v>0.62312800999999995</v>
      </c>
      <c r="BG24" s="67"/>
      <c r="BH24" s="67"/>
      <c r="BI24" s="67"/>
      <c r="BJ24" s="62">
        <f t="shared" si="74"/>
        <v>0</v>
      </c>
      <c r="BK24" s="67"/>
      <c r="BL24" s="67">
        <v>4.9000000000000002E-2</v>
      </c>
      <c r="BM24" s="67"/>
      <c r="BN24" s="62">
        <f t="shared" si="18"/>
        <v>4.9000000000000002E-2</v>
      </c>
      <c r="BO24" s="71"/>
      <c r="BP24" s="67"/>
      <c r="BQ24" s="67"/>
      <c r="BR24" s="62">
        <f t="shared" si="19"/>
        <v>0</v>
      </c>
      <c r="BS24" s="62">
        <f t="shared" si="20"/>
        <v>0.67212801</v>
      </c>
      <c r="BT24" s="67"/>
      <c r="BU24" s="67"/>
      <c r="BV24" s="67"/>
      <c r="BW24" s="62">
        <f t="shared" si="21"/>
        <v>0</v>
      </c>
      <c r="BX24" s="67"/>
      <c r="BY24" s="67"/>
      <c r="BZ24" s="67"/>
      <c r="CA24" s="62">
        <f t="shared" si="22"/>
        <v>0</v>
      </c>
      <c r="CB24" s="67">
        <v>1.4</v>
      </c>
      <c r="CC24" s="67">
        <v>0</v>
      </c>
      <c r="CD24" s="67"/>
      <c r="CE24" s="62">
        <f t="shared" si="23"/>
        <v>1.4</v>
      </c>
      <c r="CF24" s="67"/>
      <c r="CG24" s="67">
        <v>0.15</v>
      </c>
      <c r="CH24" s="67">
        <v>0.1</v>
      </c>
      <c r="CI24" s="67">
        <f t="shared" si="24"/>
        <v>0.25</v>
      </c>
      <c r="CJ24" s="71">
        <f t="shared" si="25"/>
        <v>1.65</v>
      </c>
      <c r="CK24" s="71"/>
      <c r="CL24" s="67"/>
      <c r="CM24" s="67"/>
      <c r="CN24" s="62">
        <f t="shared" si="26"/>
        <v>0</v>
      </c>
      <c r="CO24" s="67">
        <v>0.1</v>
      </c>
      <c r="CP24" s="67">
        <v>0.3</v>
      </c>
      <c r="CQ24" s="67">
        <v>0.3</v>
      </c>
      <c r="CR24" s="62">
        <f t="shared" si="27"/>
        <v>0.7</v>
      </c>
      <c r="CS24" s="101">
        <v>0.7</v>
      </c>
      <c r="CT24" s="67">
        <v>0.9</v>
      </c>
      <c r="CU24" s="67">
        <v>0.7</v>
      </c>
      <c r="CV24" s="62">
        <f t="shared" si="28"/>
        <v>2.2999999999999998</v>
      </c>
      <c r="CW24" s="67">
        <v>0.5</v>
      </c>
      <c r="CX24" s="67">
        <v>0.3</v>
      </c>
      <c r="CY24" s="112">
        <v>0.5</v>
      </c>
      <c r="CZ24" s="113">
        <f t="shared" si="29"/>
        <v>1.3</v>
      </c>
      <c r="DA24" s="62">
        <f t="shared" si="30"/>
        <v>4.3</v>
      </c>
      <c r="DB24" s="71">
        <v>0.3</v>
      </c>
      <c r="DC24" s="67">
        <v>0.3</v>
      </c>
      <c r="DD24" s="67">
        <v>0.2</v>
      </c>
      <c r="DE24" s="62">
        <f t="shared" si="31"/>
        <v>0.8</v>
      </c>
      <c r="DF24" s="71">
        <v>0.4</v>
      </c>
      <c r="DG24" s="67">
        <v>0.5</v>
      </c>
      <c r="DH24" s="67">
        <v>0.4</v>
      </c>
      <c r="DI24" s="62">
        <f t="shared" si="32"/>
        <v>1.3</v>
      </c>
      <c r="DJ24" s="71">
        <v>1.2</v>
      </c>
      <c r="DK24" s="67">
        <v>0.5</v>
      </c>
      <c r="DL24" s="67">
        <v>0.7</v>
      </c>
      <c r="DM24" s="62">
        <f t="shared" si="33"/>
        <v>2.4</v>
      </c>
      <c r="DN24" s="67">
        <v>0.4</v>
      </c>
      <c r="DO24" s="67">
        <v>0.6</v>
      </c>
      <c r="DP24" s="67">
        <v>0.7</v>
      </c>
      <c r="DQ24" s="113">
        <f t="shared" si="34"/>
        <v>1.7</v>
      </c>
      <c r="DR24" s="140">
        <f t="shared" si="35"/>
        <v>6.2</v>
      </c>
      <c r="DS24" s="141">
        <v>0.3</v>
      </c>
      <c r="DT24" s="141">
        <v>0.5</v>
      </c>
      <c r="DU24" s="141">
        <v>0.4</v>
      </c>
      <c r="DV24" s="140">
        <f t="shared" si="36"/>
        <v>1.2000000000000002</v>
      </c>
      <c r="DW24" s="142">
        <v>1.1000000000000001</v>
      </c>
      <c r="DX24" s="141">
        <v>5.0999999999999996</v>
      </c>
      <c r="DY24" s="141">
        <v>0.4</v>
      </c>
      <c r="DZ24" s="140">
        <f t="shared" si="37"/>
        <v>6.6</v>
      </c>
      <c r="EA24" s="142">
        <v>0.4</v>
      </c>
      <c r="EB24" s="141">
        <v>0.8</v>
      </c>
      <c r="EC24" s="141">
        <v>0.4</v>
      </c>
      <c r="ED24" s="140">
        <f t="shared" si="38"/>
        <v>1.6</v>
      </c>
      <c r="EE24" s="141">
        <v>0.4</v>
      </c>
      <c r="EF24" s="141">
        <v>3.3</v>
      </c>
      <c r="EG24" s="141">
        <v>0.7</v>
      </c>
      <c r="EH24" s="140">
        <f t="shared" si="39"/>
        <v>4.3999999999999995</v>
      </c>
      <c r="EI24" s="140">
        <f t="shared" si="40"/>
        <v>13.8</v>
      </c>
      <c r="EJ24" s="141">
        <v>0.4</v>
      </c>
      <c r="EK24" s="141">
        <v>0.4</v>
      </c>
      <c r="EL24" s="141">
        <v>0.5</v>
      </c>
      <c r="EM24" s="140">
        <f t="shared" si="41"/>
        <v>1.3</v>
      </c>
      <c r="EN24" s="141">
        <v>0.6</v>
      </c>
      <c r="EO24" s="141">
        <v>1.9</v>
      </c>
      <c r="EP24" s="141">
        <v>1.1000000000000001</v>
      </c>
      <c r="EQ24" s="140">
        <f t="shared" si="42"/>
        <v>3.6</v>
      </c>
      <c r="ER24" s="141">
        <v>1.71</v>
      </c>
      <c r="ES24" s="141">
        <v>0.9</v>
      </c>
      <c r="ET24" s="141">
        <v>4.4000000000000004</v>
      </c>
      <c r="EU24" s="140">
        <f t="shared" si="43"/>
        <v>7.01</v>
      </c>
      <c r="EV24" s="141">
        <v>0.5</v>
      </c>
      <c r="EW24" s="141">
        <v>0.5</v>
      </c>
      <c r="EX24" s="141">
        <v>0.51971695250000005</v>
      </c>
      <c r="EY24" s="140">
        <f t="shared" si="44"/>
        <v>1.5197169525000001</v>
      </c>
      <c r="EZ24" s="169">
        <f t="shared" si="45"/>
        <v>13.4297169525</v>
      </c>
      <c r="FA24" s="170"/>
      <c r="FB24" s="169">
        <v>1.9</v>
      </c>
      <c r="FC24" s="169">
        <v>1.7</v>
      </c>
      <c r="FD24" s="169">
        <v>1.2</v>
      </c>
      <c r="FE24" s="171">
        <f t="shared" si="46"/>
        <v>4.8</v>
      </c>
      <c r="FF24" s="169">
        <v>1.6285032585629899</v>
      </c>
      <c r="FG24" s="169">
        <v>1.25824233155275</v>
      </c>
      <c r="FH24" s="169">
        <v>1.7537540577525359</v>
      </c>
      <c r="FI24" s="171">
        <f t="shared" si="47"/>
        <v>4.6404996478682756</v>
      </c>
      <c r="FJ24" s="169">
        <v>1.7967312532980002</v>
      </c>
      <c r="FK24" s="169">
        <v>2.0205615388228102</v>
      </c>
      <c r="FL24" s="169">
        <v>0.94519329363890003</v>
      </c>
      <c r="FM24" s="171">
        <f t="shared" si="48"/>
        <v>4.7624860857597104</v>
      </c>
      <c r="FN24" s="172">
        <v>0.85060176821812994</v>
      </c>
      <c r="FO24" s="173">
        <v>0.85421992512929201</v>
      </c>
      <c r="FP24" s="174">
        <v>1.3685877333667</v>
      </c>
      <c r="FQ24" s="175">
        <f t="shared" si="49"/>
        <v>3.0734094267141221</v>
      </c>
      <c r="FR24" s="175">
        <f t="shared" si="50"/>
        <v>17.276395160342108</v>
      </c>
      <c r="FS24" s="172">
        <v>0.67490992000000005</v>
      </c>
      <c r="FT24" s="173">
        <v>0.75949320449700009</v>
      </c>
      <c r="FU24" s="174">
        <v>1.10053044437293</v>
      </c>
      <c r="FV24" s="175">
        <f t="shared" si="51"/>
        <v>2.5349335688699304</v>
      </c>
      <c r="FW24" s="177">
        <v>1.6337163081336301</v>
      </c>
      <c r="FX24" s="173">
        <v>5.3263195109055621</v>
      </c>
      <c r="FY24" s="174">
        <v>2.53461029235147</v>
      </c>
      <c r="FZ24" s="175">
        <f t="shared" si="52"/>
        <v>9.4946461113906615</v>
      </c>
      <c r="GA24" s="172">
        <v>1.9082208308339998</v>
      </c>
      <c r="GB24" s="173">
        <v>0.91375791626710001</v>
      </c>
      <c r="GC24" s="174">
        <v>1.8098064831016001</v>
      </c>
      <c r="GD24" s="175">
        <f t="shared" si="53"/>
        <v>4.6317852302027003</v>
      </c>
      <c r="GE24" s="172">
        <v>3.0588862089242004</v>
      </c>
      <c r="GF24" s="173">
        <v>0.93331874919289992</v>
      </c>
      <c r="GG24" s="159">
        <v>2.1995042576009998</v>
      </c>
      <c r="GH24" s="174">
        <f t="shared" si="54"/>
        <v>6.1917092157181006</v>
      </c>
      <c r="GI24" s="174">
        <f t="shared" si="55"/>
        <v>22.85307412618139</v>
      </c>
      <c r="GJ24" s="221">
        <v>1.0177082418359999</v>
      </c>
      <c r="GK24" s="222">
        <v>0.88731357693750001</v>
      </c>
      <c r="GL24" s="223">
        <v>2.3372083605195</v>
      </c>
      <c r="GM24" s="175">
        <f t="shared" si="56"/>
        <v>4.2422301792930002</v>
      </c>
      <c r="GN24" s="224">
        <v>1.8756602778851699</v>
      </c>
      <c r="GO24" s="222">
        <v>1.1478288261677561</v>
      </c>
      <c r="GP24" s="223">
        <v>0.83207242667735071</v>
      </c>
      <c r="GQ24" s="175">
        <f t="shared" si="57"/>
        <v>3.8555615307302764</v>
      </c>
      <c r="GR24" s="221">
        <v>1.9</v>
      </c>
      <c r="GS24" s="222">
        <v>0.97140322840688864</v>
      </c>
      <c r="GT24" s="223">
        <v>1.0542527510069826</v>
      </c>
      <c r="GU24" s="175">
        <f t="shared" si="58"/>
        <v>3.9256559794138708</v>
      </c>
      <c r="GV24" s="221">
        <v>3.7742454665079239</v>
      </c>
      <c r="GW24" s="222">
        <v>2.1224601458393111</v>
      </c>
      <c r="GX24" s="223">
        <v>1.9757992530082071</v>
      </c>
      <c r="GY24" s="174">
        <f t="shared" si="59"/>
        <v>7.8725048653554417</v>
      </c>
      <c r="GZ24" s="159">
        <f t="shared" si="60"/>
        <v>19.89595255479259</v>
      </c>
      <c r="HA24" s="254">
        <v>1.6295686241067453</v>
      </c>
      <c r="HB24" s="160">
        <v>6.4021245480703257</v>
      </c>
      <c r="HC24" s="159">
        <v>3.4860168536449283</v>
      </c>
      <c r="HD24" s="273">
        <f t="shared" si="61"/>
        <v>11.517710025822</v>
      </c>
      <c r="HE24" s="143">
        <v>3.7825489050953292</v>
      </c>
      <c r="HF24" s="160">
        <v>3.1846401005338061</v>
      </c>
      <c r="HG24" s="159">
        <v>2.2138998623352921</v>
      </c>
      <c r="HH24" s="273">
        <f t="shared" si="72"/>
        <v>9.1810888679644282</v>
      </c>
      <c r="HI24" s="274">
        <v>1.0921506613833523</v>
      </c>
      <c r="HJ24" s="160">
        <v>2.1814562853341428</v>
      </c>
      <c r="HK24" s="159">
        <v>1.2850513275302993</v>
      </c>
      <c r="HL24" s="273">
        <f t="shared" si="63"/>
        <v>4.5586582742477946</v>
      </c>
      <c r="HM24" s="254">
        <v>1.7903027922175032</v>
      </c>
      <c r="HN24" s="160">
        <v>1.4844916321948864</v>
      </c>
      <c r="HO24" s="159">
        <v>5.0295681400000003</v>
      </c>
      <c r="HP24" s="273">
        <f t="shared" si="64"/>
        <v>8.30436256441239</v>
      </c>
      <c r="HQ24" s="273">
        <f t="shared" si="65"/>
        <v>33.561819732446608</v>
      </c>
      <c r="HR24" s="254">
        <v>13.006704262065997</v>
      </c>
      <c r="HS24" s="160">
        <v>2.8876962492395979</v>
      </c>
      <c r="HT24" s="159">
        <v>3.37112928113</v>
      </c>
      <c r="HU24" s="273">
        <f t="shared" si="66"/>
        <v>19.265529792435593</v>
      </c>
      <c r="HV24" s="143">
        <v>7.8745692843758954</v>
      </c>
      <c r="HW24" s="160">
        <v>3.6780223044476332</v>
      </c>
      <c r="HX24" s="159">
        <v>1.7359240607173601</v>
      </c>
      <c r="HY24" s="273">
        <f t="shared" si="67"/>
        <v>13.288515649540889</v>
      </c>
      <c r="HZ24" s="275">
        <v>4.1721392775179336</v>
      </c>
      <c r="IA24" s="160">
        <v>2.347592231433429</v>
      </c>
      <c r="IB24" s="159">
        <v>2.9958025904591103</v>
      </c>
      <c r="IC24" s="273">
        <f>SUM(HZ24:IB24)</f>
        <v>9.5155340994104733</v>
      </c>
      <c r="ID24" s="254">
        <v>7.5818324100000005</v>
      </c>
      <c r="IE24" s="160">
        <v>4.0121196107309993</v>
      </c>
      <c r="IF24" s="159">
        <v>3.566257410650127</v>
      </c>
      <c r="IG24" s="273">
        <f t="shared" si="69"/>
        <v>15.160209431381126</v>
      </c>
      <c r="IH24" s="273">
        <v>57.229788972768084</v>
      </c>
      <c r="II24" s="254">
        <v>2.9936002899999998</v>
      </c>
      <c r="IJ24" s="160">
        <v>1.9856892900000001</v>
      </c>
      <c r="IK24" s="159">
        <v>5.3179266300000005</v>
      </c>
      <c r="IL24" s="273">
        <v>10.29721621</v>
      </c>
      <c r="IM24" s="254">
        <v>2.5347652205805513</v>
      </c>
      <c r="IN24" s="160">
        <v>3.1521653078519591</v>
      </c>
      <c r="IO24" s="160">
        <v>3.6220298800000004</v>
      </c>
      <c r="IP24" s="273">
        <v>9.3089604084325117</v>
      </c>
      <c r="IQ24" s="254">
        <v>3.30711617</v>
      </c>
      <c r="IR24" s="160">
        <v>3.7445182799999999</v>
      </c>
      <c r="IS24" s="159">
        <v>3.9606896518195045</v>
      </c>
      <c r="IT24" s="273">
        <v>11.012324101819505</v>
      </c>
      <c r="IU24" s="254">
        <v>11.236774522285298</v>
      </c>
      <c r="IV24" s="160">
        <v>3.103264455758123</v>
      </c>
      <c r="IW24" s="159">
        <v>6.9432674097959168</v>
      </c>
      <c r="IX24" s="273">
        <v>21.283306387839339</v>
      </c>
      <c r="IY24" s="273">
        <v>51.901807108091361</v>
      </c>
      <c r="IZ24" s="254">
        <v>2.2795210606122449</v>
      </c>
      <c r="JA24" s="160">
        <v>3.7081179699999995</v>
      </c>
      <c r="JB24" s="159">
        <v>3.3076355900000003</v>
      </c>
      <c r="JC24" s="273">
        <v>9.2952746206122452</v>
      </c>
      <c r="JD24" s="254">
        <v>4.1618532200000002</v>
      </c>
      <c r="JE24" s="160">
        <v>2.6541129400000001</v>
      </c>
      <c r="JF24" s="159">
        <v>2.4655672100000001</v>
      </c>
      <c r="JG24" s="273">
        <v>9.28153337</v>
      </c>
      <c r="JH24" s="254">
        <v>6.3444273399999993</v>
      </c>
      <c r="JI24" s="160">
        <v>5.0915647815743439</v>
      </c>
      <c r="JJ24" s="159">
        <v>11.97868317</v>
      </c>
      <c r="JK24" s="273">
        <v>23.414675291574344</v>
      </c>
      <c r="JL24" s="254">
        <v>2.8870769603498543</v>
      </c>
      <c r="JM24" s="160">
        <v>4.452720861341108</v>
      </c>
      <c r="JN24" s="159">
        <v>5.817270509591836</v>
      </c>
      <c r="JO24" s="273">
        <v>13.157068331282797</v>
      </c>
      <c r="JP24" s="273">
        <v>55.148551613469394</v>
      </c>
      <c r="JQ24" s="254">
        <v>2.8214358000000002</v>
      </c>
      <c r="JR24" s="160">
        <v>2.1529146590087462</v>
      </c>
      <c r="JS24" s="159">
        <v>4.0486661999999995</v>
      </c>
      <c r="JT24" s="273">
        <v>9.0230166590087464</v>
      </c>
      <c r="JU24" s="254">
        <v>8.6477409499999993</v>
      </c>
      <c r="JV24" s="160">
        <v>5.2930236800000001</v>
      </c>
      <c r="JW24" s="159">
        <v>7.2952035300000002</v>
      </c>
      <c r="JX24" s="273">
        <v>21.235968159999999</v>
      </c>
      <c r="JY24" s="254">
        <v>5.7414281600000008</v>
      </c>
      <c r="JZ24" s="160">
        <v>3.8597229799999999</v>
      </c>
      <c r="KA24" s="159">
        <v>3.6935958099999997</v>
      </c>
      <c r="KB24" s="273">
        <v>13.29474695</v>
      </c>
      <c r="KC24" s="254">
        <v>9.1801932199999996</v>
      </c>
      <c r="KD24" s="160">
        <v>4.3070881500000002</v>
      </c>
      <c r="KE24" s="159">
        <v>3.737495549912536</v>
      </c>
      <c r="KF24" s="273">
        <v>17.224776919912536</v>
      </c>
      <c r="KG24" s="273">
        <v>60.778508688921285</v>
      </c>
      <c r="KH24" s="221">
        <v>2.9900335799999995</v>
      </c>
      <c r="KI24" s="222">
        <v>3.29864325</v>
      </c>
      <c r="KJ24" s="223">
        <v>4.81045809</v>
      </c>
      <c r="KK24" s="273">
        <v>11.099134920000001</v>
      </c>
      <c r="KL24" s="221">
        <v>3.1665545200000005</v>
      </c>
      <c r="KM24" s="222">
        <v>6.9916997700000003</v>
      </c>
      <c r="KN24" s="223">
        <v>8.7789211599999994</v>
      </c>
      <c r="KO24" s="273">
        <v>18.937175449999998</v>
      </c>
      <c r="KP24" s="221">
        <v>7.7668454899999979</v>
      </c>
      <c r="KQ24" s="222">
        <v>4.8892732199999998</v>
      </c>
      <c r="KR24" s="223">
        <v>7.4033061900000003</v>
      </c>
      <c r="KS24" s="273">
        <v>20.059424899999996</v>
      </c>
      <c r="KT24" s="254">
        <v>4.3201469800000005</v>
      </c>
      <c r="KU24" s="160">
        <v>9.1760586100000001</v>
      </c>
      <c r="KV24" s="159">
        <v>10.666923120000002</v>
      </c>
      <c r="KW24" s="273">
        <v>24.163128710000002</v>
      </c>
      <c r="KX24" s="273">
        <v>74.258863980000001</v>
      </c>
      <c r="KY24" s="221">
        <v>3.5573596200000011</v>
      </c>
      <c r="KZ24" s="222">
        <v>15.571644490000004</v>
      </c>
      <c r="LA24" s="223">
        <v>4.0914347000000006</v>
      </c>
      <c r="LB24" s="273">
        <v>23.220438810000005</v>
      </c>
      <c r="LC24" s="221">
        <v>2.2042698299999994</v>
      </c>
      <c r="LD24" s="222">
        <v>6.725220160000001</v>
      </c>
      <c r="LE24" s="223">
        <v>3.7782945899999998</v>
      </c>
      <c r="LF24" s="273">
        <v>12.70778458</v>
      </c>
      <c r="LG24" s="221">
        <v>3.9431271900000002</v>
      </c>
      <c r="LH24" s="222">
        <v>2.3962078300000003</v>
      </c>
      <c r="LI24" s="223">
        <v>10.097902359999999</v>
      </c>
      <c r="LJ24" s="273">
        <v>16.437237379999999</v>
      </c>
      <c r="LK24" s="254">
        <v>4.1179602400000004</v>
      </c>
      <c r="LL24" s="160">
        <v>4.0400812699999999</v>
      </c>
      <c r="LM24" s="159">
        <v>9.3712769631999979</v>
      </c>
      <c r="LN24" s="273">
        <v>17.5293184732</v>
      </c>
      <c r="LO24" s="273">
        <v>69.894779243200006</v>
      </c>
    </row>
    <row r="25" spans="1:327" ht="17.100000000000001" hidden="1" customHeight="1" outlineLevel="1" x14ac:dyDescent="0.25">
      <c r="A25" s="2" t="s">
        <v>31</v>
      </c>
      <c r="B25" s="24"/>
      <c r="C25" s="5">
        <v>37.799999999999997</v>
      </c>
      <c r="D25" s="5">
        <v>4.3</v>
      </c>
      <c r="E25" s="5">
        <v>5.6</v>
      </c>
      <c r="F25" s="5">
        <v>5.0999999999999996</v>
      </c>
      <c r="G25" s="5">
        <v>15</v>
      </c>
      <c r="H25" s="5">
        <v>3.4</v>
      </c>
      <c r="I25" s="5">
        <v>3.9</v>
      </c>
      <c r="J25" s="5">
        <v>4.9000000000000004</v>
      </c>
      <c r="K25" s="5">
        <v>12.2</v>
      </c>
      <c r="L25" s="5">
        <v>3.8</v>
      </c>
      <c r="M25" s="5">
        <v>4.5</v>
      </c>
      <c r="N25" s="5">
        <v>7.6</v>
      </c>
      <c r="O25" s="5">
        <f t="shared" si="0"/>
        <v>15.9</v>
      </c>
      <c r="P25" s="5">
        <v>5.2</v>
      </c>
      <c r="Q25" s="5">
        <v>4.9000000000000004</v>
      </c>
      <c r="R25" s="5">
        <v>4</v>
      </c>
      <c r="S25" s="5">
        <f t="shared" si="1"/>
        <v>14.100000000000001</v>
      </c>
      <c r="T25" s="16">
        <f t="shared" si="7"/>
        <v>57.2</v>
      </c>
      <c r="U25" s="5">
        <v>7.8</v>
      </c>
      <c r="V25" s="5">
        <v>3.5</v>
      </c>
      <c r="W25" s="5">
        <v>5.5</v>
      </c>
      <c r="X25" s="4">
        <f t="shared" si="2"/>
        <v>16.8</v>
      </c>
      <c r="Y25" s="5">
        <v>3</v>
      </c>
      <c r="Z25" s="5">
        <v>0.9</v>
      </c>
      <c r="AA25" s="7">
        <v>3.1</v>
      </c>
      <c r="AB25" s="5">
        <f t="shared" si="3"/>
        <v>7</v>
      </c>
      <c r="AC25" s="5">
        <v>4.0999999999999996</v>
      </c>
      <c r="AD25" s="5">
        <v>3.1</v>
      </c>
      <c r="AE25" s="5">
        <v>1.6</v>
      </c>
      <c r="AF25" s="5">
        <f t="shared" si="4"/>
        <v>8.7999999999999989</v>
      </c>
      <c r="AG25" s="5">
        <v>4</v>
      </c>
      <c r="AH25" s="5">
        <v>2</v>
      </c>
      <c r="AI25" s="5">
        <v>4.8</v>
      </c>
      <c r="AJ25" s="5">
        <f t="shared" si="8"/>
        <v>10.8</v>
      </c>
      <c r="AK25" s="16">
        <f t="shared" si="9"/>
        <v>43.400000000000006</v>
      </c>
      <c r="AL25" s="5">
        <v>5.3</v>
      </c>
      <c r="AM25" s="5">
        <v>2.6</v>
      </c>
      <c r="AN25" s="5"/>
      <c r="AO25" s="5">
        <f t="shared" si="11"/>
        <v>7.9</v>
      </c>
      <c r="AP25" s="5">
        <v>1.8</v>
      </c>
      <c r="AQ25" s="5">
        <v>1.8</v>
      </c>
      <c r="AR25" s="5">
        <v>1.44</v>
      </c>
      <c r="AS25" s="54">
        <f t="shared" si="12"/>
        <v>5.04</v>
      </c>
      <c r="AT25" s="5">
        <v>3.04</v>
      </c>
      <c r="AU25" s="5">
        <v>2.7</v>
      </c>
      <c r="AV25" s="5">
        <v>19.3</v>
      </c>
      <c r="AW25" s="54">
        <f t="shared" si="13"/>
        <v>25.04</v>
      </c>
      <c r="AX25" s="5">
        <v>2.4</v>
      </c>
      <c r="AY25" s="5">
        <v>3.25</v>
      </c>
      <c r="AZ25" s="5">
        <v>4.2</v>
      </c>
      <c r="BA25" s="54">
        <f t="shared" si="14"/>
        <v>9.8500000000000014</v>
      </c>
      <c r="BB25" s="54">
        <f t="shared" si="15"/>
        <v>47.830000000000005</v>
      </c>
      <c r="BC25" s="5">
        <v>2.9798277389999996</v>
      </c>
      <c r="BD25" s="66">
        <v>2.0593307799999998</v>
      </c>
      <c r="BE25" s="66">
        <v>11.177919320000001</v>
      </c>
      <c r="BF25" s="62">
        <f t="shared" si="73"/>
        <v>16.217077838999998</v>
      </c>
      <c r="BG25" s="67">
        <v>2.3352539999999999</v>
      </c>
      <c r="BH25" s="67">
        <v>2.2370700000000001</v>
      </c>
      <c r="BI25" s="67">
        <v>2.2947600000000001</v>
      </c>
      <c r="BJ25" s="62">
        <f t="shared" si="74"/>
        <v>6.8670840000000002</v>
      </c>
      <c r="BK25" s="67">
        <v>3.0775800000000002</v>
      </c>
      <c r="BL25" s="67">
        <v>4.6033999999999997</v>
      </c>
      <c r="BM25" s="67">
        <v>3.0164279999999999</v>
      </c>
      <c r="BN25" s="62">
        <f t="shared" si="18"/>
        <v>10.697407999999999</v>
      </c>
      <c r="BO25" s="71">
        <v>3.1577453900000001</v>
      </c>
      <c r="BP25" s="67">
        <v>3.2004299999999999</v>
      </c>
      <c r="BQ25" s="67">
        <v>2.5703800000000001</v>
      </c>
      <c r="BR25" s="62">
        <f t="shared" si="19"/>
        <v>8.9285553899999996</v>
      </c>
      <c r="BS25" s="62">
        <f t="shared" si="20"/>
        <v>42.710125228999999</v>
      </c>
      <c r="BT25" s="67">
        <v>3.6</v>
      </c>
      <c r="BU25" s="67">
        <v>3.2</v>
      </c>
      <c r="BV25" s="67">
        <v>0.6</v>
      </c>
      <c r="BW25" s="62">
        <f t="shared" si="21"/>
        <v>7.4</v>
      </c>
      <c r="BX25" s="67">
        <v>0.5</v>
      </c>
      <c r="BY25" s="67">
        <v>0.7</v>
      </c>
      <c r="BZ25" s="67">
        <v>0.7</v>
      </c>
      <c r="CA25" s="62">
        <f t="shared" si="22"/>
        <v>1.9</v>
      </c>
      <c r="CB25" s="67">
        <v>0.6</v>
      </c>
      <c r="CC25" s="67">
        <v>1.25</v>
      </c>
      <c r="CD25" s="67">
        <v>2.34</v>
      </c>
      <c r="CE25" s="62">
        <f t="shared" si="23"/>
        <v>4.1899999999999995</v>
      </c>
      <c r="CF25" s="67">
        <v>3.0470000000000002</v>
      </c>
      <c r="CG25" s="67">
        <v>1.65</v>
      </c>
      <c r="CH25" s="67">
        <v>1.4</v>
      </c>
      <c r="CI25" s="67">
        <f t="shared" si="24"/>
        <v>6.0969999999999995</v>
      </c>
      <c r="CJ25" s="71">
        <f t="shared" si="25"/>
        <v>19.587</v>
      </c>
      <c r="CK25" s="71">
        <v>2.9</v>
      </c>
      <c r="CL25" s="67">
        <v>2.7</v>
      </c>
      <c r="CM25" s="67">
        <v>2.7</v>
      </c>
      <c r="CN25" s="62">
        <f t="shared" si="26"/>
        <v>8.3000000000000007</v>
      </c>
      <c r="CO25" s="67">
        <v>2.5</v>
      </c>
      <c r="CP25" s="67">
        <v>2.2000000000000002</v>
      </c>
      <c r="CQ25" s="67">
        <v>2.1</v>
      </c>
      <c r="CR25" s="62">
        <f t="shared" si="27"/>
        <v>6.8000000000000007</v>
      </c>
      <c r="CS25" s="101">
        <v>0.9</v>
      </c>
      <c r="CT25" s="67">
        <v>0.9</v>
      </c>
      <c r="CU25" s="67">
        <v>1.1000000000000001</v>
      </c>
      <c r="CV25" s="62">
        <f t="shared" si="28"/>
        <v>2.9000000000000004</v>
      </c>
      <c r="CW25" s="67">
        <v>1.3</v>
      </c>
      <c r="CX25" s="67">
        <v>1.1000000000000001</v>
      </c>
      <c r="CY25" s="112">
        <v>1.2</v>
      </c>
      <c r="CZ25" s="113">
        <f t="shared" si="29"/>
        <v>3.6000000000000005</v>
      </c>
      <c r="DA25" s="62">
        <f t="shared" si="30"/>
        <v>21.6</v>
      </c>
      <c r="DB25" s="71">
        <v>0.9</v>
      </c>
      <c r="DC25" s="67">
        <v>1.8</v>
      </c>
      <c r="DD25" s="67">
        <v>0.8</v>
      </c>
      <c r="DE25" s="62">
        <f t="shared" si="31"/>
        <v>3.5</v>
      </c>
      <c r="DF25" s="71">
        <v>0.7</v>
      </c>
      <c r="DG25" s="67">
        <v>0.7</v>
      </c>
      <c r="DH25" s="67">
        <v>0.8</v>
      </c>
      <c r="DI25" s="62">
        <f t="shared" si="32"/>
        <v>2.2000000000000002</v>
      </c>
      <c r="DJ25" s="71">
        <v>1</v>
      </c>
      <c r="DK25" s="67">
        <v>1.1000000000000001</v>
      </c>
      <c r="DL25" s="67">
        <v>1.3</v>
      </c>
      <c r="DM25" s="62">
        <f t="shared" si="33"/>
        <v>3.4000000000000004</v>
      </c>
      <c r="DN25" s="67">
        <v>1.1000000000000001</v>
      </c>
      <c r="DO25" s="67">
        <v>0.9</v>
      </c>
      <c r="DP25" s="67">
        <v>0.6</v>
      </c>
      <c r="DQ25" s="113">
        <f t="shared" si="34"/>
        <v>2.6</v>
      </c>
      <c r="DR25" s="140">
        <f t="shared" si="35"/>
        <v>11.700000000000001</v>
      </c>
      <c r="DS25" s="141">
        <v>0.7</v>
      </c>
      <c r="DT25" s="141">
        <v>1</v>
      </c>
      <c r="DU25" s="141">
        <v>0.8</v>
      </c>
      <c r="DV25" s="140">
        <f t="shared" si="36"/>
        <v>2.5</v>
      </c>
      <c r="DW25" s="142">
        <v>0.6</v>
      </c>
      <c r="DX25" s="141">
        <v>0.6</v>
      </c>
      <c r="DY25" s="141">
        <v>0.6</v>
      </c>
      <c r="DZ25" s="140">
        <f t="shared" si="37"/>
        <v>1.7999999999999998</v>
      </c>
      <c r="EA25" s="142">
        <v>0.6</v>
      </c>
      <c r="EB25" s="141">
        <v>0.7</v>
      </c>
      <c r="EC25" s="141">
        <v>1.2</v>
      </c>
      <c r="ED25" s="140">
        <f t="shared" si="38"/>
        <v>2.5</v>
      </c>
      <c r="EE25" s="141">
        <v>1</v>
      </c>
      <c r="EF25" s="141">
        <v>1.2</v>
      </c>
      <c r="EG25" s="141">
        <v>1.2</v>
      </c>
      <c r="EH25" s="140">
        <f t="shared" si="39"/>
        <v>3.4000000000000004</v>
      </c>
      <c r="EI25" s="140">
        <f t="shared" si="40"/>
        <v>10.199999999999999</v>
      </c>
      <c r="EJ25" s="141">
        <v>1.4</v>
      </c>
      <c r="EK25" s="141">
        <v>1.9</v>
      </c>
      <c r="EL25" s="141">
        <v>1.5</v>
      </c>
      <c r="EM25" s="140">
        <f t="shared" si="41"/>
        <v>4.8</v>
      </c>
      <c r="EN25" s="141">
        <v>2.1</v>
      </c>
      <c r="EO25" s="141">
        <v>1.9</v>
      </c>
      <c r="EP25" s="141">
        <v>1.7</v>
      </c>
      <c r="EQ25" s="140">
        <f t="shared" si="42"/>
        <v>5.7</v>
      </c>
      <c r="ER25" s="141">
        <v>2.9</v>
      </c>
      <c r="ES25" s="141">
        <v>2.6</v>
      </c>
      <c r="ET25" s="141">
        <v>2.8</v>
      </c>
      <c r="EU25" s="140">
        <f t="shared" si="43"/>
        <v>8.3000000000000007</v>
      </c>
      <c r="EV25" s="141">
        <v>3</v>
      </c>
      <c r="EW25" s="141">
        <v>3.7</v>
      </c>
      <c r="EX25" s="141">
        <v>3.9245800637999997</v>
      </c>
      <c r="EY25" s="140">
        <f t="shared" si="44"/>
        <v>10.6245800638</v>
      </c>
      <c r="EZ25" s="169">
        <f t="shared" si="45"/>
        <v>29.424580063800001</v>
      </c>
      <c r="FA25" s="170"/>
      <c r="FB25" s="169">
        <v>4.3</v>
      </c>
      <c r="FC25" s="169">
        <v>1.9</v>
      </c>
      <c r="FD25" s="169">
        <v>5.8</v>
      </c>
      <c r="FE25" s="171">
        <f t="shared" si="46"/>
        <v>12</v>
      </c>
      <c r="FF25" s="169">
        <v>5.7106260608999992</v>
      </c>
      <c r="FG25" s="169">
        <v>7.1194395705</v>
      </c>
      <c r="FH25" s="169">
        <v>12.722706543200001</v>
      </c>
      <c r="FI25" s="171">
        <f t="shared" si="47"/>
        <v>25.552772174600001</v>
      </c>
      <c r="FJ25" s="169">
        <v>8.5369300283000005</v>
      </c>
      <c r="FK25" s="169">
        <v>9.8794828928999987</v>
      </c>
      <c r="FL25" s="169">
        <v>11.810105478279999</v>
      </c>
      <c r="FM25" s="171">
        <f t="shared" si="48"/>
        <v>30.22651839948</v>
      </c>
      <c r="FN25" s="172">
        <v>15.170642822800001</v>
      </c>
      <c r="FO25" s="173">
        <v>12.084590273410001</v>
      </c>
      <c r="FP25" s="174">
        <v>9.5105613480999995</v>
      </c>
      <c r="FQ25" s="175">
        <f t="shared" si="49"/>
        <v>36.765794444310004</v>
      </c>
      <c r="FR25" s="175">
        <f t="shared" si="50"/>
        <v>104.54508501839</v>
      </c>
      <c r="FS25" s="172">
        <v>12.366689169999844</v>
      </c>
      <c r="FT25" s="176">
        <v>15.003216180099999</v>
      </c>
      <c r="FU25" s="174">
        <v>11.642222642700002</v>
      </c>
      <c r="FV25" s="175">
        <f t="shared" si="51"/>
        <v>39.012127992799847</v>
      </c>
      <c r="FW25" s="177">
        <v>12.0288563351</v>
      </c>
      <c r="FX25" s="173">
        <v>13.855482322379999</v>
      </c>
      <c r="FY25" s="174">
        <v>14.4143662035</v>
      </c>
      <c r="FZ25" s="175">
        <f t="shared" si="52"/>
        <v>40.298704860980003</v>
      </c>
      <c r="GA25" s="172">
        <v>19.7579132792</v>
      </c>
      <c r="GB25" s="173">
        <v>22.370734601000002</v>
      </c>
      <c r="GC25" s="174">
        <v>19.215182377150001</v>
      </c>
      <c r="GD25" s="175">
        <f t="shared" si="53"/>
        <v>61.343830257350007</v>
      </c>
      <c r="GE25" s="172">
        <v>19.8414916443</v>
      </c>
      <c r="GF25" s="173">
        <v>28.58176400908</v>
      </c>
      <c r="GG25" s="159">
        <v>14.3285662919</v>
      </c>
      <c r="GH25" s="174">
        <f t="shared" si="54"/>
        <v>62.75182194528</v>
      </c>
      <c r="GI25" s="174">
        <f t="shared" si="55"/>
        <v>203.40648505640988</v>
      </c>
      <c r="GJ25" s="221"/>
      <c r="GK25" s="246"/>
      <c r="GL25" s="223"/>
      <c r="GM25" s="175">
        <f t="shared" si="56"/>
        <v>0</v>
      </c>
      <c r="GN25" s="224">
        <v>0</v>
      </c>
      <c r="GO25" s="222">
        <v>0</v>
      </c>
      <c r="GP25" s="223">
        <v>0</v>
      </c>
      <c r="GQ25" s="175">
        <f t="shared" si="57"/>
        <v>0</v>
      </c>
      <c r="GR25" s="221"/>
      <c r="GS25" s="222"/>
      <c r="GT25" s="223"/>
      <c r="GU25" s="175">
        <f t="shared" si="58"/>
        <v>0</v>
      </c>
      <c r="GV25" s="221">
        <v>0</v>
      </c>
      <c r="GW25" s="222"/>
      <c r="GX25" s="223">
        <v>0</v>
      </c>
      <c r="GY25" s="174">
        <f t="shared" si="59"/>
        <v>0</v>
      </c>
      <c r="GZ25" s="159">
        <f t="shared" si="60"/>
        <v>0</v>
      </c>
      <c r="HA25" s="254">
        <v>0</v>
      </c>
      <c r="HB25" s="278">
        <v>0</v>
      </c>
      <c r="HC25" s="159">
        <v>0</v>
      </c>
      <c r="HD25" s="273">
        <f t="shared" si="61"/>
        <v>0</v>
      </c>
      <c r="HE25" s="143">
        <v>0</v>
      </c>
      <c r="HF25" s="160">
        <v>0</v>
      </c>
      <c r="HG25" s="159">
        <v>0</v>
      </c>
      <c r="HH25" s="273">
        <f t="shared" si="72"/>
        <v>0</v>
      </c>
      <c r="HI25" s="274">
        <v>0</v>
      </c>
      <c r="HJ25" s="160">
        <v>0</v>
      </c>
      <c r="HK25" s="159">
        <v>0</v>
      </c>
      <c r="HL25" s="273">
        <f t="shared" si="63"/>
        <v>0</v>
      </c>
      <c r="HM25" s="254">
        <v>0</v>
      </c>
      <c r="HN25" s="160">
        <v>0</v>
      </c>
      <c r="HO25" s="159">
        <v>0</v>
      </c>
      <c r="HP25" s="273">
        <f t="shared" si="64"/>
        <v>0</v>
      </c>
      <c r="HQ25" s="273">
        <f t="shared" si="65"/>
        <v>0</v>
      </c>
      <c r="HR25" s="254">
        <v>0</v>
      </c>
      <c r="HS25" s="278">
        <v>0</v>
      </c>
      <c r="HT25" s="159">
        <v>0</v>
      </c>
      <c r="HU25" s="273">
        <f t="shared" si="66"/>
        <v>0</v>
      </c>
      <c r="HV25" s="143">
        <v>0</v>
      </c>
      <c r="HW25" s="160">
        <v>0</v>
      </c>
      <c r="HX25" s="159">
        <v>0</v>
      </c>
      <c r="HY25" s="273">
        <f t="shared" si="67"/>
        <v>0</v>
      </c>
      <c r="HZ25" s="275">
        <v>0</v>
      </c>
      <c r="IA25" s="160">
        <v>0</v>
      </c>
      <c r="IB25" s="159">
        <v>0</v>
      </c>
      <c r="IC25" s="273">
        <f>SUM(HZ25:IB25)</f>
        <v>0</v>
      </c>
      <c r="ID25" s="254">
        <v>0</v>
      </c>
      <c r="IE25" s="160">
        <v>0</v>
      </c>
      <c r="IF25" s="159"/>
      <c r="IG25" s="273">
        <f t="shared" si="69"/>
        <v>0</v>
      </c>
      <c r="IH25" s="273">
        <v>0</v>
      </c>
      <c r="II25" s="254">
        <v>0</v>
      </c>
      <c r="IJ25" s="160">
        <v>0</v>
      </c>
      <c r="IK25" s="159">
        <v>0</v>
      </c>
      <c r="IL25" s="273">
        <v>0</v>
      </c>
      <c r="IM25" s="254">
        <v>0</v>
      </c>
      <c r="IN25" s="160">
        <v>0</v>
      </c>
      <c r="IO25" s="160">
        <v>0</v>
      </c>
      <c r="IP25" s="273">
        <v>0</v>
      </c>
      <c r="IQ25" s="254">
        <v>0</v>
      </c>
      <c r="IR25" s="160">
        <v>0</v>
      </c>
      <c r="IS25" s="159">
        <v>0</v>
      </c>
      <c r="IT25" s="273">
        <v>0</v>
      </c>
      <c r="IU25" s="254">
        <v>0</v>
      </c>
      <c r="IV25" s="160">
        <v>0</v>
      </c>
      <c r="IW25" s="159">
        <v>0</v>
      </c>
      <c r="IX25" s="273">
        <v>0</v>
      </c>
      <c r="IY25" s="273">
        <v>0</v>
      </c>
      <c r="IZ25" s="254">
        <v>0</v>
      </c>
      <c r="JA25" s="160">
        <v>0</v>
      </c>
      <c r="JB25" s="159">
        <v>0</v>
      </c>
      <c r="JC25" s="273">
        <v>0</v>
      </c>
      <c r="JD25" s="254">
        <v>0</v>
      </c>
      <c r="JE25" s="160">
        <v>0</v>
      </c>
      <c r="JF25" s="159">
        <v>0</v>
      </c>
      <c r="JG25" s="273">
        <v>0</v>
      </c>
      <c r="JH25" s="254">
        <v>0</v>
      </c>
      <c r="JI25" s="160">
        <v>0</v>
      </c>
      <c r="JJ25" s="159">
        <v>9.3229999999999997E-3</v>
      </c>
      <c r="JK25" s="273"/>
      <c r="JL25" s="254"/>
      <c r="JM25" s="160"/>
      <c r="JN25" s="159"/>
      <c r="JO25" s="273"/>
      <c r="JP25" s="273"/>
      <c r="JQ25" s="254">
        <v>0</v>
      </c>
      <c r="JR25" s="160">
        <v>0</v>
      </c>
      <c r="JS25" s="159">
        <v>0</v>
      </c>
      <c r="JT25" s="273">
        <v>0</v>
      </c>
      <c r="JU25" s="254">
        <v>0</v>
      </c>
      <c r="JV25" s="160">
        <v>0</v>
      </c>
      <c r="JW25" s="159">
        <v>0</v>
      </c>
      <c r="JX25" s="273">
        <v>0</v>
      </c>
      <c r="JY25" s="254">
        <v>0</v>
      </c>
      <c r="JZ25" s="160">
        <v>0</v>
      </c>
      <c r="KA25" s="159">
        <v>0</v>
      </c>
      <c r="KB25" s="273">
        <v>0</v>
      </c>
      <c r="KC25" s="254">
        <v>0</v>
      </c>
      <c r="KD25" s="160">
        <v>0</v>
      </c>
      <c r="KE25" s="159">
        <v>0</v>
      </c>
      <c r="KF25" s="273">
        <v>0</v>
      </c>
      <c r="KG25" s="273">
        <v>0</v>
      </c>
      <c r="KH25" s="221">
        <v>0</v>
      </c>
      <c r="KI25" s="222">
        <v>0</v>
      </c>
      <c r="KJ25" s="223">
        <v>0</v>
      </c>
      <c r="KK25" s="273">
        <v>0</v>
      </c>
      <c r="KL25" s="221">
        <v>0</v>
      </c>
      <c r="KM25" s="222">
        <v>0</v>
      </c>
      <c r="KN25" s="223">
        <v>0</v>
      </c>
      <c r="KO25" s="273">
        <v>0</v>
      </c>
      <c r="KP25" s="221">
        <v>0</v>
      </c>
      <c r="KQ25" s="222">
        <v>0</v>
      </c>
      <c r="KR25" s="223">
        <v>0</v>
      </c>
      <c r="KS25" s="273">
        <v>0</v>
      </c>
      <c r="KT25" s="254">
        <v>0</v>
      </c>
      <c r="KU25" s="160"/>
      <c r="KV25" s="159"/>
      <c r="KW25" s="273">
        <v>0</v>
      </c>
      <c r="KX25" s="273">
        <v>0</v>
      </c>
      <c r="KY25" s="221">
        <v>0</v>
      </c>
      <c r="KZ25" s="222">
        <v>0</v>
      </c>
      <c r="LA25" s="223">
        <v>0</v>
      </c>
      <c r="LB25" s="273">
        <v>0</v>
      </c>
      <c r="LC25" s="221">
        <v>0</v>
      </c>
      <c r="LD25" s="222">
        <v>0</v>
      </c>
      <c r="LE25" s="223">
        <v>0</v>
      </c>
      <c r="LF25" s="273">
        <v>0</v>
      </c>
      <c r="LG25" s="221">
        <v>0</v>
      </c>
      <c r="LH25" s="222">
        <v>0</v>
      </c>
      <c r="LI25" s="223">
        <v>0</v>
      </c>
      <c r="LJ25" s="273">
        <v>0</v>
      </c>
      <c r="LK25" s="254"/>
      <c r="LL25" s="160"/>
      <c r="LM25" s="159"/>
      <c r="LN25" s="273">
        <v>0</v>
      </c>
      <c r="LO25" s="273">
        <v>0</v>
      </c>
    </row>
    <row r="26" spans="1:327" ht="17.100000000000001" customHeight="1" collapsed="1" x14ac:dyDescent="0.25">
      <c r="A26" s="74" t="s">
        <v>91</v>
      </c>
      <c r="B26" s="2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6"/>
      <c r="U26" s="5"/>
      <c r="V26" s="5"/>
      <c r="W26" s="5"/>
      <c r="X26" s="4"/>
      <c r="Y26" s="5"/>
      <c r="Z26" s="5"/>
      <c r="AA26" s="7"/>
      <c r="AB26" s="5"/>
      <c r="AC26" s="5"/>
      <c r="AD26" s="5"/>
      <c r="AE26" s="5"/>
      <c r="AF26" s="5"/>
      <c r="AG26" s="5"/>
      <c r="AH26" s="5"/>
      <c r="AI26" s="5"/>
      <c r="AJ26" s="5"/>
      <c r="AK26" s="16"/>
      <c r="AL26" s="5"/>
      <c r="AM26" s="5"/>
      <c r="AN26" s="5"/>
      <c r="AO26" s="5"/>
      <c r="AP26" s="5"/>
      <c r="AQ26" s="5"/>
      <c r="AR26" s="5"/>
      <c r="AS26" s="54"/>
      <c r="AT26" s="5"/>
      <c r="AU26" s="5"/>
      <c r="AV26" s="5"/>
      <c r="AW26" s="54"/>
      <c r="AX26" s="5"/>
      <c r="AY26" s="5"/>
      <c r="AZ26" s="5"/>
      <c r="BA26" s="54"/>
      <c r="BB26" s="54"/>
      <c r="BC26" s="5"/>
      <c r="BD26" s="66"/>
      <c r="BE26" s="66"/>
      <c r="BF26" s="62"/>
      <c r="BG26" s="67"/>
      <c r="BH26" s="67"/>
      <c r="BI26" s="67"/>
      <c r="BJ26" s="62"/>
      <c r="BK26" s="67"/>
      <c r="BL26" s="67"/>
      <c r="BM26" s="67"/>
      <c r="BN26" s="62"/>
      <c r="BO26" s="71"/>
      <c r="BP26" s="67"/>
      <c r="BQ26" s="67"/>
      <c r="BR26" s="62"/>
      <c r="BS26" s="62"/>
      <c r="BT26" s="67"/>
      <c r="BU26" s="67"/>
      <c r="BV26" s="67"/>
      <c r="BW26" s="62"/>
      <c r="BX26" s="67"/>
      <c r="BY26" s="67"/>
      <c r="BZ26" s="67"/>
      <c r="CA26" s="62"/>
      <c r="CB26" s="67"/>
      <c r="CC26" s="67"/>
      <c r="CD26" s="67"/>
      <c r="CE26" s="62"/>
      <c r="CF26" s="67"/>
      <c r="CG26" s="67"/>
      <c r="CH26" s="67"/>
      <c r="CI26" s="67"/>
      <c r="CJ26" s="71"/>
      <c r="CK26" s="71"/>
      <c r="CL26" s="67"/>
      <c r="CM26" s="67"/>
      <c r="CN26" s="62"/>
      <c r="CO26" s="67"/>
      <c r="CP26" s="67"/>
      <c r="CQ26" s="67"/>
      <c r="CR26" s="62"/>
      <c r="CS26" s="101"/>
      <c r="CT26" s="67"/>
      <c r="CU26" s="67"/>
      <c r="CV26" s="62"/>
      <c r="CW26" s="67"/>
      <c r="CX26" s="67"/>
      <c r="CY26" s="112"/>
      <c r="CZ26" s="113"/>
      <c r="DA26" s="62"/>
      <c r="DB26" s="71"/>
      <c r="DC26" s="67"/>
      <c r="DD26" s="67"/>
      <c r="DE26" s="62"/>
      <c r="DF26" s="71"/>
      <c r="DG26" s="67"/>
      <c r="DH26" s="67"/>
      <c r="DI26" s="62"/>
      <c r="DJ26" s="71"/>
      <c r="DK26" s="67"/>
      <c r="DL26" s="67"/>
      <c r="DM26" s="62"/>
      <c r="DN26" s="67"/>
      <c r="DO26" s="67"/>
      <c r="DP26" s="67"/>
      <c r="DQ26" s="113"/>
      <c r="DR26" s="140"/>
      <c r="DS26" s="141"/>
      <c r="DT26" s="141"/>
      <c r="DU26" s="141"/>
      <c r="DV26" s="140"/>
      <c r="DW26" s="142"/>
      <c r="DX26" s="141"/>
      <c r="DY26" s="141"/>
      <c r="DZ26" s="140"/>
      <c r="EA26" s="142"/>
      <c r="EB26" s="141"/>
      <c r="EC26" s="141"/>
      <c r="ED26" s="140"/>
      <c r="EE26" s="141"/>
      <c r="EF26" s="141"/>
      <c r="EG26" s="141"/>
      <c r="EH26" s="140"/>
      <c r="EI26" s="140"/>
      <c r="EJ26" s="141"/>
      <c r="EK26" s="141"/>
      <c r="EL26" s="141"/>
      <c r="EM26" s="140"/>
      <c r="EN26" s="141"/>
      <c r="EO26" s="141"/>
      <c r="EP26" s="141"/>
      <c r="EQ26" s="140"/>
      <c r="ER26" s="141"/>
      <c r="ES26" s="141"/>
      <c r="ET26" s="141"/>
      <c r="EU26" s="140"/>
      <c r="EV26" s="141"/>
      <c r="EW26" s="141"/>
      <c r="EX26" s="141"/>
      <c r="EY26" s="140"/>
      <c r="EZ26" s="169"/>
      <c r="FA26" s="170"/>
      <c r="FB26" s="169"/>
      <c r="FC26" s="169"/>
      <c r="FD26" s="169"/>
      <c r="FE26" s="171"/>
      <c r="FF26" s="169"/>
      <c r="FG26" s="169"/>
      <c r="FH26" s="169"/>
      <c r="FI26" s="171"/>
      <c r="FJ26" s="169"/>
      <c r="FK26" s="169"/>
      <c r="FL26" s="169"/>
      <c r="FM26" s="171"/>
      <c r="FN26" s="172"/>
      <c r="FO26" s="173"/>
      <c r="FP26" s="174"/>
      <c r="FQ26" s="175"/>
      <c r="FR26" s="175"/>
      <c r="FS26" s="172"/>
      <c r="FT26" s="176"/>
      <c r="FU26" s="174"/>
      <c r="FV26" s="175"/>
      <c r="FW26" s="177"/>
      <c r="FX26" s="173"/>
      <c r="FY26" s="174"/>
      <c r="FZ26" s="175"/>
      <c r="GA26" s="172"/>
      <c r="GB26" s="173"/>
      <c r="GC26" s="174"/>
      <c r="GD26" s="175"/>
      <c r="GE26" s="172"/>
      <c r="GF26" s="173"/>
      <c r="GG26" s="159"/>
      <c r="GH26" s="174"/>
      <c r="GI26" s="174"/>
      <c r="GJ26" s="221">
        <v>35.915072809999998</v>
      </c>
      <c r="GK26" s="246">
        <v>23.0378501215</v>
      </c>
      <c r="GL26" s="223">
        <v>22.379986594910001</v>
      </c>
      <c r="GM26" s="175"/>
      <c r="GN26" s="224">
        <v>16.821453155890001</v>
      </c>
      <c r="GO26" s="222">
        <v>15.39770996942628</v>
      </c>
      <c r="GP26" s="223">
        <v>15.761831063866886</v>
      </c>
      <c r="GQ26" s="175"/>
      <c r="GR26" s="245">
        <v>17.19708633562518</v>
      </c>
      <c r="GS26" s="222">
        <v>16.040664686340346</v>
      </c>
      <c r="GT26" s="223">
        <v>19.573037038097088</v>
      </c>
      <c r="GU26" s="175"/>
      <c r="GV26" s="221">
        <v>21.536449121486065</v>
      </c>
      <c r="GW26" s="222">
        <v>21.975273155251045</v>
      </c>
      <c r="GX26" s="223">
        <v>19.614388333644225</v>
      </c>
      <c r="GY26" s="174"/>
      <c r="GZ26" s="159">
        <v>245.25080238603709</v>
      </c>
      <c r="HA26" s="254">
        <v>8.395048602582504</v>
      </c>
      <c r="HB26" s="278">
        <v>10.96208712769012</v>
      </c>
      <c r="HC26" s="159">
        <v>9.4475633242468575</v>
      </c>
      <c r="HD26" s="273">
        <f t="shared" si="61"/>
        <v>28.804699054519482</v>
      </c>
      <c r="HE26" s="143">
        <v>11.824530054074582</v>
      </c>
      <c r="HF26" s="160">
        <v>5.3516519639042386</v>
      </c>
      <c r="HG26" s="159">
        <v>5.3295581133429115</v>
      </c>
      <c r="HH26" s="273">
        <f t="shared" si="72"/>
        <v>22.505740131321733</v>
      </c>
      <c r="HI26" s="274">
        <v>6.0206134038020158</v>
      </c>
      <c r="HJ26" s="160">
        <v>4.4650350774748997</v>
      </c>
      <c r="HK26" s="159">
        <v>7.7599093328551021</v>
      </c>
      <c r="HL26" s="273">
        <f t="shared" si="63"/>
        <v>18.245557814132017</v>
      </c>
      <c r="HM26" s="254">
        <v>6.1912498041188533</v>
      </c>
      <c r="HN26" s="160">
        <v>4.617900676327122</v>
      </c>
      <c r="HO26" s="159">
        <v>6.1695369099999997</v>
      </c>
      <c r="HP26" s="273">
        <f t="shared" si="64"/>
        <v>16.978687390445977</v>
      </c>
      <c r="HQ26" s="273">
        <f t="shared" si="65"/>
        <v>86.534684390419216</v>
      </c>
      <c r="HR26" s="254">
        <v>4.7814957300430416</v>
      </c>
      <c r="HS26" s="278">
        <v>3.9129152387805348</v>
      </c>
      <c r="HT26" s="159">
        <v>3.6732314799999997</v>
      </c>
      <c r="HU26" s="273">
        <f t="shared" si="66"/>
        <v>12.367642448823576</v>
      </c>
      <c r="HV26" s="143">
        <v>2.3692907508464849</v>
      </c>
      <c r="HW26" s="160">
        <v>3.0301602564131995</v>
      </c>
      <c r="HX26" s="159">
        <v>1.0136433434290026</v>
      </c>
      <c r="HY26" s="273">
        <f t="shared" si="67"/>
        <v>6.4130943506886871</v>
      </c>
      <c r="HZ26" s="275">
        <v>3.8940775158536889</v>
      </c>
      <c r="IA26" s="160">
        <v>5.3987192247202351</v>
      </c>
      <c r="IB26" s="159">
        <v>4.598425353687233</v>
      </c>
      <c r="IC26" s="273">
        <f>SUM(HZ26:IB26)</f>
        <v>13.891222094261156</v>
      </c>
      <c r="ID26" s="254">
        <v>4.1947929799999999</v>
      </c>
      <c r="IE26" s="160">
        <v>9.2216946499999999</v>
      </c>
      <c r="IF26" s="159">
        <v>6.1318764906192857</v>
      </c>
      <c r="IG26" s="273">
        <f t="shared" si="69"/>
        <v>19.548364120619283</v>
      </c>
      <c r="IH26" s="273">
        <v>52.220323014392704</v>
      </c>
      <c r="II26" s="254">
        <v>6.3031578999999995</v>
      </c>
      <c r="IJ26" s="160">
        <v>5.2910031800000006</v>
      </c>
      <c r="IK26" s="159">
        <v>5.6608667600000002</v>
      </c>
      <c r="IL26" s="273">
        <v>17.25502784</v>
      </c>
      <c r="IM26" s="254">
        <v>5.67936657</v>
      </c>
      <c r="IN26" s="160">
        <v>6.1938299204208995</v>
      </c>
      <c r="IO26" s="160">
        <v>5.5813625799999995</v>
      </c>
      <c r="IP26" s="273">
        <v>17.454559070420899</v>
      </c>
      <c r="IQ26" s="254">
        <v>5.8600240499999998</v>
      </c>
      <c r="IR26" s="160">
        <v>7.3375277499999996</v>
      </c>
      <c r="IS26" s="159">
        <v>23.980136635298404</v>
      </c>
      <c r="IT26" s="273">
        <v>37.177688435298407</v>
      </c>
      <c r="IU26" s="254">
        <v>6.7443626005822663</v>
      </c>
      <c r="IV26" s="160">
        <v>8.2963339832177727</v>
      </c>
      <c r="IW26" s="159">
        <v>13.782710723321792</v>
      </c>
      <c r="IX26" s="273">
        <v>28.82340730712183</v>
      </c>
      <c r="IY26" s="273">
        <v>100.71068265284113</v>
      </c>
      <c r="IZ26" s="254">
        <v>9.0090870256851314</v>
      </c>
      <c r="JA26" s="160">
        <v>9.7996149100000007</v>
      </c>
      <c r="JB26" s="159">
        <v>9.2357273600000003</v>
      </c>
      <c r="JC26" s="273">
        <v>28.044429295685134</v>
      </c>
      <c r="JD26" s="254">
        <v>8.7211226699999997</v>
      </c>
      <c r="JE26" s="160">
        <v>31.730295599999998</v>
      </c>
      <c r="JF26" s="159">
        <v>15.22841554</v>
      </c>
      <c r="JG26" s="273">
        <v>55.679833809999998</v>
      </c>
      <c r="JH26" s="254">
        <v>20.203396000000001</v>
      </c>
      <c r="JI26" s="160">
        <v>23.135788746501454</v>
      </c>
      <c r="JJ26" s="159">
        <v>20.82896959</v>
      </c>
      <c r="JK26" s="273">
        <v>64.168154336501459</v>
      </c>
      <c r="JL26" s="254">
        <v>16.406527115218658</v>
      </c>
      <c r="JM26" s="160">
        <v>15.99508294</v>
      </c>
      <c r="JN26" s="159">
        <v>13.54426286180758</v>
      </c>
      <c r="JO26" s="273">
        <v>45.945872917026236</v>
      </c>
      <c r="JP26" s="273">
        <v>193.83829035921283</v>
      </c>
      <c r="JQ26" s="254">
        <v>11.20072407</v>
      </c>
      <c r="JR26" s="160">
        <v>14.151509580116603</v>
      </c>
      <c r="JS26" s="159">
        <v>15.827688940000002</v>
      </c>
      <c r="JT26" s="273">
        <v>41.179922590116604</v>
      </c>
      <c r="JU26" s="254">
        <v>22.841702340000001</v>
      </c>
      <c r="JV26" s="160">
        <v>15.05449584</v>
      </c>
      <c r="JW26" s="159">
        <v>17.509473209999999</v>
      </c>
      <c r="JX26" s="273">
        <v>55.405671389999995</v>
      </c>
      <c r="JY26" s="254">
        <v>29.600660859999998</v>
      </c>
      <c r="JZ26" s="160">
        <v>24.492763319999998</v>
      </c>
      <c r="KA26" s="159">
        <v>28.10081336</v>
      </c>
      <c r="KB26" s="273">
        <v>82.194237540000003</v>
      </c>
      <c r="KC26" s="254">
        <v>17.988621500000001</v>
      </c>
      <c r="KD26" s="160">
        <v>19.62640974</v>
      </c>
      <c r="KE26" s="159">
        <v>15.913611784460649</v>
      </c>
      <c r="KF26" s="273">
        <v>53.528643024460649</v>
      </c>
      <c r="KG26" s="273">
        <v>232.30847454457725</v>
      </c>
      <c r="KH26" s="221">
        <v>22.573918669999998</v>
      </c>
      <c r="KI26" s="222">
        <v>20.083488790000001</v>
      </c>
      <c r="KJ26" s="223">
        <v>14.148585049999999</v>
      </c>
      <c r="KK26" s="273">
        <v>56.805992510000003</v>
      </c>
      <c r="KL26" s="221">
        <v>29.67073538</v>
      </c>
      <c r="KM26" s="222">
        <v>29.809972039999998</v>
      </c>
      <c r="KN26" s="223">
        <v>21.406366260000002</v>
      </c>
      <c r="KO26" s="273">
        <v>80.88707368</v>
      </c>
      <c r="KP26" s="221">
        <v>19.221546530000001</v>
      </c>
      <c r="KQ26" s="222">
        <v>17.694250240000002</v>
      </c>
      <c r="KR26" s="223">
        <v>19.15237909</v>
      </c>
      <c r="KS26" s="273">
        <v>56.068175859999997</v>
      </c>
      <c r="KT26" s="254">
        <v>23.821385329999984</v>
      </c>
      <c r="KU26" s="160">
        <v>16.492494529999995</v>
      </c>
      <c r="KV26" s="159">
        <v>19.080982860000002</v>
      </c>
      <c r="KW26" s="273">
        <v>59.394862719999978</v>
      </c>
      <c r="KX26" s="273">
        <v>253.15610476999996</v>
      </c>
      <c r="KY26" s="221">
        <v>28.787533269999997</v>
      </c>
      <c r="KZ26" s="222">
        <v>23.333240349999993</v>
      </c>
      <c r="LA26" s="223">
        <v>30.78452028000001</v>
      </c>
      <c r="LB26" s="273">
        <v>82.905293900000004</v>
      </c>
      <c r="LC26" s="221">
        <v>44.172317220000004</v>
      </c>
      <c r="LD26" s="222">
        <v>31.782739759999991</v>
      </c>
      <c r="LE26" s="223">
        <v>28.75193360999997</v>
      </c>
      <c r="LF26" s="273">
        <v>104.70699058999996</v>
      </c>
      <c r="LG26" s="221">
        <v>26.225795230000003</v>
      </c>
      <c r="LH26" s="222">
        <v>23.96239078000001</v>
      </c>
      <c r="LI26" s="223">
        <v>25.950327869999988</v>
      </c>
      <c r="LJ26" s="273">
        <v>76.138513880000005</v>
      </c>
      <c r="LK26" s="254">
        <v>31.821744239999994</v>
      </c>
      <c r="LL26" s="160">
        <v>21.457475839999997</v>
      </c>
      <c r="LM26" s="159">
        <v>25.439715899999968</v>
      </c>
      <c r="LN26" s="273">
        <v>78.718935979999955</v>
      </c>
      <c r="LO26" s="273">
        <v>342.46973434999995</v>
      </c>
    </row>
    <row r="27" spans="1:327" ht="17.100000000000001" customHeight="1" x14ac:dyDescent="0.25">
      <c r="A27" s="74" t="s">
        <v>92</v>
      </c>
      <c r="B27" s="24"/>
      <c r="C27" s="5">
        <v>53.4</v>
      </c>
      <c r="D27" s="5">
        <v>1.5</v>
      </c>
      <c r="E27" s="5">
        <v>3.9</v>
      </c>
      <c r="F27" s="5">
        <v>12.5</v>
      </c>
      <c r="G27" s="5">
        <v>17.899999999999999</v>
      </c>
      <c r="H27" s="5">
        <v>2.4</v>
      </c>
      <c r="I27" s="5">
        <v>0.5</v>
      </c>
      <c r="J27" s="5">
        <v>2.7</v>
      </c>
      <c r="K27" s="5">
        <v>5.6</v>
      </c>
      <c r="L27" s="5">
        <v>1.5</v>
      </c>
      <c r="M27" s="5">
        <v>20.9</v>
      </c>
      <c r="N27" s="5">
        <v>1.4</v>
      </c>
      <c r="O27" s="5">
        <f t="shared" si="0"/>
        <v>23.799999999999997</v>
      </c>
      <c r="P27" s="5">
        <v>9.5</v>
      </c>
      <c r="Q27" s="5">
        <v>1.8</v>
      </c>
      <c r="R27" s="5">
        <v>15.2</v>
      </c>
      <c r="S27" s="5">
        <f t="shared" si="1"/>
        <v>26.5</v>
      </c>
      <c r="T27" s="16">
        <f t="shared" si="7"/>
        <v>73.8</v>
      </c>
      <c r="U27" s="5">
        <v>11.1</v>
      </c>
      <c r="V27" s="5">
        <v>6.2</v>
      </c>
      <c r="W27" s="5">
        <v>0.4</v>
      </c>
      <c r="X27" s="4">
        <f t="shared" si="2"/>
        <v>17.7</v>
      </c>
      <c r="Y27" s="5">
        <v>0.1</v>
      </c>
      <c r="Z27" s="5">
        <v>0.4</v>
      </c>
      <c r="AA27" s="7">
        <v>2.7</v>
      </c>
      <c r="AB27" s="5">
        <f t="shared" si="3"/>
        <v>3.2</v>
      </c>
      <c r="AC27" s="5">
        <v>14.2</v>
      </c>
      <c r="AD27" s="5">
        <v>14.3</v>
      </c>
      <c r="AE27" s="5">
        <v>2.8</v>
      </c>
      <c r="AF27" s="5">
        <f t="shared" si="4"/>
        <v>31.3</v>
      </c>
      <c r="AG27" s="5">
        <v>9.6999999999999993</v>
      </c>
      <c r="AH27" s="5">
        <v>2.2999999999999998</v>
      </c>
      <c r="AI27" s="5">
        <v>8.1999999999999993</v>
      </c>
      <c r="AJ27" s="5">
        <f t="shared" si="8"/>
        <v>20.2</v>
      </c>
      <c r="AK27" s="57">
        <f t="shared" si="9"/>
        <v>72.400000000000006</v>
      </c>
      <c r="AL27" s="5">
        <v>1.835</v>
      </c>
      <c r="AM27" s="5">
        <f>1.3-0.04136025-0.02134194</f>
        <v>1.2372978100000001</v>
      </c>
      <c r="AN27" s="5">
        <v>2.4</v>
      </c>
      <c r="AO27" s="5">
        <f t="shared" si="11"/>
        <v>5.4722978100000006</v>
      </c>
      <c r="AP27" s="5">
        <f>1-0.40398688</f>
        <v>0.59601312000000006</v>
      </c>
      <c r="AQ27" s="5">
        <v>1.4</v>
      </c>
      <c r="AR27" s="5">
        <f>0.6-0.09676511-0.1524244</f>
        <v>0.35081048999999997</v>
      </c>
      <c r="AS27" s="54">
        <f t="shared" si="12"/>
        <v>2.3468236099999999</v>
      </c>
      <c r="AT27" s="5">
        <v>8.5</v>
      </c>
      <c r="AU27" s="5">
        <f>0.6-0.08485349</f>
        <v>0.51514651</v>
      </c>
      <c r="AV27" s="5">
        <f>1.3-0.1169806-0.1227949-0.1227949-0.1227949</f>
        <v>0.81463470000000004</v>
      </c>
      <c r="AW27" s="54">
        <f t="shared" si="13"/>
        <v>9.8297812100000002</v>
      </c>
      <c r="AX27" s="5">
        <f>1.2-0.08706462-0.2925709-0.35222309-0.1132381</f>
        <v>0.35490328999999982</v>
      </c>
      <c r="AY27" s="5">
        <f>3.2-0.1176038-0.08706461-0.10129259-0.03706925-0.06473269</f>
        <v>2.7922370600000002</v>
      </c>
      <c r="AZ27" s="5">
        <f>4.6-0.11598559-0.96038815-0.0513092-0.098576-0.4408719-0.10669488-0.54432922-0.62843045-0.11109299</f>
        <v>1.5423216199999998</v>
      </c>
      <c r="BA27" s="54">
        <f t="shared" si="14"/>
        <v>4.68946197</v>
      </c>
      <c r="BB27" s="54">
        <f>+AS27+AO27+AW27+BA27</f>
        <v>22.338364600000002</v>
      </c>
      <c r="BC27" s="5">
        <v>1.7</v>
      </c>
      <c r="BD27" s="66">
        <f>3.95245759-0.13335694-0.27085498</f>
        <v>3.5482456699999996</v>
      </c>
      <c r="BE27" s="66">
        <v>0.27260292000000003</v>
      </c>
      <c r="BF27" s="62">
        <f t="shared" si="73"/>
        <v>5.5208485899999991</v>
      </c>
      <c r="BG27" s="67">
        <v>2.1696359699999999</v>
      </c>
      <c r="BH27" s="67">
        <v>3.0213899999999998</v>
      </c>
      <c r="BI27" s="67">
        <f>4.21538-0.33392808</f>
        <v>3.8814519199999995</v>
      </c>
      <c r="BJ27" s="62">
        <f t="shared" si="74"/>
        <v>9.07247789</v>
      </c>
      <c r="BK27" s="67">
        <v>0.85696550000000005</v>
      </c>
      <c r="BL27" s="67">
        <v>0.66649999999999998</v>
      </c>
      <c r="BM27" s="67">
        <v>0.90461599999999998</v>
      </c>
      <c r="BN27" s="62">
        <f t="shared" si="18"/>
        <v>2.4280814999999998</v>
      </c>
      <c r="BO27" s="71">
        <v>10.836339600000001</v>
      </c>
      <c r="BP27" s="67">
        <v>1.1281000000000001</v>
      </c>
      <c r="BQ27" s="67">
        <v>46.52505</v>
      </c>
      <c r="BR27" s="62">
        <f t="shared" si="19"/>
        <v>58.489489599999999</v>
      </c>
      <c r="BS27" s="62">
        <f t="shared" si="20"/>
        <v>75.510897580000005</v>
      </c>
      <c r="BT27" s="67">
        <v>1.9</v>
      </c>
      <c r="BU27" s="67">
        <v>0.5</v>
      </c>
      <c r="BV27" s="67">
        <v>0.8</v>
      </c>
      <c r="BW27" s="62">
        <f t="shared" si="21"/>
        <v>3.2</v>
      </c>
      <c r="BX27" s="67">
        <v>15.6</v>
      </c>
      <c r="BY27" s="67">
        <v>1</v>
      </c>
      <c r="BZ27" s="67">
        <v>9.6</v>
      </c>
      <c r="CA27" s="62">
        <f t="shared" si="22"/>
        <v>26.200000000000003</v>
      </c>
      <c r="CB27" s="67">
        <v>1.3</v>
      </c>
      <c r="CC27" s="67">
        <v>2.2999999999999998</v>
      </c>
      <c r="CD27" s="67">
        <v>0.8</v>
      </c>
      <c r="CE27" s="62">
        <f t="shared" si="23"/>
        <v>4.3999999999999995</v>
      </c>
      <c r="CF27" s="67">
        <v>10.06</v>
      </c>
      <c r="CG27" s="67">
        <v>2.5</v>
      </c>
      <c r="CH27" s="67">
        <v>17.600000000000001</v>
      </c>
      <c r="CI27" s="67">
        <f t="shared" si="24"/>
        <v>30.160000000000004</v>
      </c>
      <c r="CJ27" s="71">
        <f t="shared" si="25"/>
        <v>63.960000000000008</v>
      </c>
      <c r="CK27" s="71">
        <v>11.2</v>
      </c>
      <c r="CL27" s="67">
        <v>1.1000000000000001</v>
      </c>
      <c r="CM27" s="67">
        <v>1.3</v>
      </c>
      <c r="CN27" s="62">
        <f t="shared" si="26"/>
        <v>13.6</v>
      </c>
      <c r="CO27" s="67">
        <v>4.5</v>
      </c>
      <c r="CP27" s="67">
        <v>1.8</v>
      </c>
      <c r="CQ27" s="67">
        <v>3.2</v>
      </c>
      <c r="CR27" s="62">
        <f t="shared" si="27"/>
        <v>9.5</v>
      </c>
      <c r="CS27" s="101">
        <v>1.8</v>
      </c>
      <c r="CT27" s="67">
        <v>1.5</v>
      </c>
      <c r="CU27" s="67">
        <v>2.1</v>
      </c>
      <c r="CV27" s="62">
        <f t="shared" si="28"/>
        <v>5.4</v>
      </c>
      <c r="CW27" s="67">
        <v>9.5</v>
      </c>
      <c r="CX27" s="67">
        <v>12.2</v>
      </c>
      <c r="CY27" s="112">
        <v>7.9</v>
      </c>
      <c r="CZ27" s="113">
        <f t="shared" si="29"/>
        <v>29.6</v>
      </c>
      <c r="DA27" s="62">
        <f t="shared" si="30"/>
        <v>58.1</v>
      </c>
      <c r="DB27" s="71">
        <v>1.3</v>
      </c>
      <c r="DC27" s="67">
        <v>6.7</v>
      </c>
      <c r="DD27" s="67">
        <v>15.2</v>
      </c>
      <c r="DE27" s="62">
        <f t="shared" si="31"/>
        <v>23.2</v>
      </c>
      <c r="DF27" s="71">
        <v>2.2999999999999998</v>
      </c>
      <c r="DG27" s="67">
        <v>4.8</v>
      </c>
      <c r="DH27" s="67">
        <v>1.7</v>
      </c>
      <c r="DI27" s="62">
        <f t="shared" si="32"/>
        <v>8.7999999999999989</v>
      </c>
      <c r="DJ27" s="71">
        <v>13.1</v>
      </c>
      <c r="DK27" s="67">
        <v>11.8</v>
      </c>
      <c r="DL27" s="67">
        <v>1.2</v>
      </c>
      <c r="DM27" s="62">
        <f t="shared" si="33"/>
        <v>26.099999999999998</v>
      </c>
      <c r="DN27" s="67">
        <v>25.5</v>
      </c>
      <c r="DO27" s="67">
        <v>5.5</v>
      </c>
      <c r="DP27" s="67">
        <v>38.799999999999997</v>
      </c>
      <c r="DQ27" s="113">
        <f t="shared" si="34"/>
        <v>69.8</v>
      </c>
      <c r="DR27" s="140">
        <f t="shared" si="35"/>
        <v>127.89999999999999</v>
      </c>
      <c r="DS27" s="141">
        <v>1</v>
      </c>
      <c r="DT27" s="141">
        <v>8.1</v>
      </c>
      <c r="DU27" s="141">
        <v>11.2</v>
      </c>
      <c r="DV27" s="140">
        <f t="shared" si="36"/>
        <v>20.299999999999997</v>
      </c>
      <c r="DW27" s="142">
        <v>2.4</v>
      </c>
      <c r="DX27" s="141">
        <v>5.4</v>
      </c>
      <c r="DY27" s="141">
        <v>0.3</v>
      </c>
      <c r="DZ27" s="140">
        <f t="shared" si="37"/>
        <v>8.1000000000000014</v>
      </c>
      <c r="EA27" s="142">
        <v>0.1</v>
      </c>
      <c r="EB27" s="141">
        <v>6.6</v>
      </c>
      <c r="EC27" s="141">
        <v>5.4</v>
      </c>
      <c r="ED27" s="140">
        <f t="shared" si="38"/>
        <v>12.1</v>
      </c>
      <c r="EE27" s="141">
        <v>1.4</v>
      </c>
      <c r="EF27" s="141">
        <v>32.4</v>
      </c>
      <c r="EG27" s="141">
        <v>7.8</v>
      </c>
      <c r="EH27" s="140">
        <f t="shared" si="39"/>
        <v>41.599999999999994</v>
      </c>
      <c r="EI27" s="140">
        <f t="shared" si="40"/>
        <v>82.1</v>
      </c>
      <c r="EJ27" s="141">
        <v>0.4</v>
      </c>
      <c r="EK27" s="141">
        <v>1.6</v>
      </c>
      <c r="EL27" s="141">
        <v>6.7</v>
      </c>
      <c r="EM27" s="140">
        <f t="shared" si="41"/>
        <v>8.6999999999999993</v>
      </c>
      <c r="EN27" s="141">
        <v>1.7</v>
      </c>
      <c r="EO27" s="141">
        <v>1.8</v>
      </c>
      <c r="EP27" s="141">
        <v>6.7</v>
      </c>
      <c r="EQ27" s="140">
        <f t="shared" si="42"/>
        <v>10.199999999999999</v>
      </c>
      <c r="ER27" s="141">
        <v>9.6999999999999993</v>
      </c>
      <c r="ES27" s="141">
        <v>8.3000000000000007</v>
      </c>
      <c r="ET27" s="141">
        <v>2.1</v>
      </c>
      <c r="EU27" s="140">
        <f t="shared" si="43"/>
        <v>20.100000000000001</v>
      </c>
      <c r="EV27" s="141">
        <v>3.9</v>
      </c>
      <c r="EW27" s="141">
        <v>6.5</v>
      </c>
      <c r="EX27" s="141">
        <v>17.0400970496</v>
      </c>
      <c r="EY27" s="140">
        <f t="shared" si="44"/>
        <v>27.440097049599999</v>
      </c>
      <c r="EZ27" s="169">
        <f t="shared" si="45"/>
        <v>66.440097049599999</v>
      </c>
      <c r="FA27" s="170"/>
      <c r="FB27" s="169">
        <v>6.2</v>
      </c>
      <c r="FC27" s="169">
        <v>1.6</v>
      </c>
      <c r="FD27" s="169">
        <v>8.5</v>
      </c>
      <c r="FE27" s="171">
        <f t="shared" si="46"/>
        <v>16.3</v>
      </c>
      <c r="FF27" s="169">
        <v>2.3276423695999999</v>
      </c>
      <c r="FG27" s="169">
        <v>37.339594086700004</v>
      </c>
      <c r="FH27" s="169">
        <v>1.7719512996</v>
      </c>
      <c r="FI27" s="171">
        <f t="shared" si="47"/>
        <v>41.439187755900001</v>
      </c>
      <c r="FJ27" s="169">
        <v>2.940310599</v>
      </c>
      <c r="FK27" s="169">
        <v>0.50882679929999997</v>
      </c>
      <c r="FL27" s="169">
        <v>11.7982257637</v>
      </c>
      <c r="FM27" s="171">
        <f t="shared" si="48"/>
        <v>15.247363161999999</v>
      </c>
      <c r="FN27" s="172">
        <v>11.641146749800001</v>
      </c>
      <c r="FO27" s="173">
        <v>0.21676817609999999</v>
      </c>
      <c r="FP27" s="174">
        <v>14.680622700000001</v>
      </c>
      <c r="FQ27" s="175">
        <f t="shared" si="49"/>
        <v>26.538537625900002</v>
      </c>
      <c r="FR27" s="175">
        <f t="shared" si="50"/>
        <v>99.52508854380001</v>
      </c>
      <c r="FS27" s="172">
        <v>3.1358216699999999</v>
      </c>
      <c r="FT27" s="173">
        <v>1.057892976</v>
      </c>
      <c r="FU27" s="174">
        <v>0.28534079470000001</v>
      </c>
      <c r="FV27" s="175">
        <f t="shared" si="51"/>
        <v>4.4790554406999998</v>
      </c>
      <c r="FW27" s="173">
        <v>0.91454809250000002</v>
      </c>
      <c r="FX27" s="173">
        <v>0.11503512959999999</v>
      </c>
      <c r="FY27" s="174">
        <v>1.3039188541</v>
      </c>
      <c r="FZ27" s="175">
        <f t="shared" si="52"/>
        <v>2.3335020762000003</v>
      </c>
      <c r="GA27" s="172">
        <v>7.8024220097000008</v>
      </c>
      <c r="GB27" s="173">
        <v>8.7130457214000003</v>
      </c>
      <c r="GC27" s="174">
        <v>5.1633721543000002</v>
      </c>
      <c r="GD27" s="175">
        <f t="shared" si="53"/>
        <v>21.678839885400002</v>
      </c>
      <c r="GE27" s="172">
        <v>5.78072560734</v>
      </c>
      <c r="GF27" s="173">
        <v>2.7665419341000002</v>
      </c>
      <c r="GG27" s="159">
        <v>17.5724783161</v>
      </c>
      <c r="GH27" s="174">
        <f t="shared" si="54"/>
        <v>26.11974585754</v>
      </c>
      <c r="GI27" s="174">
        <f t="shared" si="55"/>
        <v>54.611143259840006</v>
      </c>
      <c r="GJ27" s="221">
        <v>1.8056197008999999</v>
      </c>
      <c r="GK27" s="222">
        <v>8.3424049609999997</v>
      </c>
      <c r="GL27" s="223">
        <v>2.4585635449000001</v>
      </c>
      <c r="GM27" s="175">
        <f t="shared" ref="GM27:GM43" si="76">SUM(GJ27:GL27)</f>
        <v>12.6065882068</v>
      </c>
      <c r="GN27" s="222">
        <v>2.5003005225999999</v>
      </c>
      <c r="GO27" s="222">
        <v>2.5091114389883491</v>
      </c>
      <c r="GP27" s="223">
        <v>1.612524209143249</v>
      </c>
      <c r="GQ27" s="175">
        <f t="shared" ref="GQ27:GQ36" si="77">SUM(GN27:GP27)</f>
        <v>6.6219361707315976</v>
      </c>
      <c r="GR27" s="245">
        <v>3.9456931009532141</v>
      </c>
      <c r="GS27" s="222">
        <v>8.3648944785153709</v>
      </c>
      <c r="GT27" s="223">
        <v>4.5619727160932397</v>
      </c>
      <c r="GU27" s="175">
        <f t="shared" ref="GU27:GU36" si="78">SUM(GR27:GT27)</f>
        <v>16.872560295561826</v>
      </c>
      <c r="GV27" s="221">
        <v>8.1677453706068555</v>
      </c>
      <c r="GW27" s="222">
        <v>5.6060517507317078</v>
      </c>
      <c r="GX27" s="223">
        <v>7.2229499290613752</v>
      </c>
      <c r="GY27" s="174">
        <f t="shared" ref="GY27:GY36" si="79">SUM(GV27:GX27)</f>
        <v>20.996747050399939</v>
      </c>
      <c r="GZ27" s="159">
        <f t="shared" ref="GZ27:GZ37" si="80">GM27+GQ27+GU27+GY27</f>
        <v>57.097831723493364</v>
      </c>
      <c r="HA27" s="254">
        <v>3.0691500559540885</v>
      </c>
      <c r="HB27" s="160">
        <v>3.6843091878315954</v>
      </c>
      <c r="HC27" s="159">
        <v>13.760617213940179</v>
      </c>
      <c r="HD27" s="273">
        <f t="shared" si="61"/>
        <v>20.514076457725864</v>
      </c>
      <c r="HE27" s="160">
        <v>1.9714435031133428</v>
      </c>
      <c r="HF27" s="160">
        <v>5.1104329560643187</v>
      </c>
      <c r="HG27" s="159">
        <v>3.7622588436232465</v>
      </c>
      <c r="HH27" s="273">
        <f t="shared" si="72"/>
        <v>10.844135302800908</v>
      </c>
      <c r="HI27" s="279">
        <v>10.473654187792683</v>
      </c>
      <c r="HJ27" s="160">
        <v>2.0121718913997131</v>
      </c>
      <c r="HK27" s="159">
        <v>3.4487413904730273</v>
      </c>
      <c r="HL27" s="273">
        <f t="shared" si="63"/>
        <v>15.934567469665424</v>
      </c>
      <c r="HM27" s="254">
        <v>2.40665106849</v>
      </c>
      <c r="HN27" s="160">
        <v>17.270638639713344</v>
      </c>
      <c r="HO27" s="159">
        <v>16.248531019999998</v>
      </c>
      <c r="HP27" s="273">
        <f t="shared" si="64"/>
        <v>35.925820728203341</v>
      </c>
      <c r="HQ27" s="273">
        <f t="shared" si="65"/>
        <v>83.218599958395544</v>
      </c>
      <c r="HR27" s="254">
        <v>1.2559323600000001</v>
      </c>
      <c r="HS27" s="160">
        <v>3.697465687288378</v>
      </c>
      <c r="HT27" s="159">
        <v>2.7949267099999999</v>
      </c>
      <c r="HU27" s="273">
        <f t="shared" si="66"/>
        <v>7.748324757288378</v>
      </c>
      <c r="HV27" s="160">
        <v>5.8227972503012912</v>
      </c>
      <c r="HW27" s="160">
        <v>1.333980909225251</v>
      </c>
      <c r="HX27" s="159">
        <v>6.3020062301578186</v>
      </c>
      <c r="HY27" s="273">
        <f t="shared" si="67"/>
        <v>13.458784389684361</v>
      </c>
      <c r="HZ27" s="280">
        <v>5.6289048099999999</v>
      </c>
      <c r="IA27" s="160">
        <v>0.24978317449067433</v>
      </c>
      <c r="IB27" s="159">
        <v>9.3260351300000011</v>
      </c>
      <c r="IC27" s="273">
        <f t="shared" ref="IC27:IC43" si="81">SUM(HZ27:IB27)</f>
        <v>15.204723114490676</v>
      </c>
      <c r="ID27" s="254">
        <v>4.0285883</v>
      </c>
      <c r="IE27" s="160">
        <v>30.438170070000002</v>
      </c>
      <c r="IF27" s="159">
        <v>14.72428318</v>
      </c>
      <c r="IG27" s="273">
        <f t="shared" si="69"/>
        <v>49.191041550000001</v>
      </c>
      <c r="IH27" s="273">
        <v>85.602873811463411</v>
      </c>
      <c r="II27" s="254">
        <v>1.1749748499999999</v>
      </c>
      <c r="IJ27" s="160">
        <v>2.0531783300000002</v>
      </c>
      <c r="IK27" s="159">
        <v>4.3564512299999993</v>
      </c>
      <c r="IL27" s="273">
        <v>7.584604409999999</v>
      </c>
      <c r="IM27" s="254">
        <v>2.7530313200000003</v>
      </c>
      <c r="IN27" s="160">
        <v>1.1140757000000001</v>
      </c>
      <c r="IO27" s="160">
        <v>17.308368570000003</v>
      </c>
      <c r="IP27" s="273">
        <v>21.175475590000005</v>
      </c>
      <c r="IQ27" s="254">
        <v>4.2233559099999995</v>
      </c>
      <c r="IR27" s="160">
        <v>0.6486163800000001</v>
      </c>
      <c r="IS27" s="159">
        <v>1.6591814</v>
      </c>
      <c r="IT27" s="273">
        <v>6.53115369</v>
      </c>
      <c r="IU27" s="254">
        <v>19.052449393042217</v>
      </c>
      <c r="IV27" s="160">
        <v>4.6854620040524786</v>
      </c>
      <c r="IW27" s="159">
        <v>6.8559255805247705</v>
      </c>
      <c r="IX27" s="273">
        <v>30.593836977619468</v>
      </c>
      <c r="IY27" s="273">
        <v>65.885070667619459</v>
      </c>
      <c r="IZ27" s="254">
        <v>0.45256622999999996</v>
      </c>
      <c r="JA27" s="160">
        <v>7.1431171999999998</v>
      </c>
      <c r="JB27" s="159">
        <v>2.1951893500000002</v>
      </c>
      <c r="JC27" s="273">
        <v>9.7908727799999991</v>
      </c>
      <c r="JD27" s="254">
        <v>8.9337727099999995</v>
      </c>
      <c r="JE27" s="160">
        <v>33.1660471</v>
      </c>
      <c r="JF27" s="159">
        <v>6.5586577300000002</v>
      </c>
      <c r="JG27" s="273">
        <v>48.65847754</v>
      </c>
      <c r="JH27" s="254">
        <v>1.4770683200000001</v>
      </c>
      <c r="JI27" s="160">
        <v>3.3841997800000003</v>
      </c>
      <c r="JJ27" s="159">
        <v>5.3487034799999993</v>
      </c>
      <c r="JK27" s="273">
        <v>10.209971579999999</v>
      </c>
      <c r="JL27" s="254">
        <v>10.916606460000001</v>
      </c>
      <c r="JM27" s="160">
        <v>7.8024627500000001</v>
      </c>
      <c r="JN27" s="159">
        <v>25.45790873</v>
      </c>
      <c r="JO27" s="273">
        <v>44.17697794</v>
      </c>
      <c r="JP27" s="273">
        <v>112.83629984</v>
      </c>
      <c r="JQ27" s="254">
        <v>1.3200783300000001</v>
      </c>
      <c r="JR27" s="160">
        <v>15.173803490000001</v>
      </c>
      <c r="JS27" s="159">
        <v>11.23830813</v>
      </c>
      <c r="JT27" s="273">
        <v>27.732189950000002</v>
      </c>
      <c r="JU27" s="254">
        <v>1.4943423899999999</v>
      </c>
      <c r="JV27" s="160">
        <v>4.5973766500000002</v>
      </c>
      <c r="JW27" s="159">
        <v>5.4126086400000002</v>
      </c>
      <c r="JX27" s="273">
        <v>11.504327679999999</v>
      </c>
      <c r="JY27" s="254">
        <v>7.9843093799999991</v>
      </c>
      <c r="JZ27" s="160">
        <v>11.549266149999999</v>
      </c>
      <c r="KA27" s="159">
        <v>1.5986968699999999</v>
      </c>
      <c r="KB27" s="273">
        <v>21.132272400000002</v>
      </c>
      <c r="KC27" s="254">
        <v>7.8916981600000007</v>
      </c>
      <c r="KD27" s="160">
        <v>14.508111209999999</v>
      </c>
      <c r="KE27" s="159">
        <v>15.918499800000001</v>
      </c>
      <c r="KF27" s="273">
        <v>38.318309169999999</v>
      </c>
      <c r="KG27" s="273">
        <v>98.687099200000006</v>
      </c>
      <c r="KH27" s="221">
        <v>0.60579366000000001</v>
      </c>
      <c r="KI27" s="222">
        <v>3.14193422</v>
      </c>
      <c r="KJ27" s="223">
        <v>3.5732992600000002</v>
      </c>
      <c r="KK27" s="273">
        <v>7.32102714</v>
      </c>
      <c r="KL27" s="221">
        <v>5.1908211500000006</v>
      </c>
      <c r="KM27" s="222">
        <v>4.3115981800000007</v>
      </c>
      <c r="KN27" s="223">
        <v>16.767719910000004</v>
      </c>
      <c r="KO27" s="273">
        <v>26.270139240000006</v>
      </c>
      <c r="KP27" s="221">
        <v>6.7344010700000005</v>
      </c>
      <c r="KQ27" s="222">
        <v>1.56792281</v>
      </c>
      <c r="KR27" s="223">
        <v>1.4371958899999999</v>
      </c>
      <c r="KS27" s="273">
        <v>9.7395197700000011</v>
      </c>
      <c r="KT27" s="254">
        <v>1.2056028399999998</v>
      </c>
      <c r="KU27" s="160">
        <v>4.91236695</v>
      </c>
      <c r="KV27" s="159">
        <v>18.268986309999999</v>
      </c>
      <c r="KW27" s="273">
        <v>24.386956099999999</v>
      </c>
      <c r="KX27" s="273">
        <v>67.717642250000011</v>
      </c>
      <c r="KY27" s="221">
        <v>0.37142316000000003</v>
      </c>
      <c r="KZ27" s="222">
        <v>0.79350692999999994</v>
      </c>
      <c r="LA27" s="223">
        <v>9.8490623500000005</v>
      </c>
      <c r="LB27" s="273">
        <v>11.013992440000001</v>
      </c>
      <c r="LC27" s="221">
        <v>2.5533669200000002</v>
      </c>
      <c r="LD27" s="222">
        <v>7.39356028</v>
      </c>
      <c r="LE27" s="223">
        <v>3.9137448999999997</v>
      </c>
      <c r="LF27" s="273">
        <v>13.8606721</v>
      </c>
      <c r="LG27" s="221">
        <v>0.70652548999999998</v>
      </c>
      <c r="LH27" s="222">
        <v>3.0931285900000001</v>
      </c>
      <c r="LI27" s="223">
        <v>12.243230970000001</v>
      </c>
      <c r="LJ27" s="273">
        <v>16.042885050000002</v>
      </c>
      <c r="LK27" s="254">
        <v>12.475896030000001</v>
      </c>
      <c r="LL27" s="160">
        <v>1.23330385</v>
      </c>
      <c r="LM27" s="159">
        <v>24.334643660000001</v>
      </c>
      <c r="LN27" s="273">
        <v>38.043843540000005</v>
      </c>
      <c r="LO27" s="273">
        <v>78.961393130000005</v>
      </c>
    </row>
    <row r="28" spans="1:327" ht="17.100000000000001" customHeight="1" x14ac:dyDescent="0.2">
      <c r="A28" s="74" t="s">
        <v>107</v>
      </c>
      <c r="B28" s="24"/>
      <c r="C28" s="5">
        <v>2107.9499999999998</v>
      </c>
      <c r="D28" s="5">
        <v>281.10000000000002</v>
      </c>
      <c r="E28" s="5">
        <v>256</v>
      </c>
      <c r="F28" s="5">
        <v>272.5</v>
      </c>
      <c r="G28" s="5">
        <v>809.6</v>
      </c>
      <c r="H28" s="5">
        <v>343.6</v>
      </c>
      <c r="I28" s="5">
        <v>321.10000000000002</v>
      </c>
      <c r="J28" s="5">
        <v>276.89999999999998</v>
      </c>
      <c r="K28" s="5">
        <v>941.6</v>
      </c>
      <c r="L28" s="5">
        <v>358.8</v>
      </c>
      <c r="M28" s="5">
        <f>M29+M30</f>
        <v>267.5</v>
      </c>
      <c r="N28" s="5">
        <f>N29+N30</f>
        <v>330.2</v>
      </c>
      <c r="O28" s="5">
        <f t="shared" si="0"/>
        <v>956.5</v>
      </c>
      <c r="P28" s="5">
        <f>P29+P30</f>
        <v>374.5</v>
      </c>
      <c r="Q28" s="5">
        <f>Q29+Q30</f>
        <v>296.90000000000003</v>
      </c>
      <c r="R28" s="5">
        <f>R29+R30</f>
        <v>400.29999999999995</v>
      </c>
      <c r="S28" s="5">
        <f t="shared" si="1"/>
        <v>1071.7</v>
      </c>
      <c r="T28" s="16">
        <f t="shared" si="7"/>
        <v>3779.4</v>
      </c>
      <c r="U28" s="5">
        <f>U29+U30</f>
        <v>367.9</v>
      </c>
      <c r="V28" s="5">
        <f>V29+V30</f>
        <v>331</v>
      </c>
      <c r="W28" s="5">
        <f>W29+W30</f>
        <v>474.7</v>
      </c>
      <c r="X28" s="4">
        <f t="shared" ref="X28:X48" si="82">U28+V28+W28</f>
        <v>1173.5999999999999</v>
      </c>
      <c r="Y28" s="5">
        <f>Y29+Y30</f>
        <v>323.5</v>
      </c>
      <c r="Z28" s="5">
        <f>Z29+Z30</f>
        <v>142.5</v>
      </c>
      <c r="AA28" s="5">
        <f>AA29+AA30</f>
        <v>93.9</v>
      </c>
      <c r="AB28" s="5">
        <f t="shared" ref="AB28:AB48" si="83">Y28+Z28+AA28</f>
        <v>559.9</v>
      </c>
      <c r="AC28" s="5">
        <f>AC29+AC30</f>
        <v>196.12</v>
      </c>
      <c r="AD28" s="5">
        <f>AD29+AD30</f>
        <v>73.122000000000014</v>
      </c>
      <c r="AE28" s="5">
        <f>AE29+AE30</f>
        <v>123.3</v>
      </c>
      <c r="AF28" s="5">
        <f t="shared" ref="AF28:AF48" si="84">AC28+AD28+AE28</f>
        <v>392.54200000000003</v>
      </c>
      <c r="AG28" s="5">
        <f>AG29+AG30</f>
        <v>114.5</v>
      </c>
      <c r="AH28" s="5">
        <f>AH29+AH30</f>
        <v>106.19500000000001</v>
      </c>
      <c r="AI28" s="5">
        <f>AI29+AI30</f>
        <v>156.80000000000001</v>
      </c>
      <c r="AJ28" s="5">
        <f t="shared" si="8"/>
        <v>377.495</v>
      </c>
      <c r="AK28" s="16">
        <f t="shared" si="9"/>
        <v>2503.5369999999998</v>
      </c>
      <c r="AL28" s="5">
        <f t="shared" ref="AL28:AT28" si="85">AL29+AL30</f>
        <v>96.9</v>
      </c>
      <c r="AM28" s="5">
        <f t="shared" si="85"/>
        <v>107.7</v>
      </c>
      <c r="AN28" s="5">
        <f t="shared" si="85"/>
        <v>97.200000000000017</v>
      </c>
      <c r="AO28" s="5">
        <f t="shared" si="11"/>
        <v>301.80000000000007</v>
      </c>
      <c r="AP28" s="5">
        <f t="shared" si="85"/>
        <v>82.5</v>
      </c>
      <c r="AQ28" s="5">
        <f t="shared" si="85"/>
        <v>140.00200000000001</v>
      </c>
      <c r="AR28" s="5">
        <f t="shared" si="85"/>
        <v>103.73899999999999</v>
      </c>
      <c r="AS28" s="54">
        <f t="shared" si="12"/>
        <v>326.24099999999999</v>
      </c>
      <c r="AT28" s="5">
        <f t="shared" si="85"/>
        <v>85.3</v>
      </c>
      <c r="AU28" s="5">
        <f>AU29+AU30</f>
        <v>67.11</v>
      </c>
      <c r="AV28" s="5">
        <f>AV29+AV30</f>
        <v>54.225411329999993</v>
      </c>
      <c r="AW28" s="54">
        <f t="shared" si="13"/>
        <v>206.63541132999998</v>
      </c>
      <c r="AX28" s="5">
        <f>AX29+AX30</f>
        <v>59.400000000000006</v>
      </c>
      <c r="AY28" s="5">
        <f>AY29+AY30</f>
        <v>70.5</v>
      </c>
      <c r="AZ28" s="5">
        <f>AZ29+AZ30</f>
        <v>216.1</v>
      </c>
      <c r="BA28" s="54">
        <f t="shared" si="14"/>
        <v>346</v>
      </c>
      <c r="BB28" s="54">
        <f t="shared" si="15"/>
        <v>1180.6764113300001</v>
      </c>
      <c r="BC28" s="5">
        <f>BC29+BC30</f>
        <v>167.14331922999997</v>
      </c>
      <c r="BD28" s="66">
        <f>BD29+BD30</f>
        <v>139.91195571999998</v>
      </c>
      <c r="BE28" s="66">
        <f>BE29+BE30</f>
        <v>102.53872709000001</v>
      </c>
      <c r="BF28" s="62">
        <f t="shared" si="73"/>
        <v>409.59400203999996</v>
      </c>
      <c r="BG28" s="67">
        <f>BG29+BG30</f>
        <v>60.270225690000004</v>
      </c>
      <c r="BH28" s="67">
        <f>BH29+BH30</f>
        <v>107.99518999999998</v>
      </c>
      <c r="BI28" s="67">
        <f>BI29+BI30</f>
        <v>84.846820000000008</v>
      </c>
      <c r="BJ28" s="62">
        <f t="shared" si="74"/>
        <v>253.11223569000001</v>
      </c>
      <c r="BK28" s="67">
        <f>BK29+BK30</f>
        <v>65.460539999999995</v>
      </c>
      <c r="BL28" s="67">
        <f>BL29+BL30</f>
        <v>80.992699999999999</v>
      </c>
      <c r="BM28" s="67">
        <f>BM29+BM30</f>
        <v>87.837067999999988</v>
      </c>
      <c r="BN28" s="62">
        <f t="shared" si="18"/>
        <v>234.29030799999998</v>
      </c>
      <c r="BO28" s="71">
        <f>BO29+BO30</f>
        <v>68.079130300000003</v>
      </c>
      <c r="BP28" s="67">
        <f>BP29+BP30</f>
        <v>65.223759999999999</v>
      </c>
      <c r="BQ28" s="67">
        <f>BQ29+BQ30</f>
        <v>83.70492999999999</v>
      </c>
      <c r="BR28" s="62">
        <f t="shared" si="19"/>
        <v>217.00782029999999</v>
      </c>
      <c r="BS28" s="62">
        <f t="shared" si="20"/>
        <v>1114.00436603</v>
      </c>
      <c r="BT28" s="67">
        <f>BT29+BT30</f>
        <v>62.1</v>
      </c>
      <c r="BU28" s="67">
        <f>BU29+BU30</f>
        <v>28.802</v>
      </c>
      <c r="BV28" s="67">
        <f>BV29+BV30</f>
        <v>62.403999999999996</v>
      </c>
      <c r="BW28" s="62">
        <f t="shared" si="21"/>
        <v>153.30599999999998</v>
      </c>
      <c r="BX28" s="67">
        <f>BX29+BX30</f>
        <v>74.251999999999995</v>
      </c>
      <c r="BY28" s="67">
        <f>BY29+BY30</f>
        <v>79.801000000000002</v>
      </c>
      <c r="BZ28" s="67">
        <f>BZ29+BZ30</f>
        <v>30.001000000000001</v>
      </c>
      <c r="CA28" s="62">
        <f t="shared" si="22"/>
        <v>184.054</v>
      </c>
      <c r="CB28" s="67">
        <f>CB29+CB30</f>
        <v>69.596000000000004</v>
      </c>
      <c r="CC28" s="67">
        <f>CC29+CC30</f>
        <v>6.0000000000037801E-3</v>
      </c>
      <c r="CD28" s="67">
        <f>CD29+CD30</f>
        <v>40.480000000000004</v>
      </c>
      <c r="CE28" s="62">
        <f t="shared" si="23"/>
        <v>110.08200000000001</v>
      </c>
      <c r="CF28" s="67">
        <f>CF29+CF30</f>
        <v>49.401999999999994</v>
      </c>
      <c r="CG28" s="67">
        <f>CG29+CG30</f>
        <v>52.201999999999998</v>
      </c>
      <c r="CH28" s="67">
        <f>CH29+CH30</f>
        <v>27.099000000000004</v>
      </c>
      <c r="CI28" s="67">
        <f t="shared" si="24"/>
        <v>128.70299999999997</v>
      </c>
      <c r="CJ28" s="71">
        <f t="shared" si="25"/>
        <v>576.14499999999998</v>
      </c>
      <c r="CK28" s="71">
        <f>CK29+CK30</f>
        <v>52.749000000000002</v>
      </c>
      <c r="CL28" s="67">
        <f>CL29+CL30</f>
        <v>18.402000000000001</v>
      </c>
      <c r="CM28" s="67">
        <f>CM29+CM30</f>
        <v>37.597999999999999</v>
      </c>
      <c r="CN28" s="62">
        <f t="shared" si="26"/>
        <v>108.74900000000001</v>
      </c>
      <c r="CO28" s="67">
        <f>CO29+CO30</f>
        <v>19.344999999999999</v>
      </c>
      <c r="CP28" s="67">
        <f>CP29+CP30</f>
        <v>75.037999999999997</v>
      </c>
      <c r="CQ28" s="67">
        <f>CQ29+CQ30</f>
        <v>86.2</v>
      </c>
      <c r="CR28" s="62">
        <f t="shared" si="27"/>
        <v>180.583</v>
      </c>
      <c r="CS28" s="101">
        <f>CS29+CS30</f>
        <v>386.32</v>
      </c>
      <c r="CT28" s="67">
        <f>CT29+CT30</f>
        <v>183.1</v>
      </c>
      <c r="CU28" s="67">
        <f>CU29+CU30</f>
        <v>121.84899999999999</v>
      </c>
      <c r="CV28" s="62">
        <f t="shared" si="28"/>
        <v>691.26900000000001</v>
      </c>
      <c r="CW28" s="67">
        <f>CW29+CW30</f>
        <v>63.997</v>
      </c>
      <c r="CX28" s="67">
        <f>CX29+CX30</f>
        <v>79</v>
      </c>
      <c r="CY28" s="112">
        <f>CY29+CY30</f>
        <v>31.799999999999997</v>
      </c>
      <c r="CZ28" s="113">
        <f t="shared" si="29"/>
        <v>174.79700000000003</v>
      </c>
      <c r="DA28" s="62">
        <f t="shared" si="30"/>
        <v>1155.3980000000001</v>
      </c>
      <c r="DB28" s="71">
        <f>DB29+DB30</f>
        <v>117.902</v>
      </c>
      <c r="DC28" s="67">
        <f>DC29+DC30</f>
        <v>67.7</v>
      </c>
      <c r="DD28" s="67">
        <f>DD29+DD30</f>
        <v>74.09899999999999</v>
      </c>
      <c r="DE28" s="62">
        <f t="shared" si="31"/>
        <v>259.70100000000002</v>
      </c>
      <c r="DF28" s="71">
        <f>DF29+DF30</f>
        <v>31.877000000000002</v>
      </c>
      <c r="DG28" s="67">
        <f>DG29+DG30</f>
        <v>21.451000000000001</v>
      </c>
      <c r="DH28" s="67">
        <f>DH29+DH30</f>
        <v>50.350000000000009</v>
      </c>
      <c r="DI28" s="62">
        <f t="shared" si="32"/>
        <v>103.67800000000001</v>
      </c>
      <c r="DJ28" s="71">
        <f>DJ29+DJ30</f>
        <v>6.1520000000000001</v>
      </c>
      <c r="DK28" s="67">
        <f>DK29+DK30</f>
        <v>2.6950000000000021</v>
      </c>
      <c r="DL28" s="67">
        <f>DL29+DL30</f>
        <v>18.464000000000002</v>
      </c>
      <c r="DM28" s="62">
        <f t="shared" si="33"/>
        <v>27.311000000000003</v>
      </c>
      <c r="DN28" s="67">
        <f>DN29+DN30</f>
        <v>337.8</v>
      </c>
      <c r="DO28" s="67">
        <f>DO29+DO30</f>
        <v>24</v>
      </c>
      <c r="DP28" s="67">
        <f>DP29+DP30</f>
        <v>52.6</v>
      </c>
      <c r="DQ28" s="113">
        <f t="shared" si="34"/>
        <v>414.40000000000003</v>
      </c>
      <c r="DR28" s="140">
        <f t="shared" si="35"/>
        <v>805.09</v>
      </c>
      <c r="DS28" s="141">
        <f>DS29+DS30</f>
        <v>62.4</v>
      </c>
      <c r="DT28" s="141">
        <f>DT29+DT30</f>
        <v>14.449000000000003</v>
      </c>
      <c r="DU28" s="141">
        <f>DU29+DU30</f>
        <v>28.478999999999999</v>
      </c>
      <c r="DV28" s="140">
        <f t="shared" si="36"/>
        <v>105.328</v>
      </c>
      <c r="DW28" s="142">
        <f>DW29+DW30</f>
        <v>73.599999999999994</v>
      </c>
      <c r="DX28" s="141">
        <f>DX29+DX30</f>
        <v>90.6</v>
      </c>
      <c r="DY28" s="141">
        <f>DY29+DY30</f>
        <v>82.36099999999999</v>
      </c>
      <c r="DZ28" s="140">
        <f t="shared" si="37"/>
        <v>246.56099999999998</v>
      </c>
      <c r="EA28" s="142">
        <f>EA29+EA30</f>
        <v>151.959</v>
      </c>
      <c r="EB28" s="141">
        <f>EB29+EB30</f>
        <v>30.428999999999998</v>
      </c>
      <c r="EC28" s="141">
        <f>EC29+EC30</f>
        <v>2.1469999999999971</v>
      </c>
      <c r="ED28" s="140">
        <f t="shared" si="38"/>
        <v>184.535</v>
      </c>
      <c r="EE28" s="141">
        <f>EE29+EE30</f>
        <v>60.884999999999991</v>
      </c>
      <c r="EF28" s="141">
        <f>EF29+EF30</f>
        <v>43.460999999999999</v>
      </c>
      <c r="EG28" s="141">
        <f>EG29+EG30</f>
        <v>111.6</v>
      </c>
      <c r="EH28" s="140">
        <f t="shared" si="39"/>
        <v>215.94599999999997</v>
      </c>
      <c r="EI28" s="140">
        <f t="shared" si="40"/>
        <v>752.36999999999989</v>
      </c>
      <c r="EJ28" s="141">
        <f>EJ29+EJ30</f>
        <v>21.9</v>
      </c>
      <c r="EK28" s="141">
        <f>EK29+EK30</f>
        <v>39.099000000000004</v>
      </c>
      <c r="EL28" s="141">
        <f>EL29+EL30</f>
        <v>22.726000000000003</v>
      </c>
      <c r="EM28" s="140">
        <f t="shared" si="41"/>
        <v>83.725000000000009</v>
      </c>
      <c r="EN28" s="141">
        <f>EN29+EN30</f>
        <v>120.09399999999999</v>
      </c>
      <c r="EO28" s="141">
        <f>EO29+EO30</f>
        <v>212.6</v>
      </c>
      <c r="EP28" s="141">
        <f>EP29+EP30</f>
        <v>149.69999999999999</v>
      </c>
      <c r="EQ28" s="140">
        <f t="shared" si="42"/>
        <v>482.39399999999995</v>
      </c>
      <c r="ER28" s="141">
        <f>ER29+ER30</f>
        <v>153.5</v>
      </c>
      <c r="ES28" s="141">
        <f>ES29+ES30</f>
        <v>133.25399999999999</v>
      </c>
      <c r="ET28" s="141">
        <f>ET29+ET30</f>
        <v>97.1</v>
      </c>
      <c r="EU28" s="140">
        <f t="shared" si="43"/>
        <v>383.85400000000004</v>
      </c>
      <c r="EV28" s="141">
        <f>EV29+EV30</f>
        <v>191.6</v>
      </c>
      <c r="EW28" s="141">
        <f>EW29+EW30</f>
        <v>222.5</v>
      </c>
      <c r="EX28" s="141">
        <f>EX29+EX30</f>
        <v>226.82125500000001</v>
      </c>
      <c r="EY28" s="140">
        <f t="shared" si="44"/>
        <v>640.92125499999997</v>
      </c>
      <c r="EZ28" s="169">
        <f t="shared" si="45"/>
        <v>1590.8942549999999</v>
      </c>
      <c r="FA28" s="170"/>
      <c r="FB28" s="169">
        <f>FB29+FB30</f>
        <v>154.9</v>
      </c>
      <c r="FC28" s="169">
        <f>FC29+FC30</f>
        <v>142.6</v>
      </c>
      <c r="FD28" s="169">
        <f>FD29+FD30</f>
        <v>139.5</v>
      </c>
      <c r="FE28" s="171">
        <f t="shared" si="46"/>
        <v>437</v>
      </c>
      <c r="FF28" s="169">
        <f>FF29+FF30</f>
        <v>237.10136</v>
      </c>
      <c r="FG28" s="169">
        <f>FG29+FG30</f>
        <v>293.32163700000001</v>
      </c>
      <c r="FH28" s="169">
        <f>FH29+FH30</f>
        <v>213.227608</v>
      </c>
      <c r="FI28" s="171">
        <f t="shared" si="47"/>
        <v>743.65060500000004</v>
      </c>
      <c r="FJ28" s="169">
        <f>FJ29+FJ30</f>
        <v>227.57776099999998</v>
      </c>
      <c r="FK28" s="169">
        <f>FK29+FK30</f>
        <v>183.51082299999999</v>
      </c>
      <c r="FL28" s="169">
        <f>FL29+FL30</f>
        <v>195.61731600000002</v>
      </c>
      <c r="FM28" s="171">
        <f t="shared" si="48"/>
        <v>606.70589999999993</v>
      </c>
      <c r="FN28" s="172">
        <f>FN29+FN30</f>
        <v>177.572497</v>
      </c>
      <c r="FO28" s="173">
        <f>FO29+FO30</f>
        <v>157.427449</v>
      </c>
      <c r="FP28" s="173">
        <f>FP29+FP30</f>
        <v>269.65855199999999</v>
      </c>
      <c r="FQ28" s="175">
        <f t="shared" si="49"/>
        <v>604.65849800000001</v>
      </c>
      <c r="FR28" s="175">
        <f t="shared" si="50"/>
        <v>2392.015003</v>
      </c>
      <c r="FS28" s="172">
        <f>FS29+FS30</f>
        <v>153.005109</v>
      </c>
      <c r="FT28" s="173">
        <f>FT29+FT30</f>
        <v>170.21266700000001</v>
      </c>
      <c r="FU28" s="174">
        <f>FU29+FU30</f>
        <v>200.70475999999999</v>
      </c>
      <c r="FV28" s="175">
        <f t="shared" si="51"/>
        <v>523.92253600000004</v>
      </c>
      <c r="FW28" s="172">
        <f>FW29+FW30</f>
        <v>258.67401799999999</v>
      </c>
      <c r="FX28" s="173">
        <f>FX29+FX30</f>
        <v>232.22552999999999</v>
      </c>
      <c r="FY28" s="173">
        <f>FY29+FY30</f>
        <v>162.14455599999999</v>
      </c>
      <c r="FZ28" s="175">
        <f t="shared" si="52"/>
        <v>653.04410399999995</v>
      </c>
      <c r="GA28" s="172">
        <f>GA29+GA30</f>
        <v>227.75434000000001</v>
      </c>
      <c r="GB28" s="173">
        <f>GB29+GB30</f>
        <v>279.93793899999997</v>
      </c>
      <c r="GC28" s="174">
        <f>GC29+GC30</f>
        <v>226.46488500000001</v>
      </c>
      <c r="GD28" s="175">
        <f t="shared" si="53"/>
        <v>734.15716399999997</v>
      </c>
      <c r="GE28" s="172">
        <f>GE29+GE30</f>
        <v>71.930202999999992</v>
      </c>
      <c r="GF28" s="173">
        <f>GF29+GF30</f>
        <v>54.978391000000002</v>
      </c>
      <c r="GG28" s="159">
        <f>GG29+GG30</f>
        <v>105.00730979900001</v>
      </c>
      <c r="GH28" s="174">
        <f t="shared" si="54"/>
        <v>231.91590379900001</v>
      </c>
      <c r="GI28" s="174">
        <f t="shared" si="55"/>
        <v>2143.0397077990001</v>
      </c>
      <c r="GJ28" s="221">
        <f>GJ29+GJ30</f>
        <v>93.700555819999991</v>
      </c>
      <c r="GK28" s="222">
        <f>GK29+GK30</f>
        <v>108.15823599999999</v>
      </c>
      <c r="GL28" s="223">
        <f>GL29+GL30</f>
        <v>70.595200000000006</v>
      </c>
      <c r="GM28" s="175">
        <f t="shared" si="76"/>
        <v>272.45399181999994</v>
      </c>
      <c r="GN28" s="221">
        <f>GN29+GN30</f>
        <v>111.08913576</v>
      </c>
      <c r="GO28" s="222">
        <f>GO29+GO30</f>
        <v>115.70042391999999</v>
      </c>
      <c r="GP28" s="222">
        <f>GP29+GP30</f>
        <v>69.358461000000005</v>
      </c>
      <c r="GQ28" s="175">
        <f t="shared" si="77"/>
        <v>296.14802068</v>
      </c>
      <c r="GR28" s="222">
        <f>GR29+GR30</f>
        <v>142.27972044000001</v>
      </c>
      <c r="GS28" s="222">
        <f>GS29+GS30</f>
        <v>72.760418000000001</v>
      </c>
      <c r="GT28" s="222">
        <f>GT29+GT30</f>
        <v>80.377164020042784</v>
      </c>
      <c r="GU28" s="175">
        <f t="shared" si="78"/>
        <v>295.41730246004283</v>
      </c>
      <c r="GV28" s="221">
        <f>GV29+GV30</f>
        <v>28.287953999999999</v>
      </c>
      <c r="GW28" s="222">
        <f>GW29+GW30</f>
        <v>21.264611000000002</v>
      </c>
      <c r="GX28" s="223">
        <f>GX29+GX30</f>
        <v>45.1253555595409</v>
      </c>
      <c r="GY28" s="174">
        <f t="shared" si="79"/>
        <v>94.677920559540894</v>
      </c>
      <c r="GZ28" s="159">
        <v>974.15947651958368</v>
      </c>
      <c r="HA28" s="254">
        <f>HA29+HA30</f>
        <v>111.95097899999999</v>
      </c>
      <c r="HB28" s="160">
        <f>HB29+HB30</f>
        <v>103.133729</v>
      </c>
      <c r="HC28" s="159">
        <f>HC29+HC30</f>
        <v>75.915643999999986</v>
      </c>
      <c r="HD28" s="273">
        <f t="shared" si="61"/>
        <v>291.00035199999996</v>
      </c>
      <c r="HE28" s="254">
        <f>HE29+HE30</f>
        <v>34.138345999999999</v>
      </c>
      <c r="HF28" s="160">
        <f>HF29+HF30</f>
        <v>24.753822</v>
      </c>
      <c r="HG28" s="160">
        <f>HG29+HG30</f>
        <v>42.75112</v>
      </c>
      <c r="HH28" s="273">
        <f t="shared" si="72"/>
        <v>101.643288</v>
      </c>
      <c r="HI28" s="160">
        <f>HI29+HI30</f>
        <v>52.484558</v>
      </c>
      <c r="HJ28" s="160">
        <f>HJ29+HJ30</f>
        <v>58.236367999999999</v>
      </c>
      <c r="HK28" s="160">
        <f>HK29+HK30</f>
        <v>41.458674999999999</v>
      </c>
      <c r="HL28" s="273">
        <f t="shared" si="63"/>
        <v>152.17960099999999</v>
      </c>
      <c r="HM28" s="254">
        <f>HM29+HM30</f>
        <v>33.291907999999999</v>
      </c>
      <c r="HN28" s="160">
        <f>HN29+HN30</f>
        <v>27.762767</v>
      </c>
      <c r="HO28" s="159">
        <f>HO29+HO30</f>
        <v>34.655577999999998</v>
      </c>
      <c r="HP28" s="273">
        <f t="shared" si="64"/>
        <v>95.710252999999994</v>
      </c>
      <c r="HQ28" s="273">
        <v>644.93349399999988</v>
      </c>
      <c r="HR28" s="254">
        <f>HR29+HR30</f>
        <v>72.368379140000002</v>
      </c>
      <c r="HS28" s="160">
        <f>HS29+HS30</f>
        <v>100.81262000000001</v>
      </c>
      <c r="HT28" s="159">
        <f>HT29+HT30</f>
        <v>70.509324000000007</v>
      </c>
      <c r="HU28" s="273">
        <f t="shared" si="66"/>
        <v>243.69032314000003</v>
      </c>
      <c r="HV28" s="254">
        <f>HV29+HV30</f>
        <v>21.602</v>
      </c>
      <c r="HW28" s="160">
        <f>HW29+HW30</f>
        <v>34.404390000000006</v>
      </c>
      <c r="HX28" s="160">
        <f>HX29+HX30</f>
        <v>44.886347999999998</v>
      </c>
      <c r="HY28" s="273">
        <f t="shared" si="67"/>
        <v>100.89273800000001</v>
      </c>
      <c r="HZ28" s="160">
        <f>HZ29+HZ30</f>
        <v>24.638424999999998</v>
      </c>
      <c r="IA28" s="160">
        <f>IA29+IA30</f>
        <v>32.082148000000004</v>
      </c>
      <c r="IB28" s="160">
        <f>IB29+IB30</f>
        <v>22.475607</v>
      </c>
      <c r="IC28" s="273">
        <f t="shared" si="81"/>
        <v>79.196179999999998</v>
      </c>
      <c r="ID28" s="254">
        <f>ID29+ID30</f>
        <v>20.884723000000001</v>
      </c>
      <c r="IE28" s="160">
        <f>IE29+IE30</f>
        <v>41.819327999999999</v>
      </c>
      <c r="IF28" s="159">
        <f>IF29+IF30</f>
        <v>174.99063000000001</v>
      </c>
      <c r="IG28" s="273">
        <f t="shared" si="69"/>
        <v>237.694681</v>
      </c>
      <c r="IH28" s="273">
        <v>661.47392214000001</v>
      </c>
      <c r="II28" s="254">
        <v>279.18987900000002</v>
      </c>
      <c r="IJ28" s="160">
        <v>126.233553</v>
      </c>
      <c r="IK28" s="159">
        <v>49.015015999999996</v>
      </c>
      <c r="IL28" s="273">
        <v>454.43844800000005</v>
      </c>
      <c r="IM28" s="254">
        <v>26.001710710000001</v>
      </c>
      <c r="IN28" s="160">
        <v>23.637633999999998</v>
      </c>
      <c r="IO28" s="160">
        <v>49.073751999999999</v>
      </c>
      <c r="IP28" s="273">
        <v>98.713096710000002</v>
      </c>
      <c r="IQ28" s="254">
        <v>28.437875999999999</v>
      </c>
      <c r="IR28" s="160">
        <v>129.2563877</v>
      </c>
      <c r="IS28" s="159">
        <v>70.979630999999998</v>
      </c>
      <c r="IT28" s="273">
        <v>228.67389470000001</v>
      </c>
      <c r="IU28" s="254">
        <v>42.585228000000001</v>
      </c>
      <c r="IV28" s="160">
        <v>51.187301919999996</v>
      </c>
      <c r="IW28" s="159">
        <v>32.547261259475214</v>
      </c>
      <c r="IX28" s="273">
        <v>126.3197911794752</v>
      </c>
      <c r="IY28" s="273">
        <v>908.1452305894752</v>
      </c>
      <c r="IZ28" s="254">
        <v>36.456043000000001</v>
      </c>
      <c r="JA28" s="160">
        <v>26.955945</v>
      </c>
      <c r="JB28" s="159">
        <v>60.521787000000003</v>
      </c>
      <c r="JC28" s="273">
        <v>123.933775</v>
      </c>
      <c r="JD28" s="254">
        <v>13.288254</v>
      </c>
      <c r="JE28" s="160">
        <v>57.043017999999996</v>
      </c>
      <c r="JF28" s="159">
        <v>24.188563000000002</v>
      </c>
      <c r="JG28" s="273">
        <v>94.519835</v>
      </c>
      <c r="JH28" s="254">
        <v>56.246075169999997</v>
      </c>
      <c r="JI28" s="160">
        <v>27.662905000000002</v>
      </c>
      <c r="JJ28" s="159">
        <v>13.760126000000001</v>
      </c>
      <c r="JK28" s="273">
        <v>97.669106170000006</v>
      </c>
      <c r="JL28" s="254">
        <v>174.81576900000002</v>
      </c>
      <c r="JM28" s="160">
        <v>60.282263</v>
      </c>
      <c r="JN28" s="160">
        <v>20.635850359999999</v>
      </c>
      <c r="JO28" s="273">
        <v>255.73388236000002</v>
      </c>
      <c r="JP28" s="273">
        <v>571.85659853000004</v>
      </c>
      <c r="JQ28" s="254">
        <v>35.181235000000001</v>
      </c>
      <c r="JR28" s="160">
        <v>105.37892000000001</v>
      </c>
      <c r="JS28" s="159">
        <v>80.944915999999992</v>
      </c>
      <c r="JT28" s="273">
        <v>221.50507099999999</v>
      </c>
      <c r="JU28" s="254">
        <v>31.483316000000002</v>
      </c>
      <c r="JV28" s="160">
        <v>21.343413699999999</v>
      </c>
      <c r="JW28" s="159">
        <v>71.287267</v>
      </c>
      <c r="JX28" s="273">
        <v>124.1139967</v>
      </c>
      <c r="JY28" s="254">
        <v>29.893836999999998</v>
      </c>
      <c r="JZ28" s="160">
        <v>65.558148000000003</v>
      </c>
      <c r="KA28" s="159">
        <v>20.142403000000002</v>
      </c>
      <c r="KB28" s="273">
        <v>115.59438800000001</v>
      </c>
      <c r="KC28" s="254">
        <v>65.110848000000004</v>
      </c>
      <c r="KD28" s="160">
        <v>79.433999999999997</v>
      </c>
      <c r="KE28" s="160">
        <v>108.07688399999999</v>
      </c>
      <c r="KF28" s="273">
        <v>252.62173200000001</v>
      </c>
      <c r="KG28" s="273">
        <v>713.83518770000001</v>
      </c>
      <c r="KH28" s="221">
        <v>68.950586999999999</v>
      </c>
      <c r="KI28" s="222">
        <v>47.567122000000005</v>
      </c>
      <c r="KJ28" s="223">
        <v>39.672204999999998</v>
      </c>
      <c r="KK28" s="273">
        <v>156.18991399999999</v>
      </c>
      <c r="KL28" s="221">
        <v>23.147376999999999</v>
      </c>
      <c r="KM28" s="222">
        <v>8.5242921999999997</v>
      </c>
      <c r="KN28" s="223">
        <v>15.715434999999999</v>
      </c>
      <c r="KO28" s="273">
        <v>47.387104199999996</v>
      </c>
      <c r="KP28" s="221">
        <v>31.532575000000001</v>
      </c>
      <c r="KQ28" s="222">
        <v>71.719837000000012</v>
      </c>
      <c r="KR28" s="223">
        <v>19.254061999999998</v>
      </c>
      <c r="KS28" s="273">
        <v>122.50647400000003</v>
      </c>
      <c r="KT28" s="254">
        <v>27.806554979999998</v>
      </c>
      <c r="KU28" s="160">
        <v>58.523588099999998</v>
      </c>
      <c r="KV28" s="159">
        <v>141.83492529</v>
      </c>
      <c r="KW28" s="273">
        <v>228.16506837</v>
      </c>
      <c r="KX28" s="273">
        <v>554.24856057</v>
      </c>
      <c r="KY28" s="221">
        <v>122.56529078000001</v>
      </c>
      <c r="KZ28" s="222">
        <v>142.96097815999997</v>
      </c>
      <c r="LA28" s="223">
        <v>68.565701000000004</v>
      </c>
      <c r="LB28" s="273">
        <v>334.09196993999996</v>
      </c>
      <c r="LC28" s="221">
        <v>97.635588220000002</v>
      </c>
      <c r="LD28" s="222">
        <v>9.0519141800000007</v>
      </c>
      <c r="LE28" s="223">
        <v>64.500931909999991</v>
      </c>
      <c r="LF28" s="273">
        <v>171.18843430999999</v>
      </c>
      <c r="LG28" s="221">
        <v>40.268324</v>
      </c>
      <c r="LH28" s="222">
        <v>9.2853379999999994</v>
      </c>
      <c r="LI28" s="223">
        <v>83.302521830000018</v>
      </c>
      <c r="LJ28" s="273">
        <v>132.85618383000002</v>
      </c>
      <c r="LK28" s="221">
        <v>41.753394029999995</v>
      </c>
      <c r="LL28" s="222">
        <v>50.554481999999993</v>
      </c>
      <c r="LM28" s="223">
        <v>26.650690869999998</v>
      </c>
      <c r="LN28" s="273">
        <v>118.95856689999999</v>
      </c>
      <c r="LO28" s="273">
        <v>757.09515497999996</v>
      </c>
    </row>
    <row r="29" spans="1:327" ht="18" x14ac:dyDescent="0.25">
      <c r="A29" s="2" t="s">
        <v>101</v>
      </c>
      <c r="B29" s="24"/>
      <c r="C29" s="5">
        <v>2089.5500000000002</v>
      </c>
      <c r="D29" s="5">
        <v>278.39999999999998</v>
      </c>
      <c r="E29" s="5">
        <v>256</v>
      </c>
      <c r="F29" s="5">
        <v>272.5</v>
      </c>
      <c r="G29" s="5">
        <v>806.9</v>
      </c>
      <c r="H29" s="5">
        <v>342.8</v>
      </c>
      <c r="I29" s="5">
        <v>321.10000000000002</v>
      </c>
      <c r="J29" s="5">
        <v>273.39999999999998</v>
      </c>
      <c r="K29" s="5">
        <v>937.3</v>
      </c>
      <c r="L29" s="5">
        <v>353.2</v>
      </c>
      <c r="M29" s="5">
        <f>314.5-10.1-36.9</f>
        <v>267.5</v>
      </c>
      <c r="N29" s="5">
        <f>333.3-3.5</f>
        <v>329.8</v>
      </c>
      <c r="O29" s="5">
        <f t="shared" si="0"/>
        <v>950.5</v>
      </c>
      <c r="P29" s="5">
        <v>362.1</v>
      </c>
      <c r="Q29" s="5">
        <v>291.10000000000002</v>
      </c>
      <c r="R29" s="5">
        <v>375.4</v>
      </c>
      <c r="S29" s="5">
        <f t="shared" si="1"/>
        <v>1028.5999999999999</v>
      </c>
      <c r="T29" s="16">
        <f t="shared" si="7"/>
        <v>3723.2999999999997</v>
      </c>
      <c r="U29" s="5">
        <f>357.7</f>
        <v>357.7</v>
      </c>
      <c r="V29" s="5">
        <v>307</v>
      </c>
      <c r="W29" s="5">
        <f>430.5-18.2</f>
        <v>412.3</v>
      </c>
      <c r="X29" s="4">
        <f t="shared" si="82"/>
        <v>1077</v>
      </c>
      <c r="Y29" s="5">
        <f>251.4</f>
        <v>251.4</v>
      </c>
      <c r="Z29" s="5">
        <f>27.5+35.8</f>
        <v>63.3</v>
      </c>
      <c r="AA29" s="7">
        <f>54.7+1.1</f>
        <v>55.800000000000004</v>
      </c>
      <c r="AB29" s="5">
        <f t="shared" si="83"/>
        <v>370.5</v>
      </c>
      <c r="AC29" s="5">
        <f>80.7+3-0.04</f>
        <v>83.66</v>
      </c>
      <c r="AD29" s="5">
        <f>58+2.2</f>
        <v>60.2</v>
      </c>
      <c r="AE29" s="5">
        <f>69+15</f>
        <v>84</v>
      </c>
      <c r="AF29" s="5">
        <f t="shared" si="84"/>
        <v>227.86</v>
      </c>
      <c r="AG29" s="5">
        <f>55.9+5.1</f>
        <v>61</v>
      </c>
      <c r="AH29" s="5">
        <f>72.5+6.2</f>
        <v>78.7</v>
      </c>
      <c r="AI29" s="5">
        <f>89.1+6.2</f>
        <v>95.3</v>
      </c>
      <c r="AJ29" s="5">
        <f t="shared" si="8"/>
        <v>235</v>
      </c>
      <c r="AK29" s="16">
        <f t="shared" si="9"/>
        <v>1910.3600000000001</v>
      </c>
      <c r="AL29" s="5">
        <f>78.4+2.3</f>
        <v>80.7</v>
      </c>
      <c r="AM29" s="5">
        <f>95.7+1.4</f>
        <v>97.100000000000009</v>
      </c>
      <c r="AN29" s="5">
        <f>69.4+2.9</f>
        <v>72.300000000000011</v>
      </c>
      <c r="AO29" s="5">
        <f t="shared" ref="AO29:AO49" si="86">AL29+AM29+AN29</f>
        <v>250.10000000000002</v>
      </c>
      <c r="AP29" s="5">
        <f>34.7+1.6+12.8</f>
        <v>49.100000000000009</v>
      </c>
      <c r="AQ29" s="5">
        <f>45.4+33.1+7.3</f>
        <v>85.8</v>
      </c>
      <c r="AR29" s="5">
        <f>45.4+27.2+9.1</f>
        <v>81.699999999999989</v>
      </c>
      <c r="AS29" s="54">
        <f t="shared" si="12"/>
        <v>216.6</v>
      </c>
      <c r="AT29" s="5">
        <f>44.9+23.4+2.2</f>
        <v>70.5</v>
      </c>
      <c r="AU29" s="5">
        <f>41.6+16.7+14.9-27.89</f>
        <v>45.31</v>
      </c>
      <c r="AV29" s="5">
        <f>38.4+26.1+2.6-48.197</f>
        <v>18.902999999999992</v>
      </c>
      <c r="AW29" s="54">
        <f t="shared" ref="AW29:AW49" si="87">+SUM(AT29:AV29)</f>
        <v>134.71299999999999</v>
      </c>
      <c r="AX29" s="5">
        <f>28.5+19.7+5.1</f>
        <v>53.300000000000004</v>
      </c>
      <c r="AY29" s="5">
        <f>21.9+20.1+2.4</f>
        <v>44.4</v>
      </c>
      <c r="AZ29" s="5">
        <f>112.1+25+14.8</f>
        <v>151.9</v>
      </c>
      <c r="BA29" s="54">
        <f t="shared" si="14"/>
        <v>249.60000000000002</v>
      </c>
      <c r="BB29" s="54">
        <f t="shared" si="15"/>
        <v>851.01300000000003</v>
      </c>
      <c r="BC29" s="5">
        <f>106.11427714</f>
        <v>106.11427714</v>
      </c>
      <c r="BD29" s="66">
        <f>23+36.061+25.78922808</f>
        <v>84.850228079999994</v>
      </c>
      <c r="BE29" s="66">
        <f>34.377+36.459+1.62369039</f>
        <v>72.459690390000006</v>
      </c>
      <c r="BF29" s="62">
        <f t="shared" si="73"/>
        <v>263.42419560999997</v>
      </c>
      <c r="BG29" s="67">
        <f>22.32739+23.21+6.169502</f>
        <v>51.706892000000003</v>
      </c>
      <c r="BH29" s="67">
        <f>22.87325+25.615+8.94877</f>
        <v>57.43701999999999</v>
      </c>
      <c r="BI29" s="67">
        <f>3.01311+24.82616+3.79954</f>
        <v>31.638810000000003</v>
      </c>
      <c r="BJ29" s="62">
        <f t="shared" si="74"/>
        <v>140.78272200000001</v>
      </c>
      <c r="BK29" s="67">
        <f>16+30.875+1.56328</f>
        <v>48.438279999999999</v>
      </c>
      <c r="BL29" s="67">
        <f>8.299+37.452+7.4665</f>
        <v>53.217500000000001</v>
      </c>
      <c r="BM29" s="67">
        <f>9.5+21.807+3.292148</f>
        <v>34.599148</v>
      </c>
      <c r="BN29" s="62">
        <f t="shared" si="18"/>
        <v>136.25492800000001</v>
      </c>
      <c r="BO29" s="71">
        <f>4+31.516+9.284025</f>
        <v>44.800024999999998</v>
      </c>
      <c r="BP29" s="67">
        <f>21.395+0.44398</f>
        <v>21.838979999999999</v>
      </c>
      <c r="BQ29" s="67">
        <f>23.6299+4.93539</f>
        <v>28.565289999999997</v>
      </c>
      <c r="BR29" s="62">
        <f t="shared" si="19"/>
        <v>95.204295000000002</v>
      </c>
      <c r="BS29" s="62">
        <f t="shared" si="20"/>
        <v>635.66614060999996</v>
      </c>
      <c r="BT29" s="67">
        <f>36.9+8.6</f>
        <v>45.5</v>
      </c>
      <c r="BU29" s="67">
        <f>31.3-2.5</f>
        <v>28.8</v>
      </c>
      <c r="BV29" s="67">
        <f>41.6+22.4-1.6</f>
        <v>62.4</v>
      </c>
      <c r="BW29" s="62">
        <f t="shared" si="21"/>
        <v>136.69999999999999</v>
      </c>
      <c r="BX29" s="67">
        <f>41.1+7.9</f>
        <v>49</v>
      </c>
      <c r="BY29" s="67">
        <f>39.1+7.8</f>
        <v>46.9</v>
      </c>
      <c r="BZ29" s="67">
        <f>23.9+6.1</f>
        <v>30</v>
      </c>
      <c r="CA29" s="62">
        <f t="shared" si="22"/>
        <v>125.9</v>
      </c>
      <c r="CB29" s="67">
        <f>27.6+12.9</f>
        <v>40.5</v>
      </c>
      <c r="CC29" s="67">
        <f>23.1+8.1-(49.297-16.3-1.8)</f>
        <v>3.0000000000036664E-3</v>
      </c>
      <c r="CD29" s="67">
        <f>25.1+0.54</f>
        <v>25.64</v>
      </c>
      <c r="CE29" s="62">
        <f t="shared" si="23"/>
        <v>66.143000000000001</v>
      </c>
      <c r="CF29" s="67">
        <f>9.9+6.5</f>
        <v>16.399999999999999</v>
      </c>
      <c r="CG29" s="67">
        <v>6.5</v>
      </c>
      <c r="CH29" s="67">
        <v>3.6</v>
      </c>
      <c r="CI29" s="67">
        <f t="shared" si="24"/>
        <v>26.5</v>
      </c>
      <c r="CJ29" s="71">
        <f t="shared" si="25"/>
        <v>355.24300000000005</v>
      </c>
      <c r="CK29" s="71">
        <v>8.9</v>
      </c>
      <c r="CL29" s="67">
        <v>17.899999999999999</v>
      </c>
      <c r="CM29" s="67">
        <v>8.9</v>
      </c>
      <c r="CN29" s="62">
        <f t="shared" si="26"/>
        <v>35.699999999999996</v>
      </c>
      <c r="CO29" s="67">
        <v>5</v>
      </c>
      <c r="CP29" s="67">
        <v>10.5</v>
      </c>
      <c r="CQ29" s="67">
        <v>9.9</v>
      </c>
      <c r="CR29" s="62">
        <f t="shared" si="27"/>
        <v>25.4</v>
      </c>
      <c r="CS29" s="101">
        <v>217.6</v>
      </c>
      <c r="CT29" s="67">
        <v>6.9</v>
      </c>
      <c r="CU29" s="67">
        <v>0</v>
      </c>
      <c r="CV29" s="62">
        <f t="shared" si="28"/>
        <v>224.5</v>
      </c>
      <c r="CW29" s="67">
        <v>0</v>
      </c>
      <c r="CX29" s="67">
        <v>0</v>
      </c>
      <c r="CY29" s="112">
        <v>0.1</v>
      </c>
      <c r="CZ29" s="113">
        <f t="shared" si="29"/>
        <v>0.1</v>
      </c>
      <c r="DA29" s="62">
        <f t="shared" si="30"/>
        <v>285.70000000000005</v>
      </c>
      <c r="DB29" s="71">
        <v>1.1000000000000001</v>
      </c>
      <c r="DC29" s="67">
        <v>13.7</v>
      </c>
      <c r="DD29" s="67">
        <v>9.1</v>
      </c>
      <c r="DE29" s="62">
        <f t="shared" si="31"/>
        <v>23.9</v>
      </c>
      <c r="DF29" s="71">
        <v>0.1</v>
      </c>
      <c r="DG29" s="67">
        <v>4.2</v>
      </c>
      <c r="DH29" s="67">
        <v>7.2</v>
      </c>
      <c r="DI29" s="62">
        <f t="shared" si="32"/>
        <v>11.5</v>
      </c>
      <c r="DJ29" s="71">
        <v>0.8</v>
      </c>
      <c r="DK29" s="67">
        <v>2.5</v>
      </c>
      <c r="DL29" s="67">
        <v>5.2</v>
      </c>
      <c r="DM29" s="62">
        <f t="shared" si="33"/>
        <v>8.5</v>
      </c>
      <c r="DN29" s="67">
        <v>220.1</v>
      </c>
      <c r="DO29" s="67">
        <v>0</v>
      </c>
      <c r="DP29" s="67">
        <v>0.5</v>
      </c>
      <c r="DQ29" s="113">
        <f t="shared" si="34"/>
        <v>220.6</v>
      </c>
      <c r="DR29" s="140">
        <f t="shared" si="35"/>
        <v>264.5</v>
      </c>
      <c r="DS29" s="141">
        <v>1.7</v>
      </c>
      <c r="DT29" s="141">
        <v>13.3</v>
      </c>
      <c r="DU29" s="141">
        <v>9</v>
      </c>
      <c r="DV29" s="140">
        <f t="shared" si="36"/>
        <v>24</v>
      </c>
      <c r="DW29" s="142">
        <v>5.0999999999999996</v>
      </c>
      <c r="DX29" s="141">
        <v>9.1</v>
      </c>
      <c r="DY29" s="141">
        <v>13</v>
      </c>
      <c r="DZ29" s="140">
        <f t="shared" si="37"/>
        <v>27.2</v>
      </c>
      <c r="EA29" s="142">
        <v>15</v>
      </c>
      <c r="EB29" s="141">
        <v>1.7</v>
      </c>
      <c r="EC29" s="141">
        <v>2.1</v>
      </c>
      <c r="ED29" s="140">
        <f t="shared" si="38"/>
        <v>18.8</v>
      </c>
      <c r="EE29" s="141">
        <v>2.8</v>
      </c>
      <c r="EF29" s="141">
        <v>3</v>
      </c>
      <c r="EG29" s="141">
        <v>0.1</v>
      </c>
      <c r="EH29" s="140">
        <f t="shared" si="39"/>
        <v>5.8999999999999995</v>
      </c>
      <c r="EI29" s="140">
        <f t="shared" si="40"/>
        <v>75.900000000000006</v>
      </c>
      <c r="EJ29" s="141">
        <v>3.9</v>
      </c>
      <c r="EK29" s="141">
        <v>2.6</v>
      </c>
      <c r="EL29" s="141">
        <v>2.8</v>
      </c>
      <c r="EM29" s="140">
        <f t="shared" si="41"/>
        <v>9.3000000000000007</v>
      </c>
      <c r="EN29" s="141">
        <v>0.6</v>
      </c>
      <c r="EO29" s="141">
        <v>23.6</v>
      </c>
      <c r="EP29" s="141">
        <v>7.2</v>
      </c>
      <c r="EQ29" s="140">
        <f t="shared" si="42"/>
        <v>31.400000000000002</v>
      </c>
      <c r="ER29" s="141">
        <v>4.4000000000000004</v>
      </c>
      <c r="ES29" s="141">
        <v>5.0999999999999996</v>
      </c>
      <c r="ET29" s="141">
        <v>5.8</v>
      </c>
      <c r="EU29" s="140">
        <f t="shared" si="43"/>
        <v>15.3</v>
      </c>
      <c r="EV29" s="141">
        <v>14.4</v>
      </c>
      <c r="EW29" s="141">
        <v>14.4</v>
      </c>
      <c r="EX29" s="141">
        <v>14.721255000000001</v>
      </c>
      <c r="EY29" s="140">
        <f t="shared" si="44"/>
        <v>43.521255000000004</v>
      </c>
      <c r="EZ29" s="169">
        <f t="shared" si="45"/>
        <v>99.521254999999996</v>
      </c>
      <c r="FA29" s="170"/>
      <c r="FB29" s="169">
        <v>28.4</v>
      </c>
      <c r="FC29" s="169">
        <v>8.1</v>
      </c>
      <c r="FD29" s="169">
        <v>19.399999999999999</v>
      </c>
      <c r="FE29" s="171">
        <f t="shared" si="46"/>
        <v>55.9</v>
      </c>
      <c r="FF29" s="169">
        <v>26.201360000000001</v>
      </c>
      <c r="FG29" s="169">
        <v>25.487636999999999</v>
      </c>
      <c r="FH29" s="169">
        <v>10.118608</v>
      </c>
      <c r="FI29" s="171">
        <f t="shared" si="47"/>
        <v>61.807605000000002</v>
      </c>
      <c r="FJ29" s="169">
        <v>15.989761</v>
      </c>
      <c r="FK29" s="169">
        <v>2.4055569999999999</v>
      </c>
      <c r="FL29" s="169">
        <v>5.9073159999999998</v>
      </c>
      <c r="FM29" s="171">
        <f t="shared" si="48"/>
        <v>24.302633999999998</v>
      </c>
      <c r="FN29" s="172">
        <v>4.1964969999999999</v>
      </c>
      <c r="FO29" s="173">
        <v>4.1724490000000003</v>
      </c>
      <c r="FP29" s="174">
        <v>3.793552</v>
      </c>
      <c r="FQ29" s="175">
        <f t="shared" si="49"/>
        <v>12.162498000000001</v>
      </c>
      <c r="FR29" s="175">
        <f t="shared" si="50"/>
        <v>154.17273700000001</v>
      </c>
      <c r="FS29" s="172">
        <v>1.523109</v>
      </c>
      <c r="FT29" s="173">
        <v>0.21166699999999999</v>
      </c>
      <c r="FU29" s="174">
        <v>13.66376</v>
      </c>
      <c r="FV29" s="175">
        <f t="shared" si="51"/>
        <v>15.398536</v>
      </c>
      <c r="FW29" s="172">
        <v>3.6350180000000001</v>
      </c>
      <c r="FX29" s="173">
        <v>15.133730000000002</v>
      </c>
      <c r="FY29" s="174">
        <v>0</v>
      </c>
      <c r="FZ29" s="175">
        <f t="shared" si="52"/>
        <v>18.768748000000002</v>
      </c>
      <c r="GA29" s="172"/>
      <c r="GB29" s="173"/>
      <c r="GC29" s="174"/>
      <c r="GD29" s="175">
        <f t="shared" si="53"/>
        <v>0</v>
      </c>
      <c r="GE29" s="172">
        <v>10.130203</v>
      </c>
      <c r="GF29" s="173">
        <v>16.094391000000002</v>
      </c>
      <c r="GG29" s="159">
        <v>19.533909000000001</v>
      </c>
      <c r="GH29" s="174">
        <f t="shared" si="54"/>
        <v>45.758503000000005</v>
      </c>
      <c r="GI29" s="174">
        <f t="shared" si="55"/>
        <v>79.925787000000014</v>
      </c>
      <c r="GJ29" s="221">
        <v>4.0595558199999999</v>
      </c>
      <c r="GK29" s="222">
        <v>20.343257000000001</v>
      </c>
      <c r="GL29" s="223">
        <v>24.4072</v>
      </c>
      <c r="GM29" s="175">
        <f t="shared" si="76"/>
        <v>48.810012819999997</v>
      </c>
      <c r="GN29" s="221">
        <v>32.087117740000004</v>
      </c>
      <c r="GO29" s="222">
        <v>9.8380960000000002</v>
      </c>
      <c r="GP29" s="223">
        <v>16.242961000000001</v>
      </c>
      <c r="GQ29" s="175">
        <f t="shared" si="77"/>
        <v>58.168174740000005</v>
      </c>
      <c r="GR29" s="245">
        <v>24.6</v>
      </c>
      <c r="GS29" s="222">
        <v>23.515418</v>
      </c>
      <c r="GT29" s="223">
        <v>21.036664020042778</v>
      </c>
      <c r="GU29" s="175">
        <f t="shared" si="78"/>
        <v>69.152082020042783</v>
      </c>
      <c r="GV29" s="221">
        <v>3.1579539999999997</v>
      </c>
      <c r="GW29" s="222">
        <v>14.018611</v>
      </c>
      <c r="GX29" s="223">
        <v>15.913472000000001</v>
      </c>
      <c r="GY29" s="174">
        <f t="shared" si="79"/>
        <v>33.090037000000002</v>
      </c>
      <c r="GZ29" s="159">
        <v>200.78838356</v>
      </c>
      <c r="HA29" s="254">
        <v>39.117978999999998</v>
      </c>
      <c r="HB29" s="160">
        <v>66.871729000000002</v>
      </c>
      <c r="HC29" s="159">
        <v>53.710643999999995</v>
      </c>
      <c r="HD29" s="273">
        <f t="shared" si="61"/>
        <v>159.70035200000001</v>
      </c>
      <c r="HE29" s="254">
        <v>17.623346000000002</v>
      </c>
      <c r="HF29" s="160">
        <v>4.2518219999999998</v>
      </c>
      <c r="HG29" s="159">
        <v>10.42212</v>
      </c>
      <c r="HH29" s="273">
        <f t="shared" si="72"/>
        <v>32.297288000000002</v>
      </c>
      <c r="HI29" s="279">
        <v>25.147558</v>
      </c>
      <c r="HJ29" s="160">
        <v>26.862368</v>
      </c>
      <c r="HK29" s="159">
        <v>12.413675000000001</v>
      </c>
      <c r="HL29" s="273">
        <f t="shared" si="63"/>
        <v>64.423601000000005</v>
      </c>
      <c r="HM29" s="254">
        <v>4.9669080000000001</v>
      </c>
      <c r="HN29" s="160">
        <v>11.067767</v>
      </c>
      <c r="HO29" s="159">
        <v>22.777577999999998</v>
      </c>
      <c r="HP29" s="273">
        <f t="shared" si="64"/>
        <v>38.812252999999998</v>
      </c>
      <c r="HQ29" s="273">
        <v>295.23349400000001</v>
      </c>
      <c r="HR29" s="254">
        <v>19.709379139999999</v>
      </c>
      <c r="HS29" s="160">
        <v>9.9766199999999987</v>
      </c>
      <c r="HT29" s="159">
        <v>34.077324000000004</v>
      </c>
      <c r="HU29" s="273">
        <f t="shared" si="66"/>
        <v>63.763323140000004</v>
      </c>
      <c r="HV29" s="254"/>
      <c r="HW29" s="160">
        <v>18.227026000000002</v>
      </c>
      <c r="HX29" s="159">
        <v>31.702347999999997</v>
      </c>
      <c r="HY29" s="273">
        <f t="shared" si="67"/>
        <v>49.929373999999996</v>
      </c>
      <c r="HZ29" s="280">
        <v>9.5946250000000006</v>
      </c>
      <c r="IA29" s="160">
        <v>18.843398000000001</v>
      </c>
      <c r="IB29" s="159">
        <v>12.880606999999999</v>
      </c>
      <c r="IC29" s="273">
        <f t="shared" si="81"/>
        <v>41.318629999999999</v>
      </c>
      <c r="ID29" s="254">
        <v>10.661723</v>
      </c>
      <c r="IE29" s="160">
        <v>29.218328</v>
      </c>
      <c r="IF29" s="159">
        <v>29.473709999999997</v>
      </c>
      <c r="IG29" s="273">
        <f t="shared" si="69"/>
        <v>69.353760999999992</v>
      </c>
      <c r="IH29" s="273">
        <v>224.36508813999998</v>
      </c>
      <c r="II29" s="254">
        <v>0</v>
      </c>
      <c r="IJ29" s="160"/>
      <c r="IK29" s="159"/>
      <c r="IL29" s="273">
        <v>0</v>
      </c>
      <c r="IM29" s="254"/>
      <c r="IN29" s="160"/>
      <c r="IO29" s="160">
        <v>0</v>
      </c>
      <c r="IP29" s="273">
        <v>0</v>
      </c>
      <c r="IQ29" s="254"/>
      <c r="IR29" s="160"/>
      <c r="IS29" s="159"/>
      <c r="IT29" s="273">
        <v>0</v>
      </c>
      <c r="IU29" s="254">
        <v>9.8662279999999996</v>
      </c>
      <c r="IV29" s="160">
        <v>10.171853</v>
      </c>
      <c r="IW29" s="159">
        <v>17.714261259475215</v>
      </c>
      <c r="IX29" s="273">
        <v>37.752342259475213</v>
      </c>
      <c r="IY29" s="273">
        <v>37.752342259475213</v>
      </c>
      <c r="IZ29" s="254">
        <v>14.965043</v>
      </c>
      <c r="JA29" s="160">
        <v>10.608945</v>
      </c>
      <c r="JB29" s="159">
        <v>7.3857869999999997</v>
      </c>
      <c r="JC29" s="273">
        <v>32.959775</v>
      </c>
      <c r="JD29" s="254">
        <v>1.3802540000000001</v>
      </c>
      <c r="JE29" s="160">
        <v>27.459017999999997</v>
      </c>
      <c r="JF29" s="159">
        <v>11.501563000000001</v>
      </c>
      <c r="JG29" s="273">
        <v>40.340834999999998</v>
      </c>
      <c r="JH29" s="254">
        <v>38.537075170000001</v>
      </c>
      <c r="JI29" s="160">
        <v>17.948905</v>
      </c>
      <c r="JJ29" s="159">
        <v>8.6771260000000012</v>
      </c>
      <c r="JK29" s="273">
        <v>65.163106170000006</v>
      </c>
      <c r="JL29" s="254">
        <v>12.854768999999999</v>
      </c>
      <c r="JM29" s="160">
        <v>50.537263000000003</v>
      </c>
      <c r="JN29" s="159">
        <v>10.283987</v>
      </c>
      <c r="JO29" s="273">
        <v>73.676018999999997</v>
      </c>
      <c r="JP29" s="273">
        <v>212.13973516999999</v>
      </c>
      <c r="JQ29" s="254">
        <v>22.800235000000001</v>
      </c>
      <c r="JR29" s="160">
        <v>14.074920000000001</v>
      </c>
      <c r="JS29" s="159">
        <v>6.5709160000000004</v>
      </c>
      <c r="JT29" s="273">
        <v>43.446071000000003</v>
      </c>
      <c r="JU29" s="256">
        <v>19.394316</v>
      </c>
      <c r="JV29" s="160">
        <v>3.1077340000000002</v>
      </c>
      <c r="JW29" s="159">
        <v>64.039266999999995</v>
      </c>
      <c r="JX29" s="273">
        <v>86.541316999999992</v>
      </c>
      <c r="JY29" s="254">
        <v>17.548836999999999</v>
      </c>
      <c r="JZ29" s="160">
        <v>55.336148000000001</v>
      </c>
      <c r="KA29" s="159">
        <v>8.4324030000000008</v>
      </c>
      <c r="KB29" s="273">
        <v>81.317387999999994</v>
      </c>
      <c r="KC29" s="254">
        <v>12.159848</v>
      </c>
      <c r="KD29" s="160"/>
      <c r="KE29" s="159">
        <v>49.828883999999995</v>
      </c>
      <c r="KF29" s="273">
        <v>61.988731999999999</v>
      </c>
      <c r="KG29" s="273">
        <v>273.29350799999997</v>
      </c>
      <c r="KH29" s="221">
        <v>29.480487</v>
      </c>
      <c r="KI29" s="222">
        <v>33.229516000000004</v>
      </c>
      <c r="KJ29" s="223"/>
      <c r="KK29" s="273">
        <v>62.710003</v>
      </c>
      <c r="KL29" s="221">
        <v>10.102377000000001</v>
      </c>
      <c r="KM29" s="222"/>
      <c r="KN29" s="223">
        <v>14.878435</v>
      </c>
      <c r="KO29" s="273">
        <v>24.980812</v>
      </c>
      <c r="KP29" s="221">
        <v>16.166575000000002</v>
      </c>
      <c r="KQ29" s="222">
        <v>71.719837000000012</v>
      </c>
      <c r="KR29" s="223">
        <v>13.142061999999999</v>
      </c>
      <c r="KS29" s="273">
        <v>101.028474</v>
      </c>
      <c r="KT29" s="254">
        <v>8.0184549999999994</v>
      </c>
      <c r="KU29" s="160">
        <v>8.2744129999999991</v>
      </c>
      <c r="KV29" s="159">
        <v>28.863966000000001</v>
      </c>
      <c r="KW29" s="273">
        <v>45.156834000000003</v>
      </c>
      <c r="KX29" s="273">
        <v>233.87612300000001</v>
      </c>
      <c r="KY29" s="221">
        <v>0.28699999999999998</v>
      </c>
      <c r="KZ29" s="222">
        <v>3.8727080000000003</v>
      </c>
      <c r="LA29" s="223">
        <v>0</v>
      </c>
      <c r="LB29" s="273">
        <v>4.1597080000000002</v>
      </c>
      <c r="LC29" s="221">
        <v>5.5511080000000002</v>
      </c>
      <c r="LD29" s="222">
        <v>5.0361830000000003</v>
      </c>
      <c r="LE29" s="223">
        <v>12.934812000000001</v>
      </c>
      <c r="LF29" s="273">
        <v>23.522103000000001</v>
      </c>
      <c r="LG29" s="221">
        <v>13.218323999999999</v>
      </c>
      <c r="LH29" s="222">
        <v>1.6337999999999998E-2</v>
      </c>
      <c r="LI29" s="223">
        <v>14.968882000000001</v>
      </c>
      <c r="LJ29" s="273">
        <v>28.203544000000001</v>
      </c>
      <c r="LK29" s="254">
        <v>34.461261999999998</v>
      </c>
      <c r="LL29" s="160">
        <v>15.856311999999999</v>
      </c>
      <c r="LM29" s="159">
        <v>9.4832859999999997</v>
      </c>
      <c r="LN29" s="273">
        <v>59.800859999999993</v>
      </c>
      <c r="LO29" s="273">
        <v>115.686215</v>
      </c>
    </row>
    <row r="30" spans="1:327" ht="17.100000000000001" customHeight="1" x14ac:dyDescent="0.2">
      <c r="A30" s="2" t="s">
        <v>106</v>
      </c>
      <c r="B30" s="24"/>
      <c r="C30" s="5">
        <v>18.399999999999999</v>
      </c>
      <c r="D30" s="5">
        <v>2.7</v>
      </c>
      <c r="E30" s="5">
        <v>0</v>
      </c>
      <c r="F30" s="5">
        <v>0</v>
      </c>
      <c r="G30" s="5">
        <v>2.7</v>
      </c>
      <c r="H30" s="5">
        <v>0.8</v>
      </c>
      <c r="I30" s="5">
        <v>0</v>
      </c>
      <c r="J30" s="5">
        <v>3.5</v>
      </c>
      <c r="K30" s="5">
        <v>4.3</v>
      </c>
      <c r="L30" s="5">
        <v>5.6</v>
      </c>
      <c r="M30" s="5">
        <f>11.1-11.1</f>
        <v>0</v>
      </c>
      <c r="N30" s="5">
        <f>14.4-14</f>
        <v>0.40000000000000036</v>
      </c>
      <c r="O30" s="5">
        <f t="shared" si="0"/>
        <v>6</v>
      </c>
      <c r="P30" s="5">
        <f>13.9-1.5</f>
        <v>12.4</v>
      </c>
      <c r="Q30" s="5">
        <f>9.3-3.3-0.2</f>
        <v>5.8000000000000007</v>
      </c>
      <c r="R30" s="5">
        <f>27-0.1-2</f>
        <v>24.9</v>
      </c>
      <c r="S30" s="5">
        <f t="shared" si="1"/>
        <v>43.1</v>
      </c>
      <c r="T30" s="16">
        <f t="shared" si="7"/>
        <v>56.1</v>
      </c>
      <c r="U30" s="5">
        <f>15-4.8</f>
        <v>10.199999999999999</v>
      </c>
      <c r="V30" s="5">
        <f>24.4-0.4</f>
        <v>24</v>
      </c>
      <c r="W30" s="5">
        <f>31+31.4</f>
        <v>62.4</v>
      </c>
      <c r="X30" s="4">
        <f t="shared" si="82"/>
        <v>96.6</v>
      </c>
      <c r="Y30" s="5">
        <f>21.3-9+59.8</f>
        <v>72.099999999999994</v>
      </c>
      <c r="Z30" s="5">
        <f>79.2</f>
        <v>79.2</v>
      </c>
      <c r="AA30" s="7">
        <f>85.2-47.1</f>
        <v>38.1</v>
      </c>
      <c r="AB30" s="5">
        <f t="shared" si="83"/>
        <v>189.4</v>
      </c>
      <c r="AC30" s="5">
        <f>112.5-0.04</f>
        <v>112.46</v>
      </c>
      <c r="AD30" s="5">
        <f>58-2.464-42.614</f>
        <v>12.922000000000004</v>
      </c>
      <c r="AE30" s="5">
        <v>39.299999999999997</v>
      </c>
      <c r="AF30" s="5">
        <f t="shared" si="84"/>
        <v>164.68200000000002</v>
      </c>
      <c r="AG30" s="5">
        <f>55.7-2.2</f>
        <v>53.5</v>
      </c>
      <c r="AH30" s="5">
        <f>29-0.75-AH39</f>
        <v>27.495000000000001</v>
      </c>
      <c r="AI30" s="5">
        <v>61.5</v>
      </c>
      <c r="AJ30" s="5">
        <f t="shared" si="8"/>
        <v>142.495</v>
      </c>
      <c r="AK30" s="16">
        <f t="shared" si="9"/>
        <v>593.17700000000002</v>
      </c>
      <c r="AL30" s="5">
        <f>16.2</f>
        <v>16.2</v>
      </c>
      <c r="AM30" s="5">
        <v>10.6</v>
      </c>
      <c r="AN30" s="5">
        <v>24.9</v>
      </c>
      <c r="AO30" s="5">
        <f t="shared" si="86"/>
        <v>51.699999999999996</v>
      </c>
      <c r="AP30" s="5">
        <v>33.4</v>
      </c>
      <c r="AQ30" s="5">
        <f>68.9-14.698</f>
        <v>54.202000000000005</v>
      </c>
      <c r="AR30" s="5">
        <f>98-75.961</f>
        <v>22.039000000000001</v>
      </c>
      <c r="AS30" s="54">
        <f t="shared" si="12"/>
        <v>109.64100000000001</v>
      </c>
      <c r="AT30" s="5">
        <v>14.8</v>
      </c>
      <c r="AU30" s="5">
        <v>21.8</v>
      </c>
      <c r="AV30" s="5">
        <f>36.6-AV16</f>
        <v>35.322411330000001</v>
      </c>
      <c r="AW30" s="54">
        <f t="shared" si="87"/>
        <v>71.922411330000003</v>
      </c>
      <c r="AX30" s="5">
        <v>6.1</v>
      </c>
      <c r="AY30" s="5">
        <v>26.1</v>
      </c>
      <c r="AZ30" s="5">
        <f>73.1-8.9</f>
        <v>64.199999999999989</v>
      </c>
      <c r="BA30" s="54">
        <f t="shared" si="14"/>
        <v>96.399999999999991</v>
      </c>
      <c r="BB30" s="54">
        <f t="shared" si="15"/>
        <v>329.66341132999997</v>
      </c>
      <c r="BC30" s="5">
        <f>1.81696953+82.68507256-BC39</f>
        <v>61.02904208999999</v>
      </c>
      <c r="BD30" s="66">
        <f>6.08592244+48.9758052-BD39</f>
        <v>55.061727640000001</v>
      </c>
      <c r="BE30" s="66">
        <f>24.93761145-BE39+16.04142525</f>
        <v>30.079036699999996</v>
      </c>
      <c r="BF30" s="62">
        <f t="shared" si="73"/>
        <v>146.16980642999999</v>
      </c>
      <c r="BG30" s="67">
        <f>8.62633369-BG39-BG38</f>
        <v>8.5633336899999986</v>
      </c>
      <c r="BH30" s="67">
        <v>50.558169999999997</v>
      </c>
      <c r="BI30" s="67">
        <v>53.208010000000002</v>
      </c>
      <c r="BJ30" s="62">
        <f t="shared" si="74"/>
        <v>112.32951369</v>
      </c>
      <c r="BK30" s="67">
        <f>17.02226-BK39-BK38</f>
        <v>17.022259999999999</v>
      </c>
      <c r="BL30" s="67">
        <f>39.3752-BL39-BL38</f>
        <v>27.775199999999998</v>
      </c>
      <c r="BM30" s="67">
        <f>61.09392-BM39-BM38</f>
        <v>53.237919999999995</v>
      </c>
      <c r="BN30" s="62">
        <f t="shared" si="18"/>
        <v>98.035380000000004</v>
      </c>
      <c r="BO30" s="71">
        <f>35.5471053-BO39-BO38</f>
        <v>23.279105299999998</v>
      </c>
      <c r="BP30" s="67">
        <f>43.38478-BP39-BP38</f>
        <v>43.384779999999999</v>
      </c>
      <c r="BQ30" s="67">
        <f>55.13964-BQ39-BQ38</f>
        <v>55.13964</v>
      </c>
      <c r="BR30" s="62">
        <f t="shared" si="19"/>
        <v>121.8035253</v>
      </c>
      <c r="BS30" s="62">
        <f t="shared" si="20"/>
        <v>478.33822542000001</v>
      </c>
      <c r="BT30" s="67">
        <f>37.2-BT39-BT38-BT40</f>
        <v>16.600000000000001</v>
      </c>
      <c r="BU30" s="67">
        <f>37.8-BU39-BU38-BU40+2.5+8.1</f>
        <v>1.9999999999971152E-3</v>
      </c>
      <c r="BV30" s="67">
        <f>36.5-BV40-BV39-BV38+1.6+11</f>
        <v>3.9999999999977831E-3</v>
      </c>
      <c r="BW30" s="62">
        <f t="shared" si="21"/>
        <v>16.605999999999995</v>
      </c>
      <c r="BX30" s="67">
        <f>48.9-BX39-BX38-BX40</f>
        <v>25.251999999999999</v>
      </c>
      <c r="BY30" s="67">
        <f>52.2-BY39-BY38-BY40</f>
        <v>32.901000000000003</v>
      </c>
      <c r="BZ30" s="67">
        <f>28.1-BZ39-BZ38-BZ40+3.91</f>
        <v>1.0000000000012221E-3</v>
      </c>
      <c r="CA30" s="62">
        <f t="shared" si="22"/>
        <v>58.154000000000011</v>
      </c>
      <c r="CB30" s="67">
        <f>42-CB39-CB38-CB40</f>
        <v>29.096</v>
      </c>
      <c r="CC30" s="67">
        <f>16.3-CC39-CC38-CC40+33</f>
        <v>3.0000000000001137E-3</v>
      </c>
      <c r="CD30" s="67">
        <f>31.84-CD39-CD38-CD40</f>
        <v>14.84</v>
      </c>
      <c r="CE30" s="62">
        <f t="shared" si="23"/>
        <v>43.939</v>
      </c>
      <c r="CF30" s="67">
        <f>57-CF39-CF38-CF40</f>
        <v>33.001999999999995</v>
      </c>
      <c r="CG30" s="67">
        <f>75.7-CG39-CG38-CG40</f>
        <v>45.701999999999998</v>
      </c>
      <c r="CH30" s="67">
        <f>38-CH39-CH38-CH40</f>
        <v>23.499000000000002</v>
      </c>
      <c r="CI30" s="67">
        <f t="shared" si="24"/>
        <v>102.203</v>
      </c>
      <c r="CJ30" s="71">
        <f t="shared" si="25"/>
        <v>220.90200000000002</v>
      </c>
      <c r="CK30" s="71">
        <f>37.1-CK39-CK38-CK40+20.5</f>
        <v>43.849000000000004</v>
      </c>
      <c r="CL30" s="67">
        <f>12.5-CL39-CL38-CL40</f>
        <v>0.50200000000000067</v>
      </c>
      <c r="CM30" s="67">
        <f>30-CM40-CM39-CM38</f>
        <v>28.698</v>
      </c>
      <c r="CN30" s="62">
        <f t="shared" si="26"/>
        <v>73.049000000000007</v>
      </c>
      <c r="CO30" s="67">
        <f>23.5-CO40-CO39-CO38</f>
        <v>14.345000000000001</v>
      </c>
      <c r="CP30" s="67">
        <f>70.6-CP40-CP39-CP38</f>
        <v>64.537999999999997</v>
      </c>
      <c r="CQ30" s="67">
        <f>76.3-CQ40-CQ39-CQ38</f>
        <v>76.3</v>
      </c>
      <c r="CR30" s="62">
        <f t="shared" si="27"/>
        <v>155.18299999999999</v>
      </c>
      <c r="CS30" s="101">
        <f>168.72-CS40-CS39-CS38</f>
        <v>168.72</v>
      </c>
      <c r="CT30" s="67">
        <f>176.2-CT40-CT39-CT38</f>
        <v>176.2</v>
      </c>
      <c r="CU30" s="67">
        <f>133.6-CU40-CU39-CU38</f>
        <v>121.84899999999999</v>
      </c>
      <c r="CV30" s="62">
        <f t="shared" si="28"/>
        <v>466.76899999999995</v>
      </c>
      <c r="CW30" s="67">
        <f>78-CW39-CW38</f>
        <v>63.997</v>
      </c>
      <c r="CX30" s="67">
        <f>79-CX39-CX38</f>
        <v>79</v>
      </c>
      <c r="CY30" s="112">
        <f>35.3-CY39-CY38</f>
        <v>31.699999999999996</v>
      </c>
      <c r="CZ30" s="113">
        <f t="shared" si="29"/>
        <v>174.697</v>
      </c>
      <c r="DA30" s="62">
        <f t="shared" si="30"/>
        <v>869.69799999999998</v>
      </c>
      <c r="DB30" s="71">
        <f>55.3+80-DB39-DB38-DB40</f>
        <v>116.80200000000001</v>
      </c>
      <c r="DC30" s="67">
        <f>67.5-DC39-DC38-DC40</f>
        <v>54</v>
      </c>
      <c r="DD30" s="77">
        <f>60.4-DD39-DD38+10</f>
        <v>64.998999999999995</v>
      </c>
      <c r="DE30" s="62">
        <f t="shared" si="31"/>
        <v>235.80100000000002</v>
      </c>
      <c r="DF30" s="71">
        <f>46.9-DF39-DF38</f>
        <v>31.777000000000001</v>
      </c>
      <c r="DG30" s="67">
        <f>37.5-DG39-DG38</f>
        <v>17.251000000000001</v>
      </c>
      <c r="DH30" s="77">
        <f>60.7-DH39-DH38</f>
        <v>43.150000000000006</v>
      </c>
      <c r="DI30" s="62">
        <f t="shared" si="32"/>
        <v>92.178000000000011</v>
      </c>
      <c r="DJ30" s="71">
        <f>22.6-DJ39-DJ38+2.5</f>
        <v>5.3520000000000003</v>
      </c>
      <c r="DK30" s="67">
        <f>33-DK39-DK38-DK40</f>
        <v>0.19500000000000206</v>
      </c>
      <c r="DL30" s="77">
        <f>24.3-DL39-DL38-DL40</f>
        <v>13.264000000000001</v>
      </c>
      <c r="DM30" s="62">
        <f t="shared" si="33"/>
        <v>18.811000000000003</v>
      </c>
      <c r="DN30" s="67">
        <f>117.7-DN39-DN38-DN40</f>
        <v>117.7</v>
      </c>
      <c r="DO30" s="67">
        <f>24-DO39-DO38-DO40</f>
        <v>24</v>
      </c>
      <c r="DP30" s="77">
        <f>52.1-DP39-DP38-DP40</f>
        <v>52.1</v>
      </c>
      <c r="DQ30" s="113">
        <f t="shared" si="34"/>
        <v>193.79999999999998</v>
      </c>
      <c r="DR30" s="140">
        <f t="shared" si="35"/>
        <v>540.59</v>
      </c>
      <c r="DS30" s="141">
        <f>81.8-DS39-DS38+1.4</f>
        <v>60.699999999999996</v>
      </c>
      <c r="DT30" s="141">
        <f>30.8-DT39-DT38-DT40</f>
        <v>1.1490000000000022</v>
      </c>
      <c r="DU30" s="141">
        <f>24.8-DU39-DU38</f>
        <v>19.478999999999999</v>
      </c>
      <c r="DV30" s="140">
        <f t="shared" si="36"/>
        <v>81.328000000000003</v>
      </c>
      <c r="DW30" s="142">
        <f>68.5-DW39-DW38-DW40</f>
        <v>68.5</v>
      </c>
      <c r="DX30" s="141">
        <f>81.5-DX38-DX39-DX40</f>
        <v>81.5</v>
      </c>
      <c r="DY30" s="141">
        <f>82.8-DY38-DY39-DY40</f>
        <v>69.36099999999999</v>
      </c>
      <c r="DZ30" s="140">
        <f t="shared" si="37"/>
        <v>219.36099999999999</v>
      </c>
      <c r="EA30" s="141">
        <f>137.8-EA38-EA39-EA40</f>
        <v>136.959</v>
      </c>
      <c r="EB30" s="141">
        <f>57.5-EB38-EB39-EB40</f>
        <v>28.728999999999999</v>
      </c>
      <c r="EC30" s="141">
        <f>33.8-EC38-EC39-EC40</f>
        <v>4.6999999999997044E-2</v>
      </c>
      <c r="ED30" s="140">
        <f t="shared" si="38"/>
        <v>165.73499999999999</v>
      </c>
      <c r="EE30" s="141">
        <f>96.8-EE38-EE39-EE40</f>
        <v>58.084999999999994</v>
      </c>
      <c r="EF30" s="141">
        <f>51.6-EF38-EF39-EF40</f>
        <v>40.460999999999999</v>
      </c>
      <c r="EG30" s="141">
        <f>117.5-EG38-EG39-EG40</f>
        <v>111.5</v>
      </c>
      <c r="EH30" s="140">
        <f t="shared" si="39"/>
        <v>210.04599999999999</v>
      </c>
      <c r="EI30" s="140">
        <f t="shared" si="40"/>
        <v>676.47</v>
      </c>
      <c r="EJ30" s="141">
        <f>9.5-EJ38-EJ39-EJ40+8.5</f>
        <v>18</v>
      </c>
      <c r="EK30" s="141">
        <f>35-EK38-EK39-EK40+4</f>
        <v>36.499000000000002</v>
      </c>
      <c r="EL30" s="141">
        <f>24.7-EL38-EL39-EL40</f>
        <v>19.926000000000002</v>
      </c>
      <c r="EM30" s="140">
        <f t="shared" si="41"/>
        <v>74.425000000000011</v>
      </c>
      <c r="EN30" s="141">
        <f>135.2-EN38-EN39-EN40</f>
        <v>119.494</v>
      </c>
      <c r="EO30" s="141">
        <f>190.6-EO39-EO40</f>
        <v>189</v>
      </c>
      <c r="EP30" s="141">
        <f>142.5-EP38-EP39-EP40</f>
        <v>142.5</v>
      </c>
      <c r="EQ30" s="140">
        <f t="shared" si="42"/>
        <v>450.99400000000003</v>
      </c>
      <c r="ER30" s="141">
        <f>149.1-ER38-ER39-ER40</f>
        <v>149.1</v>
      </c>
      <c r="ES30" s="141">
        <f>105.8+22.354-ES38-ES39-ES40</f>
        <v>128.154</v>
      </c>
      <c r="ET30" s="141">
        <f>70.6+20.7-ET38-ET39-ET40</f>
        <v>91.3</v>
      </c>
      <c r="EU30" s="140">
        <f t="shared" si="43"/>
        <v>368.55400000000003</v>
      </c>
      <c r="EV30" s="141">
        <f>177.2-EV38-EV39-EV40</f>
        <v>177.2</v>
      </c>
      <c r="EW30" s="141">
        <f>208.1-EW38-EW39-EW40</f>
        <v>208.1</v>
      </c>
      <c r="EX30" s="141">
        <f>212.1-EX38-EX39-EX40</f>
        <v>212.1</v>
      </c>
      <c r="EY30" s="140">
        <f t="shared" si="44"/>
        <v>597.4</v>
      </c>
      <c r="EZ30" s="169">
        <f t="shared" si="45"/>
        <v>1491.373</v>
      </c>
      <c r="FA30" s="170"/>
      <c r="FB30" s="169">
        <f>112.6+13.9-FB38-FB39-FB40</f>
        <v>126.5</v>
      </c>
      <c r="FC30" s="169">
        <f>104.6+29.9-FC38-FC39-FC40</f>
        <v>134.5</v>
      </c>
      <c r="FD30" s="169">
        <f>120.1-FD38-FD39-FD40</f>
        <v>120.1</v>
      </c>
      <c r="FE30" s="171">
        <f t="shared" si="46"/>
        <v>381.1</v>
      </c>
      <c r="FF30" s="169">
        <f>214.3-FF38-FF39-FF40</f>
        <v>210.9</v>
      </c>
      <c r="FG30" s="169">
        <f>269.434-FG38-FG39-FG40</f>
        <v>267.834</v>
      </c>
      <c r="FH30" s="169">
        <f>203.109-FH38-FH39-FH40</f>
        <v>203.10900000000001</v>
      </c>
      <c r="FI30" s="171">
        <f t="shared" si="47"/>
        <v>681.84300000000007</v>
      </c>
      <c r="FJ30" s="169">
        <f>211.588-FJ38-FJ39-FJ40</f>
        <v>211.58799999999999</v>
      </c>
      <c r="FK30" s="169">
        <f>181.882266-FK38-FK39-FK40</f>
        <v>181.105266</v>
      </c>
      <c r="FL30" s="169">
        <f>190.225-FL38-FL39-FL40</f>
        <v>189.71</v>
      </c>
      <c r="FM30" s="171">
        <f t="shared" si="48"/>
        <v>582.40326600000003</v>
      </c>
      <c r="FN30" s="172">
        <f>174.076-FN38-FN39-FN40</f>
        <v>173.376</v>
      </c>
      <c r="FO30" s="173">
        <f>153.255-FO38-FO39-FO40</f>
        <v>153.255</v>
      </c>
      <c r="FP30" s="174">
        <f>265.865-FP38-FP39-FP40</f>
        <v>265.86500000000001</v>
      </c>
      <c r="FQ30" s="175">
        <f t="shared" si="49"/>
        <v>592.49599999999998</v>
      </c>
      <c r="FR30" s="175">
        <f t="shared" si="50"/>
        <v>2237.8422660000001</v>
      </c>
      <c r="FS30" s="172">
        <f>152.982-FS38-FS39-FS40</f>
        <v>151.482</v>
      </c>
      <c r="FT30" s="173">
        <f>170.001-FT38-FT39-FT40</f>
        <v>170.001</v>
      </c>
      <c r="FU30" s="174">
        <f>187.977-FU38-FU39-FU40</f>
        <v>187.041</v>
      </c>
      <c r="FV30" s="175">
        <f t="shared" si="51"/>
        <v>508.524</v>
      </c>
      <c r="FW30" s="172">
        <f>255.039-FW38-FW39-FW40</f>
        <v>255.03899999999999</v>
      </c>
      <c r="FX30" s="173">
        <f>217.9218-FX38-FX39-FX40</f>
        <v>217.09179999999998</v>
      </c>
      <c r="FY30" s="173">
        <f>162.144556-FY38-FY39-FY40</f>
        <v>162.14455599999999</v>
      </c>
      <c r="FZ30" s="175">
        <f t="shared" si="52"/>
        <v>634.27535599999999</v>
      </c>
      <c r="GA30" s="172">
        <f>227.75434-GA38-GA39-GA40</f>
        <v>227.75434000000001</v>
      </c>
      <c r="GB30" s="173">
        <f>279.937939-GB38-GB39-GB40</f>
        <v>279.93793899999997</v>
      </c>
      <c r="GC30" s="174">
        <f>226.464885-GC38-GC39-GC40</f>
        <v>226.46488500000001</v>
      </c>
      <c r="GD30" s="175">
        <f t="shared" si="53"/>
        <v>734.15716399999997</v>
      </c>
      <c r="GE30" s="172">
        <f>63.25-GE38-GE39-GE40</f>
        <v>61.8</v>
      </c>
      <c r="GF30" s="173">
        <f>57.699-GF38-GF39-GF40</f>
        <v>38.884</v>
      </c>
      <c r="GG30" s="159">
        <f>96.636400799-GG38-GG39-GG40</f>
        <v>85.473400799000004</v>
      </c>
      <c r="GH30" s="174">
        <f t="shared" si="54"/>
        <v>186.15740079900002</v>
      </c>
      <c r="GI30" s="174">
        <f t="shared" si="55"/>
        <v>2063.113920799</v>
      </c>
      <c r="GJ30" s="221">
        <f>94.151-GJ38-GJ39-GJ40</f>
        <v>89.640999999999991</v>
      </c>
      <c r="GK30" s="222">
        <f>92.814979-GK38-GK39-GK40</f>
        <v>87.814978999999994</v>
      </c>
      <c r="GL30" s="223">
        <f>54.988-GL38-GL39-GL40</f>
        <v>46.188000000000002</v>
      </c>
      <c r="GM30" s="175">
        <f t="shared" si="76"/>
        <v>223.643979</v>
      </c>
      <c r="GN30" s="221">
        <f>79.00201802-GN38-GN39-GN40</f>
        <v>79.002018019999994</v>
      </c>
      <c r="GO30" s="222">
        <f>105.86232792-GO38-GO39-GO40</f>
        <v>105.86232792</v>
      </c>
      <c r="GP30" s="222">
        <f>59.3405-GP38-GP39-GP40</f>
        <v>53.115499999999997</v>
      </c>
      <c r="GQ30" s="175">
        <f t="shared" si="77"/>
        <v>237.97984593999999</v>
      </c>
      <c r="GR30" s="221">
        <v>117.67972044</v>
      </c>
      <c r="GS30" s="222">
        <f>57.817-GS38-GS39-GS40</f>
        <v>49.245000000000005</v>
      </c>
      <c r="GT30" s="223">
        <v>59.340499999999999</v>
      </c>
      <c r="GU30" s="175">
        <f t="shared" si="78"/>
        <v>226.26522043999998</v>
      </c>
      <c r="GV30" s="221">
        <f>26.281-GV38-GV39-GV40</f>
        <v>25.13</v>
      </c>
      <c r="GW30" s="222">
        <f>50+17.941-GW38-GW39-GW40</f>
        <v>7.2460000000000022</v>
      </c>
      <c r="GX30" s="223">
        <f>20+13.7148835595409-GX38-GX75-GX76</f>
        <v>29.211883559540901</v>
      </c>
      <c r="GY30" s="174">
        <f t="shared" si="79"/>
        <v>61.587883559540906</v>
      </c>
      <c r="GZ30" s="159">
        <v>773.37109295958362</v>
      </c>
      <c r="HA30" s="254">
        <f>61+3.34+13.863-HA38-HA39-HA40</f>
        <v>72.832999999999998</v>
      </c>
      <c r="HB30" s="160">
        <f>16.262+22-HB38-HB39-HB40</f>
        <v>36.262</v>
      </c>
      <c r="HC30" s="159">
        <f>22.205-HC38-HC39-HC40</f>
        <v>22.204999999999998</v>
      </c>
      <c r="HD30" s="273">
        <f t="shared" si="61"/>
        <v>131.30000000000001</v>
      </c>
      <c r="HE30" s="254">
        <f>16.515-HE38-HE39-HE40</f>
        <v>16.515000000000001</v>
      </c>
      <c r="HF30" s="160">
        <f>20.502-HF38-HF39-HF40</f>
        <v>20.501999999999999</v>
      </c>
      <c r="HG30" s="160">
        <f>32.329-HG38-HG39-HG40</f>
        <v>32.329000000000001</v>
      </c>
      <c r="HH30" s="273">
        <f t="shared" si="72"/>
        <v>69.346000000000004</v>
      </c>
      <c r="HI30" s="160">
        <f>27.337-HI38-HI39-HI40</f>
        <v>27.337</v>
      </c>
      <c r="HJ30" s="160">
        <f>31.674-HJ38-HJ39-HJ40</f>
        <v>31.373999999999999</v>
      </c>
      <c r="HK30" s="160">
        <f>26.045+3-HK38-HK39-HK40</f>
        <v>29.045000000000002</v>
      </c>
      <c r="HL30" s="273">
        <f t="shared" si="63"/>
        <v>87.756</v>
      </c>
      <c r="HM30" s="254">
        <f>21.525+7-HM38-HM39-HM40</f>
        <v>28.324999999999999</v>
      </c>
      <c r="HN30" s="160">
        <f>20.695-HN38-HN39-HN40</f>
        <v>16.695</v>
      </c>
      <c r="HO30" s="159">
        <f>12.278-HO38-HO75-HO76</f>
        <v>11.878</v>
      </c>
      <c r="HP30" s="273">
        <f t="shared" si="64"/>
        <v>56.897999999999996</v>
      </c>
      <c r="HQ30" s="273">
        <v>349.70000000000005</v>
      </c>
      <c r="HR30" s="254">
        <f>11.659+41-HR38-HR39-HR40</f>
        <v>52.658999999999999</v>
      </c>
      <c r="HS30" s="160">
        <f>70+20.936-HS38-HS39-HS40</f>
        <v>90.836000000000013</v>
      </c>
      <c r="HT30" s="159">
        <f>8+28.632-HT38-HT39-HT40</f>
        <v>36.432000000000002</v>
      </c>
      <c r="HU30" s="273">
        <v>179.92700000000002</v>
      </c>
      <c r="HV30" s="254">
        <f>21.802-HV38-HV39-HV40</f>
        <v>21.602</v>
      </c>
      <c r="HW30" s="160">
        <f>16.177364-HW38-HW39-HW40</f>
        <v>16.177364000000001</v>
      </c>
      <c r="HX30" s="160">
        <f>13.384-HX38-HX39-HX40</f>
        <v>13.184000000000001</v>
      </c>
      <c r="HY30" s="273">
        <v>50.963363999999999</v>
      </c>
      <c r="HZ30" s="160">
        <f>15.0438-HZ38-HZ39-HZ40</f>
        <v>15.043799999999999</v>
      </c>
      <c r="IA30" s="160">
        <f>13.33875-IA38-IA39-IA40</f>
        <v>13.23875</v>
      </c>
      <c r="IB30" s="160">
        <f>9.595-IB38-IB39-IB40</f>
        <v>9.5950000000000006</v>
      </c>
      <c r="IC30" s="273">
        <v>37.877549999999999</v>
      </c>
      <c r="ID30" s="254">
        <f>10.323-ID38-ID39-ID40</f>
        <v>10.223000000000001</v>
      </c>
      <c r="IE30" s="160">
        <f>12.601-IE38-IE39-IE40</f>
        <v>12.601000000000001</v>
      </c>
      <c r="IF30" s="159">
        <f>145.51692-IF38-IF39-IF40</f>
        <v>145.51692</v>
      </c>
      <c r="IG30" s="273">
        <v>168.34092000000001</v>
      </c>
      <c r="IH30" s="273">
        <v>437.108834</v>
      </c>
      <c r="II30" s="254">
        <v>279.18987900000002</v>
      </c>
      <c r="IJ30" s="160">
        <v>126.233553</v>
      </c>
      <c r="IK30" s="159">
        <v>49.015015999999996</v>
      </c>
      <c r="IL30" s="273">
        <v>454.43844800000005</v>
      </c>
      <c r="IM30" s="254">
        <v>26.001710710000001</v>
      </c>
      <c r="IN30" s="160">
        <v>23.637633999999998</v>
      </c>
      <c r="IO30" s="254">
        <v>49.073751999999999</v>
      </c>
      <c r="IP30" s="273">
        <v>98.713096710000002</v>
      </c>
      <c r="IQ30" s="254">
        <v>28.437875999999999</v>
      </c>
      <c r="IR30" s="160">
        <v>129.2563877</v>
      </c>
      <c r="IS30" s="159">
        <v>70.979630999999998</v>
      </c>
      <c r="IT30" s="273">
        <v>228.67389470000001</v>
      </c>
      <c r="IU30" s="254">
        <v>32.719000000000001</v>
      </c>
      <c r="IV30" s="160">
        <v>41.015448919999997</v>
      </c>
      <c r="IW30" s="159">
        <v>14.833</v>
      </c>
      <c r="IX30" s="273">
        <v>88.567448920000004</v>
      </c>
      <c r="IY30" s="273">
        <v>870.39288833000001</v>
      </c>
      <c r="IZ30" s="254">
        <v>21.491</v>
      </c>
      <c r="JA30" s="160">
        <v>16.347000000000001</v>
      </c>
      <c r="JB30" s="159">
        <v>53.136000000000003</v>
      </c>
      <c r="JC30" s="273">
        <v>90.974000000000004</v>
      </c>
      <c r="JD30" s="254">
        <v>11.907999999999999</v>
      </c>
      <c r="JE30" s="160">
        <v>29.584</v>
      </c>
      <c r="JF30" s="159">
        <v>12.686999999999999</v>
      </c>
      <c r="JG30" s="273">
        <v>54.178999999999995</v>
      </c>
      <c r="JH30" s="254">
        <v>17.709</v>
      </c>
      <c r="JI30" s="160">
        <v>9.7140000000000004</v>
      </c>
      <c r="JJ30" s="159">
        <v>5.0830000000000002</v>
      </c>
      <c r="JK30" s="273">
        <v>32.506</v>
      </c>
      <c r="JL30" s="254">
        <v>161.96100000000001</v>
      </c>
      <c r="JM30" s="160">
        <v>9.7449999999999992</v>
      </c>
      <c r="JN30" s="159">
        <v>10.351863359999999</v>
      </c>
      <c r="JO30" s="273">
        <v>182.05786336000003</v>
      </c>
      <c r="JP30" s="273">
        <v>359.71686336000005</v>
      </c>
      <c r="JQ30" s="254">
        <v>12.381</v>
      </c>
      <c r="JR30" s="160">
        <v>91.304000000000002</v>
      </c>
      <c r="JS30" s="159">
        <v>74.373999999999995</v>
      </c>
      <c r="JT30" s="273">
        <v>178.059</v>
      </c>
      <c r="JU30" s="254">
        <v>12.089</v>
      </c>
      <c r="JV30" s="160">
        <v>18.235679699999999</v>
      </c>
      <c r="JW30" s="159">
        <v>7.2480000000000002</v>
      </c>
      <c r="JX30" s="273">
        <v>37.572679699999995</v>
      </c>
      <c r="JY30" s="254">
        <v>12.345000000000001</v>
      </c>
      <c r="JZ30" s="160">
        <v>10.222</v>
      </c>
      <c r="KA30" s="160">
        <v>11.71</v>
      </c>
      <c r="KB30" s="273">
        <v>34.277000000000001</v>
      </c>
      <c r="KC30" s="254">
        <v>52.951000000000001</v>
      </c>
      <c r="KD30" s="160">
        <v>79.433999999999997</v>
      </c>
      <c r="KE30" s="160">
        <v>58.247999999999998</v>
      </c>
      <c r="KF30" s="273">
        <v>190.63299999999998</v>
      </c>
      <c r="KG30" s="273">
        <v>440.54167969999997</v>
      </c>
      <c r="KH30" s="221">
        <v>39.470100000000002</v>
      </c>
      <c r="KI30" s="222">
        <v>14.337605999999999</v>
      </c>
      <c r="KJ30" s="223">
        <v>39.672204999999998</v>
      </c>
      <c r="KK30" s="273">
        <v>93.479911000000001</v>
      </c>
      <c r="KL30" s="221">
        <v>13.045</v>
      </c>
      <c r="KM30" s="222">
        <v>8.5242921999999997</v>
      </c>
      <c r="KN30" s="223">
        <v>0.83699999999999997</v>
      </c>
      <c r="KO30" s="273">
        <v>22.406292199999999</v>
      </c>
      <c r="KP30" s="221">
        <v>15.366</v>
      </c>
      <c r="KQ30" s="222">
        <v>0</v>
      </c>
      <c r="KR30" s="223">
        <v>6.1120000000000001</v>
      </c>
      <c r="KS30" s="273">
        <v>21.478000000000002</v>
      </c>
      <c r="KT30" s="254">
        <v>19.788099979999998</v>
      </c>
      <c r="KU30" s="160">
        <v>50.249175099999995</v>
      </c>
      <c r="KV30" s="159">
        <v>112.97095929</v>
      </c>
      <c r="KW30" s="273">
        <v>183.00823437</v>
      </c>
      <c r="KX30" s="273">
        <v>320.37243756999999</v>
      </c>
      <c r="KY30" s="221">
        <v>122.27829078000001</v>
      </c>
      <c r="KZ30" s="222">
        <v>139.08827015999998</v>
      </c>
      <c r="LA30" s="223">
        <v>68.565701000000004</v>
      </c>
      <c r="LB30" s="273">
        <v>329.93226193999999</v>
      </c>
      <c r="LC30" s="221">
        <v>92.084480220000003</v>
      </c>
      <c r="LD30" s="222">
        <v>4.0157311800000004</v>
      </c>
      <c r="LE30" s="223">
        <v>51.566119909999998</v>
      </c>
      <c r="LF30" s="273">
        <v>147.66633131</v>
      </c>
      <c r="LG30" s="221">
        <v>27.05</v>
      </c>
      <c r="LH30" s="222">
        <v>9.2690000000000001</v>
      </c>
      <c r="LI30" s="223">
        <v>68.33363983000001</v>
      </c>
      <c r="LJ30" s="273">
        <v>104.65263983000001</v>
      </c>
      <c r="LK30" s="222">
        <v>7.2921320300000003</v>
      </c>
      <c r="LL30" s="222">
        <v>34.698169999999998</v>
      </c>
      <c r="LM30" s="222">
        <v>17.167404869999999</v>
      </c>
      <c r="LN30" s="273">
        <v>59.157706899999994</v>
      </c>
      <c r="LO30" s="273">
        <v>641.40893998000001</v>
      </c>
    </row>
    <row r="31" spans="1:327" ht="17.100000000000001" customHeight="1" x14ac:dyDescent="0.2">
      <c r="A31" s="74" t="s">
        <v>67</v>
      </c>
      <c r="B31" s="24"/>
      <c r="C31" s="5">
        <v>262.10000000000002</v>
      </c>
      <c r="D31" s="5">
        <v>6.3</v>
      </c>
      <c r="E31" s="5">
        <v>2.8</v>
      </c>
      <c r="F31" s="5">
        <v>12.2</v>
      </c>
      <c r="G31" s="5">
        <v>21.3</v>
      </c>
      <c r="H31" s="5">
        <v>22.5</v>
      </c>
      <c r="I31" s="5">
        <v>52.1</v>
      </c>
      <c r="J31" s="5">
        <v>18.600000000000001</v>
      </c>
      <c r="K31" s="5">
        <v>93.2</v>
      </c>
      <c r="L31" s="5">
        <v>39.6</v>
      </c>
      <c r="M31" s="5">
        <f>M32+M35</f>
        <v>21.900000000000002</v>
      </c>
      <c r="N31" s="5">
        <f>N32+N35</f>
        <v>30.299999999999997</v>
      </c>
      <c r="O31" s="5">
        <f t="shared" si="0"/>
        <v>91.8</v>
      </c>
      <c r="P31" s="5">
        <f>P32+P35</f>
        <v>7.4</v>
      </c>
      <c r="Q31" s="5">
        <f>Q32+Q35</f>
        <v>12.799999999999999</v>
      </c>
      <c r="R31" s="5">
        <f>R32+R35</f>
        <v>44</v>
      </c>
      <c r="S31" s="5">
        <f t="shared" si="1"/>
        <v>64.2</v>
      </c>
      <c r="T31" s="16">
        <f t="shared" si="7"/>
        <v>270.5</v>
      </c>
      <c r="U31" s="5">
        <f>U32+U35</f>
        <v>4.74</v>
      </c>
      <c r="V31" s="5">
        <f>V32+V35</f>
        <v>9.3000000000000007</v>
      </c>
      <c r="W31" s="5">
        <f>W32+W35</f>
        <v>28.4</v>
      </c>
      <c r="X31" s="4">
        <f t="shared" si="82"/>
        <v>42.44</v>
      </c>
      <c r="Y31" s="5">
        <f>Y32+Y35</f>
        <v>27.9</v>
      </c>
      <c r="Z31" s="5">
        <f>Z32+Z35</f>
        <v>3.7</v>
      </c>
      <c r="AA31" s="5">
        <f>AA32+AA35</f>
        <v>2.2000000000000002</v>
      </c>
      <c r="AB31" s="5">
        <f t="shared" si="83"/>
        <v>33.799999999999997</v>
      </c>
      <c r="AC31" s="5">
        <f>AC32+AC35</f>
        <v>4.45</v>
      </c>
      <c r="AD31" s="5">
        <f>AD32+AD35</f>
        <v>8.4640000000000004</v>
      </c>
      <c r="AE31" s="5">
        <f>AE32+AE35</f>
        <v>5.4</v>
      </c>
      <c r="AF31" s="5">
        <f t="shared" si="84"/>
        <v>18.314</v>
      </c>
      <c r="AG31" s="5">
        <f>AG32+AG35</f>
        <v>49.82</v>
      </c>
      <c r="AH31" s="5">
        <f>AH32+AH35</f>
        <v>24.25</v>
      </c>
      <c r="AI31" s="5">
        <f>AI32+AI35</f>
        <v>69.400000000000006</v>
      </c>
      <c r="AJ31" s="5">
        <f t="shared" si="8"/>
        <v>143.47</v>
      </c>
      <c r="AK31" s="16">
        <f t="shared" si="9"/>
        <v>238.024</v>
      </c>
      <c r="AL31" s="5">
        <f>AL32+AL35</f>
        <v>4.3049999999999997</v>
      </c>
      <c r="AM31" s="5">
        <f>AM32+AM35</f>
        <v>9.1627021899999992</v>
      </c>
      <c r="AN31" s="5">
        <f>AN32+AN35</f>
        <v>20.2</v>
      </c>
      <c r="AO31" s="5">
        <f t="shared" si="86"/>
        <v>33.66770219</v>
      </c>
      <c r="AP31" s="5">
        <f>AP32+AP35</f>
        <v>5.3039868800000001</v>
      </c>
      <c r="AQ31" s="5">
        <f>AQ32+AQ35</f>
        <v>10</v>
      </c>
      <c r="AR31" s="5">
        <f>AR32+AR35</f>
        <v>35.149189509999999</v>
      </c>
      <c r="AS31" s="54">
        <f t="shared" si="12"/>
        <v>50.453176389999996</v>
      </c>
      <c r="AT31" s="5">
        <f>AT32+AT35</f>
        <v>13.1</v>
      </c>
      <c r="AU31" s="5">
        <f>AU32+AU35</f>
        <v>6.7848534900000006</v>
      </c>
      <c r="AV31" s="5">
        <f>AV32+AV35</f>
        <v>18.785365299999999</v>
      </c>
      <c r="AW31" s="54">
        <f t="shared" si="87"/>
        <v>38.67021879</v>
      </c>
      <c r="AX31" s="5">
        <f>AX32+AX35</f>
        <v>7.7450967100000003</v>
      </c>
      <c r="AY31" s="5">
        <f>AY32+AY35</f>
        <v>13.70776294</v>
      </c>
      <c r="AZ31" s="5">
        <f>AZ32+AZ35</f>
        <v>50.757678380000009</v>
      </c>
      <c r="BA31" s="54">
        <f t="shared" si="14"/>
        <v>72.210538030000009</v>
      </c>
      <c r="BB31" s="54">
        <f t="shared" si="15"/>
        <v>195.0016354</v>
      </c>
      <c r="BC31" s="5">
        <f>BC32+BC35</f>
        <v>5.7097559499999999</v>
      </c>
      <c r="BD31" s="66">
        <f>BD32+BD35</f>
        <v>20.000530829999999</v>
      </c>
      <c r="BE31" s="66">
        <f>BE32+BE35</f>
        <v>4.9303306200000003</v>
      </c>
      <c r="BF31" s="62">
        <f t="shared" si="73"/>
        <v>30.640617399999996</v>
      </c>
      <c r="BG31" s="67">
        <f>BG32+BG35</f>
        <v>7.3313639599999991</v>
      </c>
      <c r="BH31" s="67">
        <f>BH32+BH35</f>
        <v>9.0707537599999988</v>
      </c>
      <c r="BI31" s="67">
        <f>BI32+BI35</f>
        <v>19.051578079999999</v>
      </c>
      <c r="BJ31" s="62">
        <f t="shared" si="74"/>
        <v>35.453695799999998</v>
      </c>
      <c r="BK31" s="67">
        <f>BK32+BK35</f>
        <v>20.287130000000001</v>
      </c>
      <c r="BL31" s="67">
        <f>BL32+BL35</f>
        <v>27.055900000000001</v>
      </c>
      <c r="BM31" s="67">
        <f>BM32+BM35</f>
        <v>9.091704</v>
      </c>
      <c r="BN31" s="62">
        <f t="shared" si="18"/>
        <v>56.434733999999999</v>
      </c>
      <c r="BO31" s="71">
        <f>BO32+BO35</f>
        <v>7.7620233000000001</v>
      </c>
      <c r="BP31" s="67">
        <f>BP32+BP35</f>
        <v>11.1065</v>
      </c>
      <c r="BQ31" s="67">
        <f>BQ32+BQ35</f>
        <v>72.263909999999996</v>
      </c>
      <c r="BR31" s="62">
        <f t="shared" si="19"/>
        <v>91.132433300000002</v>
      </c>
      <c r="BS31" s="62">
        <f t="shared" si="20"/>
        <v>213.66148049999998</v>
      </c>
      <c r="BT31" s="67">
        <f>BT32+BT35</f>
        <v>5.6</v>
      </c>
      <c r="BU31" s="67">
        <f>BU32+BU35</f>
        <v>4.0999999999999996</v>
      </c>
      <c r="BV31" s="67">
        <f>BV32+BV35</f>
        <v>5.8</v>
      </c>
      <c r="BW31" s="62">
        <f t="shared" si="21"/>
        <v>15.5</v>
      </c>
      <c r="BX31" s="67">
        <f>BX32+BX35</f>
        <v>14.1</v>
      </c>
      <c r="BY31" s="67">
        <f>BY32+BY35</f>
        <v>10.1</v>
      </c>
      <c r="BZ31" s="67">
        <f>BZ32+BZ35</f>
        <v>95.8</v>
      </c>
      <c r="CA31" s="62">
        <f t="shared" si="22"/>
        <v>120</v>
      </c>
      <c r="CB31" s="67">
        <f>CB32+CB35</f>
        <v>11</v>
      </c>
      <c r="CC31" s="67">
        <f>CC32+CC35</f>
        <v>18</v>
      </c>
      <c r="CD31" s="67">
        <f>CD32+CD35</f>
        <v>5.2</v>
      </c>
      <c r="CE31" s="62">
        <f t="shared" si="23"/>
        <v>34.200000000000003</v>
      </c>
      <c r="CF31" s="67">
        <f>CF32+CF35</f>
        <v>7.22</v>
      </c>
      <c r="CG31" s="67">
        <f>CG32+CG35</f>
        <v>98.6</v>
      </c>
      <c r="CH31" s="67">
        <f>CH32+CH35</f>
        <v>34.700000000000003</v>
      </c>
      <c r="CI31" s="67">
        <f t="shared" si="24"/>
        <v>140.51999999999998</v>
      </c>
      <c r="CJ31" s="71">
        <f t="shared" si="25"/>
        <v>310.21999999999997</v>
      </c>
      <c r="CK31" s="71">
        <f>CK32+CK35</f>
        <v>100.6</v>
      </c>
      <c r="CL31" s="67">
        <f>CL32+CL35</f>
        <v>9.4</v>
      </c>
      <c r="CM31" s="67">
        <f>CM32+CM35</f>
        <v>4</v>
      </c>
      <c r="CN31" s="62">
        <f t="shared" si="26"/>
        <v>114</v>
      </c>
      <c r="CO31" s="67">
        <f>CO32+CO35</f>
        <v>6.4</v>
      </c>
      <c r="CP31" s="67">
        <f>CP32+CP35</f>
        <v>13.5</v>
      </c>
      <c r="CQ31" s="67">
        <f>CQ32+CQ35</f>
        <v>10.9</v>
      </c>
      <c r="CR31" s="62">
        <f t="shared" si="27"/>
        <v>30.799999999999997</v>
      </c>
      <c r="CS31" s="101">
        <f>CS32+CS35</f>
        <v>101.8</v>
      </c>
      <c r="CT31" s="67">
        <f t="shared" ref="CT31:EC31" si="88">CT32+CT36+CT35</f>
        <v>65.099999999999994</v>
      </c>
      <c r="CU31" s="67">
        <f t="shared" si="88"/>
        <v>17.899999999999999</v>
      </c>
      <c r="CV31" s="62">
        <f t="shared" si="88"/>
        <v>184.8</v>
      </c>
      <c r="CW31" s="67">
        <f t="shared" si="88"/>
        <v>34.6</v>
      </c>
      <c r="CX31" s="67">
        <f t="shared" si="88"/>
        <v>14.5</v>
      </c>
      <c r="CY31" s="112">
        <f t="shared" si="88"/>
        <v>95.7</v>
      </c>
      <c r="CZ31" s="113">
        <f t="shared" si="88"/>
        <v>144.80000000000001</v>
      </c>
      <c r="DA31" s="62">
        <f t="shared" si="88"/>
        <v>474.40000000000003</v>
      </c>
      <c r="DB31" s="71">
        <f t="shared" si="88"/>
        <v>35.200000000000003</v>
      </c>
      <c r="DC31" s="67">
        <f t="shared" si="88"/>
        <v>25.3</v>
      </c>
      <c r="DD31" s="67">
        <f t="shared" si="88"/>
        <v>3.7</v>
      </c>
      <c r="DE31" s="62">
        <f t="shared" si="88"/>
        <v>64.2</v>
      </c>
      <c r="DF31" s="71">
        <f t="shared" si="88"/>
        <v>138.80000000000001</v>
      </c>
      <c r="DG31" s="67">
        <f t="shared" si="88"/>
        <v>32.200000000000003</v>
      </c>
      <c r="DH31" s="67">
        <f t="shared" si="88"/>
        <v>123.9</v>
      </c>
      <c r="DI31" s="62">
        <f t="shared" si="88"/>
        <v>294.90000000000003</v>
      </c>
      <c r="DJ31" s="71">
        <f t="shared" si="88"/>
        <v>82.6</v>
      </c>
      <c r="DK31" s="67">
        <f t="shared" si="88"/>
        <v>3.5</v>
      </c>
      <c r="DL31" s="67">
        <f t="shared" si="88"/>
        <v>76.400000000000006</v>
      </c>
      <c r="DM31" s="62">
        <f t="shared" si="88"/>
        <v>162.5</v>
      </c>
      <c r="DN31" s="67">
        <f t="shared" si="88"/>
        <v>19.2</v>
      </c>
      <c r="DO31" s="67">
        <f t="shared" si="88"/>
        <v>47.5</v>
      </c>
      <c r="DP31" s="67">
        <f t="shared" si="88"/>
        <v>176.4</v>
      </c>
      <c r="DQ31" s="113">
        <f t="shared" si="88"/>
        <v>243.10000000000002</v>
      </c>
      <c r="DR31" s="140">
        <f t="shared" si="88"/>
        <v>764.7</v>
      </c>
      <c r="DS31" s="141">
        <f t="shared" si="88"/>
        <v>16.7</v>
      </c>
      <c r="DT31" s="141">
        <f t="shared" si="88"/>
        <v>16.600000000000001</v>
      </c>
      <c r="DU31" s="141">
        <f t="shared" si="88"/>
        <v>48.3</v>
      </c>
      <c r="DV31" s="140">
        <f t="shared" si="36"/>
        <v>81.599999999999994</v>
      </c>
      <c r="DW31" s="142">
        <f t="shared" si="88"/>
        <v>16.7</v>
      </c>
      <c r="DX31" s="141">
        <f t="shared" si="88"/>
        <v>11.5</v>
      </c>
      <c r="DY31" s="141">
        <f t="shared" si="88"/>
        <v>64.3</v>
      </c>
      <c r="DZ31" s="140">
        <f t="shared" si="37"/>
        <v>92.5</v>
      </c>
      <c r="EA31" s="142">
        <f t="shared" si="88"/>
        <v>37.5</v>
      </c>
      <c r="EB31" s="141">
        <f>EB32+EB36+EB35</f>
        <v>16.2</v>
      </c>
      <c r="EC31" s="141">
        <f t="shared" si="88"/>
        <v>101.9</v>
      </c>
      <c r="ED31" s="140">
        <f t="shared" si="38"/>
        <v>155.60000000000002</v>
      </c>
      <c r="EE31" s="141">
        <f>EE32+EE36+EE35</f>
        <v>11.8</v>
      </c>
      <c r="EF31" s="141">
        <f>EF32+EF36+EF35</f>
        <v>57.4</v>
      </c>
      <c r="EG31" s="141">
        <f>EG32+EG36+EG35</f>
        <v>87.8</v>
      </c>
      <c r="EH31" s="140">
        <f t="shared" si="39"/>
        <v>157</v>
      </c>
      <c r="EI31" s="140">
        <f t="shared" si="40"/>
        <v>486.70000000000005</v>
      </c>
      <c r="EJ31" s="141">
        <f>EJ32+EJ36+EJ35</f>
        <v>2.2000000000000002</v>
      </c>
      <c r="EK31" s="141">
        <f>EK32+EK36+EK35</f>
        <v>12.9</v>
      </c>
      <c r="EL31" s="141">
        <f>EL32+EL36+EL35</f>
        <v>50.5</v>
      </c>
      <c r="EM31" s="140">
        <f t="shared" si="41"/>
        <v>65.599999999999994</v>
      </c>
      <c r="EN31" s="141">
        <f>EN32+EN36+EN35</f>
        <v>25.9</v>
      </c>
      <c r="EO31" s="141">
        <f>EO32+EO36+EO35</f>
        <v>10.6</v>
      </c>
      <c r="EP31" s="141">
        <f>EP32+EP36+EP35</f>
        <v>70.099999999999994</v>
      </c>
      <c r="EQ31" s="140">
        <f t="shared" si="42"/>
        <v>106.6</v>
      </c>
      <c r="ER31" s="141">
        <f>ER32+ER36+ER35</f>
        <v>6.9</v>
      </c>
      <c r="ES31" s="141">
        <f>ES32+ES36+ES35</f>
        <v>14</v>
      </c>
      <c r="ET31" s="141">
        <f>ET32+ET36+ET35</f>
        <v>8</v>
      </c>
      <c r="EU31" s="140">
        <f t="shared" si="43"/>
        <v>28.9</v>
      </c>
      <c r="EV31" s="141">
        <f>EV32+EV36+EV35</f>
        <v>20.2</v>
      </c>
      <c r="EW31" s="141">
        <f>EW32+EW36+EW35</f>
        <v>24.9</v>
      </c>
      <c r="EX31" s="141">
        <f>EX32+EX36+EX35</f>
        <v>55.392633620000005</v>
      </c>
      <c r="EY31" s="140">
        <f t="shared" si="44"/>
        <v>100.49263361999999</v>
      </c>
      <c r="EZ31" s="169">
        <f t="shared" si="45"/>
        <v>301.59263362000002</v>
      </c>
      <c r="FA31" s="170"/>
      <c r="FB31" s="169">
        <f>FB32+FB36+FB35</f>
        <v>2.2999999999999998</v>
      </c>
      <c r="FC31" s="169">
        <f>FC32+FC36+FC35</f>
        <v>9.3000000000000007</v>
      </c>
      <c r="FD31" s="169">
        <f>FD32+FD36+FD35</f>
        <v>15.4</v>
      </c>
      <c r="FE31" s="171">
        <f t="shared" si="46"/>
        <v>27</v>
      </c>
      <c r="FF31" s="169">
        <f>FF32+FF36+FF35</f>
        <v>4.8753568520999995</v>
      </c>
      <c r="FG31" s="169">
        <f>FG32+FG36+FG35</f>
        <v>10.961331854800001</v>
      </c>
      <c r="FH31" s="169">
        <f>FH32+FH36+FH35</f>
        <v>9.3927026769999991</v>
      </c>
      <c r="FI31" s="171">
        <f t="shared" si="47"/>
        <v>25.229391383900001</v>
      </c>
      <c r="FJ31" s="169">
        <f>FJ32+FJ36+FJ35</f>
        <v>10.96011697306</v>
      </c>
      <c r="FK31" s="169">
        <f>FK32+FK36+FK35</f>
        <v>11.252134485200001</v>
      </c>
      <c r="FL31" s="169">
        <f>FL32+FL36+FL35</f>
        <v>11.331520512399999</v>
      </c>
      <c r="FM31" s="171">
        <f t="shared" si="48"/>
        <v>33.543771970659996</v>
      </c>
      <c r="FN31" s="172">
        <f>FN32+FN36+FN35</f>
        <v>8.3382810488000008</v>
      </c>
      <c r="FO31" s="173">
        <f>FO32+FO36+FO35</f>
        <v>30.789686602399996</v>
      </c>
      <c r="FP31" s="173">
        <f>FP32+FP36+FP35</f>
        <v>12.079479152300001</v>
      </c>
      <c r="FQ31" s="175">
        <f t="shared" si="49"/>
        <v>51.207446803499998</v>
      </c>
      <c r="FR31" s="175">
        <f t="shared" si="50"/>
        <v>136.98061015805999</v>
      </c>
      <c r="FS31" s="172">
        <f>FS32+FS36+FS35</f>
        <v>5.6745944899999996</v>
      </c>
      <c r="FT31" s="173">
        <f>FT32+FT36+FT35</f>
        <v>3.3517780564000001</v>
      </c>
      <c r="FU31" s="174">
        <f>FU32+FU36+FU35</f>
        <v>6.0035273497999988</v>
      </c>
      <c r="FV31" s="175">
        <f t="shared" si="51"/>
        <v>15.029899896199998</v>
      </c>
      <c r="FW31" s="172">
        <f>FW32+FW36+FW35</f>
        <v>8.4149631127000006</v>
      </c>
      <c r="FX31" s="173">
        <f>FX32+FX36+FX35</f>
        <v>7.9877703703999998</v>
      </c>
      <c r="FY31" s="174">
        <v>25.4761766385</v>
      </c>
      <c r="FZ31" s="175">
        <f t="shared" si="52"/>
        <v>41.878910121600001</v>
      </c>
      <c r="GA31" s="172">
        <f>GA32+GA36+GA35</f>
        <v>3.7798314336000001</v>
      </c>
      <c r="GB31" s="173">
        <f>GB32+GB36+GB35</f>
        <v>21.189504179900002</v>
      </c>
      <c r="GC31" s="174">
        <f>GC32+GC36+GC35</f>
        <v>4.5382436889999997</v>
      </c>
      <c r="GD31" s="175">
        <f t="shared" si="53"/>
        <v>29.507579302499998</v>
      </c>
      <c r="GE31" s="172">
        <f>GE32+GE36+GE35</f>
        <v>9.7423030510400004</v>
      </c>
      <c r="GF31" s="173">
        <f>GF32+GF36+GF35</f>
        <v>13.96141482036</v>
      </c>
      <c r="GG31" s="159">
        <f>GG32+GG36+GG35</f>
        <v>28.533351299659998</v>
      </c>
      <c r="GH31" s="174">
        <f t="shared" si="54"/>
        <v>52.23706917106</v>
      </c>
      <c r="GI31" s="174">
        <f t="shared" si="55"/>
        <v>138.65345849136</v>
      </c>
      <c r="GJ31" s="221">
        <f>GJ32+GJ36+GJ35</f>
        <v>4.4356856900999997</v>
      </c>
      <c r="GK31" s="222">
        <f>GK32+GK36+GK35</f>
        <v>16.363762042000001</v>
      </c>
      <c r="GL31" s="223">
        <f>GL32+GL36+GL35</f>
        <v>6.5825776028999989</v>
      </c>
      <c r="GM31" s="175">
        <f t="shared" si="76"/>
        <v>27.382025334999998</v>
      </c>
      <c r="GN31" s="221">
        <f>GN32+GN36+GN35</f>
        <v>12.644929455740002</v>
      </c>
      <c r="GO31" s="222">
        <f>GO32+GO36+GO35</f>
        <v>6.2133956104999992</v>
      </c>
      <c r="GP31" s="222">
        <f>GP32+GP36+GP35</f>
        <v>12.235373311445921</v>
      </c>
      <c r="GQ31" s="175">
        <f t="shared" si="77"/>
        <v>31.093698377685918</v>
      </c>
      <c r="GR31" s="222">
        <f>GR32+GR36+GR35</f>
        <v>16.8</v>
      </c>
      <c r="GS31" s="222">
        <f>GS32+GS36+GS35</f>
        <v>19.614735660085906</v>
      </c>
      <c r="GT31" s="222">
        <f>GT32+GT36+GT35</f>
        <v>9.9587933897307561</v>
      </c>
      <c r="GU31" s="175">
        <f t="shared" si="78"/>
        <v>46.373529049816668</v>
      </c>
      <c r="GV31" s="221">
        <f>GV32+GV36+GV35</f>
        <v>22.359678730875178</v>
      </c>
      <c r="GW31" s="222">
        <f>GW32+GW36+GW35</f>
        <v>20.238098857604015</v>
      </c>
      <c r="GX31" s="223">
        <f>GX32+GX36+GX35</f>
        <v>55.341683556482373</v>
      </c>
      <c r="GY31" s="174">
        <f t="shared" si="79"/>
        <v>97.93946114496157</v>
      </c>
      <c r="GZ31" s="159">
        <f t="shared" si="80"/>
        <v>202.78871390746417</v>
      </c>
      <c r="HA31" s="254">
        <f>HA32+HA36+HA35</f>
        <v>5.8820483228120519</v>
      </c>
      <c r="HB31" s="160">
        <f>HB32+HB36+HB35</f>
        <v>4.5315808088991387</v>
      </c>
      <c r="HC31" s="159">
        <f>HC32+HC36+HC35</f>
        <v>9.121904050003014</v>
      </c>
      <c r="HD31" s="273">
        <f t="shared" si="61"/>
        <v>19.535533181714204</v>
      </c>
      <c r="HE31" s="254">
        <f>HE32+HE36+HE35</f>
        <v>52.840148414156815</v>
      </c>
      <c r="HF31" s="160">
        <f>HF32+HF36+HF35</f>
        <v>10.992329002786084</v>
      </c>
      <c r="HG31" s="160">
        <f>HG32+HG36+HG35</f>
        <v>38.404404649531706</v>
      </c>
      <c r="HH31" s="273">
        <f t="shared" si="72"/>
        <v>102.23688206647461</v>
      </c>
      <c r="HI31" s="160">
        <f>HI32+HI36+HI35</f>
        <v>17.732245239887373</v>
      </c>
      <c r="HJ31" s="160">
        <f>HJ32+HJ36+HJ35</f>
        <v>20.937903539310469</v>
      </c>
      <c r="HK31" s="160">
        <f>HK32+HK36+HK35</f>
        <v>27.067066207053514</v>
      </c>
      <c r="HL31" s="273">
        <f t="shared" si="63"/>
        <v>65.73721498625136</v>
      </c>
      <c r="HM31" s="254">
        <f>HM32+HM36+HM35</f>
        <v>42.401360167166487</v>
      </c>
      <c r="HN31" s="160">
        <f>HN32+HN36+HN35</f>
        <v>21.506104727610474</v>
      </c>
      <c r="HO31" s="159">
        <f>HO32+HO36+HO35</f>
        <v>78.830359829368732</v>
      </c>
      <c r="HP31" s="273">
        <f t="shared" si="64"/>
        <v>142.7378247241457</v>
      </c>
      <c r="HQ31" s="273">
        <f t="shared" si="65"/>
        <v>330.24745495858588</v>
      </c>
      <c r="HR31" s="254">
        <f>HR32+HR36+HR35</f>
        <v>4.661581100057389</v>
      </c>
      <c r="HS31" s="160">
        <f>HS32+HS36+HS35</f>
        <v>15.10703299205165</v>
      </c>
      <c r="HT31" s="159">
        <f>HT32+HT36+HT35</f>
        <v>28.310746299999998</v>
      </c>
      <c r="HU31" s="273">
        <f t="shared" si="66"/>
        <v>48.079360392109038</v>
      </c>
      <c r="HV31" s="254">
        <f>HV32+HV36+HV35</f>
        <v>6.7077289512051657</v>
      </c>
      <c r="HW31" s="160">
        <f>HW32+HW36+HW35</f>
        <v>19.895767408723099</v>
      </c>
      <c r="HX31" s="160">
        <f>HX32+HX36+HX35</f>
        <v>38.99310430926829</v>
      </c>
      <c r="HY31" s="273">
        <f t="shared" si="67"/>
        <v>65.596600669196562</v>
      </c>
      <c r="HZ31" s="160">
        <f>HZ32+HZ36+HZ35</f>
        <v>20.856427935667142</v>
      </c>
      <c r="IA31" s="160">
        <f>IA32+IA36+IA35</f>
        <v>20.157498990000001</v>
      </c>
      <c r="IB31" s="160">
        <f>IB32+IB36+IB35</f>
        <v>29.478590502180776</v>
      </c>
      <c r="IC31" s="273">
        <f t="shared" si="81"/>
        <v>70.492517427847915</v>
      </c>
      <c r="ID31" s="254">
        <f>ID32+ID36+ID35</f>
        <v>44.039675350000003</v>
      </c>
      <c r="IE31" s="160">
        <f>IE32+IE36+IE35</f>
        <v>27.388233360000001</v>
      </c>
      <c r="IF31" s="159">
        <f>IF32+IF36+IF35</f>
        <v>165.20040661067671</v>
      </c>
      <c r="IG31" s="273">
        <f t="shared" si="69"/>
        <v>236.62831532067671</v>
      </c>
      <c r="IH31" s="273">
        <v>420.79679380983021</v>
      </c>
      <c r="II31" s="254">
        <v>4.1649505600000003</v>
      </c>
      <c r="IJ31" s="160">
        <v>16.729176379999998</v>
      </c>
      <c r="IK31" s="159">
        <v>18.986601060000002</v>
      </c>
      <c r="IL31" s="273">
        <v>39.880728000000005</v>
      </c>
      <c r="IM31" s="254">
        <v>34.201687450000001</v>
      </c>
      <c r="IN31" s="160">
        <v>19.183476630232221</v>
      </c>
      <c r="IO31" s="160">
        <v>30.65991391</v>
      </c>
      <c r="IP31" s="273">
        <v>84.045077990232215</v>
      </c>
      <c r="IQ31" s="254">
        <v>26.44321523</v>
      </c>
      <c r="IR31" s="160">
        <v>36.216895009999995</v>
      </c>
      <c r="IS31" s="159">
        <v>45.467513659999995</v>
      </c>
      <c r="IT31" s="273">
        <v>108.12762389999999</v>
      </c>
      <c r="IU31" s="254">
        <v>37.411523332998541</v>
      </c>
      <c r="IV31" s="160">
        <v>45.23658289883501</v>
      </c>
      <c r="IW31" s="159">
        <v>142.19380862122449</v>
      </c>
      <c r="IX31" s="273">
        <v>224.84191485305803</v>
      </c>
      <c r="IY31" s="273">
        <v>456.89534474329025</v>
      </c>
      <c r="IZ31" s="254">
        <v>18.853990710174926</v>
      </c>
      <c r="JA31" s="160">
        <v>20.398569630000001</v>
      </c>
      <c r="JB31" s="159">
        <v>33.519888510000001</v>
      </c>
      <c r="JC31" s="273">
        <v>72.772448850174925</v>
      </c>
      <c r="JD31" s="254">
        <v>18.324567909999999</v>
      </c>
      <c r="JE31" s="160">
        <v>38.01689666</v>
      </c>
      <c r="JF31" s="159">
        <v>31.13771234</v>
      </c>
      <c r="JG31" s="273">
        <v>87.479176910000007</v>
      </c>
      <c r="JH31" s="254">
        <v>29.775253669999998</v>
      </c>
      <c r="JI31" s="160">
        <v>41.227162629941688</v>
      </c>
      <c r="JJ31" s="159">
        <v>22.60918736</v>
      </c>
      <c r="JK31" s="273">
        <v>93.611603659941693</v>
      </c>
      <c r="JL31" s="254">
        <v>539.94416769000009</v>
      </c>
      <c r="JM31" s="160">
        <v>42.429798990000002</v>
      </c>
      <c r="JN31" s="160">
        <v>214.83788060950437</v>
      </c>
      <c r="JO31" s="273">
        <v>797.21184728950448</v>
      </c>
      <c r="JP31" s="273">
        <v>1051.075076709621</v>
      </c>
      <c r="JQ31" s="254">
        <v>8.66557815</v>
      </c>
      <c r="JR31" s="160">
        <v>7.8316070500000006</v>
      </c>
      <c r="JS31" s="159">
        <v>13.690655070000002</v>
      </c>
      <c r="JT31" s="273">
        <v>30.187840270000002</v>
      </c>
      <c r="JU31" s="254">
        <v>57.745588729999994</v>
      </c>
      <c r="JV31" s="160">
        <v>12.09468519</v>
      </c>
      <c r="JW31" s="159">
        <v>42.951933170000004</v>
      </c>
      <c r="JX31" s="273">
        <v>112.79220708999999</v>
      </c>
      <c r="JY31" s="254">
        <v>31.501124739999998</v>
      </c>
      <c r="JZ31" s="160">
        <v>501.72838382000003</v>
      </c>
      <c r="KA31" s="159">
        <v>46.55863248</v>
      </c>
      <c r="KB31" s="273">
        <v>579.78814104000003</v>
      </c>
      <c r="KC31" s="254">
        <v>48.039697689999997</v>
      </c>
      <c r="KD31" s="160">
        <v>36.868609120000002</v>
      </c>
      <c r="KE31" s="160">
        <v>233.52025545999999</v>
      </c>
      <c r="KF31" s="273">
        <v>318.42856226999999</v>
      </c>
      <c r="KG31" s="273">
        <v>1041.19675067</v>
      </c>
      <c r="KH31" s="221">
        <v>4.7023072900000003</v>
      </c>
      <c r="KI31" s="222">
        <v>21.12635599</v>
      </c>
      <c r="KJ31" s="223">
        <v>37.097104369999997</v>
      </c>
      <c r="KK31" s="273">
        <v>62.925767649999997</v>
      </c>
      <c r="KL31" s="221">
        <v>31.34667108</v>
      </c>
      <c r="KM31" s="222">
        <v>22.316139229999997</v>
      </c>
      <c r="KN31" s="223">
        <v>36.372081819999998</v>
      </c>
      <c r="KO31" s="273">
        <v>90.034892130000003</v>
      </c>
      <c r="KP31" s="221">
        <v>38.082165079999996</v>
      </c>
      <c r="KQ31" s="222">
        <v>126.24737214</v>
      </c>
      <c r="KR31" s="223">
        <v>52.359205440000004</v>
      </c>
      <c r="KS31" s="273">
        <v>216.68874266</v>
      </c>
      <c r="KT31" s="254">
        <v>39.576682140000003</v>
      </c>
      <c r="KU31" s="160">
        <v>59.733720769999998</v>
      </c>
      <c r="KV31" s="159">
        <v>126.38859259</v>
      </c>
      <c r="KW31" s="273">
        <v>225.6989955</v>
      </c>
      <c r="KX31" s="273">
        <v>595.34839794000004</v>
      </c>
      <c r="KY31" s="221">
        <v>23.36840437</v>
      </c>
      <c r="KZ31" s="222">
        <v>21.621305420000002</v>
      </c>
      <c r="LA31" s="223">
        <v>25.038978360000002</v>
      </c>
      <c r="LB31" s="273">
        <v>70.028688150000008</v>
      </c>
      <c r="LC31" s="221">
        <v>39.677432339999996</v>
      </c>
      <c r="LD31" s="222">
        <v>49.749570030000001</v>
      </c>
      <c r="LE31" s="223">
        <v>246.90405294000001</v>
      </c>
      <c r="LF31" s="273">
        <v>336.33105531000001</v>
      </c>
      <c r="LG31" s="221">
        <v>34.582922850000003</v>
      </c>
      <c r="LH31" s="222">
        <v>184.32189256999999</v>
      </c>
      <c r="LI31" s="223">
        <v>42.443954799999993</v>
      </c>
      <c r="LJ31" s="273">
        <v>261.34877021999995</v>
      </c>
      <c r="LK31" s="221">
        <v>70.358035610000002</v>
      </c>
      <c r="LL31" s="222">
        <v>61.063963819999998</v>
      </c>
      <c r="LM31" s="223">
        <v>125.60603811999999</v>
      </c>
      <c r="LN31" s="273">
        <v>257.02803755000002</v>
      </c>
      <c r="LO31" s="273">
        <v>924.73655122999992</v>
      </c>
    </row>
    <row r="32" spans="1:327" ht="17.100000000000001" hidden="1" customHeight="1" outlineLevel="1" x14ac:dyDescent="0.2">
      <c r="A32" s="75" t="s">
        <v>68</v>
      </c>
      <c r="B32" s="24"/>
      <c r="C32" s="5">
        <v>213.5</v>
      </c>
      <c r="D32" s="5">
        <v>6.3</v>
      </c>
      <c r="E32" s="5">
        <v>2.8</v>
      </c>
      <c r="F32" s="5">
        <v>12.2</v>
      </c>
      <c r="G32" s="5">
        <v>21.3</v>
      </c>
      <c r="H32" s="5">
        <v>22.5</v>
      </c>
      <c r="I32" s="5">
        <v>52.1</v>
      </c>
      <c r="J32" s="5">
        <v>18.600000000000001</v>
      </c>
      <c r="K32" s="5">
        <v>93.2</v>
      </c>
      <c r="L32" s="5">
        <v>39.6</v>
      </c>
      <c r="M32" s="5">
        <f>M33+M34</f>
        <v>21.900000000000002</v>
      </c>
      <c r="N32" s="5">
        <f>N33+N34</f>
        <v>7.3999999999999995</v>
      </c>
      <c r="O32" s="5">
        <f t="shared" si="0"/>
        <v>68.900000000000006</v>
      </c>
      <c r="P32" s="5">
        <f>P33+P34</f>
        <v>7.4</v>
      </c>
      <c r="Q32" s="5">
        <f>Q33+Q34</f>
        <v>12.799999999999999</v>
      </c>
      <c r="R32" s="5">
        <f>R33+R34</f>
        <v>44</v>
      </c>
      <c r="S32" s="5">
        <f t="shared" si="1"/>
        <v>64.2</v>
      </c>
      <c r="T32" s="16">
        <f t="shared" si="7"/>
        <v>247.60000000000002</v>
      </c>
      <c r="U32" s="5">
        <f>U33+U34</f>
        <v>4.74</v>
      </c>
      <c r="V32" s="5">
        <f>V33+V34</f>
        <v>9.3000000000000007</v>
      </c>
      <c r="W32" s="5">
        <f>W33+W34</f>
        <v>5.7</v>
      </c>
      <c r="X32" s="4">
        <f t="shared" si="82"/>
        <v>19.740000000000002</v>
      </c>
      <c r="Y32" s="5">
        <f>Y33+Y34</f>
        <v>27.9</v>
      </c>
      <c r="Z32" s="5">
        <f>Z33+Z34</f>
        <v>3.7</v>
      </c>
      <c r="AA32" s="5">
        <f>AA33+AA34</f>
        <v>2.2000000000000002</v>
      </c>
      <c r="AB32" s="5">
        <f t="shared" si="83"/>
        <v>33.799999999999997</v>
      </c>
      <c r="AC32" s="5">
        <f>AC33+AC34</f>
        <v>4.45</v>
      </c>
      <c r="AD32" s="5">
        <f>AD33+AD34</f>
        <v>8.4640000000000004</v>
      </c>
      <c r="AE32" s="5">
        <f>AE33+AE34</f>
        <v>5.4</v>
      </c>
      <c r="AF32" s="5">
        <f t="shared" si="84"/>
        <v>18.314</v>
      </c>
      <c r="AG32" s="5">
        <f>AG33+AG34</f>
        <v>26.5</v>
      </c>
      <c r="AH32" s="5">
        <f>AH33+AH34</f>
        <v>24.25</v>
      </c>
      <c r="AI32" s="5">
        <f>AI33+AI34</f>
        <v>69.400000000000006</v>
      </c>
      <c r="AJ32" s="5">
        <f t="shared" si="8"/>
        <v>120.15</v>
      </c>
      <c r="AK32" s="16">
        <f t="shared" si="9"/>
        <v>192.00400000000002</v>
      </c>
      <c r="AL32" s="5">
        <f t="shared" ref="AL32:AT32" si="89">AL33+AL34</f>
        <v>4.3049999999999997</v>
      </c>
      <c r="AM32" s="5">
        <f t="shared" si="89"/>
        <v>9.1627021899999992</v>
      </c>
      <c r="AN32" s="5">
        <f t="shared" si="89"/>
        <v>20.2</v>
      </c>
      <c r="AO32" s="5">
        <f t="shared" si="86"/>
        <v>33.66770219</v>
      </c>
      <c r="AP32" s="5">
        <f t="shared" si="89"/>
        <v>5.3039868800000001</v>
      </c>
      <c r="AQ32" s="5">
        <f t="shared" si="89"/>
        <v>10</v>
      </c>
      <c r="AR32" s="5">
        <f t="shared" si="89"/>
        <v>35.149189509999999</v>
      </c>
      <c r="AS32" s="54">
        <f t="shared" si="12"/>
        <v>50.453176389999996</v>
      </c>
      <c r="AT32" s="5">
        <f t="shared" si="89"/>
        <v>13.1</v>
      </c>
      <c r="AU32" s="5">
        <f>AU33+AU34</f>
        <v>6.7848534900000006</v>
      </c>
      <c r="AV32" s="5">
        <f>AV33+AV34</f>
        <v>18.785365299999999</v>
      </c>
      <c r="AW32" s="54">
        <f t="shared" si="87"/>
        <v>38.67021879</v>
      </c>
      <c r="AX32" s="5">
        <f>AX33+AX34</f>
        <v>7.7450967100000003</v>
      </c>
      <c r="AY32" s="5">
        <f>AY33+AY34</f>
        <v>13.70776294</v>
      </c>
      <c r="AZ32" s="5">
        <f>AZ33+AZ34</f>
        <v>50.757678380000009</v>
      </c>
      <c r="BA32" s="54">
        <f t="shared" si="14"/>
        <v>72.210538030000009</v>
      </c>
      <c r="BB32" s="54">
        <f t="shared" si="15"/>
        <v>195.0016354</v>
      </c>
      <c r="BC32" s="5">
        <f>BC33+BC34</f>
        <v>5.7097559499999999</v>
      </c>
      <c r="BD32" s="66">
        <f>BD33+BD34</f>
        <v>4.9217179799999995</v>
      </c>
      <c r="BE32" s="66">
        <f>BE33+BE34</f>
        <v>4.9283706199999999</v>
      </c>
      <c r="BF32" s="62">
        <f t="shared" si="73"/>
        <v>15.559844549999998</v>
      </c>
      <c r="BG32" s="67">
        <f>BG33+BG34</f>
        <v>7.3313639599999991</v>
      </c>
      <c r="BH32" s="67">
        <f>BH33+BH34</f>
        <v>9.0707537599999988</v>
      </c>
      <c r="BI32" s="67">
        <f>BI33+BI34</f>
        <v>19.051578079999999</v>
      </c>
      <c r="BJ32" s="62">
        <f t="shared" si="74"/>
        <v>35.453695799999998</v>
      </c>
      <c r="BK32" s="67">
        <f>BK33+BK34</f>
        <v>20.287130000000001</v>
      </c>
      <c r="BL32" s="67">
        <f>BL33+BL34</f>
        <v>27.055900000000001</v>
      </c>
      <c r="BM32" s="67">
        <f>BM33+BM34</f>
        <v>9.091704</v>
      </c>
      <c r="BN32" s="62">
        <f t="shared" si="18"/>
        <v>56.434733999999999</v>
      </c>
      <c r="BO32" s="71">
        <f>BO33+BO34</f>
        <v>7.7620233000000001</v>
      </c>
      <c r="BP32" s="67">
        <f>BP33+BP34</f>
        <v>11.1065</v>
      </c>
      <c r="BQ32" s="67">
        <f>BQ33+BQ34</f>
        <v>72.263909999999996</v>
      </c>
      <c r="BR32" s="62">
        <f t="shared" si="19"/>
        <v>91.132433300000002</v>
      </c>
      <c r="BS32" s="62">
        <f t="shared" si="20"/>
        <v>198.58070764999999</v>
      </c>
      <c r="BT32" s="67">
        <f>BT33+BT34</f>
        <v>5.6</v>
      </c>
      <c r="BU32" s="67">
        <f>BU33+BU34</f>
        <v>4.0999999999999996</v>
      </c>
      <c r="BV32" s="67">
        <f>BV33+BV34</f>
        <v>5.8</v>
      </c>
      <c r="BW32" s="62">
        <f t="shared" si="21"/>
        <v>15.5</v>
      </c>
      <c r="BX32" s="67">
        <f>BX33+BX34</f>
        <v>14.1</v>
      </c>
      <c r="BY32" s="67">
        <f>BY33+BY34</f>
        <v>10.1</v>
      </c>
      <c r="BZ32" s="67">
        <f>BZ33+BZ34</f>
        <v>72</v>
      </c>
      <c r="CA32" s="62">
        <f t="shared" si="22"/>
        <v>96.2</v>
      </c>
      <c r="CB32" s="67">
        <f>CB33+CB34</f>
        <v>11</v>
      </c>
      <c r="CC32" s="67">
        <f>CC33+CC34</f>
        <v>18</v>
      </c>
      <c r="CD32" s="67">
        <f>CD33+CD34</f>
        <v>5.2</v>
      </c>
      <c r="CE32" s="62">
        <f t="shared" si="23"/>
        <v>34.200000000000003</v>
      </c>
      <c r="CF32" s="67">
        <f>CF33+CF34</f>
        <v>7.22</v>
      </c>
      <c r="CG32" s="67">
        <f>CG33+CG34</f>
        <v>98.6</v>
      </c>
      <c r="CH32" s="67">
        <f>CH33+CH34</f>
        <v>34.700000000000003</v>
      </c>
      <c r="CI32" s="67">
        <f t="shared" si="24"/>
        <v>140.51999999999998</v>
      </c>
      <c r="CJ32" s="71">
        <f t="shared" si="25"/>
        <v>286.41999999999996</v>
      </c>
      <c r="CK32" s="71">
        <f>CK33+CK34</f>
        <v>100.6</v>
      </c>
      <c r="CL32" s="67">
        <f>CL33+CL34</f>
        <v>9.4</v>
      </c>
      <c r="CM32" s="67">
        <f>CM33+CM34</f>
        <v>4</v>
      </c>
      <c r="CN32" s="62">
        <f t="shared" si="26"/>
        <v>114</v>
      </c>
      <c r="CO32" s="67">
        <f>CO33+CO34</f>
        <v>6.4</v>
      </c>
      <c r="CP32" s="67">
        <f>CP33+CP34</f>
        <v>13.5</v>
      </c>
      <c r="CQ32" s="67">
        <f>CQ33+CQ34</f>
        <v>10.9</v>
      </c>
      <c r="CR32" s="62">
        <f t="shared" si="27"/>
        <v>30.799999999999997</v>
      </c>
      <c r="CS32" s="101">
        <f>CS33+CS34</f>
        <v>101.8</v>
      </c>
      <c r="CT32" s="67">
        <f>CT33+CT34</f>
        <v>40.1</v>
      </c>
      <c r="CU32" s="67">
        <f>CU33+CU34</f>
        <v>17.899999999999999</v>
      </c>
      <c r="CV32" s="62">
        <f t="shared" ref="CV32:CV40" si="90">SUM(CS32:CU32)</f>
        <v>159.80000000000001</v>
      </c>
      <c r="CW32" s="67">
        <f>CW33+CW34</f>
        <v>9.6</v>
      </c>
      <c r="CX32" s="67">
        <f>CX33+CX34</f>
        <v>14.5</v>
      </c>
      <c r="CY32" s="112">
        <f>CY33+CY34</f>
        <v>95.7</v>
      </c>
      <c r="CZ32" s="113">
        <f t="shared" ref="CZ32:CZ40" si="91">SUM(CW32:CY32)</f>
        <v>119.80000000000001</v>
      </c>
      <c r="DA32" s="62">
        <f t="shared" ref="DA32:DA40" si="92">CN32+CR32+CV32+CZ32</f>
        <v>424.40000000000003</v>
      </c>
      <c r="DB32" s="71">
        <f>DB33+DB34</f>
        <v>4.2000000000000028</v>
      </c>
      <c r="DC32" s="67">
        <f>DC33+DC34</f>
        <v>25.3</v>
      </c>
      <c r="DD32" s="67">
        <f>DD33+DD34</f>
        <v>3.7</v>
      </c>
      <c r="DE32" s="62">
        <f t="shared" ref="DE32:DE40" si="93">SUM(DB32:DD32)</f>
        <v>33.200000000000003</v>
      </c>
      <c r="DF32" s="71">
        <f>DF33+DF34</f>
        <v>55</v>
      </c>
      <c r="DG32" s="67">
        <f>DG33+DG34</f>
        <v>32.200000000000003</v>
      </c>
      <c r="DH32" s="67">
        <f>DH33+DH34</f>
        <v>98.9</v>
      </c>
      <c r="DI32" s="62">
        <f t="shared" ref="DI32:DI40" si="94">SUM(DF32:DH32)</f>
        <v>186.10000000000002</v>
      </c>
      <c r="DJ32" s="71">
        <f>DJ33+DJ34</f>
        <v>67.599999999999994</v>
      </c>
      <c r="DK32" s="67">
        <f>DK33+DK34</f>
        <v>3.5</v>
      </c>
      <c r="DL32" s="67">
        <f>DL33+DL34</f>
        <v>51.4</v>
      </c>
      <c r="DM32" s="62">
        <f t="shared" ref="DM32:DM40" si="95">SUM(DJ32:DL32)</f>
        <v>122.5</v>
      </c>
      <c r="DN32" s="67">
        <f>DN33+DN34</f>
        <v>3.9</v>
      </c>
      <c r="DO32" s="67">
        <f>DO33+DO34</f>
        <v>47.5</v>
      </c>
      <c r="DP32" s="67">
        <f>DP33+DP34</f>
        <v>151.4</v>
      </c>
      <c r="DQ32" s="113">
        <f t="shared" ref="DQ32:DQ40" si="96">SUM(DN32:DP32)</f>
        <v>202.8</v>
      </c>
      <c r="DR32" s="140">
        <f t="shared" ref="DR32:DR40" si="97">DE32+DI32+DM32+DQ32</f>
        <v>544.6</v>
      </c>
      <c r="DS32" s="141">
        <f>DS33+DS34</f>
        <v>16.7</v>
      </c>
      <c r="DT32" s="141">
        <f>DT33+DT34</f>
        <v>16.600000000000001</v>
      </c>
      <c r="DU32" s="141">
        <f>DU33+DU34</f>
        <v>23.299999999999997</v>
      </c>
      <c r="DV32" s="140">
        <f t="shared" si="36"/>
        <v>56.599999999999994</v>
      </c>
      <c r="DW32" s="142">
        <f>DW33+DW34</f>
        <v>16.7</v>
      </c>
      <c r="DX32" s="141">
        <f>DX33+DX34</f>
        <v>11.5</v>
      </c>
      <c r="DY32" s="141">
        <f>DY33+DY34</f>
        <v>23.8</v>
      </c>
      <c r="DZ32" s="140">
        <f t="shared" si="37"/>
        <v>52</v>
      </c>
      <c r="EA32" s="142">
        <f>EA33+EA34</f>
        <v>37.5</v>
      </c>
      <c r="EB32" s="141">
        <f>EB33+EB34</f>
        <v>16.2</v>
      </c>
      <c r="EC32" s="141">
        <f>EC33+EC34</f>
        <v>62.6</v>
      </c>
      <c r="ED32" s="140">
        <f t="shared" si="38"/>
        <v>116.30000000000001</v>
      </c>
      <c r="EE32" s="141">
        <f>EE33+EE34</f>
        <v>11.8</v>
      </c>
      <c r="EF32" s="141">
        <f>EF33+EF34</f>
        <v>57.4</v>
      </c>
      <c r="EG32" s="141">
        <f>EG33+EG34</f>
        <v>87.8</v>
      </c>
      <c r="EH32" s="140">
        <f t="shared" si="39"/>
        <v>157</v>
      </c>
      <c r="EI32" s="140">
        <f t="shared" si="40"/>
        <v>381.9</v>
      </c>
      <c r="EJ32" s="141">
        <f>EJ33+EJ34</f>
        <v>2.2000000000000002</v>
      </c>
      <c r="EK32" s="141">
        <f>EK33+EK34</f>
        <v>12.9</v>
      </c>
      <c r="EL32" s="141">
        <v>25.5</v>
      </c>
      <c r="EM32" s="140">
        <f t="shared" si="41"/>
        <v>40.6</v>
      </c>
      <c r="EN32" s="141">
        <f>EN33+EN34</f>
        <v>14.7</v>
      </c>
      <c r="EO32" s="141">
        <f>EO33+EO34</f>
        <v>10.6</v>
      </c>
      <c r="EP32" s="141">
        <f>EP33+EP34</f>
        <v>45.7</v>
      </c>
      <c r="EQ32" s="140">
        <f t="shared" si="42"/>
        <v>71</v>
      </c>
      <c r="ER32" s="141">
        <f>ER33+ER34</f>
        <v>6.9</v>
      </c>
      <c r="ES32" s="141">
        <f>ES33+ES34</f>
        <v>14</v>
      </c>
      <c r="ET32" s="141">
        <f>ET33+ET34</f>
        <v>8</v>
      </c>
      <c r="EU32" s="140">
        <f t="shared" si="43"/>
        <v>28.9</v>
      </c>
      <c r="EV32" s="141">
        <f>EV33+EV34</f>
        <v>20.2</v>
      </c>
      <c r="EW32" s="141">
        <f>EW33+EW34</f>
        <v>24.9</v>
      </c>
      <c r="EX32" s="141">
        <f>EX33+EX34</f>
        <v>55.392633620000005</v>
      </c>
      <c r="EY32" s="140">
        <f t="shared" si="44"/>
        <v>100.49263361999999</v>
      </c>
      <c r="EZ32" s="169">
        <f t="shared" si="45"/>
        <v>240.99263361999999</v>
      </c>
      <c r="FA32" s="170"/>
      <c r="FB32" s="169">
        <f>FB33+FB34</f>
        <v>2.2999999999999998</v>
      </c>
      <c r="FC32" s="169">
        <f>FC33+FC34</f>
        <v>9.3000000000000007</v>
      </c>
      <c r="FD32" s="169">
        <f>FD33+FD34</f>
        <v>15.4</v>
      </c>
      <c r="FE32" s="171">
        <f t="shared" si="46"/>
        <v>27</v>
      </c>
      <c r="FF32" s="169">
        <f>FF33+FF34</f>
        <v>4.8753568520999995</v>
      </c>
      <c r="FG32" s="169">
        <f>FG33+FG34</f>
        <v>10.961331854800001</v>
      </c>
      <c r="FH32" s="169">
        <f>FH33+FH34</f>
        <v>9.3927026769999991</v>
      </c>
      <c r="FI32" s="171">
        <f t="shared" si="47"/>
        <v>25.229391383900001</v>
      </c>
      <c r="FJ32" s="169">
        <f>FJ33+FJ34</f>
        <v>10.96011697306</v>
      </c>
      <c r="FK32" s="169">
        <f>FK33+FK34</f>
        <v>11.252134485200001</v>
      </c>
      <c r="FL32" s="169">
        <f>FL33+FL34</f>
        <v>11.331520512399999</v>
      </c>
      <c r="FM32" s="171">
        <f t="shared" si="48"/>
        <v>33.543771970659996</v>
      </c>
      <c r="FN32" s="172">
        <f>FN33+FN34</f>
        <v>8.3382810488000008</v>
      </c>
      <c r="FO32" s="173">
        <f>FO33+FO34</f>
        <v>30.789686602399996</v>
      </c>
      <c r="FP32" s="173">
        <f>FP33+FP34</f>
        <v>12.079479152300001</v>
      </c>
      <c r="FQ32" s="175">
        <f t="shared" si="49"/>
        <v>51.207446803499998</v>
      </c>
      <c r="FR32" s="175">
        <f t="shared" si="50"/>
        <v>136.98061015805999</v>
      </c>
      <c r="FS32" s="172">
        <f>FS33+FS34</f>
        <v>5.6745944899999996</v>
      </c>
      <c r="FT32" s="173">
        <f>FT33+FT34</f>
        <v>3.3517780564000001</v>
      </c>
      <c r="FU32" s="174">
        <f>FU33+FU34</f>
        <v>6.0035273497999988</v>
      </c>
      <c r="FV32" s="175">
        <f t="shared" si="51"/>
        <v>15.029899896199998</v>
      </c>
      <c r="FW32" s="172">
        <f>FW33+FW34</f>
        <v>8.4149631127000006</v>
      </c>
      <c r="FX32" s="173">
        <f>FX33+FX34</f>
        <v>7.9877703703999998</v>
      </c>
      <c r="FY32" s="174">
        <v>25.4761766385</v>
      </c>
      <c r="FZ32" s="175">
        <f t="shared" si="52"/>
        <v>41.878910121600001</v>
      </c>
      <c r="GA32" s="172">
        <f>GA33+GA34</f>
        <v>3.7798314336000001</v>
      </c>
      <c r="GB32" s="173">
        <f>GB33+GB34</f>
        <v>21.189504179900002</v>
      </c>
      <c r="GC32" s="174">
        <f>GC33+GC34</f>
        <v>4.5382436889999997</v>
      </c>
      <c r="GD32" s="175">
        <f t="shared" si="53"/>
        <v>29.507579302499998</v>
      </c>
      <c r="GE32" s="172">
        <f>GE33+GE34</f>
        <v>9.7423030510400004</v>
      </c>
      <c r="GF32" s="173">
        <f>GF33+GF34</f>
        <v>13.96141482036</v>
      </c>
      <c r="GG32" s="159">
        <f>GG33+GG34</f>
        <v>28.533351299659998</v>
      </c>
      <c r="GH32" s="174">
        <f t="shared" si="54"/>
        <v>52.23706917106</v>
      </c>
      <c r="GI32" s="174">
        <f t="shared" si="55"/>
        <v>138.65345849136</v>
      </c>
      <c r="GJ32" s="221">
        <f>GJ33+GJ34</f>
        <v>4.4356856900999997</v>
      </c>
      <c r="GK32" s="222">
        <f>GK33+GK34</f>
        <v>16.363762042000001</v>
      </c>
      <c r="GL32" s="223">
        <f>GL33+GL34</f>
        <v>6.5825776028999989</v>
      </c>
      <c r="GM32" s="175">
        <f t="shared" si="76"/>
        <v>27.382025334999998</v>
      </c>
      <c r="GN32" s="221">
        <f>GN33+GN34</f>
        <v>12.644929455740002</v>
      </c>
      <c r="GO32" s="222">
        <f>GO33+GO34</f>
        <v>6.2133956104999992</v>
      </c>
      <c r="GP32" s="222">
        <f>GP33+GP34</f>
        <v>12.235373311445921</v>
      </c>
      <c r="GQ32" s="175">
        <f t="shared" si="77"/>
        <v>31.093698377685918</v>
      </c>
      <c r="GR32" s="222">
        <f>GR33+GR34</f>
        <v>16.8</v>
      </c>
      <c r="GS32" s="222">
        <f>GS33+GS34</f>
        <v>19.614735660085906</v>
      </c>
      <c r="GT32" s="222">
        <f>GT33+GT34</f>
        <v>9.9587933897307561</v>
      </c>
      <c r="GU32" s="175">
        <f t="shared" si="78"/>
        <v>46.373529049816668</v>
      </c>
      <c r="GV32" s="221">
        <f>GV33+GV34</f>
        <v>22.359678730875178</v>
      </c>
      <c r="GW32" s="222">
        <f>GW33+GW34</f>
        <v>20.238098857604015</v>
      </c>
      <c r="GX32" s="223">
        <f>GX33+GX34</f>
        <v>55.341683556482373</v>
      </c>
      <c r="GY32" s="174">
        <f t="shared" si="79"/>
        <v>97.93946114496157</v>
      </c>
      <c r="GZ32" s="159">
        <f t="shared" si="80"/>
        <v>202.78871390746417</v>
      </c>
      <c r="HA32" s="254">
        <f>HA33+HA34</f>
        <v>5.8820483228120519</v>
      </c>
      <c r="HB32" s="160">
        <f>HB33+HB34</f>
        <v>4.5315808088991387</v>
      </c>
      <c r="HC32" s="159">
        <f>HC33+HC34</f>
        <v>9.121904050003014</v>
      </c>
      <c r="HD32" s="273">
        <f t="shared" si="61"/>
        <v>19.535533181714204</v>
      </c>
      <c r="HE32" s="254">
        <f>HE33+HE34</f>
        <v>52.840148414156815</v>
      </c>
      <c r="HF32" s="160">
        <f>HF33+HF34</f>
        <v>10.992329002786084</v>
      </c>
      <c r="HG32" s="160">
        <f>HG33+HG34</f>
        <v>38.404404649531706</v>
      </c>
      <c r="HH32" s="273">
        <f t="shared" si="72"/>
        <v>102.23688206647461</v>
      </c>
      <c r="HI32" s="160">
        <f>HI33+HI34</f>
        <v>17.732245239887373</v>
      </c>
      <c r="HJ32" s="160">
        <f>HJ33+HJ34</f>
        <v>20.937903539310469</v>
      </c>
      <c r="HK32" s="160">
        <f>HK33+HK34</f>
        <v>27.067066207053514</v>
      </c>
      <c r="HL32" s="273">
        <f t="shared" si="63"/>
        <v>65.73721498625136</v>
      </c>
      <c r="HM32" s="254">
        <f>HM33+HM34</f>
        <v>42.401360167166487</v>
      </c>
      <c r="HN32" s="160">
        <f>HN33+HN34</f>
        <v>21.506104727610474</v>
      </c>
      <c r="HO32" s="159">
        <f>HO33+HO34</f>
        <v>78.830359829368732</v>
      </c>
      <c r="HP32" s="273">
        <f t="shared" si="64"/>
        <v>142.7378247241457</v>
      </c>
      <c r="HQ32" s="273">
        <f t="shared" si="65"/>
        <v>330.24745495858588</v>
      </c>
      <c r="HR32" s="254">
        <f>HR33+HR34</f>
        <v>4.661581100057389</v>
      </c>
      <c r="HS32" s="160">
        <f>HS33+HS34</f>
        <v>15.10703299205165</v>
      </c>
      <c r="HT32" s="159">
        <f>HT33+HT34</f>
        <v>28.310746299999998</v>
      </c>
      <c r="HU32" s="273">
        <f t="shared" si="66"/>
        <v>48.079360392109038</v>
      </c>
      <c r="HV32" s="254">
        <f>HV33+HV34</f>
        <v>6.7077289512051657</v>
      </c>
      <c r="HW32" s="160">
        <f>HW33+HW34</f>
        <v>19.895767408723099</v>
      </c>
      <c r="HX32" s="160">
        <f>HX33+HX34</f>
        <v>38.99310430926829</v>
      </c>
      <c r="HY32" s="273">
        <f t="shared" si="67"/>
        <v>65.596600669196562</v>
      </c>
      <c r="HZ32" s="160">
        <f>HZ33+HZ34</f>
        <v>20.856427935667142</v>
      </c>
      <c r="IA32" s="160">
        <f>IA33+IA34</f>
        <v>20.157498990000001</v>
      </c>
      <c r="IB32" s="160">
        <f>IB33+IB34</f>
        <v>29.478590502180776</v>
      </c>
      <c r="IC32" s="273">
        <f t="shared" si="81"/>
        <v>70.492517427847915</v>
      </c>
      <c r="ID32" s="254">
        <f>ID33+ID34</f>
        <v>44.039675350000003</v>
      </c>
      <c r="IE32" s="160">
        <f>IE33+IE34</f>
        <v>27.388233360000001</v>
      </c>
      <c r="IF32" s="159">
        <f>IF33+IF34</f>
        <v>165.20040661067671</v>
      </c>
      <c r="IG32" s="273">
        <f t="shared" si="69"/>
        <v>236.62831532067671</v>
      </c>
      <c r="IH32" s="273">
        <v>420.79679380983021</v>
      </c>
      <c r="II32" s="254">
        <v>4.1649505600000003</v>
      </c>
      <c r="IJ32" s="160">
        <v>16.729176379999998</v>
      </c>
      <c r="IK32" s="159">
        <v>18.986601060000002</v>
      </c>
      <c r="IL32" s="273">
        <v>39.880728000000005</v>
      </c>
      <c r="IM32" s="254">
        <v>34.201687450000001</v>
      </c>
      <c r="IN32" s="160">
        <v>19.183476630232221</v>
      </c>
      <c r="IO32" s="160">
        <v>30.65991391</v>
      </c>
      <c r="IP32" s="273">
        <v>84.045077990232215</v>
      </c>
      <c r="IQ32" s="254">
        <v>26.44321523</v>
      </c>
      <c r="IR32" s="160">
        <v>36.216895009999995</v>
      </c>
      <c r="IS32" s="159">
        <v>45.467513659999995</v>
      </c>
      <c r="IT32" s="273">
        <v>108.12762389999999</v>
      </c>
      <c r="IU32" s="254">
        <v>37.411523332998541</v>
      </c>
      <c r="IV32" s="160">
        <v>45.23658289883501</v>
      </c>
      <c r="IW32" s="159">
        <v>142.19380862122449</v>
      </c>
      <c r="IX32" s="273">
        <v>224.84191485305803</v>
      </c>
      <c r="IY32" s="273">
        <v>456.89534474329025</v>
      </c>
      <c r="IZ32" s="254">
        <v>18.853990710174926</v>
      </c>
      <c r="JA32" s="160">
        <v>20.398569630000001</v>
      </c>
      <c r="JB32" s="159">
        <v>33.519888510000001</v>
      </c>
      <c r="JC32" s="273">
        <v>72.772448850174925</v>
      </c>
      <c r="JD32" s="254">
        <v>18.324567909999999</v>
      </c>
      <c r="JE32" s="160">
        <v>38.01689666</v>
      </c>
      <c r="JF32" s="159">
        <v>31.13771234</v>
      </c>
      <c r="JG32" s="273">
        <v>87.479176910000007</v>
      </c>
      <c r="JH32" s="254">
        <v>29.775253669999998</v>
      </c>
      <c r="JI32" s="160">
        <v>41.227162629941688</v>
      </c>
      <c r="JJ32" s="159">
        <v>22.60918736</v>
      </c>
      <c r="JK32" s="273">
        <v>93.611603659941693</v>
      </c>
      <c r="JL32" s="254">
        <v>539.94416769000009</v>
      </c>
      <c r="JM32" s="160">
        <v>42.429798990000002</v>
      </c>
      <c r="JN32" s="160">
        <v>214.83788060950437</v>
      </c>
      <c r="JO32" s="273">
        <v>797.21184728950448</v>
      </c>
      <c r="JP32" s="273">
        <v>1051.075076709621</v>
      </c>
      <c r="JQ32" s="254">
        <v>8.66557815</v>
      </c>
      <c r="JR32" s="160">
        <v>7.8316070500000006</v>
      </c>
      <c r="JS32" s="159">
        <v>13.690655070000002</v>
      </c>
      <c r="JT32" s="273">
        <v>30.187840270000002</v>
      </c>
      <c r="JU32" s="254">
        <v>57.745588729999994</v>
      </c>
      <c r="JV32" s="160">
        <v>12.09468519</v>
      </c>
      <c r="JW32" s="159">
        <v>42.951933170000004</v>
      </c>
      <c r="JX32" s="273">
        <v>112.79220708999999</v>
      </c>
      <c r="JY32" s="254">
        <v>31.501124739999998</v>
      </c>
      <c r="JZ32" s="160">
        <v>501.72838382000003</v>
      </c>
      <c r="KA32" s="159">
        <v>46.55863248</v>
      </c>
      <c r="KB32" s="273">
        <v>579.78814104000003</v>
      </c>
      <c r="KC32" s="254">
        <v>48.039697689999997</v>
      </c>
      <c r="KD32" s="160">
        <v>36.868609120000002</v>
      </c>
      <c r="KE32" s="160">
        <v>233.52025545999999</v>
      </c>
      <c r="KF32" s="273">
        <v>318.42856226999999</v>
      </c>
      <c r="KG32" s="273">
        <v>1041.19675067</v>
      </c>
      <c r="KH32" s="221">
        <v>4.7023072900000003</v>
      </c>
      <c r="KI32" s="222">
        <v>21.12635599</v>
      </c>
      <c r="KJ32" s="223">
        <v>37.097104369999997</v>
      </c>
      <c r="KK32" s="273">
        <v>62.925767649999997</v>
      </c>
      <c r="KL32" s="221">
        <v>31.34667108</v>
      </c>
      <c r="KM32" s="222">
        <v>22.316139229999997</v>
      </c>
      <c r="KN32" s="223">
        <v>36.372081819999998</v>
      </c>
      <c r="KO32" s="273">
        <v>90.034892130000003</v>
      </c>
      <c r="KP32" s="221">
        <v>38.082165079999996</v>
      </c>
      <c r="KQ32" s="222">
        <v>126.24737214</v>
      </c>
      <c r="KR32" s="223">
        <v>52.359205440000004</v>
      </c>
      <c r="KS32" s="273">
        <v>216.68874266</v>
      </c>
      <c r="KT32" s="254">
        <v>39.576682140000003</v>
      </c>
      <c r="KU32" s="160">
        <v>59.733720769999998</v>
      </c>
      <c r="KV32" s="159">
        <v>126.38859259</v>
      </c>
      <c r="KW32" s="273">
        <v>225.6989955</v>
      </c>
      <c r="KX32" s="273">
        <v>595.34839794000004</v>
      </c>
      <c r="KY32" s="221">
        <v>23.36840437</v>
      </c>
      <c r="KZ32" s="222">
        <v>21.621305420000002</v>
      </c>
      <c r="LA32" s="223">
        <v>25.038978360000002</v>
      </c>
      <c r="LB32" s="273">
        <v>70.028688150000008</v>
      </c>
      <c r="LC32" s="221">
        <v>39.677432339999996</v>
      </c>
      <c r="LD32" s="222">
        <v>49.749570030000001</v>
      </c>
      <c r="LE32" s="223">
        <v>246.90405294000001</v>
      </c>
      <c r="LF32" s="273">
        <v>336.33105531000001</v>
      </c>
      <c r="LG32" s="221">
        <v>34.582922850000003</v>
      </c>
      <c r="LH32" s="222">
        <v>184.32189256999999</v>
      </c>
      <c r="LI32" s="223">
        <v>42.443954799999993</v>
      </c>
      <c r="LJ32" s="273">
        <v>261.34877021999995</v>
      </c>
      <c r="LK32" s="221">
        <v>70.358035610000002</v>
      </c>
      <c r="LL32" s="222">
        <v>61.063963819999998</v>
      </c>
      <c r="LM32" s="223">
        <v>125.60603811999999</v>
      </c>
      <c r="LN32" s="273">
        <v>257.02803755000002</v>
      </c>
      <c r="LO32" s="273">
        <v>924.73655122999992</v>
      </c>
    </row>
    <row r="33" spans="1:327" ht="17.100000000000001" hidden="1" customHeight="1" outlineLevel="1" x14ac:dyDescent="0.25">
      <c r="A33" s="2" t="s">
        <v>58</v>
      </c>
      <c r="B33" s="24"/>
      <c r="C33" s="5">
        <v>181.5</v>
      </c>
      <c r="D33" s="5">
        <v>5.9</v>
      </c>
      <c r="E33" s="5">
        <v>1.8</v>
      </c>
      <c r="F33" s="5">
        <v>11.2</v>
      </c>
      <c r="G33" s="5">
        <v>18.899999999999999</v>
      </c>
      <c r="H33" s="5">
        <v>20.5</v>
      </c>
      <c r="I33" s="5">
        <v>12.6</v>
      </c>
      <c r="J33" s="5">
        <v>17.8</v>
      </c>
      <c r="K33" s="5">
        <v>50.9</v>
      </c>
      <c r="L33" s="5">
        <v>38.200000000000003</v>
      </c>
      <c r="M33" s="5">
        <v>21.1</v>
      </c>
      <c r="N33" s="5">
        <v>6.8</v>
      </c>
      <c r="O33" s="5">
        <f t="shared" si="0"/>
        <v>66.100000000000009</v>
      </c>
      <c r="P33" s="5">
        <v>6.9</v>
      </c>
      <c r="Q33" s="5">
        <v>12.6</v>
      </c>
      <c r="R33" s="5">
        <v>43.1</v>
      </c>
      <c r="S33" s="5">
        <f t="shared" si="1"/>
        <v>62.6</v>
      </c>
      <c r="T33" s="16">
        <f t="shared" si="7"/>
        <v>198.50000000000003</v>
      </c>
      <c r="U33" s="5">
        <v>4.74</v>
      </c>
      <c r="V33" s="5">
        <v>4.3</v>
      </c>
      <c r="W33" s="5">
        <v>5.7</v>
      </c>
      <c r="X33" s="4">
        <f t="shared" si="82"/>
        <v>14.739999999999998</v>
      </c>
      <c r="Y33" s="5">
        <v>18.899999999999999</v>
      </c>
      <c r="Z33" s="5">
        <v>3.7</v>
      </c>
      <c r="AA33" s="5">
        <v>2.2000000000000002</v>
      </c>
      <c r="AB33" s="5">
        <f t="shared" si="83"/>
        <v>24.799999999999997</v>
      </c>
      <c r="AC33" s="5">
        <f>4.45</f>
        <v>4.45</v>
      </c>
      <c r="AD33" s="5">
        <v>6</v>
      </c>
      <c r="AE33" s="5">
        <v>5.4</v>
      </c>
      <c r="AF33" s="5">
        <f t="shared" si="84"/>
        <v>15.85</v>
      </c>
      <c r="AG33" s="5">
        <v>24.3</v>
      </c>
      <c r="AH33" s="5">
        <f>23.5</f>
        <v>23.5</v>
      </c>
      <c r="AI33" s="5">
        <v>69.400000000000006</v>
      </c>
      <c r="AJ33" s="5">
        <f t="shared" si="8"/>
        <v>117.2</v>
      </c>
      <c r="AK33" s="16">
        <f t="shared" si="9"/>
        <v>172.59</v>
      </c>
      <c r="AL33" s="5">
        <f>3.8+0.04+0.465</f>
        <v>4.3049999999999997</v>
      </c>
      <c r="AM33" s="5">
        <f>9.1+0.04136025+0.02134194</f>
        <v>9.1627021899999992</v>
      </c>
      <c r="AN33" s="5">
        <v>20.2</v>
      </c>
      <c r="AO33" s="5">
        <f t="shared" si="86"/>
        <v>33.66770219</v>
      </c>
      <c r="AP33" s="5">
        <f>4.9+0.40398688</f>
        <v>5.3039868800000001</v>
      </c>
      <c r="AQ33" s="5">
        <v>10</v>
      </c>
      <c r="AR33" s="5">
        <f>34.9+0.09676511+0.1524244</f>
        <v>35.149189509999999</v>
      </c>
      <c r="AS33" s="54">
        <f t="shared" si="12"/>
        <v>50.453176389999996</v>
      </c>
      <c r="AT33" s="5">
        <v>13.1</v>
      </c>
      <c r="AU33" s="5">
        <f>6.7+0.08485349</f>
        <v>6.7848534900000006</v>
      </c>
      <c r="AV33" s="5">
        <f>18.3+0.1169806+0.1227949+0.1227949+0.1227949</f>
        <v>18.785365299999999</v>
      </c>
      <c r="AW33" s="54">
        <f t="shared" si="87"/>
        <v>38.67021879</v>
      </c>
      <c r="AX33" s="5">
        <f>6.9+0.08706462+0.2925709+0.35222309+0.1132381</f>
        <v>7.7450967100000003</v>
      </c>
      <c r="AY33" s="5">
        <f>13.3+0.1176038+0.08706461+0.10129259+0.03706925+0.06473269</f>
        <v>13.70776294</v>
      </c>
      <c r="AZ33" s="5">
        <f>47.7+0.11598559+0.96038815+0.0513092+0.098576+0.4408719+0.10669488+0.54432922+0.62843045+0.11109299</f>
        <v>50.757678380000009</v>
      </c>
      <c r="BA33" s="54">
        <f t="shared" si="14"/>
        <v>72.210538030000009</v>
      </c>
      <c r="BB33" s="54">
        <f>+AS33+AO33+AW33+BA33</f>
        <v>195.0016354</v>
      </c>
      <c r="BC33" s="5">
        <v>5.7097559499999999</v>
      </c>
      <c r="BD33" s="66">
        <f>4.52362442-(6118.36/1000000)+0.13335694+0.27085498</f>
        <v>4.9217179799999995</v>
      </c>
      <c r="BE33" s="66">
        <v>3.9825545600000001</v>
      </c>
      <c r="BF33" s="62">
        <f t="shared" si="73"/>
        <v>14.614028489999999</v>
      </c>
      <c r="BG33" s="67">
        <v>7.2736579599999995</v>
      </c>
      <c r="BH33" s="67">
        <v>8.9623437599999995</v>
      </c>
      <c r="BI33" s="67">
        <f>18.71765+0.33392808</f>
        <v>19.051578079999999</v>
      </c>
      <c r="BJ33" s="62">
        <f t="shared" si="74"/>
        <v>35.287579799999996</v>
      </c>
      <c r="BK33" s="67">
        <v>20.287130000000001</v>
      </c>
      <c r="BL33" s="67">
        <v>27.055900000000001</v>
      </c>
      <c r="BM33" s="67">
        <v>9.091704</v>
      </c>
      <c r="BN33" s="62">
        <f t="shared" si="18"/>
        <v>56.434733999999999</v>
      </c>
      <c r="BO33" s="71">
        <v>7.7620233000000001</v>
      </c>
      <c r="BP33" s="67">
        <v>11.1065</v>
      </c>
      <c r="BQ33" s="67">
        <v>72.263909999999996</v>
      </c>
      <c r="BR33" s="62">
        <f t="shared" si="19"/>
        <v>91.132433300000002</v>
      </c>
      <c r="BS33" s="62">
        <f t="shared" si="20"/>
        <v>197.46877559000001</v>
      </c>
      <c r="BT33" s="67">
        <v>5.6</v>
      </c>
      <c r="BU33" s="67">
        <v>4.0999999999999996</v>
      </c>
      <c r="BV33" s="67">
        <v>5.8</v>
      </c>
      <c r="BW33" s="62">
        <f t="shared" si="21"/>
        <v>15.5</v>
      </c>
      <c r="BX33" s="67">
        <v>14.1</v>
      </c>
      <c r="BY33" s="67">
        <v>10.1</v>
      </c>
      <c r="BZ33" s="67">
        <v>72</v>
      </c>
      <c r="CA33" s="62">
        <f t="shared" si="22"/>
        <v>96.2</v>
      </c>
      <c r="CB33" s="67">
        <v>11</v>
      </c>
      <c r="CC33" s="67">
        <v>18</v>
      </c>
      <c r="CD33" s="67">
        <v>5.2</v>
      </c>
      <c r="CE33" s="62">
        <f t="shared" si="23"/>
        <v>34.200000000000003</v>
      </c>
      <c r="CF33" s="67">
        <v>7.22</v>
      </c>
      <c r="CG33" s="67">
        <v>98.6</v>
      </c>
      <c r="CH33" s="67">
        <v>26.7</v>
      </c>
      <c r="CI33" s="67">
        <f t="shared" si="24"/>
        <v>132.51999999999998</v>
      </c>
      <c r="CJ33" s="71">
        <f t="shared" si="25"/>
        <v>278.41999999999996</v>
      </c>
      <c r="CK33" s="71">
        <v>100.6</v>
      </c>
      <c r="CL33" s="67">
        <v>9.4</v>
      </c>
      <c r="CM33" s="67">
        <v>4</v>
      </c>
      <c r="CN33" s="62">
        <f t="shared" si="26"/>
        <v>114</v>
      </c>
      <c r="CO33" s="67">
        <v>6.4</v>
      </c>
      <c r="CP33" s="67">
        <v>13.5</v>
      </c>
      <c r="CQ33" s="67">
        <v>10.9</v>
      </c>
      <c r="CR33" s="62">
        <f t="shared" si="27"/>
        <v>30.799999999999997</v>
      </c>
      <c r="CS33" s="101">
        <v>101.8</v>
      </c>
      <c r="CT33" s="67">
        <v>40.1</v>
      </c>
      <c r="CU33" s="67">
        <v>17.899999999999999</v>
      </c>
      <c r="CV33" s="62">
        <f t="shared" si="90"/>
        <v>159.80000000000001</v>
      </c>
      <c r="CW33" s="67">
        <v>6.1</v>
      </c>
      <c r="CX33" s="67">
        <v>14.5</v>
      </c>
      <c r="CY33" s="112">
        <v>94.2</v>
      </c>
      <c r="CZ33" s="113">
        <f t="shared" si="91"/>
        <v>114.80000000000001</v>
      </c>
      <c r="DA33" s="62">
        <f t="shared" si="92"/>
        <v>419.40000000000003</v>
      </c>
      <c r="DB33" s="71">
        <f>35.2-31</f>
        <v>4.2000000000000028</v>
      </c>
      <c r="DC33" s="67">
        <v>25.3</v>
      </c>
      <c r="DD33" s="67">
        <v>3.7</v>
      </c>
      <c r="DE33" s="62">
        <f t="shared" si="93"/>
        <v>33.200000000000003</v>
      </c>
      <c r="DF33" s="71">
        <v>55</v>
      </c>
      <c r="DG33" s="67">
        <v>32.200000000000003</v>
      </c>
      <c r="DH33" s="67">
        <f>123.9-25</f>
        <v>98.9</v>
      </c>
      <c r="DI33" s="62">
        <f t="shared" si="94"/>
        <v>186.10000000000002</v>
      </c>
      <c r="DJ33" s="71">
        <f>82.6-15</f>
        <v>67.599999999999994</v>
      </c>
      <c r="DK33" s="67">
        <v>3.5</v>
      </c>
      <c r="DL33" s="67">
        <v>51.4</v>
      </c>
      <c r="DM33" s="62">
        <f t="shared" si="95"/>
        <v>122.5</v>
      </c>
      <c r="DN33" s="67">
        <v>3.9</v>
      </c>
      <c r="DO33" s="67">
        <v>47.5</v>
      </c>
      <c r="DP33" s="67">
        <f>176.4-25</f>
        <v>151.4</v>
      </c>
      <c r="DQ33" s="113">
        <f t="shared" si="96"/>
        <v>202.8</v>
      </c>
      <c r="DR33" s="140">
        <f t="shared" si="97"/>
        <v>544.6</v>
      </c>
      <c r="DS33" s="141">
        <v>16.7</v>
      </c>
      <c r="DT33" s="141">
        <v>16.600000000000001</v>
      </c>
      <c r="DU33" s="141">
        <f>48.3-25</f>
        <v>23.299999999999997</v>
      </c>
      <c r="DV33" s="140">
        <f t="shared" si="36"/>
        <v>56.599999999999994</v>
      </c>
      <c r="DW33" s="142">
        <v>16.7</v>
      </c>
      <c r="DX33" s="141">
        <v>11.5</v>
      </c>
      <c r="DY33" s="141">
        <v>23.8</v>
      </c>
      <c r="DZ33" s="140">
        <f t="shared" si="37"/>
        <v>52</v>
      </c>
      <c r="EA33" s="142">
        <v>37.5</v>
      </c>
      <c r="EB33" s="141">
        <v>16.2</v>
      </c>
      <c r="EC33" s="141">
        <v>62.6</v>
      </c>
      <c r="ED33" s="140">
        <f t="shared" si="38"/>
        <v>116.30000000000001</v>
      </c>
      <c r="EE33" s="141">
        <v>11.8</v>
      </c>
      <c r="EF33" s="141">
        <v>57.4</v>
      </c>
      <c r="EG33" s="141">
        <v>87.8</v>
      </c>
      <c r="EH33" s="140">
        <f t="shared" si="39"/>
        <v>157</v>
      </c>
      <c r="EI33" s="140">
        <f t="shared" si="40"/>
        <v>381.9</v>
      </c>
      <c r="EJ33" s="141">
        <v>2.2000000000000002</v>
      </c>
      <c r="EK33" s="141">
        <v>12.9</v>
      </c>
      <c r="EL33" s="141"/>
      <c r="EM33" s="140">
        <f t="shared" si="41"/>
        <v>15.100000000000001</v>
      </c>
      <c r="EN33" s="141">
        <v>14.7</v>
      </c>
      <c r="EO33" s="141">
        <v>10.6</v>
      </c>
      <c r="EP33" s="141">
        <v>45.7</v>
      </c>
      <c r="EQ33" s="140">
        <f t="shared" si="42"/>
        <v>71</v>
      </c>
      <c r="ER33" s="141">
        <v>6.9</v>
      </c>
      <c r="ES33" s="141">
        <v>14</v>
      </c>
      <c r="ET33" s="141">
        <v>8</v>
      </c>
      <c r="EU33" s="140">
        <f t="shared" si="43"/>
        <v>28.9</v>
      </c>
      <c r="EV33" s="141">
        <v>20.2</v>
      </c>
      <c r="EW33" s="141">
        <v>24.9</v>
      </c>
      <c r="EX33" s="141">
        <v>55.392633620000005</v>
      </c>
      <c r="EY33" s="140">
        <f t="shared" si="44"/>
        <v>100.49263361999999</v>
      </c>
      <c r="EZ33" s="169">
        <f t="shared" si="45"/>
        <v>215.49263361999999</v>
      </c>
      <c r="FA33" s="170"/>
      <c r="FB33" s="169">
        <v>2.2999999999999998</v>
      </c>
      <c r="FC33" s="169">
        <v>9.3000000000000007</v>
      </c>
      <c r="FD33" s="169">
        <v>15.4</v>
      </c>
      <c r="FE33" s="171">
        <f t="shared" si="46"/>
        <v>27</v>
      </c>
      <c r="FF33" s="169">
        <v>4.8753568520999995</v>
      </c>
      <c r="FG33" s="169">
        <v>10.961331854800001</v>
      </c>
      <c r="FH33" s="169">
        <v>9.3927026769999991</v>
      </c>
      <c r="FI33" s="171">
        <f t="shared" si="47"/>
        <v>25.229391383900001</v>
      </c>
      <c r="FJ33" s="169">
        <v>10.96011697306</v>
      </c>
      <c r="FK33" s="169">
        <v>11.252134485200001</v>
      </c>
      <c r="FL33" s="169">
        <v>11.331520512399999</v>
      </c>
      <c r="FM33" s="171">
        <f t="shared" si="48"/>
        <v>33.543771970659996</v>
      </c>
      <c r="FN33" s="172">
        <v>8.3382810488000008</v>
      </c>
      <c r="FO33" s="173">
        <v>30.789686602399996</v>
      </c>
      <c r="FP33" s="174">
        <v>12.079479152300001</v>
      </c>
      <c r="FQ33" s="175">
        <f t="shared" si="49"/>
        <v>51.207446803499998</v>
      </c>
      <c r="FR33" s="175">
        <f t="shared" si="50"/>
        <v>136.98061015805999</v>
      </c>
      <c r="FS33" s="172">
        <v>5.6745944899999996</v>
      </c>
      <c r="FT33" s="173">
        <v>3.3517780564000001</v>
      </c>
      <c r="FU33" s="174">
        <v>6.0035273497999988</v>
      </c>
      <c r="FV33" s="175">
        <f t="shared" si="51"/>
        <v>15.029899896199998</v>
      </c>
      <c r="FW33" s="178">
        <v>8.4149631127000006</v>
      </c>
      <c r="FX33" s="173">
        <v>7.9877703703999998</v>
      </c>
      <c r="FY33" s="174">
        <v>25.4761766385</v>
      </c>
      <c r="FZ33" s="175">
        <f t="shared" si="52"/>
        <v>41.878910121600001</v>
      </c>
      <c r="GA33" s="172">
        <v>3.7798314336000001</v>
      </c>
      <c r="GB33" s="173">
        <v>21.189504179900002</v>
      </c>
      <c r="GC33" s="174">
        <v>4.5382436889999997</v>
      </c>
      <c r="GD33" s="175">
        <f t="shared" si="53"/>
        <v>29.507579302499998</v>
      </c>
      <c r="GE33" s="172">
        <v>9.7423030510400004</v>
      </c>
      <c r="GF33" s="173">
        <v>13.96141482036</v>
      </c>
      <c r="GG33" s="159">
        <v>28.533351299659998</v>
      </c>
      <c r="GH33" s="174">
        <f t="shared" si="54"/>
        <v>52.23706917106</v>
      </c>
      <c r="GI33" s="174">
        <f t="shared" si="55"/>
        <v>138.65345849136</v>
      </c>
      <c r="GJ33" s="221">
        <v>4.4356856900999997</v>
      </c>
      <c r="GK33" s="222">
        <v>16.363762042000001</v>
      </c>
      <c r="GL33" s="223">
        <v>6.5825776028999989</v>
      </c>
      <c r="GM33" s="175">
        <f t="shared" si="76"/>
        <v>27.382025334999998</v>
      </c>
      <c r="GN33" s="225">
        <v>12.644929455740002</v>
      </c>
      <c r="GO33" s="222">
        <v>6.2133956104999992</v>
      </c>
      <c r="GP33" s="223">
        <v>12.235373311445921</v>
      </c>
      <c r="GQ33" s="175">
        <f t="shared" si="77"/>
        <v>31.093698377685918</v>
      </c>
      <c r="GR33" s="245">
        <v>16.8</v>
      </c>
      <c r="GS33" s="222">
        <v>19.614735660085906</v>
      </c>
      <c r="GT33" s="223">
        <v>9.9587933897307561</v>
      </c>
      <c r="GU33" s="175">
        <f t="shared" si="78"/>
        <v>46.373529049816668</v>
      </c>
      <c r="GV33" s="221">
        <v>22.359678730875178</v>
      </c>
      <c r="GW33" s="222">
        <v>20.238098857604015</v>
      </c>
      <c r="GX33" s="223">
        <v>55.341683556482373</v>
      </c>
      <c r="GY33" s="174">
        <f t="shared" si="79"/>
        <v>97.93946114496157</v>
      </c>
      <c r="GZ33" s="159">
        <f t="shared" si="80"/>
        <v>202.78871390746417</v>
      </c>
      <c r="HA33" s="254">
        <v>5.8820483228120519</v>
      </c>
      <c r="HB33" s="160">
        <v>4.5315808088991387</v>
      </c>
      <c r="HC33" s="159">
        <v>9.121904050003014</v>
      </c>
      <c r="HD33" s="273">
        <f t="shared" si="61"/>
        <v>19.535533181714204</v>
      </c>
      <c r="HE33" s="281">
        <v>52.840148414156815</v>
      </c>
      <c r="HF33" s="160">
        <v>10.992329002786084</v>
      </c>
      <c r="HG33" s="159">
        <v>38.404404649531706</v>
      </c>
      <c r="HH33" s="273">
        <f t="shared" si="72"/>
        <v>102.23688206647461</v>
      </c>
      <c r="HI33" s="279">
        <v>17.732245239887373</v>
      </c>
      <c r="HJ33" s="160">
        <v>20.937903539310469</v>
      </c>
      <c r="HK33" s="159">
        <v>27.067066207053514</v>
      </c>
      <c r="HL33" s="273">
        <f t="shared" si="63"/>
        <v>65.73721498625136</v>
      </c>
      <c r="HM33" s="254">
        <v>42.401360167166487</v>
      </c>
      <c r="HN33" s="160">
        <v>21.506104727610474</v>
      </c>
      <c r="HO33" s="159">
        <v>78.830359829368732</v>
      </c>
      <c r="HP33" s="273">
        <f t="shared" si="64"/>
        <v>142.7378247241457</v>
      </c>
      <c r="HQ33" s="273">
        <f t="shared" si="65"/>
        <v>330.24745495858588</v>
      </c>
      <c r="HR33" s="254">
        <v>4.661581100057389</v>
      </c>
      <c r="HS33" s="160">
        <v>15.10703299205165</v>
      </c>
      <c r="HT33" s="159">
        <v>28.310746299999998</v>
      </c>
      <c r="HU33" s="273">
        <f t="shared" si="66"/>
        <v>48.079360392109038</v>
      </c>
      <c r="HV33" s="281">
        <v>6.7077289512051657</v>
      </c>
      <c r="HW33" s="160">
        <v>19.895767408723099</v>
      </c>
      <c r="HX33" s="159">
        <v>38.99310430926829</v>
      </c>
      <c r="HY33" s="273">
        <f t="shared" si="67"/>
        <v>65.596600669196562</v>
      </c>
      <c r="HZ33" s="280">
        <v>20.856427935667142</v>
      </c>
      <c r="IA33" s="160">
        <v>20.157498990000001</v>
      </c>
      <c r="IB33" s="159">
        <v>29.478590502180776</v>
      </c>
      <c r="IC33" s="273">
        <f t="shared" si="81"/>
        <v>70.492517427847915</v>
      </c>
      <c r="ID33" s="254">
        <v>44.039675350000003</v>
      </c>
      <c r="IE33" s="160">
        <v>27.388233360000001</v>
      </c>
      <c r="IF33" s="159">
        <v>165.20040661067671</v>
      </c>
      <c r="IG33" s="273">
        <f t="shared" si="69"/>
        <v>236.62831532067671</v>
      </c>
      <c r="IH33" s="273">
        <v>420.79679380983021</v>
      </c>
      <c r="II33" s="254">
        <v>4.1649505600000003</v>
      </c>
      <c r="IJ33" s="160">
        <v>16.729176379999998</v>
      </c>
      <c r="IK33" s="159">
        <v>18.986601060000002</v>
      </c>
      <c r="IL33" s="273">
        <v>39.880728000000005</v>
      </c>
      <c r="IM33" s="254">
        <v>34.201687450000001</v>
      </c>
      <c r="IN33" s="160">
        <v>19.183476630232221</v>
      </c>
      <c r="IO33" s="160">
        <v>30.65991391</v>
      </c>
      <c r="IP33" s="273">
        <v>84.045077990232215</v>
      </c>
      <c r="IQ33" s="254">
        <v>26.44321523</v>
      </c>
      <c r="IR33" s="160">
        <v>36.216895009999995</v>
      </c>
      <c r="IS33" s="159">
        <v>45.467513659999995</v>
      </c>
      <c r="IT33" s="273">
        <v>108.12762389999999</v>
      </c>
      <c r="IU33" s="254">
        <v>37.411523332998541</v>
      </c>
      <c r="IV33" s="160">
        <v>45.23658289883501</v>
      </c>
      <c r="IW33" s="159">
        <v>142.19380862122449</v>
      </c>
      <c r="IX33" s="273">
        <v>224.84191485305803</v>
      </c>
      <c r="IY33" s="273">
        <v>456.89534474329025</v>
      </c>
      <c r="IZ33" s="254">
        <v>18.853990710174926</v>
      </c>
      <c r="JA33" s="160">
        <v>20.398569630000001</v>
      </c>
      <c r="JB33" s="159">
        <v>33.519888510000001</v>
      </c>
      <c r="JC33" s="273">
        <v>72.772448850174925</v>
      </c>
      <c r="JD33" s="254">
        <v>18.324567909999999</v>
      </c>
      <c r="JE33" s="160">
        <v>38.01689666</v>
      </c>
      <c r="JF33" s="159">
        <v>31.13771234</v>
      </c>
      <c r="JG33" s="273">
        <v>87.479176910000007</v>
      </c>
      <c r="JH33" s="254">
        <v>29.775253669999998</v>
      </c>
      <c r="JI33" s="160">
        <v>41.227162629941688</v>
      </c>
      <c r="JJ33" s="159">
        <v>22.60918736</v>
      </c>
      <c r="JK33" s="273">
        <v>93.611603659941693</v>
      </c>
      <c r="JL33" s="254">
        <v>539.94416769000009</v>
      </c>
      <c r="JM33" s="160">
        <v>42.429798990000002</v>
      </c>
      <c r="JN33" s="159">
        <v>214.83788060950437</v>
      </c>
      <c r="JO33" s="273">
        <v>797.21184728950448</v>
      </c>
      <c r="JP33" s="273">
        <v>1051.075076709621</v>
      </c>
      <c r="JQ33" s="254">
        <v>8.66557815</v>
      </c>
      <c r="JR33" s="160">
        <v>7.8316070500000006</v>
      </c>
      <c r="JS33" s="159">
        <v>13.690655070000002</v>
      </c>
      <c r="JT33" s="273">
        <v>30.187840270000002</v>
      </c>
      <c r="JU33" s="254">
        <v>57.745588729999994</v>
      </c>
      <c r="JV33" s="160">
        <v>12.09468519</v>
      </c>
      <c r="JW33" s="159">
        <v>42.951933170000004</v>
      </c>
      <c r="JX33" s="273">
        <v>112.79220708999999</v>
      </c>
      <c r="JY33" s="254">
        <v>31.501124739999998</v>
      </c>
      <c r="JZ33" s="160">
        <v>501.72838382000003</v>
      </c>
      <c r="KA33" s="159">
        <v>46.55863248</v>
      </c>
      <c r="KB33" s="273">
        <v>579.78814104000003</v>
      </c>
      <c r="KC33" s="254">
        <v>48.039697689999997</v>
      </c>
      <c r="KD33" s="160">
        <v>36.868609120000002</v>
      </c>
      <c r="KE33" s="159">
        <v>233.52025545999999</v>
      </c>
      <c r="KF33" s="273">
        <v>318.42856226999999</v>
      </c>
      <c r="KG33" s="273">
        <v>1041.19675067</v>
      </c>
      <c r="KH33" s="221">
        <v>4.7023072900000003</v>
      </c>
      <c r="KI33" s="222">
        <v>21.12635599</v>
      </c>
      <c r="KJ33" s="223">
        <v>37.097104369999997</v>
      </c>
      <c r="KK33" s="273">
        <v>62.925767649999997</v>
      </c>
      <c r="KL33" s="221">
        <v>31.34667108</v>
      </c>
      <c r="KM33" s="222">
        <v>22.316139229999997</v>
      </c>
      <c r="KN33" s="223">
        <v>36.372081819999998</v>
      </c>
      <c r="KO33" s="273">
        <v>90.034892130000003</v>
      </c>
      <c r="KP33" s="221">
        <v>38.082165079999996</v>
      </c>
      <c r="KQ33" s="222">
        <v>126.24737214</v>
      </c>
      <c r="KR33" s="223">
        <v>52.359205440000004</v>
      </c>
      <c r="KS33" s="273">
        <v>216.68874266</v>
      </c>
      <c r="KT33" s="254">
        <v>39.576682140000003</v>
      </c>
      <c r="KU33" s="160">
        <v>59.733720769999998</v>
      </c>
      <c r="KV33" s="159">
        <v>126.38859259</v>
      </c>
      <c r="KW33" s="273">
        <v>225.6989955</v>
      </c>
      <c r="KX33" s="273">
        <v>595.34839794000004</v>
      </c>
      <c r="KY33" s="221">
        <v>23.36840437</v>
      </c>
      <c r="KZ33" s="222">
        <v>21.621305420000002</v>
      </c>
      <c r="LA33" s="223">
        <v>25.038978360000002</v>
      </c>
      <c r="LB33" s="273">
        <v>70.028688150000008</v>
      </c>
      <c r="LC33" s="221">
        <v>39.677432339999996</v>
      </c>
      <c r="LD33" s="222">
        <v>49.749570030000001</v>
      </c>
      <c r="LE33" s="223">
        <v>246.90405294000001</v>
      </c>
      <c r="LF33" s="273">
        <v>336.33105531000001</v>
      </c>
      <c r="LG33" s="221">
        <v>34.582922850000003</v>
      </c>
      <c r="LH33" s="222">
        <v>184.32189256999999</v>
      </c>
      <c r="LI33" s="223">
        <v>42.443954799999993</v>
      </c>
      <c r="LJ33" s="273">
        <v>261.34877021999995</v>
      </c>
      <c r="LK33" s="254">
        <v>70.358035610000002</v>
      </c>
      <c r="LL33" s="160">
        <v>61.063963819999998</v>
      </c>
      <c r="LM33" s="159">
        <v>125.60603811999999</v>
      </c>
      <c r="LN33" s="273">
        <v>257.02803755000002</v>
      </c>
      <c r="LO33" s="273">
        <v>924.73655122999992</v>
      </c>
    </row>
    <row r="34" spans="1:327" ht="17.100000000000001" hidden="1" customHeight="1" outlineLevel="1" x14ac:dyDescent="0.25">
      <c r="A34" s="2" t="s">
        <v>32</v>
      </c>
      <c r="B34" s="24"/>
      <c r="C34" s="5">
        <v>32</v>
      </c>
      <c r="D34" s="5">
        <v>0.4</v>
      </c>
      <c r="E34" s="5">
        <v>1</v>
      </c>
      <c r="F34" s="5">
        <v>1</v>
      </c>
      <c r="G34" s="5">
        <v>2.4</v>
      </c>
      <c r="H34" s="5">
        <v>2</v>
      </c>
      <c r="I34" s="5">
        <v>39.5</v>
      </c>
      <c r="J34" s="5">
        <v>0.8</v>
      </c>
      <c r="K34" s="5">
        <v>42.3</v>
      </c>
      <c r="L34" s="5">
        <v>1.4</v>
      </c>
      <c r="M34" s="5">
        <v>0.8</v>
      </c>
      <c r="N34" s="5">
        <v>0.6</v>
      </c>
      <c r="O34" s="5">
        <f t="shared" si="0"/>
        <v>2.8000000000000003</v>
      </c>
      <c r="P34" s="5">
        <v>0.5</v>
      </c>
      <c r="Q34" s="5">
        <v>0.2</v>
      </c>
      <c r="R34" s="5">
        <v>0.9</v>
      </c>
      <c r="S34" s="5">
        <f t="shared" si="1"/>
        <v>1.6</v>
      </c>
      <c r="T34" s="16">
        <f t="shared" si="7"/>
        <v>49.099999999999994</v>
      </c>
      <c r="U34" s="5"/>
      <c r="V34" s="5">
        <v>5</v>
      </c>
      <c r="W34" s="5">
        <v>0</v>
      </c>
      <c r="X34" s="4">
        <f t="shared" si="82"/>
        <v>5</v>
      </c>
      <c r="Y34" s="5">
        <v>9</v>
      </c>
      <c r="Z34" s="5">
        <v>0</v>
      </c>
      <c r="AA34" s="8"/>
      <c r="AB34" s="5">
        <f t="shared" si="83"/>
        <v>9</v>
      </c>
      <c r="AC34" s="5">
        <v>0</v>
      </c>
      <c r="AD34" s="5">
        <v>2.464</v>
      </c>
      <c r="AE34" s="5">
        <v>0</v>
      </c>
      <c r="AF34" s="5">
        <f t="shared" si="84"/>
        <v>2.464</v>
      </c>
      <c r="AG34" s="5">
        <v>2.2000000000000002</v>
      </c>
      <c r="AH34" s="5">
        <v>0.75</v>
      </c>
      <c r="AI34" s="5">
        <v>0</v>
      </c>
      <c r="AJ34" s="5">
        <f t="shared" si="8"/>
        <v>2.95</v>
      </c>
      <c r="AK34" s="16">
        <f t="shared" si="9"/>
        <v>19.413999999999998</v>
      </c>
      <c r="AL34" s="5">
        <v>0</v>
      </c>
      <c r="AM34" s="5">
        <v>0</v>
      </c>
      <c r="AN34" s="5">
        <v>0</v>
      </c>
      <c r="AO34" s="5">
        <f t="shared" si="86"/>
        <v>0</v>
      </c>
      <c r="AP34" s="5">
        <v>0</v>
      </c>
      <c r="AQ34" s="5">
        <v>0</v>
      </c>
      <c r="AR34" s="5">
        <v>0</v>
      </c>
      <c r="AS34" s="54">
        <f t="shared" si="12"/>
        <v>0</v>
      </c>
      <c r="AT34" s="5">
        <v>0</v>
      </c>
      <c r="AU34" s="5">
        <v>0</v>
      </c>
      <c r="AV34" s="5">
        <v>0</v>
      </c>
      <c r="AW34" s="54">
        <f t="shared" si="87"/>
        <v>0</v>
      </c>
      <c r="AX34" s="5">
        <v>0</v>
      </c>
      <c r="AY34" s="5">
        <v>0</v>
      </c>
      <c r="AZ34" s="5">
        <v>0</v>
      </c>
      <c r="BA34" s="53">
        <f t="shared" si="14"/>
        <v>0</v>
      </c>
      <c r="BB34" s="53">
        <f t="shared" si="15"/>
        <v>0</v>
      </c>
      <c r="BC34" s="41">
        <v>0</v>
      </c>
      <c r="BD34" s="66"/>
      <c r="BE34" s="66">
        <f>0.94777606-0.00196</f>
        <v>0.94581606000000007</v>
      </c>
      <c r="BF34" s="62">
        <f>SUM(BB34:BD34)</f>
        <v>0</v>
      </c>
      <c r="BG34" s="67">
        <v>5.7706E-2</v>
      </c>
      <c r="BH34" s="67">
        <v>0.10841000000000001</v>
      </c>
      <c r="BI34" s="67"/>
      <c r="BJ34" s="62">
        <f t="shared" si="74"/>
        <v>0.16611600000000001</v>
      </c>
      <c r="BK34" s="67"/>
      <c r="BL34" s="67"/>
      <c r="BM34" s="67"/>
      <c r="BN34" s="62">
        <f t="shared" si="18"/>
        <v>0</v>
      </c>
      <c r="BO34" s="71"/>
      <c r="BP34" s="67"/>
      <c r="BQ34" s="67"/>
      <c r="BR34" s="62">
        <f t="shared" si="19"/>
        <v>0</v>
      </c>
      <c r="BS34" s="62">
        <f t="shared" si="20"/>
        <v>0.16611600000000001</v>
      </c>
      <c r="BT34" s="67"/>
      <c r="BU34" s="67"/>
      <c r="BV34" s="67"/>
      <c r="BW34" s="62">
        <f t="shared" si="21"/>
        <v>0</v>
      </c>
      <c r="BX34" s="67"/>
      <c r="BY34" s="67"/>
      <c r="BZ34" s="67"/>
      <c r="CA34" s="62">
        <f t="shared" si="22"/>
        <v>0</v>
      </c>
      <c r="CB34" s="67"/>
      <c r="CC34" s="67"/>
      <c r="CD34" s="67"/>
      <c r="CE34" s="62">
        <f t="shared" si="23"/>
        <v>0</v>
      </c>
      <c r="CF34" s="67"/>
      <c r="CG34" s="67"/>
      <c r="CH34" s="67">
        <v>8</v>
      </c>
      <c r="CI34" s="67">
        <f t="shared" si="24"/>
        <v>8</v>
      </c>
      <c r="CJ34" s="71">
        <f t="shared" si="25"/>
        <v>8</v>
      </c>
      <c r="CK34" s="71"/>
      <c r="CL34" s="67"/>
      <c r="CM34" s="67"/>
      <c r="CN34" s="62">
        <f t="shared" si="26"/>
        <v>0</v>
      </c>
      <c r="CO34" s="67"/>
      <c r="CP34" s="67"/>
      <c r="CQ34" s="67"/>
      <c r="CR34" s="62">
        <f t="shared" si="27"/>
        <v>0</v>
      </c>
      <c r="CS34" s="101"/>
      <c r="CT34" s="67"/>
      <c r="CU34" s="67"/>
      <c r="CV34" s="62">
        <f t="shared" si="90"/>
        <v>0</v>
      </c>
      <c r="CW34" s="67">
        <v>3.5</v>
      </c>
      <c r="CX34" s="67">
        <v>0</v>
      </c>
      <c r="CY34" s="112">
        <v>1.5</v>
      </c>
      <c r="CZ34" s="113">
        <f t="shared" si="91"/>
        <v>5</v>
      </c>
      <c r="DA34" s="62">
        <f t="shared" si="92"/>
        <v>5</v>
      </c>
      <c r="DB34" s="71"/>
      <c r="DC34" s="67"/>
      <c r="DD34" s="67"/>
      <c r="DE34" s="62">
        <f t="shared" si="93"/>
        <v>0</v>
      </c>
      <c r="DF34" s="71"/>
      <c r="DG34" s="67"/>
      <c r="DH34" s="67"/>
      <c r="DI34" s="62">
        <f t="shared" si="94"/>
        <v>0</v>
      </c>
      <c r="DJ34" s="71"/>
      <c r="DK34" s="67"/>
      <c r="DL34" s="67"/>
      <c r="DM34" s="62">
        <f t="shared" si="95"/>
        <v>0</v>
      </c>
      <c r="DN34" s="67"/>
      <c r="DO34" s="67"/>
      <c r="DP34" s="67"/>
      <c r="DQ34" s="113">
        <f t="shared" si="96"/>
        <v>0</v>
      </c>
      <c r="DR34" s="140">
        <f t="shared" si="97"/>
        <v>0</v>
      </c>
      <c r="DS34" s="141"/>
      <c r="DT34" s="141"/>
      <c r="DU34" s="141"/>
      <c r="DV34" s="140">
        <f t="shared" si="36"/>
        <v>0</v>
      </c>
      <c r="DW34" s="142"/>
      <c r="DX34" s="141"/>
      <c r="DY34" s="141"/>
      <c r="DZ34" s="140">
        <f t="shared" si="37"/>
        <v>0</v>
      </c>
      <c r="EA34" s="142"/>
      <c r="EB34" s="141"/>
      <c r="EC34" s="141"/>
      <c r="ED34" s="140">
        <f t="shared" si="38"/>
        <v>0</v>
      </c>
      <c r="EE34" s="141"/>
      <c r="EF34" s="141"/>
      <c r="EG34" s="141"/>
      <c r="EH34" s="140">
        <f t="shared" si="39"/>
        <v>0</v>
      </c>
      <c r="EI34" s="140">
        <f t="shared" si="40"/>
        <v>0</v>
      </c>
      <c r="EJ34" s="141"/>
      <c r="EK34" s="141"/>
      <c r="EL34" s="141"/>
      <c r="EM34" s="140">
        <f t="shared" si="41"/>
        <v>0</v>
      </c>
      <c r="EN34" s="141"/>
      <c r="EO34" s="141"/>
      <c r="EP34" s="141"/>
      <c r="EQ34" s="140">
        <f t="shared" si="42"/>
        <v>0</v>
      </c>
      <c r="ER34" s="141"/>
      <c r="ES34" s="141"/>
      <c r="ET34" s="141"/>
      <c r="EU34" s="140">
        <f t="shared" si="43"/>
        <v>0</v>
      </c>
      <c r="EV34" s="141"/>
      <c r="EW34" s="141"/>
      <c r="EX34" s="141"/>
      <c r="EY34" s="140">
        <f t="shared" si="44"/>
        <v>0</v>
      </c>
      <c r="EZ34" s="169">
        <f t="shared" si="45"/>
        <v>0</v>
      </c>
      <c r="FA34" s="170"/>
      <c r="FB34" s="169"/>
      <c r="FC34" s="169"/>
      <c r="FD34" s="169"/>
      <c r="FE34" s="171">
        <f t="shared" si="46"/>
        <v>0</v>
      </c>
      <c r="FF34" s="169"/>
      <c r="FG34" s="169"/>
      <c r="FH34" s="169"/>
      <c r="FI34" s="171">
        <f t="shared" si="47"/>
        <v>0</v>
      </c>
      <c r="FJ34" s="169"/>
      <c r="FK34" s="169"/>
      <c r="FL34" s="169"/>
      <c r="FM34" s="171">
        <f t="shared" si="48"/>
        <v>0</v>
      </c>
      <c r="FN34" s="172"/>
      <c r="FO34" s="173"/>
      <c r="FP34" s="174"/>
      <c r="FQ34" s="175">
        <f t="shared" si="49"/>
        <v>0</v>
      </c>
      <c r="FR34" s="175">
        <f t="shared" si="50"/>
        <v>0</v>
      </c>
      <c r="FS34" s="172"/>
      <c r="FT34" s="173">
        <v>0</v>
      </c>
      <c r="FU34" s="174"/>
      <c r="FV34" s="175">
        <f t="shared" si="51"/>
        <v>0</v>
      </c>
      <c r="FW34" s="172">
        <v>0</v>
      </c>
      <c r="FX34" s="173"/>
      <c r="FY34" s="174">
        <v>0</v>
      </c>
      <c r="FZ34" s="175">
        <f t="shared" si="52"/>
        <v>0</v>
      </c>
      <c r="GA34" s="172"/>
      <c r="GB34" s="173"/>
      <c r="GC34" s="174"/>
      <c r="GD34" s="175">
        <f t="shared" si="53"/>
        <v>0</v>
      </c>
      <c r="GE34" s="172"/>
      <c r="GF34" s="173"/>
      <c r="GG34" s="159"/>
      <c r="GH34" s="174">
        <f t="shared" si="54"/>
        <v>0</v>
      </c>
      <c r="GI34" s="174">
        <f t="shared" si="55"/>
        <v>0</v>
      </c>
      <c r="GJ34" s="221"/>
      <c r="GK34" s="222">
        <v>0</v>
      </c>
      <c r="GL34" s="223"/>
      <c r="GM34" s="175">
        <f t="shared" si="76"/>
        <v>0</v>
      </c>
      <c r="GN34" s="221">
        <v>0</v>
      </c>
      <c r="GO34" s="222"/>
      <c r="GP34" s="223">
        <v>0</v>
      </c>
      <c r="GQ34" s="175">
        <f t="shared" si="77"/>
        <v>0</v>
      </c>
      <c r="GR34" s="245"/>
      <c r="GS34" s="222"/>
      <c r="GT34" s="223"/>
      <c r="GU34" s="175">
        <f t="shared" si="78"/>
        <v>0</v>
      </c>
      <c r="GV34" s="221"/>
      <c r="GW34" s="222"/>
      <c r="GX34" s="223"/>
      <c r="GY34" s="174">
        <f t="shared" si="79"/>
        <v>0</v>
      </c>
      <c r="GZ34" s="159">
        <f t="shared" si="80"/>
        <v>0</v>
      </c>
      <c r="HA34" s="254"/>
      <c r="HB34" s="160">
        <v>0</v>
      </c>
      <c r="HC34" s="159"/>
      <c r="HD34" s="273">
        <f t="shared" si="61"/>
        <v>0</v>
      </c>
      <c r="HE34" s="254">
        <v>0</v>
      </c>
      <c r="HF34" s="160"/>
      <c r="HG34" s="159">
        <v>0</v>
      </c>
      <c r="HH34" s="273">
        <f t="shared" si="72"/>
        <v>0</v>
      </c>
      <c r="HI34" s="279"/>
      <c r="HJ34" s="160"/>
      <c r="HK34" s="159"/>
      <c r="HL34" s="273">
        <f t="shared" si="63"/>
        <v>0</v>
      </c>
      <c r="HM34" s="254"/>
      <c r="HN34" s="160"/>
      <c r="HO34" s="159"/>
      <c r="HP34" s="273">
        <f t="shared" si="64"/>
        <v>0</v>
      </c>
      <c r="HQ34" s="273">
        <f t="shared" si="65"/>
        <v>0</v>
      </c>
      <c r="HR34" s="254"/>
      <c r="HS34" s="160"/>
      <c r="HT34" s="159"/>
      <c r="HU34" s="273">
        <f t="shared" si="66"/>
        <v>0</v>
      </c>
      <c r="HV34" s="254"/>
      <c r="HW34" s="160"/>
      <c r="HX34" s="159"/>
      <c r="HY34" s="273">
        <f t="shared" si="67"/>
        <v>0</v>
      </c>
      <c r="HZ34" s="280"/>
      <c r="IA34" s="160"/>
      <c r="IB34" s="159"/>
      <c r="IC34" s="273">
        <f t="shared" si="81"/>
        <v>0</v>
      </c>
      <c r="ID34" s="254"/>
      <c r="IE34" s="160"/>
      <c r="IF34" s="159"/>
      <c r="IG34" s="273">
        <f t="shared" si="69"/>
        <v>0</v>
      </c>
      <c r="IH34" s="273">
        <v>0</v>
      </c>
      <c r="II34" s="254"/>
      <c r="IJ34" s="160"/>
      <c r="IK34" s="159"/>
      <c r="IL34" s="273">
        <v>0</v>
      </c>
      <c r="IM34" s="254"/>
      <c r="IN34" s="160"/>
      <c r="IO34" s="160">
        <v>0</v>
      </c>
      <c r="IP34" s="273">
        <v>0</v>
      </c>
      <c r="IQ34" s="254"/>
      <c r="IR34" s="160"/>
      <c r="IS34" s="159"/>
      <c r="IT34" s="273">
        <v>0</v>
      </c>
      <c r="IU34" s="254"/>
      <c r="IV34" s="160"/>
      <c r="IW34" s="159"/>
      <c r="IX34" s="273">
        <v>0</v>
      </c>
      <c r="IY34" s="273">
        <v>0</v>
      </c>
      <c r="IZ34" s="254"/>
      <c r="JA34" s="160"/>
      <c r="JB34" s="159"/>
      <c r="JC34" s="273">
        <v>0</v>
      </c>
      <c r="JD34" s="254"/>
      <c r="JE34" s="160"/>
      <c r="JF34" s="159"/>
      <c r="JG34" s="273">
        <v>0</v>
      </c>
      <c r="JH34" s="254"/>
      <c r="JI34" s="160"/>
      <c r="JJ34" s="159"/>
      <c r="JK34" s="273">
        <v>0</v>
      </c>
      <c r="JL34" s="254"/>
      <c r="JM34" s="160"/>
      <c r="JN34" s="159"/>
      <c r="JO34" s="273">
        <v>0</v>
      </c>
      <c r="JP34" s="273">
        <v>0</v>
      </c>
      <c r="JQ34" s="254"/>
      <c r="JR34" s="160"/>
      <c r="JS34" s="159"/>
      <c r="JT34" s="273">
        <v>0</v>
      </c>
      <c r="JU34" s="254"/>
      <c r="JV34" s="160"/>
      <c r="JW34" s="159"/>
      <c r="JX34" s="273">
        <v>0</v>
      </c>
      <c r="JY34" s="254"/>
      <c r="JZ34" s="160"/>
      <c r="KA34" s="159"/>
      <c r="KB34" s="273">
        <v>0</v>
      </c>
      <c r="KC34" s="254"/>
      <c r="KD34" s="160"/>
      <c r="KE34" s="159"/>
      <c r="KF34" s="273">
        <v>0</v>
      </c>
      <c r="KG34" s="273">
        <v>0</v>
      </c>
      <c r="KH34" s="221"/>
      <c r="KI34" s="222"/>
      <c r="KJ34" s="223"/>
      <c r="KK34" s="273">
        <v>0</v>
      </c>
      <c r="KL34" s="221"/>
      <c r="KM34" s="222"/>
      <c r="KN34" s="223"/>
      <c r="KO34" s="273">
        <v>0</v>
      </c>
      <c r="KP34" s="221"/>
      <c r="KQ34" s="222"/>
      <c r="KR34" s="223"/>
      <c r="KS34" s="273">
        <v>0</v>
      </c>
      <c r="KT34" s="254"/>
      <c r="KU34" s="160"/>
      <c r="KV34" s="159"/>
      <c r="KW34" s="273">
        <v>0</v>
      </c>
      <c r="KX34" s="273">
        <v>0</v>
      </c>
      <c r="KY34" s="221">
        <v>0</v>
      </c>
      <c r="KZ34" s="222">
        <v>0</v>
      </c>
      <c r="LA34" s="223">
        <v>0</v>
      </c>
      <c r="LB34" s="273">
        <v>0</v>
      </c>
      <c r="LC34" s="221">
        <v>0</v>
      </c>
      <c r="LD34" s="222">
        <v>0</v>
      </c>
      <c r="LE34" s="223">
        <v>0</v>
      </c>
      <c r="LF34" s="273">
        <v>0</v>
      </c>
      <c r="LG34" s="221">
        <v>0</v>
      </c>
      <c r="LH34" s="222">
        <v>0</v>
      </c>
      <c r="LI34" s="223">
        <v>0</v>
      </c>
      <c r="LJ34" s="273">
        <v>0</v>
      </c>
      <c r="LK34" s="254"/>
      <c r="LL34" s="160"/>
      <c r="LM34" s="159"/>
      <c r="LN34" s="273">
        <v>0</v>
      </c>
      <c r="LO34" s="273">
        <v>0</v>
      </c>
    </row>
    <row r="35" spans="1:327" ht="17.100000000000001" hidden="1" customHeight="1" outlineLevel="1" collapsed="1" x14ac:dyDescent="0.25">
      <c r="A35" s="75" t="s">
        <v>85</v>
      </c>
      <c r="B35" s="24"/>
      <c r="C35" s="5">
        <v>48.6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22.9</v>
      </c>
      <c r="O35" s="5">
        <f>L35+M35+N35</f>
        <v>22.9</v>
      </c>
      <c r="P35" s="5">
        <v>0</v>
      </c>
      <c r="Q35" s="5">
        <v>0</v>
      </c>
      <c r="R35" s="5">
        <v>0</v>
      </c>
      <c r="S35" s="5">
        <f>P35+Q35+R35</f>
        <v>0</v>
      </c>
      <c r="T35" s="16">
        <f>+S35+O35+K35+G35</f>
        <v>22.9</v>
      </c>
      <c r="U35" s="5">
        <v>0</v>
      </c>
      <c r="V35" s="5">
        <v>0</v>
      </c>
      <c r="W35" s="5">
        <v>22.7</v>
      </c>
      <c r="X35" s="4">
        <f>U35+V35+W35</f>
        <v>22.7</v>
      </c>
      <c r="Y35" s="5">
        <v>0</v>
      </c>
      <c r="Z35" s="5">
        <v>0</v>
      </c>
      <c r="AA35" s="8"/>
      <c r="AB35" s="5">
        <f>Y35+Z35+AA35</f>
        <v>0</v>
      </c>
      <c r="AC35" s="5">
        <v>0</v>
      </c>
      <c r="AD35" s="5">
        <v>0</v>
      </c>
      <c r="AE35" s="5">
        <v>0</v>
      </c>
      <c r="AF35" s="5">
        <f>AC35+AD35+AE35</f>
        <v>0</v>
      </c>
      <c r="AG35" s="5">
        <f>23.1+0.22</f>
        <v>23.32</v>
      </c>
      <c r="AH35" s="5">
        <v>0</v>
      </c>
      <c r="AI35" s="5">
        <v>0</v>
      </c>
      <c r="AJ35" s="5">
        <f>AG35+AH35+AI35</f>
        <v>23.32</v>
      </c>
      <c r="AK35" s="16">
        <f>X35+AB35+AF35+AJ35</f>
        <v>46.019999999999996</v>
      </c>
      <c r="AL35" s="5">
        <v>0</v>
      </c>
      <c r="AM35" s="5">
        <v>0</v>
      </c>
      <c r="AN35" s="5">
        <v>0</v>
      </c>
      <c r="AO35" s="5">
        <f>AL35+AM35+AN35</f>
        <v>0</v>
      </c>
      <c r="AP35" s="5">
        <v>0</v>
      </c>
      <c r="AQ35" s="5">
        <v>0</v>
      </c>
      <c r="AR35" s="5">
        <v>0</v>
      </c>
      <c r="AS35" s="54">
        <f>+SUM(AP35:AR35)</f>
        <v>0</v>
      </c>
      <c r="AT35" s="5">
        <v>0</v>
      </c>
      <c r="AU35" s="5">
        <v>0</v>
      </c>
      <c r="AV35" s="5">
        <v>0</v>
      </c>
      <c r="AW35" s="54">
        <f>+SUM(AT35:AV35)</f>
        <v>0</v>
      </c>
      <c r="AX35" s="5">
        <v>0</v>
      </c>
      <c r="AY35" s="5">
        <v>0</v>
      </c>
      <c r="AZ35" s="5">
        <v>0</v>
      </c>
      <c r="BA35" s="53">
        <f>+SUM(AX35:AZ35)</f>
        <v>0</v>
      </c>
      <c r="BB35" s="53">
        <f>+AS35+AO35+AW35+BA35</f>
        <v>0</v>
      </c>
      <c r="BC35" s="41">
        <v>0</v>
      </c>
      <c r="BD35" s="66">
        <f>15.07269449+6118.36/1000000</f>
        <v>15.07881285</v>
      </c>
      <c r="BE35" s="66">
        <v>1.9599999999999999E-3</v>
      </c>
      <c r="BF35" s="62">
        <f>SUM(BC35:BE35)</f>
        <v>15.080772850000001</v>
      </c>
      <c r="BG35" s="67"/>
      <c r="BH35" s="67"/>
      <c r="BI35" s="67"/>
      <c r="BJ35" s="62">
        <f>SUM(BG35:BI35)</f>
        <v>0</v>
      </c>
      <c r="BK35" s="67"/>
      <c r="BL35" s="67"/>
      <c r="BM35" s="67"/>
      <c r="BN35" s="62">
        <f>SUM(BK35:BM35)</f>
        <v>0</v>
      </c>
      <c r="BO35" s="71"/>
      <c r="BP35" s="67"/>
      <c r="BQ35" s="67"/>
      <c r="BR35" s="62">
        <f>SUM(BO35:BQ35)</f>
        <v>0</v>
      </c>
      <c r="BS35" s="62">
        <f>+BF35+BJ35+BN35+BR35</f>
        <v>15.080772850000001</v>
      </c>
      <c r="BT35" s="67"/>
      <c r="BU35" s="67"/>
      <c r="BV35" s="67"/>
      <c r="BW35" s="62">
        <f t="shared" si="21"/>
        <v>0</v>
      </c>
      <c r="BX35" s="67"/>
      <c r="BY35" s="67"/>
      <c r="BZ35" s="67">
        <v>23.8</v>
      </c>
      <c r="CA35" s="62">
        <f t="shared" si="22"/>
        <v>23.8</v>
      </c>
      <c r="CB35" s="67">
        <v>0</v>
      </c>
      <c r="CC35" s="67"/>
      <c r="CD35" s="67"/>
      <c r="CE35" s="62">
        <f t="shared" si="23"/>
        <v>0</v>
      </c>
      <c r="CF35" s="67"/>
      <c r="CG35" s="67"/>
      <c r="CH35" s="67"/>
      <c r="CI35" s="67">
        <f t="shared" si="24"/>
        <v>0</v>
      </c>
      <c r="CJ35" s="71">
        <f t="shared" si="25"/>
        <v>23.8</v>
      </c>
      <c r="CK35" s="71"/>
      <c r="CL35" s="67"/>
      <c r="CM35" s="67"/>
      <c r="CN35" s="62">
        <f t="shared" si="26"/>
        <v>0</v>
      </c>
      <c r="CO35" s="67"/>
      <c r="CP35" s="67"/>
      <c r="CQ35" s="67"/>
      <c r="CR35" s="62">
        <f t="shared" si="27"/>
        <v>0</v>
      </c>
      <c r="CS35" s="101"/>
      <c r="CT35" s="67"/>
      <c r="CU35" s="67"/>
      <c r="CV35" s="62">
        <f t="shared" si="90"/>
        <v>0</v>
      </c>
      <c r="CW35" s="67"/>
      <c r="CX35" s="67"/>
      <c r="CY35" s="112"/>
      <c r="CZ35" s="113">
        <f t="shared" si="91"/>
        <v>0</v>
      </c>
      <c r="DA35" s="62">
        <f t="shared" si="92"/>
        <v>0</v>
      </c>
      <c r="DB35" s="71"/>
      <c r="DC35" s="67"/>
      <c r="DD35" s="67"/>
      <c r="DE35" s="62">
        <f t="shared" si="93"/>
        <v>0</v>
      </c>
      <c r="DF35" s="71">
        <v>58.8</v>
      </c>
      <c r="DG35" s="67"/>
      <c r="DH35" s="67"/>
      <c r="DI35" s="62">
        <f t="shared" si="94"/>
        <v>58.8</v>
      </c>
      <c r="DJ35" s="71">
        <v>15</v>
      </c>
      <c r="DK35" s="67"/>
      <c r="DL35" s="67"/>
      <c r="DM35" s="62">
        <f t="shared" si="95"/>
        <v>15</v>
      </c>
      <c r="DN35" s="67">
        <v>15.3</v>
      </c>
      <c r="DO35" s="67"/>
      <c r="DP35" s="67"/>
      <c r="DQ35" s="113">
        <f t="shared" si="96"/>
        <v>15.3</v>
      </c>
      <c r="DR35" s="140">
        <f t="shared" si="97"/>
        <v>89.1</v>
      </c>
      <c r="DS35" s="141"/>
      <c r="DT35" s="141"/>
      <c r="DU35" s="141"/>
      <c r="DV35" s="140">
        <f t="shared" si="36"/>
        <v>0</v>
      </c>
      <c r="DW35" s="142"/>
      <c r="DX35" s="141"/>
      <c r="DY35" s="141">
        <v>15.7</v>
      </c>
      <c r="DZ35" s="140">
        <f t="shared" si="37"/>
        <v>15.7</v>
      </c>
      <c r="EA35" s="142">
        <v>0</v>
      </c>
      <c r="EB35" s="141"/>
      <c r="EC35" s="141">
        <v>39.299999999999997</v>
      </c>
      <c r="ED35" s="140">
        <f t="shared" si="38"/>
        <v>39.299999999999997</v>
      </c>
      <c r="EE35" s="141"/>
      <c r="EF35" s="141">
        <v>0</v>
      </c>
      <c r="EG35" s="141"/>
      <c r="EH35" s="140">
        <f t="shared" si="39"/>
        <v>0</v>
      </c>
      <c r="EI35" s="140">
        <f t="shared" si="40"/>
        <v>55</v>
      </c>
      <c r="EJ35" s="141"/>
      <c r="EK35" s="141"/>
      <c r="EL35" s="141"/>
      <c r="EM35" s="140">
        <f t="shared" si="41"/>
        <v>0</v>
      </c>
      <c r="EN35" s="141">
        <v>11.2</v>
      </c>
      <c r="EO35" s="141"/>
      <c r="EP35" s="141"/>
      <c r="EQ35" s="140">
        <f t="shared" si="42"/>
        <v>11.2</v>
      </c>
      <c r="ER35" s="141">
        <v>0</v>
      </c>
      <c r="ES35" s="141"/>
      <c r="ET35" s="141"/>
      <c r="EU35" s="140">
        <f t="shared" si="43"/>
        <v>0</v>
      </c>
      <c r="EV35" s="141"/>
      <c r="EW35" s="141"/>
      <c r="EX35" s="141"/>
      <c r="EY35" s="140">
        <f t="shared" si="44"/>
        <v>0</v>
      </c>
      <c r="EZ35" s="169">
        <f t="shared" si="45"/>
        <v>11.2</v>
      </c>
      <c r="FA35" s="170"/>
      <c r="FB35" s="169"/>
      <c r="FC35" s="169"/>
      <c r="FD35" s="169"/>
      <c r="FE35" s="171">
        <f t="shared" si="46"/>
        <v>0</v>
      </c>
      <c r="FF35" s="169"/>
      <c r="FG35" s="169"/>
      <c r="FH35" s="169"/>
      <c r="FI35" s="171">
        <f t="shared" si="47"/>
        <v>0</v>
      </c>
      <c r="FJ35" s="169"/>
      <c r="FK35" s="169"/>
      <c r="FL35" s="169"/>
      <c r="FM35" s="171">
        <f t="shared" si="48"/>
        <v>0</v>
      </c>
      <c r="FN35" s="172"/>
      <c r="FO35" s="173"/>
      <c r="FP35" s="174"/>
      <c r="FQ35" s="175">
        <f t="shared" si="49"/>
        <v>0</v>
      </c>
      <c r="FR35" s="175">
        <f t="shared" si="50"/>
        <v>0</v>
      </c>
      <c r="FS35" s="172"/>
      <c r="FT35" s="173"/>
      <c r="FU35" s="174"/>
      <c r="FV35" s="175">
        <f t="shared" si="51"/>
        <v>0</v>
      </c>
      <c r="FW35" s="172"/>
      <c r="FX35" s="173"/>
      <c r="FY35" s="174"/>
      <c r="FZ35" s="175">
        <f t="shared" si="52"/>
        <v>0</v>
      </c>
      <c r="GA35" s="172"/>
      <c r="GB35" s="173"/>
      <c r="GC35" s="174"/>
      <c r="GD35" s="175">
        <f t="shared" si="53"/>
        <v>0</v>
      </c>
      <c r="GE35" s="172"/>
      <c r="GF35" s="173"/>
      <c r="GG35" s="159"/>
      <c r="GH35" s="174">
        <f t="shared" si="54"/>
        <v>0</v>
      </c>
      <c r="GI35" s="174">
        <f t="shared" si="55"/>
        <v>0</v>
      </c>
      <c r="GJ35" s="221"/>
      <c r="GK35" s="222"/>
      <c r="GL35" s="223"/>
      <c r="GM35" s="175">
        <f t="shared" si="76"/>
        <v>0</v>
      </c>
      <c r="GN35" s="221"/>
      <c r="GO35" s="222"/>
      <c r="GP35" s="223"/>
      <c r="GQ35" s="175">
        <f t="shared" si="77"/>
        <v>0</v>
      </c>
      <c r="GR35" s="245"/>
      <c r="GS35" s="222"/>
      <c r="GT35" s="223"/>
      <c r="GU35" s="175">
        <f t="shared" si="78"/>
        <v>0</v>
      </c>
      <c r="GV35" s="221"/>
      <c r="GW35" s="222"/>
      <c r="GX35" s="223"/>
      <c r="GY35" s="174">
        <f t="shared" si="79"/>
        <v>0</v>
      </c>
      <c r="GZ35" s="159">
        <f t="shared" si="80"/>
        <v>0</v>
      </c>
      <c r="HA35" s="254"/>
      <c r="HB35" s="160"/>
      <c r="HC35" s="159"/>
      <c r="HD35" s="273">
        <f t="shared" si="61"/>
        <v>0</v>
      </c>
      <c r="HE35" s="254"/>
      <c r="HF35" s="160"/>
      <c r="HG35" s="159"/>
      <c r="HH35" s="273">
        <f t="shared" si="72"/>
        <v>0</v>
      </c>
      <c r="HI35" s="279"/>
      <c r="HJ35" s="160"/>
      <c r="HK35" s="159"/>
      <c r="HL35" s="273">
        <f t="shared" si="63"/>
        <v>0</v>
      </c>
      <c r="HM35" s="254"/>
      <c r="HN35" s="160"/>
      <c r="HO35" s="159"/>
      <c r="HP35" s="273">
        <f t="shared" si="64"/>
        <v>0</v>
      </c>
      <c r="HQ35" s="273">
        <f t="shared" si="65"/>
        <v>0</v>
      </c>
      <c r="HR35" s="254"/>
      <c r="HS35" s="160"/>
      <c r="HT35" s="159"/>
      <c r="HU35" s="273">
        <f t="shared" si="66"/>
        <v>0</v>
      </c>
      <c r="HV35" s="254"/>
      <c r="HW35" s="160"/>
      <c r="HX35" s="159"/>
      <c r="HY35" s="273">
        <f t="shared" si="67"/>
        <v>0</v>
      </c>
      <c r="HZ35" s="280"/>
      <c r="IA35" s="160"/>
      <c r="IB35" s="159"/>
      <c r="IC35" s="273">
        <f t="shared" si="81"/>
        <v>0</v>
      </c>
      <c r="ID35" s="254"/>
      <c r="IE35" s="160"/>
      <c r="IF35" s="159"/>
      <c r="IG35" s="273">
        <f t="shared" si="69"/>
        <v>0</v>
      </c>
      <c r="IH35" s="273">
        <v>0</v>
      </c>
      <c r="II35" s="254"/>
      <c r="IJ35" s="160"/>
      <c r="IK35" s="159"/>
      <c r="IL35" s="273">
        <v>0</v>
      </c>
      <c r="IM35" s="254"/>
      <c r="IN35" s="160"/>
      <c r="IO35" s="160">
        <v>0</v>
      </c>
      <c r="IP35" s="273">
        <v>0</v>
      </c>
      <c r="IQ35" s="254"/>
      <c r="IR35" s="160"/>
      <c r="IS35" s="159"/>
      <c r="IT35" s="273">
        <v>0</v>
      </c>
      <c r="IU35" s="254"/>
      <c r="IV35" s="160"/>
      <c r="IW35" s="159"/>
      <c r="IX35" s="273">
        <v>0</v>
      </c>
      <c r="IY35" s="273">
        <v>0</v>
      </c>
      <c r="IZ35" s="254"/>
      <c r="JA35" s="160"/>
      <c r="JB35" s="159"/>
      <c r="JC35" s="273">
        <v>0</v>
      </c>
      <c r="JD35" s="254"/>
      <c r="JE35" s="160"/>
      <c r="JF35" s="159"/>
      <c r="JG35" s="273">
        <v>0</v>
      </c>
      <c r="JH35" s="254"/>
      <c r="JI35" s="160"/>
      <c r="JJ35" s="159"/>
      <c r="JK35" s="273">
        <v>0</v>
      </c>
      <c r="JL35" s="254"/>
      <c r="JM35" s="160"/>
      <c r="JN35" s="159"/>
      <c r="JO35" s="273">
        <v>0</v>
      </c>
      <c r="JP35" s="273">
        <v>0</v>
      </c>
      <c r="JQ35" s="254"/>
      <c r="JR35" s="160"/>
      <c r="JS35" s="159"/>
      <c r="JT35" s="273">
        <v>0</v>
      </c>
      <c r="JU35" s="254"/>
      <c r="JV35" s="160"/>
      <c r="JW35" s="159"/>
      <c r="JX35" s="273">
        <v>0</v>
      </c>
      <c r="JY35" s="254"/>
      <c r="JZ35" s="160"/>
      <c r="KA35" s="159"/>
      <c r="KB35" s="273">
        <v>0</v>
      </c>
      <c r="KC35" s="254"/>
      <c r="KD35" s="160"/>
      <c r="KE35" s="159"/>
      <c r="KF35" s="273">
        <v>0</v>
      </c>
      <c r="KG35" s="273">
        <v>0</v>
      </c>
      <c r="KH35" s="221"/>
      <c r="KI35" s="222"/>
      <c r="KJ35" s="223"/>
      <c r="KK35" s="273">
        <v>0</v>
      </c>
      <c r="KL35" s="221"/>
      <c r="KM35" s="222"/>
      <c r="KN35" s="223"/>
      <c r="KO35" s="273">
        <v>0</v>
      </c>
      <c r="KP35" s="221"/>
      <c r="KQ35" s="222"/>
      <c r="KR35" s="223"/>
      <c r="KS35" s="273">
        <v>0</v>
      </c>
      <c r="KT35" s="254"/>
      <c r="KU35" s="160"/>
      <c r="KV35" s="159"/>
      <c r="KW35" s="273">
        <v>0</v>
      </c>
      <c r="KX35" s="273">
        <v>0</v>
      </c>
      <c r="KY35" s="221">
        <v>0</v>
      </c>
      <c r="KZ35" s="222">
        <v>0</v>
      </c>
      <c r="LA35" s="223">
        <v>0</v>
      </c>
      <c r="LB35" s="273">
        <v>0</v>
      </c>
      <c r="LC35" s="221">
        <v>0</v>
      </c>
      <c r="LD35" s="222">
        <v>0</v>
      </c>
      <c r="LE35" s="223">
        <v>0</v>
      </c>
      <c r="LF35" s="273">
        <v>0</v>
      </c>
      <c r="LG35" s="221">
        <v>0</v>
      </c>
      <c r="LH35" s="222">
        <v>0</v>
      </c>
      <c r="LI35" s="223">
        <v>0</v>
      </c>
      <c r="LJ35" s="273">
        <v>0</v>
      </c>
      <c r="LK35" s="254"/>
      <c r="LL35" s="160"/>
      <c r="LM35" s="159"/>
      <c r="LN35" s="273">
        <v>0</v>
      </c>
      <c r="LO35" s="273">
        <v>0</v>
      </c>
    </row>
    <row r="36" spans="1:327" ht="17.100000000000001" hidden="1" customHeight="1" outlineLevel="1" x14ac:dyDescent="0.25">
      <c r="A36" s="75" t="s">
        <v>83</v>
      </c>
      <c r="B36" s="2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6"/>
      <c r="U36" s="5"/>
      <c r="V36" s="5"/>
      <c r="W36" s="5"/>
      <c r="X36" s="4"/>
      <c r="Y36" s="5"/>
      <c r="Z36" s="5"/>
      <c r="AA36" s="8"/>
      <c r="AB36" s="5"/>
      <c r="AC36" s="5"/>
      <c r="AD36" s="5"/>
      <c r="AE36" s="5"/>
      <c r="AF36" s="5"/>
      <c r="AG36" s="5"/>
      <c r="AH36" s="5"/>
      <c r="AI36" s="5"/>
      <c r="AJ36" s="5"/>
      <c r="AK36" s="16"/>
      <c r="AL36" s="5"/>
      <c r="AM36" s="5"/>
      <c r="AN36" s="5"/>
      <c r="AO36" s="5"/>
      <c r="AP36" s="5"/>
      <c r="AQ36" s="5"/>
      <c r="AR36" s="5"/>
      <c r="AS36" s="54"/>
      <c r="AT36" s="5"/>
      <c r="AU36" s="5"/>
      <c r="AV36" s="5"/>
      <c r="AW36" s="54"/>
      <c r="AX36" s="5"/>
      <c r="AY36" s="5"/>
      <c r="AZ36" s="5"/>
      <c r="BA36" s="53"/>
      <c r="BB36" s="53"/>
      <c r="BC36" s="41"/>
      <c r="BD36" s="66"/>
      <c r="BE36" s="66"/>
      <c r="BF36" s="62"/>
      <c r="BG36" s="67"/>
      <c r="BH36" s="67"/>
      <c r="BI36" s="67"/>
      <c r="BJ36" s="62"/>
      <c r="BK36" s="67"/>
      <c r="BL36" s="67"/>
      <c r="BM36" s="67"/>
      <c r="BN36" s="62"/>
      <c r="BO36" s="71"/>
      <c r="BP36" s="67"/>
      <c r="BQ36" s="67"/>
      <c r="BR36" s="62"/>
      <c r="BS36" s="62"/>
      <c r="BT36" s="67"/>
      <c r="BU36" s="67"/>
      <c r="BV36" s="67"/>
      <c r="BW36" s="62"/>
      <c r="BX36" s="67"/>
      <c r="BY36" s="67"/>
      <c r="BZ36" s="67"/>
      <c r="CA36" s="62"/>
      <c r="CB36" s="67"/>
      <c r="CC36" s="67"/>
      <c r="CD36" s="67"/>
      <c r="CE36" s="62"/>
      <c r="CF36" s="67"/>
      <c r="CG36" s="67"/>
      <c r="CH36" s="67"/>
      <c r="CI36" s="67"/>
      <c r="CJ36" s="71"/>
      <c r="CK36" s="71"/>
      <c r="CL36" s="67"/>
      <c r="CM36" s="67"/>
      <c r="CN36" s="62"/>
      <c r="CO36" s="67"/>
      <c r="CP36" s="67"/>
      <c r="CQ36" s="67"/>
      <c r="CR36" s="62"/>
      <c r="CS36" s="101"/>
      <c r="CT36" s="67">
        <v>25</v>
      </c>
      <c r="CU36" s="67"/>
      <c r="CV36" s="62">
        <f t="shared" si="90"/>
        <v>25</v>
      </c>
      <c r="CW36" s="67">
        <v>25</v>
      </c>
      <c r="CX36" s="67"/>
      <c r="CY36" s="112"/>
      <c r="CZ36" s="113">
        <f t="shared" si="91"/>
        <v>25</v>
      </c>
      <c r="DA36" s="62">
        <f t="shared" si="92"/>
        <v>50</v>
      </c>
      <c r="DB36" s="71">
        <v>31</v>
      </c>
      <c r="DC36" s="67"/>
      <c r="DD36" s="67"/>
      <c r="DE36" s="62">
        <f t="shared" si="93"/>
        <v>31</v>
      </c>
      <c r="DF36" s="71">
        <v>25</v>
      </c>
      <c r="DG36" s="67"/>
      <c r="DH36" s="67">
        <v>25</v>
      </c>
      <c r="DI36" s="62">
        <f t="shared" si="94"/>
        <v>50</v>
      </c>
      <c r="DJ36" s="71"/>
      <c r="DK36" s="67"/>
      <c r="DL36" s="67">
        <v>25</v>
      </c>
      <c r="DM36" s="62">
        <f t="shared" si="95"/>
        <v>25</v>
      </c>
      <c r="DN36" s="67"/>
      <c r="DO36" s="67"/>
      <c r="DP36" s="67">
        <v>25</v>
      </c>
      <c r="DQ36" s="113">
        <f t="shared" si="96"/>
        <v>25</v>
      </c>
      <c r="DR36" s="140">
        <f t="shared" si="97"/>
        <v>131</v>
      </c>
      <c r="DS36" s="141"/>
      <c r="DT36" s="141"/>
      <c r="DU36" s="141">
        <v>25</v>
      </c>
      <c r="DV36" s="140">
        <f t="shared" si="36"/>
        <v>25</v>
      </c>
      <c r="DW36" s="142"/>
      <c r="DX36" s="141">
        <v>0</v>
      </c>
      <c r="DY36" s="141">
        <v>24.8</v>
      </c>
      <c r="DZ36" s="140">
        <f t="shared" si="37"/>
        <v>24.8</v>
      </c>
      <c r="EA36" s="142">
        <v>0</v>
      </c>
      <c r="EB36" s="141"/>
      <c r="EC36" s="141"/>
      <c r="ED36" s="140">
        <f t="shared" si="38"/>
        <v>0</v>
      </c>
      <c r="EE36" s="141"/>
      <c r="EF36" s="141">
        <v>0</v>
      </c>
      <c r="EG36" s="141"/>
      <c r="EH36" s="140">
        <f t="shared" si="39"/>
        <v>0</v>
      </c>
      <c r="EI36" s="140">
        <f t="shared" si="40"/>
        <v>49.8</v>
      </c>
      <c r="EJ36" s="141"/>
      <c r="EK36" s="141"/>
      <c r="EL36" s="141">
        <v>25</v>
      </c>
      <c r="EM36" s="140">
        <f t="shared" si="41"/>
        <v>25</v>
      </c>
      <c r="EN36" s="141"/>
      <c r="EO36" s="141"/>
      <c r="EP36" s="141">
        <v>24.4</v>
      </c>
      <c r="EQ36" s="140">
        <f t="shared" si="42"/>
        <v>24.4</v>
      </c>
      <c r="ER36" s="141">
        <v>0</v>
      </c>
      <c r="ES36" s="141"/>
      <c r="ET36" s="141"/>
      <c r="EU36" s="140">
        <f t="shared" si="43"/>
        <v>0</v>
      </c>
      <c r="EV36" s="141"/>
      <c r="EW36" s="141"/>
      <c r="EX36" s="141"/>
      <c r="EY36" s="140">
        <f t="shared" si="44"/>
        <v>0</v>
      </c>
      <c r="EZ36" s="169">
        <f t="shared" si="45"/>
        <v>49.4</v>
      </c>
      <c r="FA36" s="170"/>
      <c r="FB36" s="169"/>
      <c r="FC36" s="169"/>
      <c r="FD36" s="169"/>
      <c r="FE36" s="171">
        <f t="shared" si="46"/>
        <v>0</v>
      </c>
      <c r="FF36" s="169"/>
      <c r="FG36" s="169"/>
      <c r="FH36" s="169"/>
      <c r="FI36" s="171">
        <f t="shared" si="47"/>
        <v>0</v>
      </c>
      <c r="FJ36" s="169"/>
      <c r="FK36" s="169"/>
      <c r="FL36" s="169"/>
      <c r="FM36" s="171">
        <f t="shared" si="48"/>
        <v>0</v>
      </c>
      <c r="FN36" s="172"/>
      <c r="FO36" s="173"/>
      <c r="FP36" s="174"/>
      <c r="FQ36" s="175">
        <f t="shared" si="49"/>
        <v>0</v>
      </c>
      <c r="FR36" s="175">
        <f t="shared" si="50"/>
        <v>0</v>
      </c>
      <c r="FS36" s="172"/>
      <c r="FT36" s="173"/>
      <c r="FU36" s="174"/>
      <c r="FV36" s="175">
        <f t="shared" si="51"/>
        <v>0</v>
      </c>
      <c r="FW36" s="172">
        <v>0</v>
      </c>
      <c r="FX36" s="173"/>
      <c r="FY36" s="174">
        <v>0</v>
      </c>
      <c r="FZ36" s="175">
        <f t="shared" si="52"/>
        <v>0</v>
      </c>
      <c r="GA36" s="172"/>
      <c r="GB36" s="173"/>
      <c r="GC36" s="174"/>
      <c r="GD36" s="175">
        <f t="shared" si="53"/>
        <v>0</v>
      </c>
      <c r="GE36" s="172"/>
      <c r="GF36" s="173"/>
      <c r="GG36" s="159"/>
      <c r="GH36" s="174">
        <f t="shared" si="54"/>
        <v>0</v>
      </c>
      <c r="GI36" s="174">
        <f t="shared" si="55"/>
        <v>0</v>
      </c>
      <c r="GJ36" s="221"/>
      <c r="GK36" s="222"/>
      <c r="GL36" s="223"/>
      <c r="GM36" s="175">
        <f t="shared" si="76"/>
        <v>0</v>
      </c>
      <c r="GN36" s="221">
        <v>0</v>
      </c>
      <c r="GO36" s="222"/>
      <c r="GP36" s="223">
        <v>0</v>
      </c>
      <c r="GQ36" s="175">
        <f t="shared" si="77"/>
        <v>0</v>
      </c>
      <c r="GR36" s="245"/>
      <c r="GS36" s="222"/>
      <c r="GT36" s="223"/>
      <c r="GU36" s="175">
        <f t="shared" si="78"/>
        <v>0</v>
      </c>
      <c r="GV36" s="221"/>
      <c r="GW36" s="222"/>
      <c r="GX36" s="223"/>
      <c r="GY36" s="174">
        <f t="shared" si="79"/>
        <v>0</v>
      </c>
      <c r="GZ36" s="159">
        <f t="shared" si="80"/>
        <v>0</v>
      </c>
      <c r="HA36" s="254"/>
      <c r="HB36" s="160"/>
      <c r="HC36" s="159"/>
      <c r="HD36" s="273">
        <f t="shared" si="61"/>
        <v>0</v>
      </c>
      <c r="HE36" s="254">
        <v>0</v>
      </c>
      <c r="HF36" s="160"/>
      <c r="HG36" s="159">
        <v>0</v>
      </c>
      <c r="HH36" s="273">
        <f t="shared" si="72"/>
        <v>0</v>
      </c>
      <c r="HI36" s="279"/>
      <c r="HJ36" s="160"/>
      <c r="HK36" s="159"/>
      <c r="HL36" s="273">
        <f t="shared" si="63"/>
        <v>0</v>
      </c>
      <c r="HM36" s="254"/>
      <c r="HN36" s="160"/>
      <c r="HO36" s="159"/>
      <c r="HP36" s="273">
        <f t="shared" si="64"/>
        <v>0</v>
      </c>
      <c r="HQ36" s="273">
        <f t="shared" si="65"/>
        <v>0</v>
      </c>
      <c r="HR36" s="254"/>
      <c r="HS36" s="160"/>
      <c r="HT36" s="159"/>
      <c r="HU36" s="273">
        <f t="shared" si="66"/>
        <v>0</v>
      </c>
      <c r="HV36" s="254">
        <v>0</v>
      </c>
      <c r="HW36" s="160"/>
      <c r="HX36" s="159">
        <v>0</v>
      </c>
      <c r="HY36" s="273">
        <f t="shared" si="67"/>
        <v>0</v>
      </c>
      <c r="HZ36" s="280"/>
      <c r="IA36" s="160"/>
      <c r="IB36" s="159"/>
      <c r="IC36" s="273">
        <f t="shared" si="81"/>
        <v>0</v>
      </c>
      <c r="ID36" s="254"/>
      <c r="IE36" s="160"/>
      <c r="IF36" s="159"/>
      <c r="IG36" s="273">
        <f t="shared" si="69"/>
        <v>0</v>
      </c>
      <c r="IH36" s="273">
        <v>0</v>
      </c>
      <c r="II36" s="254"/>
      <c r="IJ36" s="160"/>
      <c r="IK36" s="159"/>
      <c r="IL36" s="273">
        <v>0</v>
      </c>
      <c r="IM36" s="254"/>
      <c r="IN36" s="160"/>
      <c r="IO36" s="160">
        <v>0</v>
      </c>
      <c r="IP36" s="273">
        <v>0</v>
      </c>
      <c r="IQ36" s="254"/>
      <c r="IR36" s="160"/>
      <c r="IS36" s="159"/>
      <c r="IT36" s="273">
        <v>0</v>
      </c>
      <c r="IU36" s="254"/>
      <c r="IV36" s="160"/>
      <c r="IW36" s="159"/>
      <c r="IX36" s="273">
        <v>0</v>
      </c>
      <c r="IY36" s="273">
        <v>0</v>
      </c>
      <c r="IZ36" s="254"/>
      <c r="JA36" s="160"/>
      <c r="JB36" s="159"/>
      <c r="JC36" s="273">
        <v>0</v>
      </c>
      <c r="JD36" s="254"/>
      <c r="JE36" s="160"/>
      <c r="JF36" s="159"/>
      <c r="JG36" s="273">
        <v>0</v>
      </c>
      <c r="JH36" s="254"/>
      <c r="JI36" s="160"/>
      <c r="JJ36" s="159"/>
      <c r="JK36" s="273">
        <v>0</v>
      </c>
      <c r="JL36" s="254"/>
      <c r="JM36" s="160"/>
      <c r="JN36" s="159"/>
      <c r="JO36" s="273">
        <v>0</v>
      </c>
      <c r="JP36" s="273">
        <v>0</v>
      </c>
      <c r="JQ36" s="254"/>
      <c r="JR36" s="160"/>
      <c r="JS36" s="159"/>
      <c r="JT36" s="273">
        <v>0</v>
      </c>
      <c r="JU36" s="254"/>
      <c r="JV36" s="160"/>
      <c r="JW36" s="159"/>
      <c r="JX36" s="273">
        <v>0</v>
      </c>
      <c r="JY36" s="254"/>
      <c r="JZ36" s="160"/>
      <c r="KA36" s="159"/>
      <c r="KB36" s="273">
        <v>0</v>
      </c>
      <c r="KC36" s="254"/>
      <c r="KD36" s="160"/>
      <c r="KE36" s="159"/>
      <c r="KF36" s="273">
        <v>0</v>
      </c>
      <c r="KG36" s="273">
        <v>0</v>
      </c>
      <c r="KH36" s="221"/>
      <c r="KI36" s="222"/>
      <c r="KJ36" s="223"/>
      <c r="KK36" s="273">
        <v>0</v>
      </c>
      <c r="KL36" s="221"/>
      <c r="KM36" s="222"/>
      <c r="KN36" s="223"/>
      <c r="KO36" s="273">
        <v>0</v>
      </c>
      <c r="KP36" s="221"/>
      <c r="KQ36" s="222"/>
      <c r="KR36" s="223"/>
      <c r="KS36" s="273">
        <v>0</v>
      </c>
      <c r="KT36" s="254"/>
      <c r="KU36" s="160"/>
      <c r="KV36" s="159"/>
      <c r="KW36" s="273">
        <v>0</v>
      </c>
      <c r="KX36" s="273">
        <v>0</v>
      </c>
      <c r="KY36" s="221">
        <v>0</v>
      </c>
      <c r="KZ36" s="222">
        <v>0</v>
      </c>
      <c r="LA36" s="223">
        <v>0</v>
      </c>
      <c r="LB36" s="273">
        <v>0</v>
      </c>
      <c r="LC36" s="221">
        <v>0</v>
      </c>
      <c r="LD36" s="222">
        <v>0</v>
      </c>
      <c r="LE36" s="223">
        <v>0</v>
      </c>
      <c r="LF36" s="273">
        <v>0</v>
      </c>
      <c r="LG36" s="221">
        <v>0</v>
      </c>
      <c r="LH36" s="222">
        <v>0</v>
      </c>
      <c r="LI36" s="223">
        <v>0</v>
      </c>
      <c r="LJ36" s="273">
        <v>0</v>
      </c>
      <c r="LK36" s="254"/>
      <c r="LL36" s="160"/>
      <c r="LM36" s="159"/>
      <c r="LN36" s="273">
        <v>0</v>
      </c>
      <c r="LO36" s="273">
        <v>0</v>
      </c>
    </row>
    <row r="37" spans="1:327" ht="17.100000000000001" customHeight="1" collapsed="1" x14ac:dyDescent="0.25">
      <c r="A37" s="74" t="s">
        <v>93</v>
      </c>
      <c r="B37" s="2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6"/>
      <c r="U37" s="5"/>
      <c r="V37" s="5"/>
      <c r="W37" s="5"/>
      <c r="X37" s="4"/>
      <c r="Y37" s="5"/>
      <c r="Z37" s="5"/>
      <c r="AA37" s="8"/>
      <c r="AB37" s="5"/>
      <c r="AC37" s="5"/>
      <c r="AD37" s="5"/>
      <c r="AE37" s="5"/>
      <c r="AF37" s="5"/>
      <c r="AG37" s="5"/>
      <c r="AH37" s="5"/>
      <c r="AI37" s="5"/>
      <c r="AJ37" s="5"/>
      <c r="AK37" s="16"/>
      <c r="AL37" s="5"/>
      <c r="AM37" s="5"/>
      <c r="AN37" s="5"/>
      <c r="AO37" s="5"/>
      <c r="AP37" s="5"/>
      <c r="AQ37" s="5"/>
      <c r="AR37" s="5"/>
      <c r="AS37" s="54"/>
      <c r="AT37" s="5"/>
      <c r="AU37" s="5"/>
      <c r="AV37" s="5"/>
      <c r="AW37" s="54"/>
      <c r="AX37" s="5"/>
      <c r="AY37" s="5"/>
      <c r="AZ37" s="5"/>
      <c r="BA37" s="53"/>
      <c r="BB37" s="53"/>
      <c r="BC37" s="41"/>
      <c r="BD37" s="66"/>
      <c r="BE37" s="66"/>
      <c r="BF37" s="62"/>
      <c r="BG37" s="67"/>
      <c r="BH37" s="67"/>
      <c r="BI37" s="67"/>
      <c r="BJ37" s="62"/>
      <c r="BK37" s="67"/>
      <c r="BL37" s="67"/>
      <c r="BM37" s="67"/>
      <c r="BN37" s="62"/>
      <c r="BO37" s="71"/>
      <c r="BP37" s="67"/>
      <c r="BQ37" s="67"/>
      <c r="BR37" s="62"/>
      <c r="BS37" s="62"/>
      <c r="BT37" s="67"/>
      <c r="BU37" s="67"/>
      <c r="BV37" s="67"/>
      <c r="BW37" s="62"/>
      <c r="BX37" s="67"/>
      <c r="BY37" s="67"/>
      <c r="BZ37" s="67"/>
      <c r="CA37" s="62"/>
      <c r="CB37" s="67"/>
      <c r="CC37" s="67"/>
      <c r="CD37" s="67"/>
      <c r="CE37" s="62"/>
      <c r="CF37" s="67"/>
      <c r="CG37" s="67"/>
      <c r="CH37" s="67"/>
      <c r="CI37" s="67"/>
      <c r="CJ37" s="71"/>
      <c r="CK37" s="71"/>
      <c r="CL37" s="67"/>
      <c r="CM37" s="67"/>
      <c r="CN37" s="62"/>
      <c r="CO37" s="67"/>
      <c r="CP37" s="67"/>
      <c r="CQ37" s="67"/>
      <c r="CR37" s="62"/>
      <c r="CS37" s="101"/>
      <c r="CT37" s="67"/>
      <c r="CU37" s="67"/>
      <c r="CV37" s="62"/>
      <c r="CW37" s="67"/>
      <c r="CX37" s="67"/>
      <c r="CY37" s="112"/>
      <c r="CZ37" s="113"/>
      <c r="DA37" s="62"/>
      <c r="DB37" s="71"/>
      <c r="DC37" s="67"/>
      <c r="DD37" s="67"/>
      <c r="DE37" s="62"/>
      <c r="DF37" s="71"/>
      <c r="DG37" s="67"/>
      <c r="DH37" s="67"/>
      <c r="DI37" s="62"/>
      <c r="DJ37" s="71"/>
      <c r="DK37" s="67"/>
      <c r="DL37" s="67"/>
      <c r="DM37" s="62"/>
      <c r="DN37" s="67"/>
      <c r="DO37" s="67"/>
      <c r="DP37" s="67"/>
      <c r="DQ37" s="113"/>
      <c r="DR37" s="140"/>
      <c r="DS37" s="141"/>
      <c r="DT37" s="141"/>
      <c r="DU37" s="141"/>
      <c r="DV37" s="140"/>
      <c r="DW37" s="142"/>
      <c r="DX37" s="141"/>
      <c r="DY37" s="141"/>
      <c r="DZ37" s="140"/>
      <c r="EA37" s="142"/>
      <c r="EB37" s="141"/>
      <c r="EC37" s="141"/>
      <c r="ED37" s="140"/>
      <c r="EE37" s="141"/>
      <c r="EF37" s="141"/>
      <c r="EG37" s="141"/>
      <c r="EH37" s="140"/>
      <c r="EI37" s="140"/>
      <c r="EJ37" s="141"/>
      <c r="EK37" s="141"/>
      <c r="EL37" s="141"/>
      <c r="EM37" s="140"/>
      <c r="EN37" s="141"/>
      <c r="EO37" s="141"/>
      <c r="EP37" s="141"/>
      <c r="EQ37" s="140"/>
      <c r="ER37" s="141"/>
      <c r="ES37" s="141"/>
      <c r="ET37" s="141"/>
      <c r="EU37" s="140"/>
      <c r="EV37" s="141"/>
      <c r="EW37" s="141"/>
      <c r="EX37" s="141"/>
      <c r="EY37" s="140"/>
      <c r="EZ37" s="169"/>
      <c r="FA37" s="170"/>
      <c r="FB37" s="169"/>
      <c r="FC37" s="169"/>
      <c r="FD37" s="169"/>
      <c r="FE37" s="171"/>
      <c r="FF37" s="169"/>
      <c r="FG37" s="169"/>
      <c r="FH37" s="169"/>
      <c r="FI37" s="171"/>
      <c r="FJ37" s="169"/>
      <c r="FK37" s="169"/>
      <c r="FL37" s="169"/>
      <c r="FM37" s="171"/>
      <c r="FN37" s="172"/>
      <c r="FO37" s="173"/>
      <c r="FP37" s="174"/>
      <c r="FQ37" s="175"/>
      <c r="FR37" s="175"/>
      <c r="FS37" s="172"/>
      <c r="FT37" s="173"/>
      <c r="FU37" s="174"/>
      <c r="FV37" s="175"/>
      <c r="FW37" s="172"/>
      <c r="FX37" s="173"/>
      <c r="FY37" s="174"/>
      <c r="FZ37" s="175"/>
      <c r="GA37" s="172"/>
      <c r="GB37" s="173"/>
      <c r="GC37" s="174"/>
      <c r="GD37" s="175"/>
      <c r="GE37" s="172"/>
      <c r="GF37" s="173"/>
      <c r="GG37" s="159"/>
      <c r="GH37" s="174"/>
      <c r="GI37" s="174"/>
      <c r="GJ37" s="221"/>
      <c r="GK37" s="222">
        <v>26.445521020000001</v>
      </c>
      <c r="GL37" s="223">
        <v>44.242091969000001</v>
      </c>
      <c r="GM37" s="175">
        <f t="shared" si="76"/>
        <v>70.687612989000002</v>
      </c>
      <c r="GN37" s="221">
        <v>55.320880891999998</v>
      </c>
      <c r="GO37" s="222">
        <v>32.065138590827367</v>
      </c>
      <c r="GP37" s="223">
        <v>19.298267440929372</v>
      </c>
      <c r="GQ37" s="175">
        <f t="shared" ref="GQ37" si="98">SUM(GN37:GP37)</f>
        <v>106.68428692375673</v>
      </c>
      <c r="GR37" s="245">
        <v>74.599999999999994</v>
      </c>
      <c r="GS37" s="222">
        <v>18.30999461971129</v>
      </c>
      <c r="GT37" s="233">
        <v>13.78371453001431</v>
      </c>
      <c r="GU37" s="175">
        <f t="shared" ref="GU37" si="99">SUM(GR37:GT37)</f>
        <v>106.69370914972559</v>
      </c>
      <c r="GV37" s="221"/>
      <c r="GW37" s="222"/>
      <c r="GX37" s="223">
        <v>6.2184400000000002</v>
      </c>
      <c r="GY37" s="175">
        <f t="shared" ref="GY37" si="100">SUM(GV37:GX37)</f>
        <v>6.2184400000000002</v>
      </c>
      <c r="GZ37" s="159">
        <f t="shared" si="80"/>
        <v>290.28404906248232</v>
      </c>
      <c r="HA37" s="254">
        <v>0</v>
      </c>
      <c r="HB37" s="160"/>
      <c r="HC37" s="159"/>
      <c r="HD37" s="273">
        <f t="shared" si="61"/>
        <v>0</v>
      </c>
      <c r="HE37" s="254"/>
      <c r="HF37" s="160">
        <v>2.7653000300000001</v>
      </c>
      <c r="HG37" s="159">
        <v>3.0547</v>
      </c>
      <c r="HH37" s="273">
        <f t="shared" si="72"/>
        <v>5.8200000300000001</v>
      </c>
      <c r="HI37" s="279"/>
      <c r="HJ37" s="160"/>
      <c r="HK37" s="214"/>
      <c r="HL37" s="273">
        <f t="shared" si="63"/>
        <v>0</v>
      </c>
      <c r="HM37" s="254"/>
      <c r="HN37" s="160"/>
      <c r="HO37" s="159"/>
      <c r="HP37" s="273">
        <f t="shared" si="64"/>
        <v>0</v>
      </c>
      <c r="HQ37" s="273">
        <f t="shared" si="65"/>
        <v>5.8200000300000001</v>
      </c>
      <c r="HR37" s="254">
        <v>0</v>
      </c>
      <c r="HS37" s="160"/>
      <c r="HT37" s="159"/>
      <c r="HU37" s="273">
        <f t="shared" si="66"/>
        <v>0</v>
      </c>
      <c r="HV37" s="254"/>
      <c r="HW37" s="160"/>
      <c r="HX37" s="159"/>
      <c r="HY37" s="273">
        <f t="shared" si="67"/>
        <v>0</v>
      </c>
      <c r="HZ37" s="280"/>
      <c r="IA37" s="160"/>
      <c r="IB37" s="214"/>
      <c r="IC37" s="273">
        <f t="shared" si="81"/>
        <v>0</v>
      </c>
      <c r="ID37" s="254"/>
      <c r="IE37" s="160"/>
      <c r="IF37" s="159">
        <v>182.31031076143887</v>
      </c>
      <c r="IG37" s="273">
        <f t="shared" si="69"/>
        <v>182.31031076143887</v>
      </c>
      <c r="IH37" s="273">
        <v>182.31031076143887</v>
      </c>
      <c r="II37" s="254"/>
      <c r="IJ37" s="160">
        <v>0</v>
      </c>
      <c r="IK37" s="159">
        <v>0</v>
      </c>
      <c r="IL37" s="273">
        <v>0</v>
      </c>
      <c r="IM37" s="254">
        <v>0</v>
      </c>
      <c r="IN37" s="160">
        <v>4.8407929000000003</v>
      </c>
      <c r="IO37" s="160">
        <v>4.5404694900000004</v>
      </c>
      <c r="IP37" s="273">
        <v>9.3812623899999998</v>
      </c>
      <c r="IQ37" s="254">
        <v>8.3721921899999998</v>
      </c>
      <c r="IR37" s="160">
        <v>10.126585760000001</v>
      </c>
      <c r="IS37" s="159">
        <v>28.130881719999998</v>
      </c>
      <c r="IT37" s="273">
        <v>46.629659669999995</v>
      </c>
      <c r="IU37" s="254">
        <v>7.1630592304366809</v>
      </c>
      <c r="IV37" s="160">
        <v>3.8498347304081602</v>
      </c>
      <c r="IW37" s="159">
        <v>5.8480132696792992</v>
      </c>
      <c r="IX37" s="273">
        <v>16.860907230524141</v>
      </c>
      <c r="IY37" s="273">
        <v>72.871829290524147</v>
      </c>
      <c r="IZ37" s="254"/>
      <c r="JA37" s="160"/>
      <c r="JB37" s="159"/>
      <c r="JC37" s="273">
        <v>0</v>
      </c>
      <c r="JD37" s="254"/>
      <c r="JE37" s="160">
        <v>2.8780057099125362</v>
      </c>
      <c r="JF37" s="159">
        <v>8.2535752299999992</v>
      </c>
      <c r="JG37" s="273">
        <v>11.131580939912535</v>
      </c>
      <c r="JH37" s="254">
        <v>4.5643398199999998</v>
      </c>
      <c r="JI37" s="160">
        <v>13.559280640000001</v>
      </c>
      <c r="JJ37" s="159">
        <v>6.3467776100000002</v>
      </c>
      <c r="JK37" s="273">
        <v>24.470398070000002</v>
      </c>
      <c r="JL37" s="254"/>
      <c r="JM37" s="160"/>
      <c r="JN37" s="159">
        <v>0</v>
      </c>
      <c r="JO37" s="273">
        <v>0</v>
      </c>
      <c r="JP37" s="273">
        <v>35.60197900991254</v>
      </c>
      <c r="JQ37" s="254"/>
      <c r="JR37" s="160"/>
      <c r="JS37" s="159"/>
      <c r="JT37" s="273">
        <v>0</v>
      </c>
      <c r="JU37" s="254">
        <v>0</v>
      </c>
      <c r="JV37" s="160"/>
      <c r="JW37" s="159"/>
      <c r="JX37" s="273">
        <v>0</v>
      </c>
      <c r="JY37" s="254"/>
      <c r="JZ37" s="160"/>
      <c r="KA37" s="159"/>
      <c r="KB37" s="273">
        <v>0</v>
      </c>
      <c r="KC37" s="254"/>
      <c r="KD37" s="160"/>
      <c r="KE37" s="159">
        <v>5.4647050000000004</v>
      </c>
      <c r="KF37" s="273">
        <v>5.4647050000000004</v>
      </c>
      <c r="KG37" s="273">
        <v>5.4647050000000004</v>
      </c>
      <c r="KH37" s="221"/>
      <c r="KI37" s="222"/>
      <c r="KJ37" s="223"/>
      <c r="KK37" s="273">
        <v>0</v>
      </c>
      <c r="KL37" s="221">
        <v>2.8354910099999997</v>
      </c>
      <c r="KM37" s="222"/>
      <c r="KN37" s="223">
        <v>10.332603200000001</v>
      </c>
      <c r="KO37" s="273">
        <v>13.168094210000001</v>
      </c>
      <c r="KP37" s="221">
        <v>11.200897399999999</v>
      </c>
      <c r="KQ37" s="222">
        <v>32.164107829999999</v>
      </c>
      <c r="KR37" s="223">
        <v>20.74222614</v>
      </c>
      <c r="KS37" s="273">
        <v>64.107231369999994</v>
      </c>
      <c r="KT37" s="254">
        <v>29.83886369</v>
      </c>
      <c r="KU37" s="160">
        <v>9.4970030199999993</v>
      </c>
      <c r="KV37" s="159">
        <v>17.466683799999998</v>
      </c>
      <c r="KW37" s="273">
        <v>56.802550509999996</v>
      </c>
      <c r="KX37" s="273">
        <v>134.07787608999999</v>
      </c>
      <c r="KY37" s="221">
        <v>0</v>
      </c>
      <c r="KZ37" s="222">
        <v>0</v>
      </c>
      <c r="LA37" s="223">
        <v>0</v>
      </c>
      <c r="LB37" s="273">
        <v>0</v>
      </c>
      <c r="LC37" s="221">
        <v>0</v>
      </c>
      <c r="LD37" s="222">
        <v>0</v>
      </c>
      <c r="LE37" s="223">
        <v>0</v>
      </c>
      <c r="LF37" s="273">
        <v>0</v>
      </c>
      <c r="LG37" s="221">
        <v>0</v>
      </c>
      <c r="LH37" s="222">
        <v>0</v>
      </c>
      <c r="LI37" s="223">
        <v>0</v>
      </c>
      <c r="LJ37" s="273">
        <v>0</v>
      </c>
      <c r="LK37" s="254"/>
      <c r="LL37" s="160"/>
      <c r="LM37" s="159"/>
      <c r="LN37" s="273">
        <v>0</v>
      </c>
      <c r="LO37" s="273">
        <v>0</v>
      </c>
    </row>
    <row r="38" spans="1:327" ht="17.100000000000001" customHeight="1" x14ac:dyDescent="0.25">
      <c r="A38" s="74" t="s">
        <v>69</v>
      </c>
      <c r="B38" s="24"/>
      <c r="C38" s="5">
        <v>76.599999999999994</v>
      </c>
      <c r="D38" s="5">
        <v>3.9</v>
      </c>
      <c r="E38" s="5">
        <v>1</v>
      </c>
      <c r="F38" s="5">
        <v>2</v>
      </c>
      <c r="G38" s="5">
        <v>6.9</v>
      </c>
      <c r="H38" s="5">
        <v>1.5</v>
      </c>
      <c r="I38" s="5">
        <v>5.5</v>
      </c>
      <c r="J38" s="5">
        <v>0.1</v>
      </c>
      <c r="K38" s="5">
        <v>7.1</v>
      </c>
      <c r="L38" s="5">
        <v>1</v>
      </c>
      <c r="M38" s="5">
        <v>0</v>
      </c>
      <c r="N38" s="5">
        <v>0</v>
      </c>
      <c r="O38" s="5">
        <f t="shared" si="0"/>
        <v>1</v>
      </c>
      <c r="P38" s="5">
        <v>0</v>
      </c>
      <c r="Q38" s="5">
        <v>0</v>
      </c>
      <c r="R38" s="5">
        <v>0</v>
      </c>
      <c r="S38" s="5">
        <f t="shared" si="1"/>
        <v>0</v>
      </c>
      <c r="T38" s="16">
        <f t="shared" si="7"/>
        <v>15</v>
      </c>
      <c r="U38" s="5">
        <v>0</v>
      </c>
      <c r="V38" s="5">
        <v>0</v>
      </c>
      <c r="W38" s="5">
        <v>0</v>
      </c>
      <c r="X38" s="4">
        <f t="shared" si="82"/>
        <v>0</v>
      </c>
      <c r="Y38" s="5">
        <v>0</v>
      </c>
      <c r="Z38" s="5">
        <v>0</v>
      </c>
      <c r="AA38" s="7">
        <v>47.1</v>
      </c>
      <c r="AB38" s="5">
        <f t="shared" si="83"/>
        <v>47.1</v>
      </c>
      <c r="AC38" s="5">
        <v>0</v>
      </c>
      <c r="AD38" s="5">
        <v>0</v>
      </c>
      <c r="AE38" s="5">
        <v>0</v>
      </c>
      <c r="AF38" s="5">
        <f t="shared" si="84"/>
        <v>0</v>
      </c>
      <c r="AG38" s="5">
        <v>0</v>
      </c>
      <c r="AH38" s="5">
        <v>0</v>
      </c>
      <c r="AI38" s="5">
        <v>0</v>
      </c>
      <c r="AJ38" s="5">
        <f t="shared" si="8"/>
        <v>0</v>
      </c>
      <c r="AK38" s="16">
        <f t="shared" si="9"/>
        <v>47.1</v>
      </c>
      <c r="AL38" s="5">
        <v>0</v>
      </c>
      <c r="AM38" s="5">
        <v>0</v>
      </c>
      <c r="AN38" s="5">
        <v>0</v>
      </c>
      <c r="AO38" s="5">
        <f t="shared" si="86"/>
        <v>0</v>
      </c>
      <c r="AP38" s="5">
        <v>0</v>
      </c>
      <c r="AQ38" s="5">
        <v>0</v>
      </c>
      <c r="AR38" s="5">
        <v>0</v>
      </c>
      <c r="AS38" s="54">
        <f t="shared" si="12"/>
        <v>0</v>
      </c>
      <c r="AT38" s="5">
        <v>0</v>
      </c>
      <c r="AU38" s="5">
        <v>0</v>
      </c>
      <c r="AV38" s="5">
        <v>0</v>
      </c>
      <c r="AW38" s="54">
        <f t="shared" si="87"/>
        <v>0</v>
      </c>
      <c r="AX38" s="5">
        <v>0</v>
      </c>
      <c r="AY38" s="5">
        <v>0</v>
      </c>
      <c r="AZ38" s="5">
        <v>31.7</v>
      </c>
      <c r="BA38" s="53">
        <f t="shared" si="14"/>
        <v>31.7</v>
      </c>
      <c r="BB38" s="53">
        <f t="shared" si="15"/>
        <v>31.7</v>
      </c>
      <c r="BC38" s="41">
        <v>0</v>
      </c>
      <c r="BD38" s="66"/>
      <c r="BE38" s="66"/>
      <c r="BF38" s="62">
        <f>SUM(BC38:BE38)</f>
        <v>0</v>
      </c>
      <c r="BG38" s="67">
        <v>6.3E-2</v>
      </c>
      <c r="BH38" s="67"/>
      <c r="BI38" s="67"/>
      <c r="BJ38" s="62">
        <f t="shared" si="74"/>
        <v>6.3E-2</v>
      </c>
      <c r="BK38" s="67"/>
      <c r="BL38" s="67">
        <v>11.6</v>
      </c>
      <c r="BM38" s="67">
        <v>7.8559999999999999</v>
      </c>
      <c r="BN38" s="62">
        <f t="shared" si="18"/>
        <v>19.456</v>
      </c>
      <c r="BO38" s="71">
        <v>7.0270000000000001</v>
      </c>
      <c r="BP38" s="67"/>
      <c r="BQ38" s="67"/>
      <c r="BR38" s="62">
        <f t="shared" si="19"/>
        <v>7.0270000000000001</v>
      </c>
      <c r="BS38" s="62">
        <f t="shared" si="20"/>
        <v>26.545999999999999</v>
      </c>
      <c r="BT38" s="67"/>
      <c r="BU38" s="67"/>
      <c r="BV38" s="67"/>
      <c r="BW38" s="62">
        <f t="shared" ref="BW38:BW43" si="101">SUM(BT38:BV38)</f>
        <v>0</v>
      </c>
      <c r="BX38" s="67"/>
      <c r="BY38" s="67"/>
      <c r="BZ38" s="67"/>
      <c r="CA38" s="62">
        <f t="shared" ref="CA38:CA43" si="102">SUM(BX38:BZ38)</f>
        <v>0</v>
      </c>
      <c r="CB38" s="67"/>
      <c r="CC38" s="67"/>
      <c r="CD38" s="67"/>
      <c r="CE38" s="62">
        <f t="shared" ref="CE38:CE43" si="103">SUM(CB38:CD38)</f>
        <v>0</v>
      </c>
      <c r="CF38" s="67"/>
      <c r="CG38" s="67"/>
      <c r="CH38" s="67"/>
      <c r="CI38" s="67">
        <f t="shared" ref="CI38:CI43" si="104">SUM(CF38:CH38)</f>
        <v>0</v>
      </c>
      <c r="CJ38" s="71">
        <f>BW38+CA38+CE38+CI38</f>
        <v>0</v>
      </c>
      <c r="CK38" s="71"/>
      <c r="CL38" s="67"/>
      <c r="CM38" s="67"/>
      <c r="CN38" s="62">
        <f t="shared" ref="CN38:CN43" si="105">SUM(CK38:CM38)</f>
        <v>0</v>
      </c>
      <c r="CO38" s="67"/>
      <c r="CP38" s="67"/>
      <c r="CQ38" s="67"/>
      <c r="CR38" s="62">
        <f t="shared" ref="CR38:CR43" si="106">SUM(CO38:CQ38)</f>
        <v>0</v>
      </c>
      <c r="CS38" s="101"/>
      <c r="CT38" s="67"/>
      <c r="CU38" s="67"/>
      <c r="CV38" s="62">
        <f t="shared" si="90"/>
        <v>0</v>
      </c>
      <c r="CW38" s="67"/>
      <c r="CX38" s="67"/>
      <c r="CY38" s="112"/>
      <c r="CZ38" s="113">
        <f t="shared" si="91"/>
        <v>0</v>
      </c>
      <c r="DA38" s="62">
        <f t="shared" si="92"/>
        <v>0</v>
      </c>
      <c r="DB38" s="71"/>
      <c r="DC38" s="67"/>
      <c r="DD38" s="67"/>
      <c r="DE38" s="62">
        <f t="shared" si="93"/>
        <v>0</v>
      </c>
      <c r="DF38" s="71"/>
      <c r="DG38" s="67"/>
      <c r="DH38" s="67"/>
      <c r="DI38" s="62">
        <f t="shared" si="94"/>
        <v>0</v>
      </c>
      <c r="DJ38" s="71"/>
      <c r="DK38" s="67"/>
      <c r="DL38" s="67"/>
      <c r="DM38" s="62">
        <f t="shared" si="95"/>
        <v>0</v>
      </c>
      <c r="DN38" s="67"/>
      <c r="DO38" s="67"/>
      <c r="DP38" s="67"/>
      <c r="DQ38" s="113">
        <f t="shared" si="96"/>
        <v>0</v>
      </c>
      <c r="DR38" s="140">
        <f t="shared" si="97"/>
        <v>0</v>
      </c>
      <c r="DS38" s="141"/>
      <c r="DT38" s="141"/>
      <c r="DU38" s="141"/>
      <c r="DV38" s="140">
        <f t="shared" si="36"/>
        <v>0</v>
      </c>
      <c r="DW38" s="142"/>
      <c r="DX38" s="141"/>
      <c r="DY38" s="141"/>
      <c r="DZ38" s="140">
        <f t="shared" si="37"/>
        <v>0</v>
      </c>
      <c r="EA38" s="142"/>
      <c r="EB38" s="141"/>
      <c r="EC38" s="141"/>
      <c r="ED38" s="140">
        <f t="shared" si="38"/>
        <v>0</v>
      </c>
      <c r="EE38" s="141"/>
      <c r="EF38" s="141"/>
      <c r="EG38" s="141"/>
      <c r="EH38" s="140">
        <f t="shared" si="39"/>
        <v>0</v>
      </c>
      <c r="EI38" s="140">
        <f t="shared" si="40"/>
        <v>0</v>
      </c>
      <c r="EJ38" s="141"/>
      <c r="EK38" s="141"/>
      <c r="EL38" s="141"/>
      <c r="EM38" s="140">
        <f t="shared" si="41"/>
        <v>0</v>
      </c>
      <c r="EN38" s="141"/>
      <c r="EO38" s="141"/>
      <c r="EP38" s="141"/>
      <c r="EQ38" s="140">
        <f t="shared" si="42"/>
        <v>0</v>
      </c>
      <c r="ER38" s="141"/>
      <c r="ES38" s="141"/>
      <c r="ET38" s="141"/>
      <c r="EU38" s="140">
        <f t="shared" si="43"/>
        <v>0</v>
      </c>
      <c r="EV38" s="141"/>
      <c r="EW38" s="141"/>
      <c r="EX38" s="141"/>
      <c r="EY38" s="140">
        <f t="shared" si="44"/>
        <v>0</v>
      </c>
      <c r="EZ38" s="169">
        <f t="shared" si="45"/>
        <v>0</v>
      </c>
      <c r="FA38" s="170"/>
      <c r="FB38" s="169"/>
      <c r="FC38" s="169"/>
      <c r="FD38" s="169"/>
      <c r="FE38" s="171">
        <f t="shared" si="46"/>
        <v>0</v>
      </c>
      <c r="FF38" s="169"/>
      <c r="FG38" s="169"/>
      <c r="FH38" s="169"/>
      <c r="FI38" s="171">
        <f t="shared" si="47"/>
        <v>0</v>
      </c>
      <c r="FJ38" s="169"/>
      <c r="FK38" s="169"/>
      <c r="FL38" s="169"/>
      <c r="FM38" s="171">
        <f t="shared" si="48"/>
        <v>0</v>
      </c>
      <c r="FN38" s="172"/>
      <c r="FO38" s="173"/>
      <c r="FP38" s="174"/>
      <c r="FQ38" s="175">
        <f t="shared" si="49"/>
        <v>0</v>
      </c>
      <c r="FR38" s="175">
        <f t="shared" si="50"/>
        <v>0</v>
      </c>
      <c r="FS38" s="172"/>
      <c r="FT38" s="173"/>
      <c r="FU38" s="174"/>
      <c r="FV38" s="175">
        <f t="shared" si="51"/>
        <v>0</v>
      </c>
      <c r="FW38" s="172"/>
      <c r="FX38" s="173"/>
      <c r="FY38" s="174"/>
      <c r="FZ38" s="175">
        <f t="shared" si="52"/>
        <v>0</v>
      </c>
      <c r="GA38" s="172"/>
      <c r="GB38" s="173"/>
      <c r="GC38" s="174"/>
      <c r="GD38" s="175">
        <f t="shared" si="53"/>
        <v>0</v>
      </c>
      <c r="GE38" s="172"/>
      <c r="GF38" s="173"/>
      <c r="GG38" s="159"/>
      <c r="GH38" s="174">
        <f t="shared" si="54"/>
        <v>0</v>
      </c>
      <c r="GI38" s="174">
        <f t="shared" si="55"/>
        <v>0</v>
      </c>
      <c r="GJ38" s="221"/>
      <c r="GK38" s="222"/>
      <c r="GL38" s="223"/>
      <c r="GM38" s="175">
        <f t="shared" si="76"/>
        <v>0</v>
      </c>
      <c r="GN38" s="221"/>
      <c r="GO38" s="222"/>
      <c r="GP38" s="223"/>
      <c r="GQ38" s="175">
        <f t="shared" ref="GQ38:GQ43" si="107">SUM(GN38:GP38)</f>
        <v>0</v>
      </c>
      <c r="GR38" s="245"/>
      <c r="GS38" s="222"/>
      <c r="GT38" s="223"/>
      <c r="GU38" s="175">
        <f t="shared" ref="GU38:GU43" si="108">SUM(GR38:GT38)</f>
        <v>0</v>
      </c>
      <c r="GV38" s="221"/>
      <c r="GW38" s="222"/>
      <c r="GX38" s="223"/>
      <c r="GY38" s="174">
        <f t="shared" ref="GY38:GY43" si="109">SUM(GV38:GX38)</f>
        <v>0</v>
      </c>
      <c r="GZ38" s="159">
        <f t="shared" ref="GZ38:GZ74" si="110">GM38+GQ38+GU38+GY38</f>
        <v>0</v>
      </c>
      <c r="HA38" s="254"/>
      <c r="HB38" s="160"/>
      <c r="HC38" s="159"/>
      <c r="HD38" s="273">
        <f t="shared" si="61"/>
        <v>0</v>
      </c>
      <c r="HE38" s="254"/>
      <c r="HF38" s="160"/>
      <c r="HG38" s="159"/>
      <c r="HH38" s="273">
        <f t="shared" si="72"/>
        <v>0</v>
      </c>
      <c r="HI38" s="279"/>
      <c r="HJ38" s="160"/>
      <c r="HK38" s="159"/>
      <c r="HL38" s="273">
        <f t="shared" si="63"/>
        <v>0</v>
      </c>
      <c r="HM38" s="254"/>
      <c r="HN38" s="160"/>
      <c r="HO38" s="159"/>
      <c r="HP38" s="273">
        <f t="shared" si="64"/>
        <v>0</v>
      </c>
      <c r="HQ38" s="273">
        <f t="shared" si="65"/>
        <v>0</v>
      </c>
      <c r="HR38" s="254"/>
      <c r="HS38" s="160"/>
      <c r="HT38" s="159"/>
      <c r="HU38" s="273">
        <f t="shared" si="66"/>
        <v>0</v>
      </c>
      <c r="HV38" s="254"/>
      <c r="HW38" s="160"/>
      <c r="HX38" s="159"/>
      <c r="HY38" s="273">
        <f t="shared" si="67"/>
        <v>0</v>
      </c>
      <c r="HZ38" s="280"/>
      <c r="IA38" s="160"/>
      <c r="IB38" s="159"/>
      <c r="IC38" s="273">
        <f t="shared" si="81"/>
        <v>0</v>
      </c>
      <c r="ID38" s="254"/>
      <c r="IE38" s="160"/>
      <c r="IF38" s="159"/>
      <c r="IG38" s="273">
        <f t="shared" si="69"/>
        <v>0</v>
      </c>
      <c r="IH38" s="273">
        <v>0</v>
      </c>
      <c r="II38" s="254"/>
      <c r="IJ38" s="160"/>
      <c r="IK38" s="159"/>
      <c r="IL38" s="273">
        <v>0</v>
      </c>
      <c r="IM38" s="254"/>
      <c r="IN38" s="160"/>
      <c r="IO38" s="160"/>
      <c r="IP38" s="273">
        <v>0</v>
      </c>
      <c r="IQ38" s="254"/>
      <c r="IR38" s="160"/>
      <c r="IS38" s="159"/>
      <c r="IT38" s="273">
        <v>0</v>
      </c>
      <c r="IU38" s="254"/>
      <c r="IV38" s="160"/>
      <c r="IW38" s="159"/>
      <c r="IX38" s="273">
        <v>0</v>
      </c>
      <c r="IY38" s="273">
        <v>0</v>
      </c>
      <c r="IZ38" s="254"/>
      <c r="JA38" s="160"/>
      <c r="JB38" s="159"/>
      <c r="JC38" s="273">
        <v>0</v>
      </c>
      <c r="JD38" s="254"/>
      <c r="JE38" s="160"/>
      <c r="JF38" s="159"/>
      <c r="JG38" s="273">
        <v>0</v>
      </c>
      <c r="JH38" s="254"/>
      <c r="JI38" s="160"/>
      <c r="JJ38" s="159"/>
      <c r="JK38" s="273">
        <v>0</v>
      </c>
      <c r="JL38" s="254"/>
      <c r="JM38" s="160"/>
      <c r="JN38" s="159"/>
      <c r="JO38" s="273">
        <v>0</v>
      </c>
      <c r="JP38" s="273">
        <v>0</v>
      </c>
      <c r="JQ38" s="254"/>
      <c r="JR38" s="160"/>
      <c r="JS38" s="159"/>
      <c r="JT38" s="273">
        <v>0</v>
      </c>
      <c r="JU38" s="254"/>
      <c r="JV38" s="160"/>
      <c r="JW38" s="159"/>
      <c r="JX38" s="273">
        <v>0</v>
      </c>
      <c r="JY38" s="254"/>
      <c r="JZ38" s="160"/>
      <c r="KA38" s="159"/>
      <c r="KB38" s="273">
        <v>0</v>
      </c>
      <c r="KC38" s="254"/>
      <c r="KD38" s="160"/>
      <c r="KE38" s="159"/>
      <c r="KF38" s="273">
        <v>0</v>
      </c>
      <c r="KG38" s="273">
        <v>0</v>
      </c>
      <c r="KH38" s="221"/>
      <c r="KI38" s="222"/>
      <c r="KJ38" s="223"/>
      <c r="KK38" s="273">
        <v>0</v>
      </c>
      <c r="KL38" s="221"/>
      <c r="KM38" s="222"/>
      <c r="KN38" s="223"/>
      <c r="KO38" s="273">
        <v>0</v>
      </c>
      <c r="KP38" s="221"/>
      <c r="KQ38" s="222"/>
      <c r="KR38" s="223"/>
      <c r="KS38" s="273">
        <v>0</v>
      </c>
      <c r="KT38" s="254"/>
      <c r="KU38" s="160"/>
      <c r="KV38" s="159"/>
      <c r="KW38" s="273">
        <v>0</v>
      </c>
      <c r="KX38" s="273">
        <v>0</v>
      </c>
      <c r="KY38" s="221">
        <v>0</v>
      </c>
      <c r="KZ38" s="222">
        <v>0</v>
      </c>
      <c r="LA38" s="223">
        <v>0</v>
      </c>
      <c r="LB38" s="273">
        <v>0</v>
      </c>
      <c r="LC38" s="221">
        <v>0</v>
      </c>
      <c r="LD38" s="222">
        <v>0</v>
      </c>
      <c r="LE38" s="223">
        <v>0</v>
      </c>
      <c r="LF38" s="273">
        <v>0</v>
      </c>
      <c r="LG38" s="221">
        <v>0</v>
      </c>
      <c r="LH38" s="222">
        <v>0</v>
      </c>
      <c r="LI38" s="223">
        <v>0</v>
      </c>
      <c r="LJ38" s="273">
        <v>0</v>
      </c>
      <c r="LK38" s="254"/>
      <c r="LL38" s="160"/>
      <c r="LM38" s="159"/>
      <c r="LN38" s="273">
        <v>0</v>
      </c>
      <c r="LO38" s="273">
        <v>0</v>
      </c>
    </row>
    <row r="39" spans="1:327" ht="17.100000000000001" customHeight="1" x14ac:dyDescent="0.25">
      <c r="A39" s="74" t="s">
        <v>110</v>
      </c>
      <c r="B39" s="24"/>
      <c r="C39" s="5">
        <v>327.06</v>
      </c>
      <c r="D39" s="5">
        <v>21.8</v>
      </c>
      <c r="E39" s="5">
        <v>10</v>
      </c>
      <c r="F39" s="5">
        <v>16.5</v>
      </c>
      <c r="G39" s="5">
        <v>48.3</v>
      </c>
      <c r="H39" s="5">
        <v>0.1</v>
      </c>
      <c r="I39" s="5">
        <v>23.3</v>
      </c>
      <c r="J39" s="5">
        <v>10</v>
      </c>
      <c r="K39" s="5">
        <v>33.4</v>
      </c>
      <c r="L39" s="5">
        <v>3.9</v>
      </c>
      <c r="M39" s="5">
        <v>21.2</v>
      </c>
      <c r="N39" s="5">
        <v>14</v>
      </c>
      <c r="O39" s="5">
        <f t="shared" si="0"/>
        <v>39.099999999999994</v>
      </c>
      <c r="P39" s="5">
        <v>0</v>
      </c>
      <c r="Q39" s="5">
        <v>0.2</v>
      </c>
      <c r="R39" s="5">
        <v>2</v>
      </c>
      <c r="S39" s="5">
        <f t="shared" si="1"/>
        <v>2.2000000000000002</v>
      </c>
      <c r="T39" s="16">
        <f t="shared" si="7"/>
        <v>122.99999999999999</v>
      </c>
      <c r="U39" s="5"/>
      <c r="V39" s="5"/>
      <c r="W39" s="5">
        <v>18.2</v>
      </c>
      <c r="X39" s="4">
        <f t="shared" si="82"/>
        <v>18.2</v>
      </c>
      <c r="Y39" s="5">
        <v>0</v>
      </c>
      <c r="Z39" s="5">
        <v>1.56</v>
      </c>
      <c r="AA39" s="8"/>
      <c r="AB39" s="5">
        <f t="shared" si="83"/>
        <v>1.56</v>
      </c>
      <c r="AC39" s="5">
        <v>0</v>
      </c>
      <c r="AD39" s="5">
        <v>42.613999999999997</v>
      </c>
      <c r="AE39" s="5"/>
      <c r="AF39" s="5">
        <f t="shared" si="84"/>
        <v>42.613999999999997</v>
      </c>
      <c r="AG39" s="5"/>
      <c r="AH39" s="5">
        <v>0.755</v>
      </c>
      <c r="AI39" s="5">
        <v>0</v>
      </c>
      <c r="AJ39" s="5">
        <f t="shared" si="8"/>
        <v>0.755</v>
      </c>
      <c r="AK39" s="16">
        <f t="shared" si="9"/>
        <v>63.128999999999998</v>
      </c>
      <c r="AL39" s="5">
        <v>0</v>
      </c>
      <c r="AM39" s="5">
        <v>0</v>
      </c>
      <c r="AN39" s="5">
        <v>0</v>
      </c>
      <c r="AO39" s="5">
        <f t="shared" si="86"/>
        <v>0</v>
      </c>
      <c r="AP39" s="5">
        <v>0</v>
      </c>
      <c r="AQ39" s="5">
        <v>14.698</v>
      </c>
      <c r="AR39" s="5">
        <v>75.960999999999999</v>
      </c>
      <c r="AS39" s="54">
        <f t="shared" si="12"/>
        <v>90.658999999999992</v>
      </c>
      <c r="AT39" s="5">
        <v>0</v>
      </c>
      <c r="AU39" s="5">
        <v>27.89</v>
      </c>
      <c r="AV39" s="5">
        <v>48.197000000000003</v>
      </c>
      <c r="AW39" s="54">
        <f t="shared" si="87"/>
        <v>76.087000000000003</v>
      </c>
      <c r="AX39" s="5">
        <v>0</v>
      </c>
      <c r="AY39" s="5">
        <v>0</v>
      </c>
      <c r="AZ39" s="5">
        <f>306.784-297.894</f>
        <v>8.8899999999999864</v>
      </c>
      <c r="BA39" s="54">
        <f t="shared" si="14"/>
        <v>8.8899999999999864</v>
      </c>
      <c r="BB39" s="54">
        <f t="shared" si="15"/>
        <v>175.63599999999997</v>
      </c>
      <c r="BC39" s="5">
        <v>23.472999999999999</v>
      </c>
      <c r="BD39" s="66"/>
      <c r="BE39" s="66">
        <v>10.9</v>
      </c>
      <c r="BF39" s="62">
        <f>SUM(BC39:BE39)</f>
        <v>34.372999999999998</v>
      </c>
      <c r="BG39" s="67"/>
      <c r="BH39" s="67"/>
      <c r="BI39" s="67"/>
      <c r="BJ39" s="62">
        <f t="shared" si="74"/>
        <v>0</v>
      </c>
      <c r="BK39" s="67"/>
      <c r="BL39" s="67"/>
      <c r="BM39" s="67"/>
      <c r="BN39" s="62">
        <f t="shared" si="18"/>
        <v>0</v>
      </c>
      <c r="BO39" s="71">
        <v>5.2409999999999997</v>
      </c>
      <c r="BP39" s="67"/>
      <c r="BQ39" s="67"/>
      <c r="BR39" s="62">
        <f t="shared" si="19"/>
        <v>5.2409999999999997</v>
      </c>
      <c r="BS39" s="62">
        <f t="shared" si="20"/>
        <v>39.613999999999997</v>
      </c>
      <c r="BT39" s="67">
        <v>9.5</v>
      </c>
      <c r="BU39" s="67">
        <v>29.2</v>
      </c>
      <c r="BV39" s="67">
        <f>15.6</f>
        <v>15.6</v>
      </c>
      <c r="BW39" s="62">
        <f t="shared" si="101"/>
        <v>54.300000000000004</v>
      </c>
      <c r="BX39" s="67">
        <v>9.5</v>
      </c>
      <c r="BY39" s="67"/>
      <c r="BZ39" s="67"/>
      <c r="CA39" s="62">
        <f t="shared" si="102"/>
        <v>9.5</v>
      </c>
      <c r="CB39" s="67"/>
      <c r="CC39" s="67"/>
      <c r="CD39" s="67"/>
      <c r="CE39" s="62">
        <f t="shared" si="103"/>
        <v>0</v>
      </c>
      <c r="CF39" s="67"/>
      <c r="CG39" s="67"/>
      <c r="CH39" s="67"/>
      <c r="CI39" s="67">
        <f t="shared" si="104"/>
        <v>0</v>
      </c>
      <c r="CJ39" s="71">
        <f>BW39+CA39+CE39+CI39</f>
        <v>63.800000000000004</v>
      </c>
      <c r="CK39" s="71"/>
      <c r="CL39" s="67"/>
      <c r="CM39" s="67"/>
      <c r="CN39" s="62">
        <f t="shared" si="105"/>
        <v>0</v>
      </c>
      <c r="CO39" s="67">
        <v>9.1549999999999994</v>
      </c>
      <c r="CP39" s="67">
        <v>6.0620000000000003</v>
      </c>
      <c r="CQ39" s="67"/>
      <c r="CR39" s="62">
        <f t="shared" si="106"/>
        <v>15.216999999999999</v>
      </c>
      <c r="CS39" s="101"/>
      <c r="CT39" s="67"/>
      <c r="CU39" s="67">
        <v>11.750999999999999</v>
      </c>
      <c r="CV39" s="62">
        <f t="shared" si="90"/>
        <v>11.750999999999999</v>
      </c>
      <c r="CW39" s="67">
        <v>14.003</v>
      </c>
      <c r="CX39" s="67">
        <v>0</v>
      </c>
      <c r="CY39" s="112">
        <v>3.6</v>
      </c>
      <c r="CZ39" s="113">
        <f t="shared" si="91"/>
        <v>17.603000000000002</v>
      </c>
      <c r="DA39" s="62">
        <f t="shared" si="92"/>
        <v>44.570999999999998</v>
      </c>
      <c r="DB39" s="71">
        <v>18.498000000000001</v>
      </c>
      <c r="DC39" s="67">
        <v>13.5</v>
      </c>
      <c r="DD39" s="67">
        <v>5.4009999999999998</v>
      </c>
      <c r="DE39" s="62">
        <f t="shared" si="93"/>
        <v>37.399000000000001</v>
      </c>
      <c r="DF39" s="71">
        <v>15.122999999999999</v>
      </c>
      <c r="DG39" s="67">
        <f>20.249</f>
        <v>20.248999999999999</v>
      </c>
      <c r="DH39" s="67">
        <f>17.55</f>
        <v>17.55</v>
      </c>
      <c r="DI39" s="62">
        <f t="shared" si="94"/>
        <v>52.921999999999997</v>
      </c>
      <c r="DJ39" s="71">
        <v>19.748000000000001</v>
      </c>
      <c r="DK39" s="67">
        <f>26.83</f>
        <v>26.83</v>
      </c>
      <c r="DL39" s="67">
        <f>4.276</f>
        <v>4.2759999999999998</v>
      </c>
      <c r="DM39" s="62">
        <f t="shared" si="95"/>
        <v>50.853999999999999</v>
      </c>
      <c r="DN39" s="67"/>
      <c r="DO39" s="67"/>
      <c r="DP39" s="67"/>
      <c r="DQ39" s="113">
        <f t="shared" si="96"/>
        <v>0</v>
      </c>
      <c r="DR39" s="140">
        <f t="shared" si="97"/>
        <v>141.17500000000001</v>
      </c>
      <c r="DS39" s="141">
        <f>22.5</f>
        <v>22.5</v>
      </c>
      <c r="DT39" s="141">
        <f>26.65</f>
        <v>26.65</v>
      </c>
      <c r="DU39" s="141">
        <v>5.3209999999999997</v>
      </c>
      <c r="DV39" s="140">
        <f t="shared" si="36"/>
        <v>54.470999999999997</v>
      </c>
      <c r="DW39" s="142"/>
      <c r="DX39" s="143"/>
      <c r="DY39" s="141">
        <v>13.439</v>
      </c>
      <c r="DZ39" s="140">
        <f t="shared" si="37"/>
        <v>13.439</v>
      </c>
      <c r="EA39" s="142">
        <v>0.84099999999999997</v>
      </c>
      <c r="EB39" s="141">
        <f>11.471+14.3*0.46</f>
        <v>18.048999999999999</v>
      </c>
      <c r="EC39" s="141">
        <f>22.204-14.3*0.46</f>
        <v>15.626000000000001</v>
      </c>
      <c r="ED39" s="140">
        <f t="shared" si="38"/>
        <v>34.516000000000005</v>
      </c>
      <c r="EE39" s="141">
        <v>5.32</v>
      </c>
      <c r="EF39" s="141">
        <v>0.85</v>
      </c>
      <c r="EG39" s="141"/>
      <c r="EH39" s="140">
        <f t="shared" si="39"/>
        <v>6.17</v>
      </c>
      <c r="EI39" s="140">
        <f t="shared" si="40"/>
        <v>108.596</v>
      </c>
      <c r="EJ39" s="141"/>
      <c r="EK39" s="141"/>
      <c r="EL39" s="141">
        <v>0.47</v>
      </c>
      <c r="EM39" s="140">
        <f t="shared" si="41"/>
        <v>0.47</v>
      </c>
      <c r="EN39" s="141">
        <v>7.6</v>
      </c>
      <c r="EO39" s="141">
        <v>1.6</v>
      </c>
      <c r="EP39" s="141"/>
      <c r="EQ39" s="140">
        <f t="shared" si="42"/>
        <v>9.1999999999999993</v>
      </c>
      <c r="ER39" s="141"/>
      <c r="ES39" s="141"/>
      <c r="ET39" s="141"/>
      <c r="EU39" s="140">
        <f t="shared" si="43"/>
        <v>0</v>
      </c>
      <c r="EV39" s="141"/>
      <c r="EW39" s="141"/>
      <c r="EX39" s="141"/>
      <c r="EY39" s="140">
        <f t="shared" si="44"/>
        <v>0</v>
      </c>
      <c r="EZ39" s="169">
        <f t="shared" si="45"/>
        <v>9.67</v>
      </c>
      <c r="FA39" s="170"/>
      <c r="FB39" s="169"/>
      <c r="FC39" s="169"/>
      <c r="FD39" s="169"/>
      <c r="FE39" s="171">
        <f t="shared" si="46"/>
        <v>0</v>
      </c>
      <c r="FF39" s="169"/>
      <c r="FG39" s="169"/>
      <c r="FH39" s="169"/>
      <c r="FI39" s="171">
        <f t="shared" si="47"/>
        <v>0</v>
      </c>
      <c r="FJ39" s="169"/>
      <c r="FK39" s="169">
        <v>0.77700000000000002</v>
      </c>
      <c r="FL39" s="169">
        <v>0.51500000000000001</v>
      </c>
      <c r="FM39" s="171">
        <f t="shared" si="48"/>
        <v>1.292</v>
      </c>
      <c r="FN39" s="172">
        <v>0.7</v>
      </c>
      <c r="FO39" s="173"/>
      <c r="FP39" s="174"/>
      <c r="FQ39" s="175">
        <f t="shared" si="49"/>
        <v>0.7</v>
      </c>
      <c r="FR39" s="175">
        <f t="shared" si="50"/>
        <v>1.992</v>
      </c>
      <c r="FS39" s="172">
        <v>1.5</v>
      </c>
      <c r="FT39" s="173"/>
      <c r="FU39" s="174">
        <v>0.93600000000000005</v>
      </c>
      <c r="FV39" s="175">
        <f t="shared" si="51"/>
        <v>2.4359999999999999</v>
      </c>
      <c r="FW39" s="172"/>
      <c r="FX39" s="173">
        <v>0.83</v>
      </c>
      <c r="FY39" s="174">
        <v>0</v>
      </c>
      <c r="FZ39" s="175">
        <f t="shared" si="52"/>
        <v>0.83</v>
      </c>
      <c r="GA39" s="172"/>
      <c r="GB39" s="173"/>
      <c r="GC39" s="174"/>
      <c r="GD39" s="175">
        <f t="shared" si="53"/>
        <v>0</v>
      </c>
      <c r="GE39" s="172">
        <v>1.45</v>
      </c>
      <c r="GF39" s="173"/>
      <c r="GG39" s="159">
        <v>0.92</v>
      </c>
      <c r="GH39" s="174">
        <f t="shared" si="54"/>
        <v>2.37</v>
      </c>
      <c r="GI39" s="174">
        <f t="shared" si="55"/>
        <v>5.6360000000000001</v>
      </c>
      <c r="GJ39" s="221"/>
      <c r="GK39" s="222">
        <v>5</v>
      </c>
      <c r="GL39" s="223">
        <v>3.08</v>
      </c>
      <c r="GM39" s="175">
        <f t="shared" si="76"/>
        <v>8.08</v>
      </c>
      <c r="GN39" s="221"/>
      <c r="GO39" s="222"/>
      <c r="GP39" s="223"/>
      <c r="GQ39" s="175">
        <f t="shared" si="107"/>
        <v>0</v>
      </c>
      <c r="GR39" s="245">
        <v>0</v>
      </c>
      <c r="GS39" s="222">
        <v>1.8</v>
      </c>
      <c r="GT39" s="223"/>
      <c r="GU39" s="175">
        <f t="shared" si="108"/>
        <v>1.8</v>
      </c>
      <c r="GV39" s="221">
        <v>1.151</v>
      </c>
      <c r="GW39" s="222"/>
      <c r="GX39" s="321"/>
      <c r="GY39" s="174">
        <f t="shared" si="109"/>
        <v>1.151</v>
      </c>
      <c r="GZ39" s="159">
        <v>14.031000000000001</v>
      </c>
      <c r="HA39" s="254">
        <v>3.8490000000000002</v>
      </c>
      <c r="HB39" s="160">
        <v>2</v>
      </c>
      <c r="HC39" s="159"/>
      <c r="HD39" s="273">
        <f t="shared" si="61"/>
        <v>5.8490000000000002</v>
      </c>
      <c r="HE39" s="254"/>
      <c r="HF39" s="160"/>
      <c r="HG39" s="159"/>
      <c r="HH39" s="273">
        <f t="shared" si="72"/>
        <v>0</v>
      </c>
      <c r="HI39" s="279"/>
      <c r="HJ39" s="160"/>
      <c r="HK39" s="159"/>
      <c r="HL39" s="273">
        <f t="shared" si="63"/>
        <v>0</v>
      </c>
      <c r="HM39" s="254">
        <v>0.2</v>
      </c>
      <c r="HN39" s="160"/>
      <c r="HO39" s="276"/>
      <c r="HP39" s="273">
        <f t="shared" si="64"/>
        <v>0.2</v>
      </c>
      <c r="HQ39" s="273">
        <v>6.0490000000000004</v>
      </c>
      <c r="HR39" s="254"/>
      <c r="HS39" s="160">
        <v>0.1</v>
      </c>
      <c r="HT39" s="159">
        <v>0.2</v>
      </c>
      <c r="HU39" s="273">
        <f t="shared" si="66"/>
        <v>0.30000000000000004</v>
      </c>
      <c r="HV39" s="254">
        <v>0.2</v>
      </c>
      <c r="HW39" s="160"/>
      <c r="HX39" s="159">
        <v>0.2</v>
      </c>
      <c r="HY39" s="273">
        <f t="shared" si="67"/>
        <v>0.4</v>
      </c>
      <c r="HZ39" s="280"/>
      <c r="IA39" s="160">
        <v>0.1</v>
      </c>
      <c r="IB39" s="159"/>
      <c r="IC39" s="273">
        <f t="shared" si="81"/>
        <v>0.1</v>
      </c>
      <c r="ID39" s="254">
        <v>0.1</v>
      </c>
      <c r="IE39" s="160"/>
      <c r="IF39" s="277"/>
      <c r="IG39" s="273">
        <f t="shared" si="69"/>
        <v>0.1</v>
      </c>
      <c r="IH39" s="273">
        <v>0.9</v>
      </c>
      <c r="II39" s="259"/>
      <c r="IJ39" s="160">
        <v>0.1</v>
      </c>
      <c r="IK39" s="159">
        <v>0.1</v>
      </c>
      <c r="IL39" s="273">
        <v>0.2</v>
      </c>
      <c r="IM39" s="254"/>
      <c r="IN39" s="160"/>
      <c r="IO39" s="160"/>
      <c r="IP39" s="273">
        <v>0</v>
      </c>
      <c r="IQ39" s="254"/>
      <c r="IR39" s="160"/>
      <c r="IS39" s="159"/>
      <c r="IT39" s="273">
        <v>0</v>
      </c>
      <c r="IU39" s="254"/>
      <c r="IV39" s="160"/>
      <c r="IW39" s="159"/>
      <c r="IX39" s="273">
        <v>0</v>
      </c>
      <c r="IY39" s="273">
        <v>0.2</v>
      </c>
      <c r="IZ39" s="254"/>
      <c r="JA39" s="160"/>
      <c r="JB39" s="159"/>
      <c r="JC39" s="273">
        <v>0</v>
      </c>
      <c r="JD39" s="254"/>
      <c r="JE39" s="160"/>
      <c r="JF39" s="159"/>
      <c r="JG39" s="273">
        <v>0</v>
      </c>
      <c r="JH39" s="254"/>
      <c r="JI39" s="160"/>
      <c r="JJ39" s="159"/>
      <c r="JK39" s="273">
        <v>0</v>
      </c>
      <c r="JL39" s="254"/>
      <c r="JM39" s="160"/>
      <c r="JN39" s="159"/>
      <c r="JO39" s="273">
        <v>0</v>
      </c>
      <c r="JP39" s="273">
        <v>0</v>
      </c>
      <c r="JQ39" s="254"/>
      <c r="JR39" s="160"/>
      <c r="JS39" s="159"/>
      <c r="JT39" s="273">
        <v>0</v>
      </c>
      <c r="JU39" s="254"/>
      <c r="JV39" s="160"/>
      <c r="JW39" s="159"/>
      <c r="JX39" s="273">
        <v>0</v>
      </c>
      <c r="JY39" s="254"/>
      <c r="JZ39" s="160"/>
      <c r="KA39" s="159"/>
      <c r="KB39" s="273">
        <v>0</v>
      </c>
      <c r="KC39" s="254"/>
      <c r="KD39" s="160"/>
      <c r="KE39" s="159"/>
      <c r="KF39" s="273">
        <v>0</v>
      </c>
      <c r="KG39" s="273">
        <v>0</v>
      </c>
      <c r="KH39" s="221"/>
      <c r="KI39" s="222"/>
      <c r="KJ39" s="223"/>
      <c r="KK39" s="273">
        <v>0</v>
      </c>
      <c r="KL39" s="221"/>
      <c r="KM39" s="222"/>
      <c r="KN39" s="223"/>
      <c r="KO39" s="273">
        <v>0</v>
      </c>
      <c r="KP39" s="221"/>
      <c r="KQ39" s="222"/>
      <c r="KR39" s="223"/>
      <c r="KS39" s="273">
        <v>0</v>
      </c>
      <c r="KT39" s="254"/>
      <c r="KU39" s="160"/>
      <c r="KV39" s="159"/>
      <c r="KW39" s="273">
        <v>0</v>
      </c>
      <c r="KX39" s="273">
        <v>0</v>
      </c>
      <c r="KY39" s="221">
        <v>0</v>
      </c>
      <c r="KZ39" s="222">
        <v>0</v>
      </c>
      <c r="LA39" s="223">
        <v>0</v>
      </c>
      <c r="LB39" s="273">
        <v>0</v>
      </c>
      <c r="LC39" s="221">
        <v>0</v>
      </c>
      <c r="LD39" s="222">
        <v>0</v>
      </c>
      <c r="LE39" s="223">
        <v>0</v>
      </c>
      <c r="LF39" s="273">
        <v>0</v>
      </c>
      <c r="LG39" s="221">
        <v>0</v>
      </c>
      <c r="LH39" s="222">
        <v>0</v>
      </c>
      <c r="LI39" s="223">
        <v>0</v>
      </c>
      <c r="LJ39" s="273">
        <v>0</v>
      </c>
      <c r="LK39" s="254"/>
      <c r="LL39" s="160"/>
      <c r="LM39" s="159"/>
      <c r="LN39" s="273">
        <v>0</v>
      </c>
      <c r="LO39" s="273">
        <v>0</v>
      </c>
    </row>
    <row r="40" spans="1:327" ht="17.100000000000001" customHeight="1" x14ac:dyDescent="0.25">
      <c r="A40" s="74" t="s">
        <v>111</v>
      </c>
      <c r="B40" s="2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6"/>
      <c r="U40" s="5"/>
      <c r="V40" s="5"/>
      <c r="W40" s="5"/>
      <c r="X40" s="4"/>
      <c r="Y40" s="5"/>
      <c r="Z40" s="5"/>
      <c r="AA40" s="8"/>
      <c r="AB40" s="5"/>
      <c r="AC40" s="5"/>
      <c r="AD40" s="5"/>
      <c r="AE40" s="5"/>
      <c r="AF40" s="5"/>
      <c r="AG40" s="5"/>
      <c r="AH40" s="5"/>
      <c r="AI40" s="5"/>
      <c r="AJ40" s="5"/>
      <c r="AK40" s="16"/>
      <c r="AL40" s="5"/>
      <c r="AM40" s="5"/>
      <c r="AN40" s="5"/>
      <c r="AO40" s="5"/>
      <c r="AP40" s="5"/>
      <c r="AQ40" s="5"/>
      <c r="AR40" s="5"/>
      <c r="AS40" s="54"/>
      <c r="AT40" s="5"/>
      <c r="AU40" s="5"/>
      <c r="AV40" s="5"/>
      <c r="AW40" s="54"/>
      <c r="AX40" s="5"/>
      <c r="AY40" s="5"/>
      <c r="AZ40" s="5"/>
      <c r="BA40" s="54"/>
      <c r="BB40" s="54"/>
      <c r="BC40" s="5"/>
      <c r="BD40" s="66"/>
      <c r="BE40" s="66"/>
      <c r="BF40" s="62"/>
      <c r="BG40" s="67"/>
      <c r="BH40" s="67"/>
      <c r="BI40" s="67"/>
      <c r="BJ40" s="62"/>
      <c r="BK40" s="67"/>
      <c r="BL40" s="67"/>
      <c r="BM40" s="67"/>
      <c r="BN40" s="62"/>
      <c r="BO40" s="71"/>
      <c r="BP40" s="67"/>
      <c r="BQ40" s="67"/>
      <c r="BR40" s="62"/>
      <c r="BS40" s="62"/>
      <c r="BT40" s="67">
        <v>11.1</v>
      </c>
      <c r="BU40" s="67">
        <v>19.198</v>
      </c>
      <c r="BV40" s="67">
        <v>33.496000000000002</v>
      </c>
      <c r="BW40" s="62">
        <f t="shared" si="101"/>
        <v>63.794000000000004</v>
      </c>
      <c r="BX40" s="67">
        <v>14.148</v>
      </c>
      <c r="BY40" s="67">
        <v>19.298999999999999</v>
      </c>
      <c r="BZ40" s="67">
        <v>32.009</v>
      </c>
      <c r="CA40" s="62">
        <f t="shared" si="102"/>
        <v>65.456000000000003</v>
      </c>
      <c r="CB40" s="67">
        <v>12.904</v>
      </c>
      <c r="CC40" s="67">
        <v>49.296999999999997</v>
      </c>
      <c r="CD40" s="67">
        <v>17</v>
      </c>
      <c r="CE40" s="62">
        <f t="shared" si="103"/>
        <v>79.200999999999993</v>
      </c>
      <c r="CF40" s="67">
        <v>23.998000000000001</v>
      </c>
      <c r="CG40" s="67">
        <v>29.998000000000001</v>
      </c>
      <c r="CH40" s="67">
        <v>14.500999999999999</v>
      </c>
      <c r="CI40" s="67">
        <f t="shared" si="104"/>
        <v>68.497</v>
      </c>
      <c r="CJ40" s="71">
        <f>BW40+CA40+CE40+CI40</f>
        <v>276.94799999999998</v>
      </c>
      <c r="CK40" s="71">
        <v>13.750999999999999</v>
      </c>
      <c r="CL40" s="67">
        <v>11.997999999999999</v>
      </c>
      <c r="CM40" s="67">
        <v>1.302</v>
      </c>
      <c r="CN40" s="62">
        <f t="shared" si="105"/>
        <v>27.050999999999998</v>
      </c>
      <c r="CO40" s="67"/>
      <c r="CP40" s="67"/>
      <c r="CQ40" s="67"/>
      <c r="CR40" s="62">
        <f t="shared" si="106"/>
        <v>0</v>
      </c>
      <c r="CS40" s="101"/>
      <c r="CT40" s="67"/>
      <c r="CU40" s="67"/>
      <c r="CV40" s="62">
        <f t="shared" si="90"/>
        <v>0</v>
      </c>
      <c r="CW40" s="67"/>
      <c r="CX40" s="67"/>
      <c r="CY40" s="112"/>
      <c r="CZ40" s="113">
        <f t="shared" si="91"/>
        <v>0</v>
      </c>
      <c r="DA40" s="62">
        <f t="shared" si="92"/>
        <v>27.050999999999998</v>
      </c>
      <c r="DB40" s="71"/>
      <c r="DC40" s="67"/>
      <c r="DD40" s="67"/>
      <c r="DE40" s="62">
        <f t="shared" si="93"/>
        <v>0</v>
      </c>
      <c r="DF40" s="71"/>
      <c r="DG40" s="67"/>
      <c r="DH40" s="67"/>
      <c r="DI40" s="62">
        <f t="shared" si="94"/>
        <v>0</v>
      </c>
      <c r="DJ40" s="71"/>
      <c r="DK40" s="67">
        <v>5.9749999999999996</v>
      </c>
      <c r="DL40" s="67">
        <v>6.76</v>
      </c>
      <c r="DM40" s="62">
        <f t="shared" si="95"/>
        <v>12.734999999999999</v>
      </c>
      <c r="DN40" s="67"/>
      <c r="DO40" s="67"/>
      <c r="DP40" s="67"/>
      <c r="DQ40" s="62">
        <f t="shared" si="96"/>
        <v>0</v>
      </c>
      <c r="DR40" s="140">
        <f t="shared" si="97"/>
        <v>12.734999999999999</v>
      </c>
      <c r="DS40" s="141"/>
      <c r="DT40" s="141">
        <v>3.0009999999999999</v>
      </c>
      <c r="DU40" s="141"/>
      <c r="DV40" s="140">
        <f t="shared" si="36"/>
        <v>3.0009999999999999</v>
      </c>
      <c r="DW40" s="142"/>
      <c r="DX40" s="143"/>
      <c r="DY40" s="141"/>
      <c r="DZ40" s="140">
        <f t="shared" si="37"/>
        <v>0</v>
      </c>
      <c r="EA40" s="142"/>
      <c r="EB40" s="141">
        <f>3+14.3*0.54</f>
        <v>10.722000000000001</v>
      </c>
      <c r="EC40" s="141">
        <f>25.849-14.3*0.54</f>
        <v>18.126999999999999</v>
      </c>
      <c r="ED40" s="140">
        <f t="shared" si="38"/>
        <v>28.849</v>
      </c>
      <c r="EE40" s="141">
        <f>8+25.395</f>
        <v>33.394999999999996</v>
      </c>
      <c r="EF40" s="141">
        <v>10.289</v>
      </c>
      <c r="EG40" s="141">
        <v>6</v>
      </c>
      <c r="EH40" s="140">
        <f t="shared" si="39"/>
        <v>49.683999999999997</v>
      </c>
      <c r="EI40" s="140">
        <f t="shared" si="40"/>
        <v>81.533999999999992</v>
      </c>
      <c r="EJ40" s="141"/>
      <c r="EK40" s="141">
        <v>2.5009999999999999</v>
      </c>
      <c r="EL40" s="141">
        <v>4.3040000000000003</v>
      </c>
      <c r="EM40" s="140">
        <f t="shared" si="41"/>
        <v>6.8049999999999997</v>
      </c>
      <c r="EN40" s="141">
        <v>8.1059999999999999</v>
      </c>
      <c r="EO40" s="141"/>
      <c r="EP40" s="141"/>
      <c r="EQ40" s="140">
        <f t="shared" si="42"/>
        <v>8.1059999999999999</v>
      </c>
      <c r="ER40" s="141"/>
      <c r="ES40" s="141"/>
      <c r="ET40" s="141"/>
      <c r="EU40" s="140">
        <f t="shared" si="43"/>
        <v>0</v>
      </c>
      <c r="EV40" s="141"/>
      <c r="EW40" s="141"/>
      <c r="EX40" s="141"/>
      <c r="EY40" s="140">
        <f t="shared" si="44"/>
        <v>0</v>
      </c>
      <c r="EZ40" s="169">
        <f t="shared" si="45"/>
        <v>14.911</v>
      </c>
      <c r="FA40" s="170"/>
      <c r="FB40" s="169"/>
      <c r="FC40" s="169"/>
      <c r="FD40" s="169"/>
      <c r="FE40" s="171">
        <f t="shared" si="46"/>
        <v>0</v>
      </c>
      <c r="FF40" s="169">
        <v>3.4</v>
      </c>
      <c r="FG40" s="169">
        <v>1.6</v>
      </c>
      <c r="FH40" s="169"/>
      <c r="FI40" s="171">
        <f t="shared" si="47"/>
        <v>5</v>
      </c>
      <c r="FJ40" s="169"/>
      <c r="FK40" s="169"/>
      <c r="FL40" s="169"/>
      <c r="FM40" s="171">
        <f t="shared" si="48"/>
        <v>0</v>
      </c>
      <c r="FN40" s="172"/>
      <c r="FO40" s="173"/>
      <c r="FP40" s="174"/>
      <c r="FQ40" s="175">
        <f t="shared" si="49"/>
        <v>0</v>
      </c>
      <c r="FR40" s="175">
        <f t="shared" si="50"/>
        <v>5</v>
      </c>
      <c r="FS40" s="172"/>
      <c r="FT40" s="173"/>
      <c r="FU40" s="174"/>
      <c r="FV40" s="175">
        <f t="shared" si="51"/>
        <v>0</v>
      </c>
      <c r="FW40" s="172"/>
      <c r="FX40" s="173"/>
      <c r="FY40" s="174"/>
      <c r="FZ40" s="175">
        <f t="shared" si="52"/>
        <v>0</v>
      </c>
      <c r="GA40" s="172"/>
      <c r="GB40" s="173"/>
      <c r="GC40" s="174"/>
      <c r="GD40" s="175">
        <f t="shared" si="53"/>
        <v>0</v>
      </c>
      <c r="GE40" s="172"/>
      <c r="GF40" s="173">
        <v>18.815000000000001</v>
      </c>
      <c r="GG40" s="159">
        <v>10.243</v>
      </c>
      <c r="GH40" s="174">
        <f t="shared" si="54"/>
        <v>29.058</v>
      </c>
      <c r="GI40" s="174">
        <f t="shared" si="55"/>
        <v>29.058</v>
      </c>
      <c r="GJ40" s="221">
        <v>4.51</v>
      </c>
      <c r="GK40" s="222"/>
      <c r="GL40" s="223">
        <v>5.72</v>
      </c>
      <c r="GM40" s="175">
        <f t="shared" si="76"/>
        <v>10.23</v>
      </c>
      <c r="GN40" s="221"/>
      <c r="GO40" s="222"/>
      <c r="GP40" s="223">
        <v>6.2249999999999996</v>
      </c>
      <c r="GQ40" s="175">
        <f t="shared" si="107"/>
        <v>6.2249999999999996</v>
      </c>
      <c r="GR40" s="245">
        <v>0</v>
      </c>
      <c r="GS40" s="222">
        <v>6.7720000000000002</v>
      </c>
      <c r="GT40" s="223"/>
      <c r="GU40" s="175">
        <f t="shared" si="108"/>
        <v>6.7720000000000002</v>
      </c>
      <c r="GV40" s="221"/>
      <c r="GW40" s="222">
        <v>60.695</v>
      </c>
      <c r="GX40" s="321"/>
      <c r="GY40" s="174">
        <f t="shared" si="109"/>
        <v>60.695</v>
      </c>
      <c r="GZ40" s="159">
        <v>23.226999999999997</v>
      </c>
      <c r="HA40" s="254">
        <v>1.5209999999999999</v>
      </c>
      <c r="HB40" s="160"/>
      <c r="HC40" s="159"/>
      <c r="HD40" s="273">
        <f t="shared" si="61"/>
        <v>1.5209999999999999</v>
      </c>
      <c r="HE40" s="254"/>
      <c r="HF40" s="160"/>
      <c r="HG40" s="159"/>
      <c r="HH40" s="273">
        <f t="shared" si="72"/>
        <v>0</v>
      </c>
      <c r="HI40" s="279"/>
      <c r="HJ40" s="160">
        <v>0.3</v>
      </c>
      <c r="HK40" s="159"/>
      <c r="HL40" s="273">
        <f t="shared" si="63"/>
        <v>0.3</v>
      </c>
      <c r="HM40" s="254"/>
      <c r="HN40" s="160">
        <v>4</v>
      </c>
      <c r="HO40" s="276"/>
      <c r="HP40" s="273">
        <f t="shared" si="64"/>
        <v>4</v>
      </c>
      <c r="HQ40" s="273">
        <v>1.821</v>
      </c>
      <c r="HR40" s="254"/>
      <c r="HS40" s="160"/>
      <c r="HT40" s="159">
        <v>0</v>
      </c>
      <c r="HU40" s="273"/>
      <c r="HV40" s="254"/>
      <c r="HW40" s="160"/>
      <c r="HX40" s="159"/>
      <c r="HY40" s="273"/>
      <c r="HZ40" s="280"/>
      <c r="IA40" s="160">
        <v>0</v>
      </c>
      <c r="IB40" s="159"/>
      <c r="IC40" s="273"/>
      <c r="ID40" s="254"/>
      <c r="IE40" s="160"/>
      <c r="IF40" s="277"/>
      <c r="IG40" s="273"/>
      <c r="IH40" s="273"/>
      <c r="II40" s="259"/>
      <c r="IJ40" s="160"/>
      <c r="IK40" s="159"/>
      <c r="IL40" s="273">
        <v>0</v>
      </c>
      <c r="IM40" s="254"/>
      <c r="IN40" s="160"/>
      <c r="IO40" s="160"/>
      <c r="IP40" s="273">
        <v>0</v>
      </c>
      <c r="IQ40" s="254"/>
      <c r="IR40" s="160"/>
      <c r="IS40" s="159"/>
      <c r="IT40" s="273">
        <v>0</v>
      </c>
      <c r="IU40" s="254"/>
      <c r="IV40" s="160"/>
      <c r="IW40" s="159"/>
      <c r="IX40" s="273">
        <v>0</v>
      </c>
      <c r="IY40" s="273">
        <v>0</v>
      </c>
      <c r="IZ40" s="254"/>
      <c r="JA40" s="160"/>
      <c r="JB40" s="159"/>
      <c r="JC40" s="273">
        <v>0</v>
      </c>
      <c r="JD40" s="254"/>
      <c r="JE40" s="160"/>
      <c r="JF40" s="159"/>
      <c r="JG40" s="273">
        <v>0</v>
      </c>
      <c r="JH40" s="254"/>
      <c r="JI40" s="160"/>
      <c r="JJ40" s="159"/>
      <c r="JK40" s="273">
        <v>0</v>
      </c>
      <c r="JL40" s="254"/>
      <c r="JM40" s="160"/>
      <c r="JN40" s="159"/>
      <c r="JO40" s="273">
        <v>0</v>
      </c>
      <c r="JP40" s="273">
        <v>0</v>
      </c>
      <c r="JQ40" s="254"/>
      <c r="JR40" s="160"/>
      <c r="JS40" s="159"/>
      <c r="JT40" s="273">
        <v>0</v>
      </c>
      <c r="JU40" s="254"/>
      <c r="JV40" s="160"/>
      <c r="JW40" s="159"/>
      <c r="JX40" s="273">
        <v>0</v>
      </c>
      <c r="JY40" s="254"/>
      <c r="JZ40" s="160"/>
      <c r="KA40" s="159"/>
      <c r="KB40" s="273">
        <v>0</v>
      </c>
      <c r="KC40" s="254"/>
      <c r="KD40" s="160"/>
      <c r="KE40" s="159"/>
      <c r="KF40" s="273">
        <v>0</v>
      </c>
      <c r="KG40" s="273">
        <v>0</v>
      </c>
      <c r="KH40" s="221"/>
      <c r="KI40" s="222"/>
      <c r="KJ40" s="223"/>
      <c r="KK40" s="273">
        <v>0</v>
      </c>
      <c r="KL40" s="221"/>
      <c r="KM40" s="222"/>
      <c r="KN40" s="223"/>
      <c r="KO40" s="273">
        <v>0</v>
      </c>
      <c r="KP40" s="221"/>
      <c r="KQ40" s="222"/>
      <c r="KR40" s="223"/>
      <c r="KS40" s="273">
        <v>0</v>
      </c>
      <c r="KT40" s="254"/>
      <c r="KU40" s="160"/>
      <c r="KV40" s="159"/>
      <c r="KW40" s="273">
        <v>0</v>
      </c>
      <c r="KX40" s="273">
        <v>0</v>
      </c>
      <c r="KY40" s="221">
        <v>0</v>
      </c>
      <c r="KZ40" s="222">
        <v>0</v>
      </c>
      <c r="LA40" s="223">
        <v>0</v>
      </c>
      <c r="LB40" s="273">
        <v>0</v>
      </c>
      <c r="LC40" s="221">
        <v>0</v>
      </c>
      <c r="LD40" s="222">
        <v>0</v>
      </c>
      <c r="LE40" s="223">
        <v>0</v>
      </c>
      <c r="LF40" s="273">
        <v>0</v>
      </c>
      <c r="LG40" s="221">
        <v>0</v>
      </c>
      <c r="LH40" s="222">
        <v>0</v>
      </c>
      <c r="LI40" s="223">
        <v>0</v>
      </c>
      <c r="LJ40" s="273">
        <v>0</v>
      </c>
      <c r="LK40" s="254"/>
      <c r="LL40" s="160"/>
      <c r="LM40" s="159"/>
      <c r="LN40" s="273">
        <v>0</v>
      </c>
      <c r="LO40" s="273">
        <v>0</v>
      </c>
    </row>
    <row r="41" spans="1:327" ht="17.100000000000001" customHeight="1" x14ac:dyDescent="0.2">
      <c r="A41" s="74" t="s">
        <v>70</v>
      </c>
      <c r="B41" s="24"/>
      <c r="C41" s="5">
        <v>87.3</v>
      </c>
      <c r="D41" s="5">
        <v>3.7</v>
      </c>
      <c r="E41" s="5">
        <v>2.5</v>
      </c>
      <c r="F41" s="5">
        <v>2.2999999999999998</v>
      </c>
      <c r="G41" s="5">
        <v>8.5</v>
      </c>
      <c r="H41" s="5">
        <v>2</v>
      </c>
      <c r="I41" s="5">
        <v>34.4</v>
      </c>
      <c r="J41" s="5">
        <v>22.6</v>
      </c>
      <c r="K41" s="5">
        <v>59</v>
      </c>
      <c r="L41" s="5">
        <v>45.2</v>
      </c>
      <c r="M41" s="5">
        <f>M42+M43</f>
        <v>4.5</v>
      </c>
      <c r="N41" s="5">
        <f>N42+N43</f>
        <v>4.8</v>
      </c>
      <c r="O41" s="5">
        <f t="shared" si="0"/>
        <v>54.5</v>
      </c>
      <c r="P41" s="5">
        <f>P42+P43</f>
        <v>8.4</v>
      </c>
      <c r="Q41" s="5">
        <f>Q42+Q43</f>
        <v>1.2</v>
      </c>
      <c r="R41" s="5">
        <f>R42+R43</f>
        <v>3.9999999999999996</v>
      </c>
      <c r="S41" s="5">
        <f t="shared" si="1"/>
        <v>13.6</v>
      </c>
      <c r="T41" s="16">
        <f t="shared" si="7"/>
        <v>135.6</v>
      </c>
      <c r="U41" s="5">
        <f>U42+U43</f>
        <v>16.239999999999998</v>
      </c>
      <c r="V41" s="5">
        <f>V42+V43</f>
        <v>1.3</v>
      </c>
      <c r="W41" s="5">
        <f>W42+W43</f>
        <v>6</v>
      </c>
      <c r="X41" s="4">
        <f t="shared" si="82"/>
        <v>23.54</v>
      </c>
      <c r="Y41" s="5">
        <f>Y42+Y43</f>
        <v>27.9</v>
      </c>
      <c r="Z41" s="5">
        <f>Z42+Z43</f>
        <v>5.9</v>
      </c>
      <c r="AA41" s="5">
        <f>AA42+AA43</f>
        <v>4.7</v>
      </c>
      <c r="AB41" s="5">
        <f t="shared" si="83"/>
        <v>38.5</v>
      </c>
      <c r="AC41" s="5">
        <f>AC42+AC43</f>
        <v>6.46</v>
      </c>
      <c r="AD41" s="5">
        <f>AD42+AD43</f>
        <v>8</v>
      </c>
      <c r="AE41" s="5">
        <f>AE42+AE43</f>
        <v>8.9</v>
      </c>
      <c r="AF41" s="5">
        <f t="shared" si="84"/>
        <v>23.36</v>
      </c>
      <c r="AG41" s="5">
        <f>AG42+AG43</f>
        <v>7.3</v>
      </c>
      <c r="AH41" s="5">
        <f>AH42+AH43</f>
        <v>2.4</v>
      </c>
      <c r="AI41" s="5">
        <f>AI42+AI43</f>
        <v>14.7</v>
      </c>
      <c r="AJ41" s="5">
        <f t="shared" si="8"/>
        <v>24.4</v>
      </c>
      <c r="AK41" s="16">
        <f t="shared" si="9"/>
        <v>109.80000000000001</v>
      </c>
      <c r="AL41" s="5">
        <f t="shared" ref="AL41:AT41" si="111">AL42+AL43</f>
        <v>8.9</v>
      </c>
      <c r="AM41" s="5">
        <f t="shared" si="111"/>
        <v>8.44</v>
      </c>
      <c r="AN41" s="5">
        <f t="shared" si="111"/>
        <v>12.7</v>
      </c>
      <c r="AO41" s="5">
        <f t="shared" si="86"/>
        <v>30.04</v>
      </c>
      <c r="AP41" s="5">
        <f t="shared" si="111"/>
        <v>10.700000000000001</v>
      </c>
      <c r="AQ41" s="5">
        <f t="shared" si="111"/>
        <v>1.6999999999999997</v>
      </c>
      <c r="AR41" s="5">
        <f t="shared" si="111"/>
        <v>8.8000000000000007</v>
      </c>
      <c r="AS41" s="54">
        <f t="shared" si="12"/>
        <v>21.200000000000003</v>
      </c>
      <c r="AT41" s="5">
        <f t="shared" si="111"/>
        <v>11.54</v>
      </c>
      <c r="AU41" s="5">
        <f>AU42+AU43</f>
        <v>3.9000000000000004</v>
      </c>
      <c r="AV41" s="5">
        <f>AV42+AV43</f>
        <v>34.299999999999997</v>
      </c>
      <c r="AW41" s="54">
        <f t="shared" si="87"/>
        <v>49.739999999999995</v>
      </c>
      <c r="AX41" s="5">
        <f>AX42+AX43</f>
        <v>18.600000000000001</v>
      </c>
      <c r="AY41" s="5">
        <f>AY42+AY43</f>
        <v>9.4</v>
      </c>
      <c r="AZ41" s="5">
        <f>AZ42+AZ43</f>
        <v>9</v>
      </c>
      <c r="BA41" s="54">
        <f t="shared" si="14"/>
        <v>37</v>
      </c>
      <c r="BB41" s="54">
        <f t="shared" si="15"/>
        <v>137.97999999999999</v>
      </c>
      <c r="BC41" s="5">
        <f>BC42+BC43</f>
        <v>11.109309300000007</v>
      </c>
      <c r="BD41" s="66">
        <f>BD42+BD43</f>
        <v>3.0689690699999987</v>
      </c>
      <c r="BE41" s="66">
        <f>BE42+BE43</f>
        <v>4.2872557499999999</v>
      </c>
      <c r="BF41" s="62">
        <f>SUM(BC41:BE41)</f>
        <v>18.465534120000004</v>
      </c>
      <c r="BG41" s="67">
        <f>BG42+BG43</f>
        <v>2.9636740000000001</v>
      </c>
      <c r="BH41" s="67">
        <f>BH42+BH43</f>
        <v>2.3019400000000001</v>
      </c>
      <c r="BI41" s="67">
        <f>BI42+BI43</f>
        <v>2.0712700000000002</v>
      </c>
      <c r="BJ41" s="62">
        <f t="shared" si="74"/>
        <v>7.3368840000000004</v>
      </c>
      <c r="BK41" s="67">
        <f>BK42+BK43</f>
        <v>1.5008900000000001</v>
      </c>
      <c r="BL41" s="67">
        <f>BL42+BL43</f>
        <v>0.93859999999999999</v>
      </c>
      <c r="BM41" s="67">
        <f>BM42+BM43</f>
        <v>2.7520349999999998</v>
      </c>
      <c r="BN41" s="62">
        <f t="shared" si="18"/>
        <v>5.1915250000000004</v>
      </c>
      <c r="BO41" s="71">
        <f>BO42+BO43</f>
        <v>9.8368566000000008</v>
      </c>
      <c r="BP41" s="67">
        <f>BP42+BP43</f>
        <v>2.5555400000000001</v>
      </c>
      <c r="BQ41" s="67">
        <f>BQ42+BQ43</f>
        <v>2.1934800000000001</v>
      </c>
      <c r="BR41" s="62">
        <f t="shared" si="19"/>
        <v>14.585876600000002</v>
      </c>
      <c r="BS41" s="62">
        <f t="shared" si="20"/>
        <v>45.579819720000003</v>
      </c>
      <c r="BT41" s="67">
        <f>BT42+BT43</f>
        <v>9.1999999999999993</v>
      </c>
      <c r="BU41" s="67">
        <f>BU42+BU43</f>
        <v>5.7</v>
      </c>
      <c r="BV41" s="67">
        <f>BV42+BV43</f>
        <v>2.1</v>
      </c>
      <c r="BW41" s="62">
        <f t="shared" si="101"/>
        <v>17</v>
      </c>
      <c r="BX41" s="67">
        <f>BX42+BX43</f>
        <v>4.05</v>
      </c>
      <c r="BY41" s="67">
        <f>BY42+BY43</f>
        <v>5.0999999999999996</v>
      </c>
      <c r="BZ41" s="67">
        <f>BZ42+BZ43</f>
        <v>14.8</v>
      </c>
      <c r="CA41" s="62">
        <f t="shared" si="102"/>
        <v>23.95</v>
      </c>
      <c r="CB41" s="67">
        <f>CB42+CB43</f>
        <v>13</v>
      </c>
      <c r="CC41" s="67">
        <f>CC42+CC43</f>
        <v>0.15999999999999992</v>
      </c>
      <c r="CD41" s="67">
        <f>CD42+CD43</f>
        <v>13.2</v>
      </c>
      <c r="CE41" s="62">
        <f t="shared" si="103"/>
        <v>26.36</v>
      </c>
      <c r="CF41" s="67">
        <f>CF42+CF43</f>
        <v>7.5</v>
      </c>
      <c r="CG41" s="67">
        <f>CG42+CG43</f>
        <v>7.4</v>
      </c>
      <c r="CH41" s="67">
        <f>CH42+CH43</f>
        <v>6.5</v>
      </c>
      <c r="CI41" s="67">
        <f t="shared" si="104"/>
        <v>21.4</v>
      </c>
      <c r="CJ41" s="71">
        <f t="shared" ref="CJ41:CJ64" si="112">BW41+CA41+CE41+CI41</f>
        <v>88.710000000000008</v>
      </c>
      <c r="CK41" s="71">
        <f>CK42+CK43</f>
        <v>16</v>
      </c>
      <c r="CL41" s="67">
        <f>CL42+CL43</f>
        <v>6.6</v>
      </c>
      <c r="CM41" s="67">
        <f>CM42+CM43</f>
        <v>14.3</v>
      </c>
      <c r="CN41" s="62">
        <f t="shared" si="105"/>
        <v>36.900000000000006</v>
      </c>
      <c r="CO41" s="67">
        <f>CO42+CO43</f>
        <v>11.9</v>
      </c>
      <c r="CP41" s="67">
        <f>CP42+CP43</f>
        <v>10.84</v>
      </c>
      <c r="CQ41" s="67">
        <f>CQ42+CQ43</f>
        <v>15.9</v>
      </c>
      <c r="CR41" s="62">
        <f t="shared" si="106"/>
        <v>38.64</v>
      </c>
      <c r="CS41" s="101">
        <f>CS42+CS43</f>
        <v>24</v>
      </c>
      <c r="CT41" s="67">
        <f>CT42+CT43</f>
        <v>6.1999999999999993</v>
      </c>
      <c r="CU41" s="67">
        <f>CU42+CU43</f>
        <v>3.9</v>
      </c>
      <c r="CV41" s="62">
        <f>SUM(CS41:CU41)</f>
        <v>34.1</v>
      </c>
      <c r="CW41" s="67">
        <f>CW42+CW43</f>
        <v>3</v>
      </c>
      <c r="CX41" s="67">
        <f>CX42+CX43</f>
        <v>1</v>
      </c>
      <c r="CY41" s="112">
        <f>CY42+CY43</f>
        <v>3.3</v>
      </c>
      <c r="CZ41" s="113">
        <f>SUM(CW41:CY41)</f>
        <v>7.3</v>
      </c>
      <c r="DA41" s="62">
        <f>CN41+CR41+CV41+CZ41</f>
        <v>116.94000000000001</v>
      </c>
      <c r="DB41" s="71">
        <f>DB42+DB43</f>
        <v>2.2999999999999998</v>
      </c>
      <c r="DC41" s="67">
        <f>DC42+DC43</f>
        <v>0.8</v>
      </c>
      <c r="DD41" s="67">
        <f>DD42+DD43</f>
        <v>3.9999999999999996</v>
      </c>
      <c r="DE41" s="62">
        <f>SUM(DB41:DD41)</f>
        <v>7.1</v>
      </c>
      <c r="DF41" s="71">
        <f>DF42+DF43</f>
        <v>1.3000000000000043</v>
      </c>
      <c r="DG41" s="67">
        <f>DG42+DG43</f>
        <v>3</v>
      </c>
      <c r="DH41" s="67">
        <f>DH42+DH43</f>
        <v>2</v>
      </c>
      <c r="DI41" s="62">
        <f>SUM(DF41:DH41)</f>
        <v>6.3000000000000043</v>
      </c>
      <c r="DJ41" s="71">
        <f>DJ42+DJ43</f>
        <v>2.2999999999999998</v>
      </c>
      <c r="DK41" s="67">
        <f>DK42+DK43</f>
        <v>5.6000000000000005</v>
      </c>
      <c r="DL41" s="67">
        <f>DL42+DL43</f>
        <v>1.7</v>
      </c>
      <c r="DM41" s="62">
        <f>SUM(DJ41:DL41)</f>
        <v>9.6</v>
      </c>
      <c r="DN41" s="67">
        <f>DN42+DN43</f>
        <v>1.1999999999999993</v>
      </c>
      <c r="DO41" s="67">
        <f>DO42+DO43</f>
        <v>6.5</v>
      </c>
      <c r="DP41" s="67">
        <f>DP42+DP43</f>
        <v>5.8</v>
      </c>
      <c r="DQ41" s="113">
        <f>SUM(DN41:DP41)</f>
        <v>13.5</v>
      </c>
      <c r="DR41" s="140">
        <f>DE41+DI41+DM41+DQ41</f>
        <v>36.5</v>
      </c>
      <c r="DS41" s="141">
        <f>DS42+DS43</f>
        <v>10.199999999999999</v>
      </c>
      <c r="DT41" s="141">
        <f>DT42+DT43</f>
        <v>7.8</v>
      </c>
      <c r="DU41" s="141">
        <f>DU42+DU43</f>
        <v>9.1999999999999993</v>
      </c>
      <c r="DV41" s="140">
        <f t="shared" si="36"/>
        <v>27.2</v>
      </c>
      <c r="DW41" s="142">
        <f>DW42+DW43</f>
        <v>8.4</v>
      </c>
      <c r="DX41" s="141">
        <f>DX42+DX43</f>
        <v>7.5</v>
      </c>
      <c r="DY41" s="141">
        <f>DY42+DY43</f>
        <v>5.6</v>
      </c>
      <c r="DZ41" s="140">
        <f t="shared" si="37"/>
        <v>21.5</v>
      </c>
      <c r="EA41" s="142">
        <f>EA42+EA43</f>
        <v>10.5</v>
      </c>
      <c r="EB41" s="141">
        <f>EB42+EB43</f>
        <v>6.8</v>
      </c>
      <c r="EC41" s="141">
        <f>EC42+EC43</f>
        <v>12.3</v>
      </c>
      <c r="ED41" s="140">
        <f t="shared" si="38"/>
        <v>29.6</v>
      </c>
      <c r="EE41" s="141">
        <f>EE42+EE43</f>
        <v>10.8</v>
      </c>
      <c r="EF41" s="141">
        <f>EF42+EF43</f>
        <v>10.5</v>
      </c>
      <c r="EG41" s="141">
        <f>EG42+EG43</f>
        <v>12.7</v>
      </c>
      <c r="EH41" s="140">
        <f t="shared" si="39"/>
        <v>34</v>
      </c>
      <c r="EI41" s="140">
        <f t="shared" si="40"/>
        <v>112.30000000000001</v>
      </c>
      <c r="EJ41" s="141">
        <f>EJ42+EJ43</f>
        <v>8.1999999999999993</v>
      </c>
      <c r="EK41" s="141">
        <f>EK42+EK43</f>
        <v>7.7</v>
      </c>
      <c r="EL41" s="141">
        <f>EL42+EL43</f>
        <v>13.1</v>
      </c>
      <c r="EM41" s="140">
        <f t="shared" si="41"/>
        <v>29</v>
      </c>
      <c r="EN41" s="141">
        <f>EN42+EN43</f>
        <v>10.4</v>
      </c>
      <c r="EO41" s="141">
        <f>EO42+EO43</f>
        <v>7.8</v>
      </c>
      <c r="EP41" s="141">
        <f>EP42+EP43</f>
        <v>6.9</v>
      </c>
      <c r="EQ41" s="140">
        <f t="shared" si="42"/>
        <v>25.1</v>
      </c>
      <c r="ER41" s="141">
        <f>ER42+ER43</f>
        <v>9.7999999999999989</v>
      </c>
      <c r="ES41" s="141">
        <f>ES42+ES43</f>
        <v>7.3</v>
      </c>
      <c r="ET41" s="141">
        <f>ET42+ET43</f>
        <v>7.6</v>
      </c>
      <c r="EU41" s="140">
        <f t="shared" si="43"/>
        <v>24.699999999999996</v>
      </c>
      <c r="EV41" s="141">
        <f>EV42+EV43</f>
        <v>9.4</v>
      </c>
      <c r="EW41" s="141">
        <f>EW42+EW43</f>
        <v>10</v>
      </c>
      <c r="EX41" s="141">
        <f>EX42+EX43</f>
        <v>6.3855568975000043</v>
      </c>
      <c r="EY41" s="140">
        <f t="shared" si="44"/>
        <v>25.785556897500001</v>
      </c>
      <c r="EZ41" s="169">
        <f t="shared" si="45"/>
        <v>104.5855568975</v>
      </c>
      <c r="FA41" s="170"/>
      <c r="FB41" s="169">
        <f>FB42+FB43</f>
        <v>12</v>
      </c>
      <c r="FC41" s="169">
        <f>FC42+FC43</f>
        <v>9.9</v>
      </c>
      <c r="FD41" s="169">
        <f>FD42+FD43</f>
        <v>7.9</v>
      </c>
      <c r="FE41" s="171">
        <f t="shared" si="46"/>
        <v>29.799999999999997</v>
      </c>
      <c r="FF41" s="169">
        <f>FF42+FF43</f>
        <v>4.1227356686431555</v>
      </c>
      <c r="FG41" s="169">
        <f>FG42+FG43</f>
        <v>2.3063865188695081</v>
      </c>
      <c r="FH41" s="169">
        <f>FH42+FH43</f>
        <v>5.2557730166266436</v>
      </c>
      <c r="FI41" s="171">
        <f t="shared" si="47"/>
        <v>11.684895204139307</v>
      </c>
      <c r="FJ41" s="169">
        <f>FJ42+FJ43</f>
        <v>6.1930658805736627</v>
      </c>
      <c r="FK41" s="169">
        <f>FK42+FK43</f>
        <v>9.2586973310545897</v>
      </c>
      <c r="FL41" s="169">
        <f>FL42+FL43</f>
        <v>14.23489141361388</v>
      </c>
      <c r="FM41" s="171">
        <f t="shared" si="48"/>
        <v>29.686654625242134</v>
      </c>
      <c r="FN41" s="172">
        <f>FN42+FN43</f>
        <v>26.028878374594726</v>
      </c>
      <c r="FO41" s="173">
        <f>FO42+FO43</f>
        <v>26.504731601854473</v>
      </c>
      <c r="FP41" s="174">
        <f>FP42+FP43</f>
        <v>22.289650922022993</v>
      </c>
      <c r="FQ41" s="175">
        <f t="shared" si="49"/>
        <v>74.823260898472199</v>
      </c>
      <c r="FR41" s="175">
        <f t="shared" si="50"/>
        <v>145.99481072785363</v>
      </c>
      <c r="FS41" s="172">
        <f>FS42+FS43</f>
        <v>18.958548340000171</v>
      </c>
      <c r="FT41" s="173">
        <f>FT42+FT43</f>
        <v>10.65056799027041</v>
      </c>
      <c r="FU41" s="174">
        <f>FU42+FU43</f>
        <v>25.413926555294744</v>
      </c>
      <c r="FV41" s="175">
        <f t="shared" si="51"/>
        <v>55.023042885565324</v>
      </c>
      <c r="FW41" s="172">
        <f>FW42+FW43</f>
        <v>5.0756600911813328</v>
      </c>
      <c r="FX41" s="173">
        <f>FX42+FX43</f>
        <v>17.262745924318605</v>
      </c>
      <c r="FY41" s="174">
        <v>9.414132657684311</v>
      </c>
      <c r="FZ41" s="175">
        <f t="shared" si="52"/>
        <v>31.752538673184247</v>
      </c>
      <c r="GA41" s="172">
        <f>GA42+GA43</f>
        <v>11.277199865351651</v>
      </c>
      <c r="GB41" s="173">
        <f>GB42+GB43</f>
        <v>6.3530508473324128</v>
      </c>
      <c r="GC41" s="174">
        <f>GC42+GC43</f>
        <v>38.775973526603984</v>
      </c>
      <c r="GD41" s="175">
        <f t="shared" si="53"/>
        <v>56.406224239288051</v>
      </c>
      <c r="GE41" s="172">
        <f>GE42+GE43</f>
        <v>24.015256678878856</v>
      </c>
      <c r="GF41" s="173">
        <f>GF42+GF43</f>
        <v>23.347813715024934</v>
      </c>
      <c r="GG41" s="159">
        <f>GG42+GG43</f>
        <v>28.999765521021267</v>
      </c>
      <c r="GH41" s="174">
        <f t="shared" si="54"/>
        <v>76.362835914925057</v>
      </c>
      <c r="GI41" s="174">
        <f t="shared" si="55"/>
        <v>219.54464171296266</v>
      </c>
      <c r="GJ41" s="221">
        <f>GJ42+GJ43</f>
        <v>50.822163368810827</v>
      </c>
      <c r="GK41" s="222">
        <f>GK42+GK43</f>
        <v>44.72401504903975</v>
      </c>
      <c r="GL41" s="223">
        <f>GL42+GL43</f>
        <v>59.786049806376631</v>
      </c>
      <c r="GM41" s="175">
        <f t="shared" si="76"/>
        <v>155.33222822422721</v>
      </c>
      <c r="GN41" s="221">
        <f>GN42+GN43</f>
        <v>32.438065708332061</v>
      </c>
      <c r="GO41" s="222">
        <f>GO42+GO43</f>
        <v>15.374070325180387</v>
      </c>
      <c r="GP41" s="222">
        <f>GP42+GP43</f>
        <v>14.09126582670517</v>
      </c>
      <c r="GQ41" s="175">
        <f t="shared" si="107"/>
        <v>61.903401860217613</v>
      </c>
      <c r="GR41" s="222">
        <f>GR42+GR43</f>
        <v>90.8</v>
      </c>
      <c r="GS41" s="222">
        <f>GS42+GS43</f>
        <v>25.934014929799243</v>
      </c>
      <c r="GT41" s="222">
        <f>GT42+GT43</f>
        <v>16.996871534820652</v>
      </c>
      <c r="GU41" s="175">
        <f t="shared" si="108"/>
        <v>133.73088646461989</v>
      </c>
      <c r="GV41" s="222">
        <f>GV42+GV43</f>
        <v>1.6890442296988359</v>
      </c>
      <c r="GW41" s="222">
        <f>GW42+GW43</f>
        <v>2.0763413582065997</v>
      </c>
      <c r="GX41" s="223">
        <f>GX42+GX43</f>
        <v>6.8989845496455811</v>
      </c>
      <c r="GY41" s="174">
        <f t="shared" si="109"/>
        <v>10.664370137551018</v>
      </c>
      <c r="GZ41" s="159">
        <f t="shared" si="110"/>
        <v>361.63088668661578</v>
      </c>
      <c r="HA41" s="254">
        <f>HA42+HA43</f>
        <v>8.4935873299856492</v>
      </c>
      <c r="HB41" s="160">
        <f>HB42+HB43</f>
        <v>1.4725731558271162</v>
      </c>
      <c r="HC41" s="159">
        <f>HC42+HC43</f>
        <v>6.3333915880775384</v>
      </c>
      <c r="HD41" s="273">
        <f t="shared" si="61"/>
        <v>16.299552073890304</v>
      </c>
      <c r="HE41" s="254">
        <f>HE42+HE43</f>
        <v>47.88424270351473</v>
      </c>
      <c r="HF41" s="160">
        <f>HF42+HF43</f>
        <v>55.103187946700174</v>
      </c>
      <c r="HG41" s="160">
        <f>HG42+HG43</f>
        <v>57.794432277631437</v>
      </c>
      <c r="HH41" s="273">
        <f t="shared" si="72"/>
        <v>160.78186292784633</v>
      </c>
      <c r="HI41" s="160">
        <f>HI42+HI43</f>
        <v>40.725658606107537</v>
      </c>
      <c r="HJ41" s="160">
        <f>HJ42+HJ43</f>
        <v>59.447915110029626</v>
      </c>
      <c r="HK41" s="160">
        <f>HK42+HK43</f>
        <v>53.645169269308113</v>
      </c>
      <c r="HL41" s="273">
        <f t="shared" si="63"/>
        <v>153.81874298544528</v>
      </c>
      <c r="HM41" s="254">
        <f>HM42+HM43</f>
        <v>67.903012805438607</v>
      </c>
      <c r="HN41" s="160">
        <f>HN42+HN43</f>
        <v>83.905737694375873</v>
      </c>
      <c r="HO41" s="159">
        <f>HO42+HO43</f>
        <v>45.179840560000002</v>
      </c>
      <c r="HP41" s="273">
        <f t="shared" si="64"/>
        <v>196.9885910598145</v>
      </c>
      <c r="HQ41" s="273">
        <f t="shared" si="65"/>
        <v>527.88874904699651</v>
      </c>
      <c r="HR41" s="254">
        <f>HR42+HR43</f>
        <v>44.350538699770439</v>
      </c>
      <c r="HS41" s="160">
        <f>HS42+HS43</f>
        <v>41.058512362252507</v>
      </c>
      <c r="HT41" s="159">
        <f>HT42+HT43</f>
        <v>86.013770589999993</v>
      </c>
      <c r="HU41" s="273">
        <f t="shared" si="66"/>
        <v>171.42282165202295</v>
      </c>
      <c r="HV41" s="254">
        <f>HV42+HV43</f>
        <v>71.084092707130552</v>
      </c>
      <c r="HW41" s="160">
        <f>HW42+HW43</f>
        <v>89.907367341793403</v>
      </c>
      <c r="HX41" s="160">
        <f>HX42+HX43</f>
        <v>79.164717739583921</v>
      </c>
      <c r="HY41" s="273">
        <f t="shared" si="67"/>
        <v>240.15617778850788</v>
      </c>
      <c r="HZ41" s="160">
        <f>HZ42+HZ43</f>
        <v>135.13972285309899</v>
      </c>
      <c r="IA41" s="160">
        <f>IA42+IA43</f>
        <v>54.860261467058827</v>
      </c>
      <c r="IB41" s="160">
        <f>IB42+IB43</f>
        <v>152.64806826291249</v>
      </c>
      <c r="IC41" s="273">
        <f t="shared" si="81"/>
        <v>342.6480525830703</v>
      </c>
      <c r="ID41" s="254">
        <f>ID42+ID43</f>
        <v>122.85861550999999</v>
      </c>
      <c r="IE41" s="160">
        <f>IE42+IE43</f>
        <v>78.192372270000007</v>
      </c>
      <c r="IF41" s="159">
        <f>IF42+IF43</f>
        <v>198.23011348210355</v>
      </c>
      <c r="IG41" s="273">
        <f t="shared" si="69"/>
        <v>399.28110126210356</v>
      </c>
      <c r="IH41" s="273">
        <v>1153.5081532857048</v>
      </c>
      <c r="II41" s="254">
        <v>104.62397353000001</v>
      </c>
      <c r="IJ41" s="160">
        <v>115.08673680999999</v>
      </c>
      <c r="IK41" s="159">
        <v>110.19081028999999</v>
      </c>
      <c r="IL41" s="273">
        <v>329.90152062999999</v>
      </c>
      <c r="IM41" s="254">
        <v>123.58983132</v>
      </c>
      <c r="IN41" s="160">
        <v>90.096095280058051</v>
      </c>
      <c r="IO41" s="160">
        <v>161.99458432</v>
      </c>
      <c r="IP41" s="273">
        <v>375.68051092005805</v>
      </c>
      <c r="IQ41" s="254">
        <v>196.57514986000001</v>
      </c>
      <c r="IR41" s="160">
        <v>121.44086719000001</v>
      </c>
      <c r="IS41" s="159">
        <v>98.319821159504642</v>
      </c>
      <c r="IT41" s="273">
        <v>416.33583820950469</v>
      </c>
      <c r="IU41" s="254">
        <v>237.09395914604076</v>
      </c>
      <c r="IV41" s="160">
        <v>124.96487024050793</v>
      </c>
      <c r="IW41" s="159">
        <v>163.64639998104957</v>
      </c>
      <c r="IX41" s="273">
        <v>525.70522936759835</v>
      </c>
      <c r="IY41" s="273">
        <v>1647.6230991271609</v>
      </c>
      <c r="IZ41" s="254">
        <v>160.95916824224491</v>
      </c>
      <c r="JA41" s="160">
        <v>140.62387508999998</v>
      </c>
      <c r="JB41" s="159">
        <v>114.25259403999999</v>
      </c>
      <c r="JC41" s="273">
        <v>415.83563737224483</v>
      </c>
      <c r="JD41" s="254">
        <v>85.921891410000001</v>
      </c>
      <c r="JE41" s="160">
        <v>43.290322309620997</v>
      </c>
      <c r="JF41" s="159">
        <v>109.91969825</v>
      </c>
      <c r="JG41" s="273">
        <v>239.131911969621</v>
      </c>
      <c r="JH41" s="254">
        <v>164.73777319999999</v>
      </c>
      <c r="JI41" s="160">
        <v>127.27407274096288</v>
      </c>
      <c r="JJ41" s="159">
        <v>142.80841832000092</v>
      </c>
      <c r="JK41" s="273">
        <v>434.82026426096377</v>
      </c>
      <c r="JL41" s="254">
        <v>97.803491611544899</v>
      </c>
      <c r="JM41" s="160">
        <v>80.370788309999995</v>
      </c>
      <c r="JN41" s="160">
        <v>76.196098193469382</v>
      </c>
      <c r="JO41" s="273">
        <v>254.37037811501426</v>
      </c>
      <c r="JP41" s="273">
        <v>1344.1581917178439</v>
      </c>
      <c r="JQ41" s="254">
        <v>147.10880882999999</v>
      </c>
      <c r="JR41" s="160">
        <v>61.404248434110777</v>
      </c>
      <c r="JS41" s="159">
        <v>75.551485279999994</v>
      </c>
      <c r="JT41" s="273">
        <v>284.06454254411074</v>
      </c>
      <c r="JU41" s="254">
        <v>111.46853902999999</v>
      </c>
      <c r="JV41" s="160">
        <v>78.554550430001896</v>
      </c>
      <c r="JW41" s="159">
        <v>111.85648848000061</v>
      </c>
      <c r="JX41" s="273">
        <v>301.87957794000249</v>
      </c>
      <c r="JY41" s="254">
        <v>130.56844961999772</v>
      </c>
      <c r="JZ41" s="160">
        <v>115.54584296000129</v>
      </c>
      <c r="KA41" s="159">
        <v>118.91640819999999</v>
      </c>
      <c r="KB41" s="273">
        <v>365.03070077999899</v>
      </c>
      <c r="KC41" s="254">
        <v>89.028028689998564</v>
      </c>
      <c r="KD41" s="160">
        <v>78.131237660000011</v>
      </c>
      <c r="KE41" s="160">
        <v>124.383911203792</v>
      </c>
      <c r="KF41" s="273">
        <v>291.54317755379054</v>
      </c>
      <c r="KG41" s="273">
        <v>1242.5179988179029</v>
      </c>
      <c r="KH41" s="221">
        <v>69.27042222</v>
      </c>
      <c r="KI41" s="222">
        <v>76.457616649999309</v>
      </c>
      <c r="KJ41" s="223">
        <v>100.27135468999893</v>
      </c>
      <c r="KK41" s="273">
        <v>245.99939355999823</v>
      </c>
      <c r="KL41" s="221">
        <v>67.954501140000005</v>
      </c>
      <c r="KM41" s="222">
        <v>73.558309129999998</v>
      </c>
      <c r="KN41" s="223">
        <v>70.19067849999999</v>
      </c>
      <c r="KO41" s="273">
        <v>211.70348876999998</v>
      </c>
      <c r="KP41" s="221">
        <v>44.541137240497491</v>
      </c>
      <c r="KQ41" s="222">
        <v>126.93828813</v>
      </c>
      <c r="KR41" s="223">
        <v>70.458665400000385</v>
      </c>
      <c r="KS41" s="273">
        <v>241.93809077049787</v>
      </c>
      <c r="KT41" s="254">
        <v>132.58671966000003</v>
      </c>
      <c r="KU41" s="160">
        <v>98.71554633999996</v>
      </c>
      <c r="KV41" s="159">
        <v>145.64325954000003</v>
      </c>
      <c r="KW41" s="273">
        <v>376.94552554000001</v>
      </c>
      <c r="KX41" s="273">
        <v>1076.5864986404961</v>
      </c>
      <c r="KY41" s="221">
        <v>86.376176720000032</v>
      </c>
      <c r="KZ41" s="222">
        <v>87.24798998</v>
      </c>
      <c r="LA41" s="223">
        <v>212.06364640999999</v>
      </c>
      <c r="LB41" s="273">
        <v>385.68781311000004</v>
      </c>
      <c r="LC41" s="221">
        <v>149.13321141999995</v>
      </c>
      <c r="LD41" s="222">
        <v>133.54322077</v>
      </c>
      <c r="LE41" s="223">
        <v>180.86212073000047</v>
      </c>
      <c r="LF41" s="273">
        <v>463.53855292000043</v>
      </c>
      <c r="LG41" s="221">
        <v>94.544929939999989</v>
      </c>
      <c r="LH41" s="222">
        <v>133.29539753000012</v>
      </c>
      <c r="LI41" s="223">
        <v>112.40567393000001</v>
      </c>
      <c r="LJ41" s="273">
        <v>340.24600140000007</v>
      </c>
      <c r="LK41" s="221">
        <v>96.015631449999944</v>
      </c>
      <c r="LL41" s="222">
        <v>94.23292370999998</v>
      </c>
      <c r="LM41" s="223">
        <v>167.16675045000002</v>
      </c>
      <c r="LN41" s="273">
        <v>357.4153056099999</v>
      </c>
      <c r="LO41" s="273">
        <v>1546.8876730400004</v>
      </c>
    </row>
    <row r="42" spans="1:327" ht="17.100000000000001" hidden="1" customHeight="1" outlineLevel="1" x14ac:dyDescent="0.25">
      <c r="A42" s="2" t="s">
        <v>61</v>
      </c>
      <c r="B42" s="24"/>
      <c r="C42" s="5">
        <v>9.5</v>
      </c>
      <c r="D42" s="5">
        <v>0.1</v>
      </c>
      <c r="E42" s="5">
        <v>0</v>
      </c>
      <c r="F42" s="5">
        <v>0</v>
      </c>
      <c r="G42" s="5">
        <v>0.1</v>
      </c>
      <c r="H42" s="5">
        <v>0</v>
      </c>
      <c r="I42" s="5">
        <v>29.9</v>
      </c>
      <c r="J42" s="5">
        <v>1</v>
      </c>
      <c r="K42" s="5">
        <v>30.9</v>
      </c>
      <c r="L42" s="5">
        <v>0</v>
      </c>
      <c r="M42" s="5">
        <v>0</v>
      </c>
      <c r="N42" s="5">
        <v>0</v>
      </c>
      <c r="O42" s="5">
        <f t="shared" si="0"/>
        <v>0</v>
      </c>
      <c r="P42" s="5">
        <v>0</v>
      </c>
      <c r="Q42" s="5">
        <v>0</v>
      </c>
      <c r="R42" s="5">
        <v>0</v>
      </c>
      <c r="S42" s="5">
        <f t="shared" si="1"/>
        <v>0</v>
      </c>
      <c r="T42" s="16">
        <f t="shared" si="7"/>
        <v>31</v>
      </c>
      <c r="U42" s="5">
        <v>0.2</v>
      </c>
      <c r="V42" s="5">
        <v>0</v>
      </c>
      <c r="W42" s="5">
        <v>0</v>
      </c>
      <c r="X42" s="4">
        <f t="shared" si="82"/>
        <v>0.2</v>
      </c>
      <c r="Y42" s="5">
        <v>5</v>
      </c>
      <c r="Z42" s="5">
        <v>0</v>
      </c>
      <c r="AA42" s="8"/>
      <c r="AB42" s="5">
        <f t="shared" si="83"/>
        <v>5</v>
      </c>
      <c r="AC42" s="5">
        <v>0</v>
      </c>
      <c r="AD42" s="5">
        <v>0</v>
      </c>
      <c r="AE42" s="5">
        <v>0</v>
      </c>
      <c r="AF42" s="5">
        <f t="shared" si="84"/>
        <v>0</v>
      </c>
      <c r="AG42" s="5">
        <v>0</v>
      </c>
      <c r="AH42" s="5">
        <v>0</v>
      </c>
      <c r="AI42" s="5">
        <v>0</v>
      </c>
      <c r="AJ42" s="5">
        <f t="shared" si="8"/>
        <v>0</v>
      </c>
      <c r="AK42" s="16">
        <f t="shared" si="9"/>
        <v>5.2</v>
      </c>
      <c r="AL42" s="5">
        <v>1.6</v>
      </c>
      <c r="AM42" s="5">
        <f>1.2+0.04</f>
        <v>1.24</v>
      </c>
      <c r="AN42" s="5">
        <v>1.6</v>
      </c>
      <c r="AO42" s="5">
        <f t="shared" si="86"/>
        <v>4.4399999999999995</v>
      </c>
      <c r="AP42" s="5">
        <v>0</v>
      </c>
      <c r="AQ42" s="5">
        <v>0</v>
      </c>
      <c r="AR42" s="5">
        <v>0</v>
      </c>
      <c r="AS42" s="54">
        <f t="shared" si="12"/>
        <v>0</v>
      </c>
      <c r="AT42" s="5">
        <v>0</v>
      </c>
      <c r="AU42" s="5">
        <v>0</v>
      </c>
      <c r="AV42" s="5">
        <v>0</v>
      </c>
      <c r="AW42" s="54">
        <f t="shared" si="87"/>
        <v>0</v>
      </c>
      <c r="AX42" s="5">
        <v>0</v>
      </c>
      <c r="AY42" s="5">
        <v>0</v>
      </c>
      <c r="AZ42" s="5">
        <v>0</v>
      </c>
      <c r="BA42" s="54">
        <f t="shared" si="14"/>
        <v>0</v>
      </c>
      <c r="BB42" s="54">
        <f t="shared" si="15"/>
        <v>4.4399999999999995</v>
      </c>
      <c r="BC42" s="5">
        <v>0</v>
      </c>
      <c r="BD42" s="66"/>
      <c r="BE42" s="66"/>
      <c r="BF42" s="62">
        <f>SUM(BC42:BE42)</f>
        <v>0</v>
      </c>
      <c r="BG42" s="67"/>
      <c r="BH42" s="67"/>
      <c r="BI42" s="67"/>
      <c r="BJ42" s="62">
        <f>SUM(BG42:BI42)</f>
        <v>0</v>
      </c>
      <c r="BK42" s="67"/>
      <c r="BL42" s="67"/>
      <c r="BM42" s="67"/>
      <c r="BN42" s="62">
        <f t="shared" si="18"/>
        <v>0</v>
      </c>
      <c r="BO42" s="71"/>
      <c r="BP42" s="67"/>
      <c r="BQ42" s="67"/>
      <c r="BR42" s="62">
        <f t="shared" si="19"/>
        <v>0</v>
      </c>
      <c r="BS42" s="62">
        <f t="shared" si="20"/>
        <v>0</v>
      </c>
      <c r="BT42" s="67"/>
      <c r="BU42" s="67"/>
      <c r="BV42" s="67"/>
      <c r="BW42" s="62">
        <f t="shared" si="101"/>
        <v>0</v>
      </c>
      <c r="BX42" s="67"/>
      <c r="BY42" s="67"/>
      <c r="BZ42" s="67"/>
      <c r="CA42" s="62">
        <f t="shared" si="102"/>
        <v>0</v>
      </c>
      <c r="CB42" s="67"/>
      <c r="CC42" s="67"/>
      <c r="CD42" s="67"/>
      <c r="CE42" s="62">
        <f t="shared" si="103"/>
        <v>0</v>
      </c>
      <c r="CF42" s="67"/>
      <c r="CG42" s="67"/>
      <c r="CH42" s="67"/>
      <c r="CI42" s="67">
        <f t="shared" si="104"/>
        <v>0</v>
      </c>
      <c r="CJ42" s="71">
        <f t="shared" si="112"/>
        <v>0</v>
      </c>
      <c r="CK42" s="71"/>
      <c r="CL42" s="67"/>
      <c r="CM42" s="67"/>
      <c r="CN42" s="62">
        <f t="shared" si="105"/>
        <v>0</v>
      </c>
      <c r="CO42" s="67"/>
      <c r="CP42" s="67"/>
      <c r="CQ42" s="67"/>
      <c r="CR42" s="62">
        <f t="shared" si="106"/>
        <v>0</v>
      </c>
      <c r="CS42" s="101"/>
      <c r="CT42" s="67"/>
      <c r="CU42" s="67"/>
      <c r="CV42" s="62">
        <f>SUM(CS42:CU42)</f>
        <v>0</v>
      </c>
      <c r="CW42" s="67"/>
      <c r="CX42" s="67"/>
      <c r="CY42" s="112"/>
      <c r="CZ42" s="113">
        <f>SUM(CW42:CY42)</f>
        <v>0</v>
      </c>
      <c r="DA42" s="62">
        <f>CN42+CR42+CV42+CZ42</f>
        <v>0</v>
      </c>
      <c r="DB42" s="71"/>
      <c r="DC42" s="67"/>
      <c r="DD42" s="67"/>
      <c r="DE42" s="62">
        <f>SUM(DB42:DD42)</f>
        <v>0</v>
      </c>
      <c r="DF42" s="71"/>
      <c r="DG42" s="67"/>
      <c r="DH42" s="67"/>
      <c r="DI42" s="62">
        <f>SUM(DF42:DH42)</f>
        <v>0</v>
      </c>
      <c r="DJ42" s="71"/>
      <c r="DK42" s="67"/>
      <c r="DL42" s="67"/>
      <c r="DM42" s="62">
        <f>SUM(DJ42:DL42)</f>
        <v>0</v>
      </c>
      <c r="DN42" s="67"/>
      <c r="DO42" s="67"/>
      <c r="DP42" s="67"/>
      <c r="DQ42" s="113">
        <f>SUM(DN42:DP42)</f>
        <v>0</v>
      </c>
      <c r="DR42" s="140">
        <f>DE42+DI42+DM42+DQ42</f>
        <v>0</v>
      </c>
      <c r="DS42" s="141"/>
      <c r="DT42" s="141"/>
      <c r="DU42" s="141"/>
      <c r="DV42" s="140">
        <f t="shared" si="36"/>
        <v>0</v>
      </c>
      <c r="DW42" s="142"/>
      <c r="DX42" s="141"/>
      <c r="DY42" s="141"/>
      <c r="DZ42" s="140">
        <f t="shared" si="37"/>
        <v>0</v>
      </c>
      <c r="EA42" s="142"/>
      <c r="EB42" s="141"/>
      <c r="EC42" s="141"/>
      <c r="ED42" s="140">
        <f t="shared" si="38"/>
        <v>0</v>
      </c>
      <c r="EE42" s="141"/>
      <c r="EF42" s="141"/>
      <c r="EG42" s="141"/>
      <c r="EH42" s="140">
        <f t="shared" si="39"/>
        <v>0</v>
      </c>
      <c r="EI42" s="140">
        <f t="shared" si="40"/>
        <v>0</v>
      </c>
      <c r="EJ42" s="141"/>
      <c r="EK42" s="141"/>
      <c r="EL42" s="141"/>
      <c r="EM42" s="140">
        <f t="shared" si="41"/>
        <v>0</v>
      </c>
      <c r="EN42" s="141"/>
      <c r="EO42" s="141"/>
      <c r="EP42" s="141"/>
      <c r="EQ42" s="140">
        <f t="shared" si="42"/>
        <v>0</v>
      </c>
      <c r="ER42" s="141"/>
      <c r="ES42" s="141"/>
      <c r="ET42" s="141"/>
      <c r="EU42" s="140">
        <f t="shared" si="43"/>
        <v>0</v>
      </c>
      <c r="EV42" s="141"/>
      <c r="EW42" s="141"/>
      <c r="EX42" s="141"/>
      <c r="EY42" s="140">
        <f t="shared" si="44"/>
        <v>0</v>
      </c>
      <c r="EZ42" s="169">
        <f t="shared" si="45"/>
        <v>0</v>
      </c>
      <c r="FA42" s="170"/>
      <c r="FB42" s="169"/>
      <c r="FC42" s="169"/>
      <c r="FD42" s="169"/>
      <c r="FE42" s="171">
        <f t="shared" si="46"/>
        <v>0</v>
      </c>
      <c r="FF42" s="169"/>
      <c r="FG42" s="169"/>
      <c r="FH42" s="169"/>
      <c r="FI42" s="171">
        <f t="shared" si="47"/>
        <v>0</v>
      </c>
      <c r="FJ42" s="169"/>
      <c r="FK42" s="169"/>
      <c r="FL42" s="169"/>
      <c r="FM42" s="171">
        <f t="shared" si="48"/>
        <v>0</v>
      </c>
      <c r="FN42" s="172"/>
      <c r="FO42" s="173"/>
      <c r="FP42" s="174"/>
      <c r="FQ42" s="175">
        <f t="shared" si="49"/>
        <v>0</v>
      </c>
      <c r="FR42" s="175">
        <f t="shared" si="50"/>
        <v>0</v>
      </c>
      <c r="FS42" s="172"/>
      <c r="FT42" s="173"/>
      <c r="FU42" s="174"/>
      <c r="FV42" s="175">
        <f t="shared" si="51"/>
        <v>0</v>
      </c>
      <c r="FW42" s="172"/>
      <c r="FX42" s="173"/>
      <c r="FY42" s="174"/>
      <c r="FZ42" s="175">
        <f t="shared" si="52"/>
        <v>0</v>
      </c>
      <c r="GA42" s="172"/>
      <c r="GB42" s="173"/>
      <c r="GC42" s="174"/>
      <c r="GD42" s="175">
        <f t="shared" si="53"/>
        <v>0</v>
      </c>
      <c r="GE42" s="172"/>
      <c r="GF42" s="173"/>
      <c r="GG42" s="159"/>
      <c r="GH42" s="174">
        <f t="shared" si="54"/>
        <v>0</v>
      </c>
      <c r="GI42" s="174">
        <f t="shared" si="55"/>
        <v>0</v>
      </c>
      <c r="GJ42" s="221"/>
      <c r="GK42" s="222"/>
      <c r="GL42" s="223"/>
      <c r="GM42" s="175">
        <f t="shared" si="76"/>
        <v>0</v>
      </c>
      <c r="GN42" s="221"/>
      <c r="GO42" s="222"/>
      <c r="GP42" s="223"/>
      <c r="GQ42" s="175">
        <f t="shared" si="107"/>
        <v>0</v>
      </c>
      <c r="GR42" s="245">
        <v>0</v>
      </c>
      <c r="GS42" s="222"/>
      <c r="GT42" s="223"/>
      <c r="GU42" s="175">
        <f t="shared" si="108"/>
        <v>0</v>
      </c>
      <c r="GV42" s="221"/>
      <c r="GW42" s="222"/>
      <c r="GX42" s="223"/>
      <c r="GY42" s="174">
        <f t="shared" si="109"/>
        <v>0</v>
      </c>
      <c r="GZ42" s="159">
        <f t="shared" si="110"/>
        <v>0</v>
      </c>
      <c r="HA42" s="254"/>
      <c r="HB42" s="160"/>
      <c r="HC42" s="159"/>
      <c r="HD42" s="273">
        <f t="shared" si="61"/>
        <v>0</v>
      </c>
      <c r="HE42" s="254"/>
      <c r="HF42" s="160"/>
      <c r="HG42" s="159"/>
      <c r="HH42" s="273">
        <f t="shared" si="72"/>
        <v>0</v>
      </c>
      <c r="HI42" s="279">
        <v>0</v>
      </c>
      <c r="HJ42" s="160"/>
      <c r="HK42" s="159"/>
      <c r="HL42" s="273">
        <f t="shared" si="63"/>
        <v>0</v>
      </c>
      <c r="HM42" s="254"/>
      <c r="HN42" s="160"/>
      <c r="HO42" s="159"/>
      <c r="HP42" s="273">
        <f t="shared" si="64"/>
        <v>0</v>
      </c>
      <c r="HQ42" s="273">
        <f t="shared" si="65"/>
        <v>0</v>
      </c>
      <c r="HR42" s="254"/>
      <c r="HS42" s="160"/>
      <c r="HT42" s="159"/>
      <c r="HU42" s="273">
        <f t="shared" si="66"/>
        <v>0</v>
      </c>
      <c r="HV42" s="254"/>
      <c r="HW42" s="160"/>
      <c r="HX42" s="159"/>
      <c r="HY42" s="273">
        <f t="shared" si="67"/>
        <v>0</v>
      </c>
      <c r="HZ42" s="280">
        <v>0</v>
      </c>
      <c r="IA42" s="160"/>
      <c r="IB42" s="159"/>
      <c r="IC42" s="273">
        <f t="shared" si="81"/>
        <v>0</v>
      </c>
      <c r="ID42" s="254"/>
      <c r="IE42" s="160"/>
      <c r="IF42" s="159"/>
      <c r="IG42" s="273">
        <f t="shared" si="69"/>
        <v>0</v>
      </c>
      <c r="IH42" s="273">
        <v>0</v>
      </c>
      <c r="II42" s="254"/>
      <c r="IJ42" s="160"/>
      <c r="IK42" s="159"/>
      <c r="IL42" s="273">
        <v>0</v>
      </c>
      <c r="IM42" s="254"/>
      <c r="IN42" s="160"/>
      <c r="IO42" s="160"/>
      <c r="IP42" s="273">
        <v>0</v>
      </c>
      <c r="IQ42" s="254"/>
      <c r="IR42" s="160"/>
      <c r="IS42" s="159"/>
      <c r="IT42" s="273">
        <v>0</v>
      </c>
      <c r="IU42" s="254"/>
      <c r="IV42" s="160"/>
      <c r="IW42" s="159"/>
      <c r="IX42" s="273">
        <v>0</v>
      </c>
      <c r="IY42" s="273">
        <v>0</v>
      </c>
      <c r="IZ42" s="254"/>
      <c r="JA42" s="160"/>
      <c r="JB42" s="159"/>
      <c r="JC42" s="273">
        <v>0</v>
      </c>
      <c r="JD42" s="254"/>
      <c r="JE42" s="160"/>
      <c r="JF42" s="159"/>
      <c r="JG42" s="273">
        <v>0</v>
      </c>
      <c r="JH42" s="254"/>
      <c r="JI42" s="160"/>
      <c r="JJ42" s="159"/>
      <c r="JK42" s="273">
        <v>0</v>
      </c>
      <c r="JL42" s="254"/>
      <c r="JM42" s="160"/>
      <c r="JN42" s="159"/>
      <c r="JO42" s="273">
        <v>0</v>
      </c>
      <c r="JP42" s="273">
        <v>0</v>
      </c>
      <c r="JQ42" s="254"/>
      <c r="JR42" s="160"/>
      <c r="JS42" s="159"/>
      <c r="JT42" s="273">
        <v>0</v>
      </c>
      <c r="JU42" s="254"/>
      <c r="JV42" s="160"/>
      <c r="JW42" s="159"/>
      <c r="JX42" s="273">
        <v>0</v>
      </c>
      <c r="JY42" s="254"/>
      <c r="JZ42" s="160"/>
      <c r="KA42" s="159"/>
      <c r="KB42" s="273">
        <v>0</v>
      </c>
      <c r="KC42" s="254"/>
      <c r="KD42" s="160"/>
      <c r="KE42" s="159"/>
      <c r="KF42" s="273">
        <v>0</v>
      </c>
      <c r="KG42" s="273">
        <v>0</v>
      </c>
      <c r="KH42" s="221"/>
      <c r="KI42" s="222"/>
      <c r="KJ42" s="223"/>
      <c r="KK42" s="273">
        <v>0</v>
      </c>
      <c r="KL42" s="221"/>
      <c r="KM42" s="222"/>
      <c r="KN42" s="223"/>
      <c r="KO42" s="273">
        <v>0</v>
      </c>
      <c r="KP42" s="221"/>
      <c r="KQ42" s="222"/>
      <c r="KR42" s="223"/>
      <c r="KS42" s="273">
        <v>0</v>
      </c>
      <c r="KT42" s="254"/>
      <c r="KU42" s="160"/>
      <c r="KV42" s="159"/>
      <c r="KW42" s="273">
        <v>0</v>
      </c>
      <c r="KX42" s="273">
        <v>0</v>
      </c>
      <c r="KY42" s="221">
        <v>0</v>
      </c>
      <c r="KZ42" s="222">
        <v>0</v>
      </c>
      <c r="LA42" s="223">
        <v>0</v>
      </c>
      <c r="LB42" s="273">
        <v>0</v>
      </c>
      <c r="LC42" s="221">
        <v>0</v>
      </c>
      <c r="LD42" s="222">
        <v>0</v>
      </c>
      <c r="LE42" s="223">
        <v>0</v>
      </c>
      <c r="LF42" s="273">
        <v>0</v>
      </c>
      <c r="LG42" s="221">
        <v>0</v>
      </c>
      <c r="LH42" s="222">
        <v>0</v>
      </c>
      <c r="LI42" s="223">
        <v>0</v>
      </c>
      <c r="LJ42" s="273">
        <v>0</v>
      </c>
      <c r="LK42" s="254"/>
      <c r="LL42" s="160"/>
      <c r="LM42" s="159"/>
      <c r="LN42" s="273">
        <v>0</v>
      </c>
      <c r="LO42" s="273">
        <v>0</v>
      </c>
    </row>
    <row r="43" spans="1:327" ht="17.100000000000001" hidden="1" customHeight="1" outlineLevel="1" collapsed="1" x14ac:dyDescent="0.25">
      <c r="A43" s="2" t="s">
        <v>81</v>
      </c>
      <c r="B43" s="24"/>
      <c r="C43" s="5">
        <v>77.8</v>
      </c>
      <c r="D43" s="5">
        <v>3.6</v>
      </c>
      <c r="E43" s="5">
        <v>2.5</v>
      </c>
      <c r="F43" s="5">
        <v>2.2999999999999998</v>
      </c>
      <c r="G43" s="5">
        <v>8.4</v>
      </c>
      <c r="H43" s="5">
        <v>2</v>
      </c>
      <c r="I43" s="5">
        <v>4.5</v>
      </c>
      <c r="J43" s="5">
        <v>21.6</v>
      </c>
      <c r="K43" s="5">
        <v>28.1</v>
      </c>
      <c r="L43" s="5">
        <v>45.2</v>
      </c>
      <c r="M43" s="5">
        <v>4.5</v>
      </c>
      <c r="N43" s="5">
        <v>4.8</v>
      </c>
      <c r="O43" s="5">
        <f t="shared" si="0"/>
        <v>54.5</v>
      </c>
      <c r="P43" s="5">
        <v>8.4</v>
      </c>
      <c r="Q43" s="5">
        <v>1.2</v>
      </c>
      <c r="R43" s="5">
        <f>3.9+0.2-0.1</f>
        <v>3.9999999999999996</v>
      </c>
      <c r="S43" s="5">
        <f t="shared" si="1"/>
        <v>13.6</v>
      </c>
      <c r="T43" s="16">
        <f>+S43+O43+K43+G43</f>
        <v>104.6</v>
      </c>
      <c r="U43" s="5">
        <v>16.04</v>
      </c>
      <c r="V43" s="5">
        <v>1.3</v>
      </c>
      <c r="W43" s="5">
        <f>4+2</f>
        <v>6</v>
      </c>
      <c r="X43" s="4">
        <f t="shared" si="82"/>
        <v>23.34</v>
      </c>
      <c r="Y43" s="5">
        <f>22.9</f>
        <v>22.9</v>
      </c>
      <c r="Z43" s="5">
        <v>5.9</v>
      </c>
      <c r="AA43" s="7">
        <v>4.7</v>
      </c>
      <c r="AB43" s="5">
        <f t="shared" si="83"/>
        <v>33.5</v>
      </c>
      <c r="AC43" s="5">
        <f>2.6+3.9-0.04</f>
        <v>6.46</v>
      </c>
      <c r="AD43" s="5">
        <f>6.4+1.6</f>
        <v>8</v>
      </c>
      <c r="AE43" s="5">
        <v>8.9</v>
      </c>
      <c r="AF43" s="5">
        <f t="shared" si="84"/>
        <v>23.36</v>
      </c>
      <c r="AG43" s="5">
        <f>3.4+3.9</f>
        <v>7.3</v>
      </c>
      <c r="AH43" s="5">
        <v>2.4</v>
      </c>
      <c r="AI43" s="5">
        <f>5.2+9.5</f>
        <v>14.7</v>
      </c>
      <c r="AJ43" s="5">
        <f t="shared" si="8"/>
        <v>24.4</v>
      </c>
      <c r="AK43" s="16">
        <f t="shared" si="9"/>
        <v>104.6</v>
      </c>
      <c r="AL43" s="5">
        <v>7.3</v>
      </c>
      <c r="AM43" s="5">
        <f>7.2</f>
        <v>7.2</v>
      </c>
      <c r="AN43" s="5">
        <v>11.1</v>
      </c>
      <c r="AO43" s="5">
        <f t="shared" si="86"/>
        <v>25.6</v>
      </c>
      <c r="AP43" s="5">
        <f>8.8+1+0.9</f>
        <v>10.700000000000001</v>
      </c>
      <c r="AQ43" s="5">
        <f>4.8-3.1</f>
        <v>1.6999999999999997</v>
      </c>
      <c r="AR43" s="5">
        <v>8.8000000000000007</v>
      </c>
      <c r="AS43" s="54">
        <f t="shared" si="12"/>
        <v>21.200000000000003</v>
      </c>
      <c r="AT43" s="5">
        <f>1+8.3+0.04+2.2</f>
        <v>11.54</v>
      </c>
      <c r="AU43" s="5">
        <f>5.9+0.5-2.5</f>
        <v>3.9000000000000004</v>
      </c>
      <c r="AV43" s="5">
        <f>39.5-5.2</f>
        <v>34.299999999999997</v>
      </c>
      <c r="AW43" s="54">
        <f t="shared" si="87"/>
        <v>49.739999999999995</v>
      </c>
      <c r="AX43" s="5">
        <v>18.600000000000001</v>
      </c>
      <c r="AY43" s="5">
        <v>9.4</v>
      </c>
      <c r="AZ43" s="5">
        <v>9</v>
      </c>
      <c r="BA43" s="54">
        <f t="shared" si="14"/>
        <v>37</v>
      </c>
      <c r="BB43" s="54">
        <f t="shared" si="15"/>
        <v>133.54</v>
      </c>
      <c r="BC43" s="5">
        <f>89.15488086+4.6395-82.68507156</f>
        <v>11.109309300000007</v>
      </c>
      <c r="BD43" s="66">
        <f>52.03377427-48.9758052+0.011</f>
        <v>3.0689690699999987</v>
      </c>
      <c r="BE43" s="66">
        <f>20.328681-16.04142525</f>
        <v>4.2872557499999999</v>
      </c>
      <c r="BF43" s="62">
        <f>SUM(BC43:BE43)</f>
        <v>18.465534120000004</v>
      </c>
      <c r="BG43" s="67">
        <v>2.9636740000000001</v>
      </c>
      <c r="BH43" s="67">
        <v>2.3019400000000001</v>
      </c>
      <c r="BI43" s="67">
        <v>2.0712700000000002</v>
      </c>
      <c r="BJ43" s="62">
        <f>SUM(BG43:BI43)</f>
        <v>7.3368840000000004</v>
      </c>
      <c r="BK43" s="67">
        <v>1.5008900000000001</v>
      </c>
      <c r="BL43" s="67">
        <v>0.93859999999999999</v>
      </c>
      <c r="BM43" s="67">
        <v>2.7520349999999998</v>
      </c>
      <c r="BN43" s="62">
        <f t="shared" si="18"/>
        <v>5.1915250000000004</v>
      </c>
      <c r="BO43" s="71">
        <v>9.8368566000000008</v>
      </c>
      <c r="BP43" s="67">
        <v>2.5555400000000001</v>
      </c>
      <c r="BQ43" s="67">
        <v>2.1934800000000001</v>
      </c>
      <c r="BR43" s="62">
        <f t="shared" si="19"/>
        <v>14.585876600000002</v>
      </c>
      <c r="BS43" s="62">
        <f t="shared" si="20"/>
        <v>45.579819720000003</v>
      </c>
      <c r="BT43" s="67">
        <v>9.1999999999999993</v>
      </c>
      <c r="BU43" s="67">
        <v>5.7</v>
      </c>
      <c r="BV43" s="67">
        <v>2.1</v>
      </c>
      <c r="BW43" s="62">
        <f t="shared" si="101"/>
        <v>17</v>
      </c>
      <c r="BX43" s="67">
        <v>4.05</v>
      </c>
      <c r="BY43" s="67">
        <v>5.0999999999999996</v>
      </c>
      <c r="BZ43" s="67">
        <v>14.8</v>
      </c>
      <c r="CA43" s="62">
        <f t="shared" si="102"/>
        <v>23.95</v>
      </c>
      <c r="CB43" s="67">
        <v>13</v>
      </c>
      <c r="CC43" s="67">
        <f>2-1.84</f>
        <v>0.15999999999999992</v>
      </c>
      <c r="CD43" s="67">
        <v>13.2</v>
      </c>
      <c r="CE43" s="62">
        <f t="shared" si="103"/>
        <v>26.36</v>
      </c>
      <c r="CF43" s="67">
        <v>7.5</v>
      </c>
      <c r="CG43" s="67">
        <v>7.4</v>
      </c>
      <c r="CH43" s="67">
        <v>6.5</v>
      </c>
      <c r="CI43" s="67">
        <f t="shared" si="104"/>
        <v>21.4</v>
      </c>
      <c r="CJ43" s="71">
        <f t="shared" si="112"/>
        <v>88.710000000000008</v>
      </c>
      <c r="CK43" s="71">
        <v>16</v>
      </c>
      <c r="CL43" s="67">
        <v>6.6</v>
      </c>
      <c r="CM43" s="67">
        <v>14.3</v>
      </c>
      <c r="CN43" s="62">
        <f t="shared" si="105"/>
        <v>36.900000000000006</v>
      </c>
      <c r="CO43" s="67">
        <v>11.9</v>
      </c>
      <c r="CP43" s="67">
        <v>10.84</v>
      </c>
      <c r="CQ43" s="67">
        <v>15.9</v>
      </c>
      <c r="CR43" s="62">
        <f t="shared" si="106"/>
        <v>38.64</v>
      </c>
      <c r="CS43" s="101">
        <v>24</v>
      </c>
      <c r="CT43" s="67">
        <f>31.2-25</f>
        <v>6.1999999999999993</v>
      </c>
      <c r="CU43" s="67">
        <v>3.9</v>
      </c>
      <c r="CV43" s="62">
        <f>SUM(CS43:CU43)</f>
        <v>34.1</v>
      </c>
      <c r="CW43" s="67">
        <v>3</v>
      </c>
      <c r="CX43" s="67">
        <v>1</v>
      </c>
      <c r="CY43" s="112">
        <v>3.3</v>
      </c>
      <c r="CZ43" s="113">
        <f>SUM(CW43:CY43)</f>
        <v>7.3</v>
      </c>
      <c r="DA43" s="62">
        <f>CN43+CR43+CV43+CZ43</f>
        <v>116.94000000000001</v>
      </c>
      <c r="DB43" s="71">
        <v>2.2999999999999998</v>
      </c>
      <c r="DC43" s="67">
        <v>0.8</v>
      </c>
      <c r="DD43" s="67">
        <f>4.1-0.1</f>
        <v>3.9999999999999996</v>
      </c>
      <c r="DE43" s="62">
        <f>SUM(DB43:DD43)</f>
        <v>7.1</v>
      </c>
      <c r="DF43" s="71">
        <f>60.1-58.8</f>
        <v>1.3000000000000043</v>
      </c>
      <c r="DG43" s="67">
        <v>3</v>
      </c>
      <c r="DH43" s="67">
        <v>2</v>
      </c>
      <c r="DI43" s="62">
        <f>SUM(DF43:DH43)</f>
        <v>6.3000000000000043</v>
      </c>
      <c r="DJ43" s="71">
        <v>2.2999999999999998</v>
      </c>
      <c r="DK43" s="67">
        <f>5.7-0.1</f>
        <v>5.6000000000000005</v>
      </c>
      <c r="DL43" s="67">
        <v>1.7</v>
      </c>
      <c r="DM43" s="62">
        <f>SUM(DJ43:DL43)</f>
        <v>9.6</v>
      </c>
      <c r="DN43" s="67">
        <f>16.5-15.3</f>
        <v>1.1999999999999993</v>
      </c>
      <c r="DO43" s="67">
        <v>6.5</v>
      </c>
      <c r="DP43" s="67">
        <v>5.8</v>
      </c>
      <c r="DQ43" s="113">
        <f>SUM(DN43:DP43)</f>
        <v>13.5</v>
      </c>
      <c r="DR43" s="140">
        <f>DE43+DI43+DM43+DQ43</f>
        <v>36.5</v>
      </c>
      <c r="DS43" s="141">
        <v>10.199999999999999</v>
      </c>
      <c r="DT43" s="141">
        <v>7.8</v>
      </c>
      <c r="DU43" s="141">
        <v>9.1999999999999993</v>
      </c>
      <c r="DV43" s="140">
        <f t="shared" si="36"/>
        <v>27.2</v>
      </c>
      <c r="DW43" s="142">
        <v>8.4</v>
      </c>
      <c r="DX43" s="141">
        <v>7.5</v>
      </c>
      <c r="DY43" s="141">
        <v>5.6</v>
      </c>
      <c r="DZ43" s="140">
        <f t="shared" si="37"/>
        <v>21.5</v>
      </c>
      <c r="EA43" s="142">
        <f>10.6-0.1</f>
        <v>10.5</v>
      </c>
      <c r="EB43" s="141">
        <v>6.8</v>
      </c>
      <c r="EC43" s="141">
        <v>12.3</v>
      </c>
      <c r="ED43" s="140">
        <f t="shared" si="38"/>
        <v>29.6</v>
      </c>
      <c r="EE43" s="141">
        <v>10.8</v>
      </c>
      <c r="EF43" s="141">
        <v>10.5</v>
      </c>
      <c r="EG43" s="141">
        <v>12.7</v>
      </c>
      <c r="EH43" s="140">
        <f t="shared" si="39"/>
        <v>34</v>
      </c>
      <c r="EI43" s="140">
        <f t="shared" si="40"/>
        <v>112.30000000000001</v>
      </c>
      <c r="EJ43" s="141">
        <f>8.1+0.1</f>
        <v>8.1999999999999993</v>
      </c>
      <c r="EK43" s="141">
        <v>7.7</v>
      </c>
      <c r="EL43" s="141">
        <v>13.1</v>
      </c>
      <c r="EM43" s="140">
        <f t="shared" si="41"/>
        <v>29</v>
      </c>
      <c r="EN43" s="141">
        <f>10.5-0.1</f>
        <v>10.4</v>
      </c>
      <c r="EO43" s="141">
        <v>7.8</v>
      </c>
      <c r="EP43" s="141">
        <v>6.9</v>
      </c>
      <c r="EQ43" s="140">
        <f t="shared" si="42"/>
        <v>25.1</v>
      </c>
      <c r="ER43" s="141">
        <f>9.7+0.1</f>
        <v>9.7999999999999989</v>
      </c>
      <c r="ES43" s="141">
        <f>7.3</f>
        <v>7.3</v>
      </c>
      <c r="ET43" s="141">
        <v>7.6</v>
      </c>
      <c r="EU43" s="140">
        <f t="shared" si="43"/>
        <v>24.699999999999996</v>
      </c>
      <c r="EV43" s="141">
        <f>9.3+0.1</f>
        <v>9.4</v>
      </c>
      <c r="EW43" s="141">
        <f>9.9+0.1</f>
        <v>10</v>
      </c>
      <c r="EX43" s="141">
        <v>6.3855568975000043</v>
      </c>
      <c r="EY43" s="140">
        <f t="shared" si="44"/>
        <v>25.785556897500001</v>
      </c>
      <c r="EZ43" s="169">
        <f t="shared" si="45"/>
        <v>104.5855568975</v>
      </c>
      <c r="FA43" s="170"/>
      <c r="FB43" s="169">
        <v>12</v>
      </c>
      <c r="FC43" s="169">
        <v>9.9</v>
      </c>
      <c r="FD43" s="169">
        <v>7.9</v>
      </c>
      <c r="FE43" s="171">
        <f t="shared" si="46"/>
        <v>29.799999999999997</v>
      </c>
      <c r="FF43" s="169">
        <v>4.1227356686431555</v>
      </c>
      <c r="FG43" s="169">
        <v>2.3063865188695081</v>
      </c>
      <c r="FH43" s="169">
        <v>5.2557730166266436</v>
      </c>
      <c r="FI43" s="171">
        <f t="shared" si="47"/>
        <v>11.684895204139307</v>
      </c>
      <c r="FJ43" s="169">
        <v>6.1930658805736627</v>
      </c>
      <c r="FK43" s="169">
        <v>9.2586973310545897</v>
      </c>
      <c r="FL43" s="169">
        <v>14.23489141361388</v>
      </c>
      <c r="FM43" s="171">
        <f t="shared" si="48"/>
        <v>29.686654625242134</v>
      </c>
      <c r="FN43" s="172">
        <v>26.028878374594726</v>
      </c>
      <c r="FO43" s="173">
        <v>26.504731601854473</v>
      </c>
      <c r="FP43" s="174">
        <v>22.289650922022993</v>
      </c>
      <c r="FQ43" s="175">
        <f t="shared" si="49"/>
        <v>74.823260898472199</v>
      </c>
      <c r="FR43" s="175">
        <f t="shared" si="50"/>
        <v>145.99481072785363</v>
      </c>
      <c r="FS43" s="172">
        <v>18.958548340000171</v>
      </c>
      <c r="FT43" s="173">
        <v>10.65056799027041</v>
      </c>
      <c r="FU43" s="174">
        <v>25.413926555294744</v>
      </c>
      <c r="FV43" s="175">
        <f t="shared" si="51"/>
        <v>55.023042885565324</v>
      </c>
      <c r="FW43" s="178">
        <v>5.0756600911813328</v>
      </c>
      <c r="FX43" s="173">
        <v>17.262745924318605</v>
      </c>
      <c r="FY43" s="174"/>
      <c r="FZ43" s="175">
        <f t="shared" si="52"/>
        <v>22.338406015499938</v>
      </c>
      <c r="GA43" s="172">
        <v>11.277199865351651</v>
      </c>
      <c r="GB43" s="173">
        <v>6.3530508473324128</v>
      </c>
      <c r="GC43" s="174">
        <v>38.775973526603984</v>
      </c>
      <c r="GD43" s="175">
        <f t="shared" si="53"/>
        <v>56.406224239288051</v>
      </c>
      <c r="GE43" s="172">
        <v>24.015256678878856</v>
      </c>
      <c r="GF43" s="173">
        <v>23.347813715024934</v>
      </c>
      <c r="GG43" s="159">
        <v>28.999765521021267</v>
      </c>
      <c r="GH43" s="174">
        <f t="shared" si="54"/>
        <v>76.362835914925057</v>
      </c>
      <c r="GI43" s="174">
        <f t="shared" si="55"/>
        <v>210.13050905527837</v>
      </c>
      <c r="GJ43" s="221">
        <v>50.822163368810827</v>
      </c>
      <c r="GK43" s="222">
        <v>44.72401504903975</v>
      </c>
      <c r="GL43" s="223">
        <v>59.786049806376631</v>
      </c>
      <c r="GM43" s="175">
        <f t="shared" si="76"/>
        <v>155.33222822422721</v>
      </c>
      <c r="GN43" s="225">
        <v>32.438065708332061</v>
      </c>
      <c r="GO43" s="222">
        <v>15.374070325180387</v>
      </c>
      <c r="GP43" s="223">
        <v>14.09126582670517</v>
      </c>
      <c r="GQ43" s="175">
        <f t="shared" si="107"/>
        <v>61.903401860217613</v>
      </c>
      <c r="GR43" s="245">
        <v>90.8</v>
      </c>
      <c r="GS43" s="222">
        <v>25.934014929799243</v>
      </c>
      <c r="GT43" s="223">
        <v>16.996871534820652</v>
      </c>
      <c r="GU43" s="175">
        <f t="shared" si="108"/>
        <v>133.73088646461989</v>
      </c>
      <c r="GV43" s="221">
        <v>1.6890442296988359</v>
      </c>
      <c r="GW43" s="222">
        <v>2.0763413582065997</v>
      </c>
      <c r="GX43" s="223">
        <v>6.8989845496455811</v>
      </c>
      <c r="GY43" s="174">
        <f t="shared" si="109"/>
        <v>10.664370137551018</v>
      </c>
      <c r="GZ43" s="159">
        <f t="shared" si="110"/>
        <v>361.63088668661578</v>
      </c>
      <c r="HA43" s="254">
        <v>8.4935873299856492</v>
      </c>
      <c r="HB43" s="160">
        <v>1.4725731558271162</v>
      </c>
      <c r="HC43" s="159">
        <v>6.3333915880775384</v>
      </c>
      <c r="HD43" s="273">
        <f t="shared" si="61"/>
        <v>16.299552073890304</v>
      </c>
      <c r="HE43" s="254">
        <v>47.88424270351473</v>
      </c>
      <c r="HF43" s="160">
        <v>55.103187946700174</v>
      </c>
      <c r="HG43" s="159">
        <v>57.794432277631437</v>
      </c>
      <c r="HH43" s="273">
        <f t="shared" si="72"/>
        <v>160.78186292784633</v>
      </c>
      <c r="HI43" s="279">
        <v>40.725658606107537</v>
      </c>
      <c r="HJ43" s="160">
        <v>59.447915110029626</v>
      </c>
      <c r="HK43" s="159">
        <v>53.645169269308113</v>
      </c>
      <c r="HL43" s="273">
        <f t="shared" si="63"/>
        <v>153.81874298544528</v>
      </c>
      <c r="HM43" s="254">
        <v>67.903012805438607</v>
      </c>
      <c r="HN43" s="160">
        <v>83.905737694375873</v>
      </c>
      <c r="HO43" s="159">
        <v>45.179840560000002</v>
      </c>
      <c r="HP43" s="273">
        <f t="shared" si="64"/>
        <v>196.9885910598145</v>
      </c>
      <c r="HQ43" s="273">
        <f t="shared" si="65"/>
        <v>527.88874904699651</v>
      </c>
      <c r="HR43" s="254">
        <v>44.350538699770439</v>
      </c>
      <c r="HS43" s="160">
        <v>41.058512362252507</v>
      </c>
      <c r="HT43" s="159">
        <v>86.013770589999993</v>
      </c>
      <c r="HU43" s="273">
        <f t="shared" si="66"/>
        <v>171.42282165202295</v>
      </c>
      <c r="HV43" s="254">
        <v>71.084092707130552</v>
      </c>
      <c r="HW43" s="160">
        <v>89.907367341793403</v>
      </c>
      <c r="HX43" s="159">
        <v>79.164717739583921</v>
      </c>
      <c r="HY43" s="273">
        <f t="shared" si="67"/>
        <v>240.15617778850788</v>
      </c>
      <c r="HZ43" s="280">
        <v>135.13972285309899</v>
      </c>
      <c r="IA43" s="160">
        <v>54.860261467058827</v>
      </c>
      <c r="IB43" s="159">
        <v>152.64806826291249</v>
      </c>
      <c r="IC43" s="273">
        <f t="shared" si="81"/>
        <v>342.6480525830703</v>
      </c>
      <c r="ID43" s="254">
        <v>122.85861550999999</v>
      </c>
      <c r="IE43" s="160">
        <v>78.192372270000007</v>
      </c>
      <c r="IF43" s="159">
        <v>198.23011348210355</v>
      </c>
      <c r="IG43" s="273">
        <f t="shared" si="69"/>
        <v>399.28110126210356</v>
      </c>
      <c r="IH43" s="273">
        <v>1153.5081532857048</v>
      </c>
      <c r="II43" s="254">
        <v>104.61497353</v>
      </c>
      <c r="IJ43" s="160">
        <v>115.08673680999999</v>
      </c>
      <c r="IK43" s="159">
        <v>110.19081028999999</v>
      </c>
      <c r="IL43" s="273">
        <v>329.89252062999998</v>
      </c>
      <c r="IM43" s="254">
        <v>123.58983132</v>
      </c>
      <c r="IN43" s="160">
        <v>90.096095280058051</v>
      </c>
      <c r="IO43" s="160">
        <v>161.99458432</v>
      </c>
      <c r="IP43" s="273">
        <v>375.68051092005805</v>
      </c>
      <c r="IQ43" s="254">
        <v>196.57514986000001</v>
      </c>
      <c r="IR43" s="160">
        <v>121.44086719000001</v>
      </c>
      <c r="IS43" s="159">
        <v>98.319821159504642</v>
      </c>
      <c r="IT43" s="273">
        <v>416.33583820950469</v>
      </c>
      <c r="IU43" s="254">
        <v>237.09395914604076</v>
      </c>
      <c r="IV43" s="160">
        <v>124.96487024050793</v>
      </c>
      <c r="IW43" s="159">
        <v>163.64639998104957</v>
      </c>
      <c r="IX43" s="273">
        <v>525.70522936759835</v>
      </c>
      <c r="IY43" s="273">
        <v>1647.6140991271609</v>
      </c>
      <c r="IZ43" s="254">
        <v>160.95916824224491</v>
      </c>
      <c r="JA43" s="160">
        <v>140.62387508999998</v>
      </c>
      <c r="JB43" s="159">
        <v>114.25259403999999</v>
      </c>
      <c r="JC43" s="273">
        <v>415.83563737224483</v>
      </c>
      <c r="JD43" s="254">
        <v>85.921891410000001</v>
      </c>
      <c r="JE43" s="160">
        <v>43.290322309620997</v>
      </c>
      <c r="JF43" s="159">
        <v>109.91969825</v>
      </c>
      <c r="JG43" s="273">
        <v>239.131911969621</v>
      </c>
      <c r="JH43" s="254">
        <v>164.73777319999999</v>
      </c>
      <c r="JI43" s="160">
        <v>127.27407274096288</v>
      </c>
      <c r="JJ43" s="159">
        <v>142.80841832000092</v>
      </c>
      <c r="JK43" s="273">
        <v>434.82026426096377</v>
      </c>
      <c r="JL43" s="254">
        <v>97.803491611544899</v>
      </c>
      <c r="JM43" s="160">
        <v>80.370788309999995</v>
      </c>
      <c r="JN43" s="159">
        <v>76.196098193469382</v>
      </c>
      <c r="JO43" s="273">
        <v>254.37037811501426</v>
      </c>
      <c r="JP43" s="273">
        <v>1344.1581917178439</v>
      </c>
      <c r="JQ43" s="254">
        <v>147.10880882999999</v>
      </c>
      <c r="JR43" s="160">
        <v>61.404248434110777</v>
      </c>
      <c r="JS43" s="159">
        <v>75.551485279999994</v>
      </c>
      <c r="JT43" s="273">
        <v>284.06454254411074</v>
      </c>
      <c r="JU43" s="254">
        <v>111.46853902999999</v>
      </c>
      <c r="JV43" s="160">
        <v>78.554550430001896</v>
      </c>
      <c r="JW43" s="159">
        <v>111.85648848000061</v>
      </c>
      <c r="JX43" s="273">
        <v>301.87957794000249</v>
      </c>
      <c r="JY43" s="254">
        <v>130.56844961999772</v>
      </c>
      <c r="JZ43" s="160">
        <v>115.54584296000129</v>
      </c>
      <c r="KA43" s="159">
        <v>118.91640819999999</v>
      </c>
      <c r="KB43" s="273">
        <v>365.03070077999899</v>
      </c>
      <c r="KC43" s="254">
        <v>89.028028689998564</v>
      </c>
      <c r="KD43" s="160">
        <v>78.131237660000011</v>
      </c>
      <c r="KE43" s="159">
        <v>124.383911203792</v>
      </c>
      <c r="KF43" s="273">
        <v>291.54317755379054</v>
      </c>
      <c r="KG43" s="273">
        <v>1242.5179988179029</v>
      </c>
      <c r="KH43" s="221">
        <v>69.27042222</v>
      </c>
      <c r="KI43" s="222">
        <v>76.457616649999309</v>
      </c>
      <c r="KJ43" s="223">
        <v>100.27135468999893</v>
      </c>
      <c r="KK43" s="273">
        <v>245.99939355999823</v>
      </c>
      <c r="KL43" s="221">
        <v>67.954501140000005</v>
      </c>
      <c r="KM43" s="222">
        <v>73.558309129999998</v>
      </c>
      <c r="KN43" s="223">
        <v>70.19067849999999</v>
      </c>
      <c r="KO43" s="273">
        <v>211.70348876999998</v>
      </c>
      <c r="KP43" s="221">
        <v>44.541137240497491</v>
      </c>
      <c r="KQ43" s="222">
        <v>126.93828813</v>
      </c>
      <c r="KR43" s="223">
        <v>70.458665400000385</v>
      </c>
      <c r="KS43" s="273">
        <v>241.93809077049787</v>
      </c>
      <c r="KT43" s="254">
        <v>132.58671966000003</v>
      </c>
      <c r="KU43" s="160">
        <v>98.71554633999996</v>
      </c>
      <c r="KV43" s="159">
        <v>145.64325954000003</v>
      </c>
      <c r="KW43" s="273">
        <v>376.94552554000001</v>
      </c>
      <c r="KX43" s="273">
        <v>1076.5864986404961</v>
      </c>
      <c r="KY43" s="221">
        <v>86.376176720000032</v>
      </c>
      <c r="KZ43" s="222">
        <v>87.24798998</v>
      </c>
      <c r="LA43" s="223">
        <v>212.06364640999999</v>
      </c>
      <c r="LB43" s="273">
        <v>385.68781311000004</v>
      </c>
      <c r="LC43" s="221">
        <v>149.13321141999995</v>
      </c>
      <c r="LD43" s="222">
        <v>133.54322077</v>
      </c>
      <c r="LE43" s="223">
        <v>180.86212073000047</v>
      </c>
      <c r="LF43" s="273">
        <v>463.53855292000043</v>
      </c>
      <c r="LG43" s="221">
        <v>94.544929939999989</v>
      </c>
      <c r="LH43" s="222">
        <v>133.29539753000012</v>
      </c>
      <c r="LI43" s="223">
        <v>112.40567393000001</v>
      </c>
      <c r="LJ43" s="273">
        <v>340.24600140000007</v>
      </c>
      <c r="LK43" s="254">
        <v>96.015631449999944</v>
      </c>
      <c r="LL43" s="160">
        <v>94.23292370999998</v>
      </c>
      <c r="LM43" s="159">
        <v>167.16675045000002</v>
      </c>
      <c r="LN43" s="273">
        <v>357.4153056099999</v>
      </c>
      <c r="LO43" s="273">
        <v>1546.8876730400004</v>
      </c>
    </row>
    <row r="44" spans="1:327" ht="17.100000000000001" customHeight="1" collapsed="1" x14ac:dyDescent="0.25">
      <c r="A44" s="2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16"/>
      <c r="U44" s="5"/>
      <c r="V44" s="5"/>
      <c r="W44" s="5"/>
      <c r="X44" s="4"/>
      <c r="Y44" s="5"/>
      <c r="Z44" s="5"/>
      <c r="AA44" s="7"/>
      <c r="AB44" s="5"/>
      <c r="AC44" s="5"/>
      <c r="AD44" s="5"/>
      <c r="AE44" s="5"/>
      <c r="AF44" s="5"/>
      <c r="AG44" s="5"/>
      <c r="AH44" s="5"/>
      <c r="AI44" s="5"/>
      <c r="AJ44" s="5"/>
      <c r="AK44" s="16"/>
      <c r="AL44" s="5"/>
      <c r="AM44" s="5"/>
      <c r="AN44" s="5"/>
      <c r="AO44" s="5"/>
      <c r="AP44" s="5"/>
      <c r="AQ44" s="5"/>
      <c r="AR44" s="5"/>
      <c r="AS44" s="54"/>
      <c r="AT44" s="5"/>
      <c r="AU44" s="5"/>
      <c r="AV44" s="5"/>
      <c r="AW44" s="54"/>
      <c r="AX44" s="5"/>
      <c r="AY44" s="5"/>
      <c r="AZ44" s="5"/>
      <c r="BA44" s="54"/>
      <c r="BB44" s="54"/>
      <c r="BC44" s="5"/>
      <c r="BD44" s="66"/>
      <c r="BE44" s="66"/>
      <c r="BF44" s="61"/>
      <c r="BG44" s="66"/>
      <c r="BH44" s="66"/>
      <c r="BI44" s="66"/>
      <c r="BJ44" s="61"/>
      <c r="BK44" s="66"/>
      <c r="BL44" s="66"/>
      <c r="BM44" s="66"/>
      <c r="BN44" s="61"/>
      <c r="BO44" s="70"/>
      <c r="BP44" s="66"/>
      <c r="BQ44" s="66"/>
      <c r="BR44" s="61"/>
      <c r="BS44" s="61"/>
      <c r="BT44" s="66"/>
      <c r="BU44" s="66"/>
      <c r="BV44" s="66"/>
      <c r="BW44" s="61"/>
      <c r="BX44" s="66"/>
      <c r="BY44" s="66"/>
      <c r="BZ44" s="66"/>
      <c r="CA44" s="61"/>
      <c r="CB44" s="66"/>
      <c r="CC44" s="66"/>
      <c r="CD44" s="66"/>
      <c r="CE44" s="61"/>
      <c r="CF44" s="67"/>
      <c r="CG44" s="66"/>
      <c r="CH44" s="66"/>
      <c r="CI44" s="66"/>
      <c r="CJ44" s="70">
        <f t="shared" si="112"/>
        <v>0</v>
      </c>
      <c r="CK44" s="70"/>
      <c r="CL44" s="66"/>
      <c r="CM44" s="66"/>
      <c r="CN44" s="61"/>
      <c r="CO44" s="66"/>
      <c r="CP44" s="66"/>
      <c r="CQ44" s="66"/>
      <c r="CR44" s="61"/>
      <c r="CS44" s="104"/>
      <c r="CT44" s="66"/>
      <c r="CU44" s="66"/>
      <c r="CV44" s="61"/>
      <c r="CW44" s="66"/>
      <c r="CX44" s="66"/>
      <c r="CY44" s="112"/>
      <c r="CZ44" s="113"/>
      <c r="DA44" s="61">
        <f>CN44+CR44+CV44+CZ44</f>
        <v>0</v>
      </c>
      <c r="DB44" s="70"/>
      <c r="DC44" s="66"/>
      <c r="DD44" s="66"/>
      <c r="DE44" s="61"/>
      <c r="DF44" s="70"/>
      <c r="DG44" s="66"/>
      <c r="DH44" s="66"/>
      <c r="DI44" s="61"/>
      <c r="DJ44" s="70"/>
      <c r="DK44" s="66"/>
      <c r="DL44" s="66"/>
      <c r="DM44" s="61"/>
      <c r="DN44" s="66"/>
      <c r="DO44" s="66"/>
      <c r="DP44" s="66"/>
      <c r="DQ44" s="113"/>
      <c r="DR44" s="140">
        <f>DE44+DI44+DM44+DQ44</f>
        <v>0</v>
      </c>
      <c r="DS44" s="141"/>
      <c r="DT44" s="141"/>
      <c r="DU44" s="141"/>
      <c r="DV44" s="140"/>
      <c r="DW44" s="142"/>
      <c r="DX44" s="141"/>
      <c r="DY44" s="141"/>
      <c r="DZ44" s="140"/>
      <c r="EA44" s="142"/>
      <c r="EB44" s="141"/>
      <c r="EC44" s="141"/>
      <c r="ED44" s="140"/>
      <c r="EE44" s="141"/>
      <c r="EF44" s="141"/>
      <c r="EG44" s="141"/>
      <c r="EH44" s="140"/>
      <c r="EI44" s="140">
        <f t="shared" si="40"/>
        <v>0</v>
      </c>
      <c r="EJ44" s="141"/>
      <c r="EK44" s="141"/>
      <c r="EL44" s="141"/>
      <c r="EM44" s="140"/>
      <c r="EN44" s="141"/>
      <c r="EO44" s="141"/>
      <c r="EP44" s="141"/>
      <c r="EQ44" s="140"/>
      <c r="ER44" s="141"/>
      <c r="ES44" s="141"/>
      <c r="ET44" s="141"/>
      <c r="EU44" s="140"/>
      <c r="EV44" s="141"/>
      <c r="EW44" s="141"/>
      <c r="EX44" s="141"/>
      <c r="EY44" s="140"/>
      <c r="EZ44" s="169">
        <f t="shared" si="45"/>
        <v>0</v>
      </c>
      <c r="FA44" s="170"/>
      <c r="FB44" s="169"/>
      <c r="FC44" s="169"/>
      <c r="FD44" s="169"/>
      <c r="FE44" s="171"/>
      <c r="FF44" s="169"/>
      <c r="FG44" s="169"/>
      <c r="FH44" s="169"/>
      <c r="FI44" s="171"/>
      <c r="FJ44" s="169"/>
      <c r="FK44" s="169"/>
      <c r="FL44" s="169"/>
      <c r="FM44" s="171"/>
      <c r="FN44" s="172"/>
      <c r="FO44" s="173"/>
      <c r="FP44" s="174"/>
      <c r="FQ44" s="175"/>
      <c r="FR44" s="175">
        <f t="shared" si="50"/>
        <v>0</v>
      </c>
      <c r="FS44" s="172"/>
      <c r="FT44" s="173"/>
      <c r="FU44" s="174"/>
      <c r="FV44" s="175"/>
      <c r="FW44" s="172"/>
      <c r="FX44" s="173"/>
      <c r="FY44" s="174"/>
      <c r="FZ44" s="175"/>
      <c r="GA44" s="172"/>
      <c r="GB44" s="173"/>
      <c r="GC44" s="174"/>
      <c r="GD44" s="175"/>
      <c r="GE44" s="172"/>
      <c r="GF44" s="173"/>
      <c r="GG44" s="159"/>
      <c r="GH44" s="174"/>
      <c r="GI44" s="174">
        <f t="shared" si="55"/>
        <v>0</v>
      </c>
      <c r="GJ44" s="221"/>
      <c r="GK44" s="222"/>
      <c r="GL44" s="223"/>
      <c r="GM44" s="175"/>
      <c r="GN44" s="221"/>
      <c r="GO44" s="222"/>
      <c r="GP44" s="223"/>
      <c r="GQ44" s="175"/>
      <c r="GR44" s="245">
        <v>0</v>
      </c>
      <c r="GS44" s="222"/>
      <c r="GT44" s="223"/>
      <c r="GU44" s="175"/>
      <c r="GV44" s="221"/>
      <c r="GW44" s="222"/>
      <c r="GX44" s="223"/>
      <c r="GY44" s="174"/>
      <c r="GZ44" s="159">
        <f t="shared" si="110"/>
        <v>0</v>
      </c>
      <c r="HA44" s="254"/>
      <c r="HB44" s="160"/>
      <c r="HC44" s="159"/>
      <c r="HD44" s="273"/>
      <c r="HE44" s="254"/>
      <c r="HF44" s="160"/>
      <c r="HG44" s="159"/>
      <c r="HH44" s="273"/>
      <c r="HI44" s="279">
        <v>0</v>
      </c>
      <c r="HJ44" s="160"/>
      <c r="HK44" s="159"/>
      <c r="HL44" s="273"/>
      <c r="HM44" s="254"/>
      <c r="HN44" s="160"/>
      <c r="HO44" s="159"/>
      <c r="HP44" s="273"/>
      <c r="HQ44" s="273">
        <f t="shared" si="65"/>
        <v>0</v>
      </c>
      <c r="HR44" s="254"/>
      <c r="HS44" s="160"/>
      <c r="HT44" s="159"/>
      <c r="HU44" s="273"/>
      <c r="HV44" s="254"/>
      <c r="HW44" s="160"/>
      <c r="HX44" s="159"/>
      <c r="HY44" s="273"/>
      <c r="HZ44" s="280">
        <v>0</v>
      </c>
      <c r="IA44" s="160"/>
      <c r="IB44" s="159"/>
      <c r="IC44" s="273"/>
      <c r="ID44" s="254"/>
      <c r="IE44" s="160"/>
      <c r="IF44" s="159"/>
      <c r="IG44" s="273"/>
      <c r="IH44" s="273">
        <v>0</v>
      </c>
      <c r="II44" s="254"/>
      <c r="IJ44" s="160"/>
      <c r="IK44" s="159"/>
      <c r="IL44" s="273"/>
      <c r="IM44" s="254"/>
      <c r="IN44" s="160"/>
      <c r="IO44" s="160"/>
      <c r="IP44" s="273"/>
      <c r="IQ44" s="254"/>
      <c r="IR44" s="160"/>
      <c r="IS44" s="159"/>
      <c r="IT44" s="273"/>
      <c r="IU44" s="254"/>
      <c r="IV44" s="160"/>
      <c r="IW44" s="159"/>
      <c r="IX44" s="273"/>
      <c r="IY44" s="273">
        <v>0</v>
      </c>
      <c r="IZ44" s="254"/>
      <c r="JA44" s="160"/>
      <c r="JB44" s="159"/>
      <c r="JC44" s="273"/>
      <c r="JD44" s="254"/>
      <c r="JE44" s="160"/>
      <c r="JF44" s="159"/>
      <c r="JG44" s="273"/>
      <c r="JH44" s="254"/>
      <c r="JI44" s="160"/>
      <c r="JJ44" s="159"/>
      <c r="JK44" s="273"/>
      <c r="JL44" s="254"/>
      <c r="JM44" s="160"/>
      <c r="JN44" s="159"/>
      <c r="JO44" s="273"/>
      <c r="JP44" s="273">
        <v>0</v>
      </c>
      <c r="JQ44" s="254"/>
      <c r="JR44" s="160"/>
      <c r="JS44" s="159"/>
      <c r="JT44" s="273"/>
      <c r="JU44" s="254"/>
      <c r="JV44" s="160"/>
      <c r="JW44" s="159"/>
      <c r="JX44" s="273"/>
      <c r="JY44" s="254"/>
      <c r="JZ44" s="160"/>
      <c r="KA44" s="159"/>
      <c r="KB44" s="273"/>
      <c r="KC44" s="254"/>
      <c r="KD44" s="160"/>
      <c r="KE44" s="159"/>
      <c r="KF44" s="273"/>
      <c r="KG44" s="273"/>
      <c r="KH44" s="221"/>
      <c r="KI44" s="222"/>
      <c r="KJ44" s="223"/>
      <c r="KK44" s="273"/>
      <c r="KL44" s="221"/>
      <c r="KM44" s="222"/>
      <c r="KN44" s="223"/>
      <c r="KO44" s="273"/>
      <c r="KP44" s="221"/>
      <c r="KQ44" s="222"/>
      <c r="KR44" s="223"/>
      <c r="KS44" s="273"/>
      <c r="KT44" s="254"/>
      <c r="KU44" s="160"/>
      <c r="KV44" s="159"/>
      <c r="KW44" s="273"/>
      <c r="KX44" s="273"/>
      <c r="KY44" s="221">
        <v>0</v>
      </c>
      <c r="KZ44" s="222">
        <v>0</v>
      </c>
      <c r="LA44" s="223">
        <v>0</v>
      </c>
      <c r="LB44" s="273"/>
      <c r="LC44" s="221">
        <v>0</v>
      </c>
      <c r="LD44" s="222">
        <v>0</v>
      </c>
      <c r="LE44" s="223">
        <v>0</v>
      </c>
      <c r="LF44" s="273"/>
      <c r="LG44" s="221">
        <v>0</v>
      </c>
      <c r="LH44" s="222">
        <v>0</v>
      </c>
      <c r="LI44" s="223">
        <v>0</v>
      </c>
      <c r="LJ44" s="273"/>
      <c r="LK44" s="254"/>
      <c r="LL44" s="160"/>
      <c r="LM44" s="159"/>
      <c r="LN44" s="273"/>
      <c r="LO44" s="273"/>
    </row>
    <row r="45" spans="1:327" s="44" customFormat="1" ht="17.100000000000001" customHeight="1" x14ac:dyDescent="0.25">
      <c r="A45" s="28" t="s">
        <v>33</v>
      </c>
      <c r="B45" s="29"/>
      <c r="C45" s="41">
        <v>3461.77</v>
      </c>
      <c r="D45" s="41">
        <f>D47+D62+D71+D74+D75+D77+D80+D81</f>
        <v>430.00000000000006</v>
      </c>
      <c r="E45" s="41">
        <f>E47+E62+E71+E74+E75+E77+E80+E81</f>
        <v>365.8</v>
      </c>
      <c r="F45" s="41">
        <f>F47+F62+F71+F74+F75+F77+F80+F81</f>
        <v>419.4</v>
      </c>
      <c r="G45" s="41">
        <f>D45+E45+F45</f>
        <v>1215.2</v>
      </c>
      <c r="H45" s="41">
        <f>H47+H62+H71+H74+H75+H77+H80+H81</f>
        <v>421.2000000000001</v>
      </c>
      <c r="I45" s="41">
        <f>I47+I62+I71+I74+I75+I77+I80+I81</f>
        <v>364.00000000000006</v>
      </c>
      <c r="J45" s="41">
        <f>J47+J62+J71+J74+J75+J77+J80+J81</f>
        <v>412.4</v>
      </c>
      <c r="K45" s="41">
        <f>H45+I45+J45</f>
        <v>1197.6000000000001</v>
      </c>
      <c r="L45" s="41">
        <f>L47+L62+L71+L74+L75+L77+L80+L81</f>
        <v>415.40000000000003</v>
      </c>
      <c r="M45" s="41">
        <f>M47+M62+M71+M74+M75+M77+M80+M81</f>
        <v>420.39999999999992</v>
      </c>
      <c r="N45" s="41">
        <f>N47+N62+N71+N74+N75+N77+N80+N81</f>
        <v>415.2</v>
      </c>
      <c r="O45" s="41">
        <f t="shared" si="0"/>
        <v>1251</v>
      </c>
      <c r="P45" s="41">
        <f>P47+P62+P71+P74+P75+P77+P80+P81</f>
        <v>451.7</v>
      </c>
      <c r="Q45" s="41">
        <f>Q47+Q62+Q71+Q74+Q75+Q77+Q80+Q81</f>
        <v>384.3</v>
      </c>
      <c r="R45" s="41">
        <f>R47+R62+R71+R74+R75+R77+R80+R81</f>
        <v>525.30000000000007</v>
      </c>
      <c r="S45" s="41">
        <f t="shared" si="1"/>
        <v>1361.3000000000002</v>
      </c>
      <c r="T45" s="42">
        <f t="shared" si="7"/>
        <v>5025.1000000000004</v>
      </c>
      <c r="U45" s="41">
        <f>U47+U62+U71+U74+U75+U77+U80+U81</f>
        <v>500.10000000000008</v>
      </c>
      <c r="V45" s="41">
        <f>V47+V62+V71+V74+V75+V77+V80+V81</f>
        <v>419.14</v>
      </c>
      <c r="W45" s="41">
        <f>W47+W62+W71+W74+W75+W77+W80+W81</f>
        <v>545.93999999999994</v>
      </c>
      <c r="X45" s="43">
        <f t="shared" si="82"/>
        <v>1465.1799999999998</v>
      </c>
      <c r="Y45" s="41">
        <f>Y47+Y62+Y71+Y74+Y75+Y77+Y80+Y81</f>
        <v>362.74143798999995</v>
      </c>
      <c r="Z45" s="41">
        <f>Z47+Z62+Z71+Z74+Z75+Z77+Z80+Z81</f>
        <v>319.5</v>
      </c>
      <c r="AA45" s="41">
        <f>AA47+AA62+AA71+AA74+AA75+AA77+AA80+AA81</f>
        <v>174.50383756000005</v>
      </c>
      <c r="AB45" s="41">
        <f t="shared" si="83"/>
        <v>856.74527554999997</v>
      </c>
      <c r="AC45" s="41">
        <f>AC47+AC62+AC71+AC74+AC75+AC77+AC80+AC81</f>
        <v>233.48</v>
      </c>
      <c r="AD45" s="41">
        <f>AD47+AD62+AD71+AD74+AD75+AD77+AD80+AD81</f>
        <v>120.47999999999999</v>
      </c>
      <c r="AE45" s="41">
        <f>AE47+AE62+AE71+AE74+AE75+AE77+AE80+AE81</f>
        <v>225.1</v>
      </c>
      <c r="AF45" s="41">
        <f t="shared" si="84"/>
        <v>579.05999999999995</v>
      </c>
      <c r="AG45" s="41">
        <f>AG47+AG62+AG71+AG74+AG75+AG77+AG80+AG81</f>
        <v>217.5</v>
      </c>
      <c r="AH45" s="41">
        <f>AH47+AH62+AH71+AH74+AH75+AH77+AH80+AH81+0.04</f>
        <v>144.73999999999998</v>
      </c>
      <c r="AI45" s="41">
        <f>AI47+AI62+AI71+AI74+AI75+AI77+AI80+AI81+0.04</f>
        <v>196.76</v>
      </c>
      <c r="AJ45" s="41">
        <f>AG45+AH45+AI45</f>
        <v>559</v>
      </c>
      <c r="AK45" s="42">
        <f>X45+AB45+AF45+AJ45</f>
        <v>3459.9852755499996</v>
      </c>
      <c r="AL45" s="51">
        <f t="shared" ref="AL45:AT45" si="113">AL47+AL62+AL71+AL74+AL75+AL77+AL80+AL81+0.04</f>
        <v>157.97</v>
      </c>
      <c r="AM45" s="51">
        <f t="shared" si="113"/>
        <v>143.84</v>
      </c>
      <c r="AN45" s="51">
        <f t="shared" si="113"/>
        <v>176.01999999999998</v>
      </c>
      <c r="AO45" s="51">
        <f t="shared" si="86"/>
        <v>477.83</v>
      </c>
      <c r="AP45" s="51">
        <f t="shared" si="113"/>
        <v>144.17071440000007</v>
      </c>
      <c r="AQ45" s="51">
        <f t="shared" si="113"/>
        <v>150.84</v>
      </c>
      <c r="AR45" s="51">
        <f t="shared" si="113"/>
        <v>185.558986</v>
      </c>
      <c r="AS45" s="55">
        <f t="shared" si="12"/>
        <v>480.5697004000001</v>
      </c>
      <c r="AT45" s="51">
        <f t="shared" si="113"/>
        <v>188.77999999999997</v>
      </c>
      <c r="AU45" s="51">
        <f>AU47+AU62+AU71+AU74+AU75+AU77+AU80+AU81+0.04</f>
        <v>103.34000000000002</v>
      </c>
      <c r="AV45" s="51">
        <f>AV47+AV62+AV71+AV74+AV75+AV77+AV80+AV81+0.04</f>
        <v>125.12</v>
      </c>
      <c r="AW45" s="55">
        <f t="shared" si="87"/>
        <v>417.24</v>
      </c>
      <c r="AX45" s="51">
        <f>AX47+AX62+AX71+AX74+AX75+AX77+AX80+AX81+0.04</f>
        <v>163.63999999999999</v>
      </c>
      <c r="AY45" s="51">
        <f>AY47+AY62+AY71+AY74+AY75+AY77+AY80+AY81+0.04</f>
        <v>112.98000000000002</v>
      </c>
      <c r="AZ45" s="51">
        <f>AZ47+AZ62+AZ71+AZ74+AZ75+AZ77+AZ80+AZ81+0.04</f>
        <v>208.79999999999998</v>
      </c>
      <c r="BA45" s="55">
        <f t="shared" si="14"/>
        <v>485.41999999999996</v>
      </c>
      <c r="BB45" s="55">
        <f>+AS45+AO45+AW45+BA45</f>
        <v>1861.0597004000001</v>
      </c>
      <c r="BC45" s="51">
        <f>BC47+BC62+BC71+BC74+BC75+BC77+BC80+BC81+0.04</f>
        <v>236.52688696999999</v>
      </c>
      <c r="BD45" s="68">
        <f>BD47+BD62+BD71+BD74+BD75+BD77+BD80+BD81</f>
        <v>194.35331421000001</v>
      </c>
      <c r="BE45" s="68">
        <f>BE47+BE62+BE71+BE74+BE75+BE77+BE80+BE81</f>
        <v>179.80196429</v>
      </c>
      <c r="BF45" s="60">
        <f>SUM(BC45:BE45)</f>
        <v>610.68216546999997</v>
      </c>
      <c r="BG45" s="65">
        <f>BG47+BG62+BG71+BG74+BG75+BG77+BG80+BG81</f>
        <v>114.45662999999999</v>
      </c>
      <c r="BH45" s="65">
        <f>BH47+BH62+BH71+BH74+BH75+BH77+BH80+BH81</f>
        <v>110.00205000000001</v>
      </c>
      <c r="BI45" s="65">
        <f>BI47+BI62+BI71+BI74+BI75+BI77+BI80+BI81</f>
        <v>124.68848000000001</v>
      </c>
      <c r="BJ45" s="60">
        <f>SUM(BG45:BI45)</f>
        <v>349.14716000000004</v>
      </c>
      <c r="BK45" s="65">
        <f>BK47+BK62+BK71+BK74+BK75+BK77+BK80+BK81</f>
        <v>140.41472999999999</v>
      </c>
      <c r="BL45" s="65">
        <f>BL47+BL62+BL71+BL74+BL75+BL77+BL80+BL81</f>
        <v>137.8777</v>
      </c>
      <c r="BM45" s="65">
        <f>BM47+BM62+BM71+BM74+BM75+BM77+BM80+BM81</f>
        <v>135.17174700000001</v>
      </c>
      <c r="BN45" s="60">
        <f>SUM(BK45:BM45)</f>
        <v>413.46417699999995</v>
      </c>
      <c r="BO45" s="69">
        <f>BO47+BO62+BO71+BO74+BO75+BO77+BO80+BO81</f>
        <v>121.46193219999999</v>
      </c>
      <c r="BP45" s="65">
        <f>BP47+BP62+BP71+BP74+BP75+BP77+BP80+BP81</f>
        <v>109.57768999999999</v>
      </c>
      <c r="BQ45" s="65">
        <f>BQ47+BQ62+BQ71+BQ74+BQ75+BQ77+BQ80+BQ81</f>
        <v>125.74213</v>
      </c>
      <c r="BR45" s="60">
        <f>SUM(BO45:BQ45)</f>
        <v>356.78175220000003</v>
      </c>
      <c r="BS45" s="60">
        <f>+BF45+BJ45+BN45+BR45</f>
        <v>1730.07525467</v>
      </c>
      <c r="BT45" s="65">
        <f>BT47+BT62+BT71+BT74+BT75+BT76+BT77</f>
        <v>237.30000000000007</v>
      </c>
      <c r="BU45" s="65">
        <f t="shared" ref="BU45:CJ45" si="114">BU47+BU62+BU71+BU74+BU75+BU76+BU77</f>
        <v>93.800000000000011</v>
      </c>
      <c r="BV45" s="65">
        <f t="shared" si="114"/>
        <v>154.40000000000003</v>
      </c>
      <c r="BW45" s="60">
        <f t="shared" si="114"/>
        <v>485.50000000000006</v>
      </c>
      <c r="BX45" s="65">
        <f t="shared" si="114"/>
        <v>134.33000000000001</v>
      </c>
      <c r="BY45" s="65">
        <f t="shared" si="114"/>
        <v>125.75999999999999</v>
      </c>
      <c r="BZ45" s="65">
        <f t="shared" si="114"/>
        <v>115.00999999999999</v>
      </c>
      <c r="CA45" s="60">
        <f t="shared" si="114"/>
        <v>375.1</v>
      </c>
      <c r="CB45" s="65">
        <f t="shared" si="114"/>
        <v>99.7</v>
      </c>
      <c r="CC45" s="65">
        <f t="shared" si="114"/>
        <v>88.48599999999999</v>
      </c>
      <c r="CD45" s="65">
        <f t="shared" si="114"/>
        <v>115.71000000000001</v>
      </c>
      <c r="CE45" s="60">
        <f t="shared" si="114"/>
        <v>303.89600000000002</v>
      </c>
      <c r="CF45" s="65">
        <f t="shared" si="114"/>
        <v>104.37</v>
      </c>
      <c r="CG45" s="65">
        <f t="shared" si="114"/>
        <v>116.13</v>
      </c>
      <c r="CH45" s="65">
        <f t="shared" si="114"/>
        <v>139.39999999999998</v>
      </c>
      <c r="CI45" s="60">
        <f t="shared" si="114"/>
        <v>359.90000000000003</v>
      </c>
      <c r="CJ45" s="111">
        <f t="shared" si="114"/>
        <v>1524.396</v>
      </c>
      <c r="CK45" s="65">
        <f>CK47+CK62+CK71+CK74+CK75+CK76+CK77</f>
        <v>184.64</v>
      </c>
      <c r="CL45" s="65">
        <f t="shared" ref="CL45:DA45" si="115">CL47+CL62+CL71+CL74+CL75+CL76+CL77</f>
        <v>118.32</v>
      </c>
      <c r="CM45" s="65">
        <f t="shared" si="115"/>
        <v>136.34</v>
      </c>
      <c r="CN45" s="60">
        <f t="shared" si="115"/>
        <v>439.29999999999995</v>
      </c>
      <c r="CO45" s="65">
        <f t="shared" si="115"/>
        <v>93.6</v>
      </c>
      <c r="CP45" s="65">
        <f t="shared" si="115"/>
        <v>81.050000000000011</v>
      </c>
      <c r="CQ45" s="65">
        <f t="shared" si="115"/>
        <v>191.84999999999997</v>
      </c>
      <c r="CR45" s="60">
        <f t="shared" si="115"/>
        <v>366.5</v>
      </c>
      <c r="CS45" s="65">
        <f t="shared" si="115"/>
        <v>588.65</v>
      </c>
      <c r="CT45" s="65">
        <f t="shared" si="115"/>
        <v>142.80000000000001</v>
      </c>
      <c r="CU45" s="65">
        <f t="shared" si="115"/>
        <v>186.9</v>
      </c>
      <c r="CV45" s="60">
        <f t="shared" si="115"/>
        <v>918.34999999999991</v>
      </c>
      <c r="CW45" s="65">
        <f t="shared" si="115"/>
        <v>158.6</v>
      </c>
      <c r="CX45" s="65">
        <f t="shared" si="115"/>
        <v>140.30000000000001</v>
      </c>
      <c r="CY45" s="65">
        <f t="shared" si="115"/>
        <v>191.2</v>
      </c>
      <c r="CZ45" s="60">
        <f t="shared" si="115"/>
        <v>490.09999999999997</v>
      </c>
      <c r="DA45" s="126">
        <f t="shared" si="115"/>
        <v>2214.25</v>
      </c>
      <c r="DB45" s="65">
        <f>DB47+DB62+DB71+DB74+DB75+DB76+DB77</f>
        <v>164</v>
      </c>
      <c r="DC45" s="65">
        <f t="shared" ref="DC45:DY45" si="116">DC47+DC62+DC71+DC74+DC75+DC76+DC77</f>
        <v>260.60000000000002</v>
      </c>
      <c r="DD45" s="65">
        <f t="shared" si="116"/>
        <v>84.399999999999991</v>
      </c>
      <c r="DE45" s="60">
        <f t="shared" si="116"/>
        <v>509</v>
      </c>
      <c r="DF45" s="65">
        <f t="shared" si="116"/>
        <v>102.7</v>
      </c>
      <c r="DG45" s="65">
        <f t="shared" si="116"/>
        <v>121.1</v>
      </c>
      <c r="DH45" s="65">
        <f t="shared" si="116"/>
        <v>64.3</v>
      </c>
      <c r="DI45" s="60">
        <f t="shared" si="116"/>
        <v>288.09999999999997</v>
      </c>
      <c r="DJ45" s="65">
        <f t="shared" si="116"/>
        <v>118</v>
      </c>
      <c r="DK45" s="65">
        <f t="shared" si="116"/>
        <v>84.100000000000009</v>
      </c>
      <c r="DL45" s="65">
        <f t="shared" si="116"/>
        <v>79.800000000000011</v>
      </c>
      <c r="DM45" s="60">
        <f t="shared" si="116"/>
        <v>281.89999999999998</v>
      </c>
      <c r="DN45" s="65">
        <f t="shared" si="116"/>
        <v>267.40000000000003</v>
      </c>
      <c r="DO45" s="65">
        <f t="shared" si="116"/>
        <v>215.29999999999998</v>
      </c>
      <c r="DP45" s="65">
        <f t="shared" si="116"/>
        <v>214.9</v>
      </c>
      <c r="DQ45" s="60">
        <f t="shared" si="116"/>
        <v>697.59999999999991</v>
      </c>
      <c r="DR45" s="138">
        <f t="shared" si="116"/>
        <v>1776.6</v>
      </c>
      <c r="DS45" s="139">
        <f t="shared" si="116"/>
        <v>188.3</v>
      </c>
      <c r="DT45" s="139">
        <f t="shared" si="116"/>
        <v>98.799999999999983</v>
      </c>
      <c r="DU45" s="139">
        <f t="shared" si="116"/>
        <v>113.3</v>
      </c>
      <c r="DV45" s="138">
        <f t="shared" si="116"/>
        <v>400.4</v>
      </c>
      <c r="DW45" s="139">
        <f t="shared" si="116"/>
        <v>179.6</v>
      </c>
      <c r="DX45" s="139">
        <f t="shared" si="116"/>
        <v>100.89999999999999</v>
      </c>
      <c r="DY45" s="139">
        <f t="shared" si="116"/>
        <v>173.6</v>
      </c>
      <c r="DZ45" s="138">
        <f>DZ47+DZ62+DZ71+DZ74+DZ75+DZ76+DZ77</f>
        <v>454.09999999999997</v>
      </c>
      <c r="EA45" s="139">
        <f t="shared" ref="EA45:EH45" si="117">EA47+EA62+EA71+EA74+EA75+EA76+EA77</f>
        <v>148.69999999999999</v>
      </c>
      <c r="EB45" s="139">
        <f>EB47+EB62+EB71+EB74+EB75+EB76+EB77</f>
        <v>72.8</v>
      </c>
      <c r="EC45" s="139">
        <f t="shared" si="117"/>
        <v>78.899999999999991</v>
      </c>
      <c r="ED45" s="138">
        <f t="shared" si="117"/>
        <v>300.39999999999998</v>
      </c>
      <c r="EE45" s="139">
        <f t="shared" si="117"/>
        <v>93.100000000000009</v>
      </c>
      <c r="EF45" s="139">
        <f t="shared" si="117"/>
        <v>115.6</v>
      </c>
      <c r="EG45" s="139">
        <f t="shared" si="117"/>
        <v>156.6</v>
      </c>
      <c r="EH45" s="138">
        <f t="shared" si="117"/>
        <v>365.29999999999995</v>
      </c>
      <c r="EI45" s="138">
        <f t="shared" si="40"/>
        <v>1520.2</v>
      </c>
      <c r="EJ45" s="139">
        <f t="shared" ref="EJ45:EP45" si="118">EJ47+EJ62+EJ71+EJ74+EJ75+EJ76+EJ77</f>
        <v>137.29999999999998</v>
      </c>
      <c r="EK45" s="139">
        <f t="shared" si="118"/>
        <v>42.899999999999991</v>
      </c>
      <c r="EL45" s="139">
        <f t="shared" si="118"/>
        <v>110</v>
      </c>
      <c r="EM45" s="138">
        <f t="shared" si="118"/>
        <v>290.2</v>
      </c>
      <c r="EN45" s="139">
        <f t="shared" si="118"/>
        <v>108.3</v>
      </c>
      <c r="EO45" s="139">
        <f t="shared" si="118"/>
        <v>239.5</v>
      </c>
      <c r="EP45" s="139">
        <f t="shared" si="118"/>
        <v>198.4</v>
      </c>
      <c r="EQ45" s="138">
        <f t="shared" ref="EQ45:EY45" si="119">EQ47+EQ62+EQ71+EQ74+EQ75+EQ76+EQ77</f>
        <v>546.20000000000005</v>
      </c>
      <c r="ER45" s="139">
        <f t="shared" si="119"/>
        <v>101.14</v>
      </c>
      <c r="ES45" s="139">
        <f t="shared" si="119"/>
        <v>80.693999999999988</v>
      </c>
      <c r="ET45" s="139">
        <f t="shared" si="119"/>
        <v>115.7</v>
      </c>
      <c r="EU45" s="138">
        <f t="shared" si="119"/>
        <v>297.53399999999999</v>
      </c>
      <c r="EV45" s="139">
        <f t="shared" si="119"/>
        <v>117.5</v>
      </c>
      <c r="EW45" s="139">
        <f t="shared" si="119"/>
        <v>163.6</v>
      </c>
      <c r="EX45" s="139">
        <f t="shared" si="119"/>
        <v>273.13617119970053</v>
      </c>
      <c r="EY45" s="138">
        <f t="shared" si="119"/>
        <v>554.23617119970049</v>
      </c>
      <c r="EZ45" s="162">
        <f t="shared" si="45"/>
        <v>1688.1701711997007</v>
      </c>
      <c r="FA45" s="163">
        <f>FA47+FA62+FA71+FA74+FA75+FA77</f>
        <v>0</v>
      </c>
      <c r="FB45" s="162">
        <f t="shared" ref="FB45:FL45" si="120">FB47+FB62+FB71+FB74+FB75+FB76+FB77</f>
        <v>190.29999999999998</v>
      </c>
      <c r="FC45" s="162">
        <f t="shared" si="120"/>
        <v>98.100000000000009</v>
      </c>
      <c r="FD45" s="162">
        <f t="shared" si="120"/>
        <v>80.099999999999994</v>
      </c>
      <c r="FE45" s="164">
        <f t="shared" si="120"/>
        <v>368.49999999999994</v>
      </c>
      <c r="FF45" s="162">
        <f t="shared" si="120"/>
        <v>98.6193286551391</v>
      </c>
      <c r="FG45" s="162">
        <f t="shared" si="120"/>
        <v>193.61911125740659</v>
      </c>
      <c r="FH45" s="162">
        <f t="shared" si="120"/>
        <v>121.4638208002107</v>
      </c>
      <c r="FI45" s="164">
        <f t="shared" si="120"/>
        <v>413.70226071275641</v>
      </c>
      <c r="FJ45" s="162">
        <f t="shared" si="120"/>
        <v>100.44586704728664</v>
      </c>
      <c r="FK45" s="162">
        <f t="shared" si="120"/>
        <v>108.43468613717739</v>
      </c>
      <c r="FL45" s="162">
        <f t="shared" si="120"/>
        <v>123.50612085123748</v>
      </c>
      <c r="FM45" s="164">
        <f>FM47+FM62+FM71+FM74+FM75+FM76+FM77</f>
        <v>332.3866740357015</v>
      </c>
      <c r="FN45" s="165">
        <f>FN47+FN62+FN71+FN74+FN75+FN76+FN77</f>
        <v>163.20738357486113</v>
      </c>
      <c r="FO45" s="166">
        <f>FO47+FO62+FO71+FO74+FO75+FO76+FO77</f>
        <v>172.54653842876374</v>
      </c>
      <c r="FP45" s="166">
        <f>FP47+FP62+FP71+FP74+FP75+FP76+FP77</f>
        <v>224.74944981578983</v>
      </c>
      <c r="FQ45" s="168">
        <f>FQ47+FQ62+FQ71+FQ74+FQ75+FQ76+FQ77</f>
        <v>560.50337181941472</v>
      </c>
      <c r="FR45" s="168">
        <f t="shared" si="50"/>
        <v>1675.0923065678726</v>
      </c>
      <c r="FS45" s="165">
        <f t="shared" ref="FS45:GC45" si="121">FS47+FS62+FS71+FS74+FS75+FS76+FS77</f>
        <v>152.96024800000001</v>
      </c>
      <c r="FT45" s="166">
        <f>FT47+FT62+FT71+FT74+FT75+FT76+FT77</f>
        <v>89.360241937567153</v>
      </c>
      <c r="FU45" s="167">
        <f t="shared" si="121"/>
        <v>86.192592386567242</v>
      </c>
      <c r="FV45" s="168">
        <f t="shared" si="121"/>
        <v>328.51308232413442</v>
      </c>
      <c r="FW45" s="165">
        <f t="shared" si="121"/>
        <v>105.97801255871552</v>
      </c>
      <c r="FX45" s="166">
        <f t="shared" si="121"/>
        <v>149.80298075093776</v>
      </c>
      <c r="FY45" s="166">
        <f t="shared" si="121"/>
        <v>200.63470873613574</v>
      </c>
      <c r="FZ45" s="168">
        <f t="shared" si="121"/>
        <v>456.41570204578903</v>
      </c>
      <c r="GA45" s="165">
        <f t="shared" si="121"/>
        <v>140.74341696948554</v>
      </c>
      <c r="GB45" s="166">
        <f t="shared" si="121"/>
        <v>162.43765560639955</v>
      </c>
      <c r="GC45" s="167">
        <f t="shared" si="121"/>
        <v>119.54663360415556</v>
      </c>
      <c r="GD45" s="168">
        <f>GD47+GD62+GD71+GD74+GD75+GD76+GD77</f>
        <v>422.72770618004068</v>
      </c>
      <c r="GE45" s="165">
        <f>GE47+GE62+GE71+GE74+GE75+GE76+GE77+GE82</f>
        <v>170.26506048841233</v>
      </c>
      <c r="GF45" s="166">
        <f>GF47+GF62+GF71+GF74+GF75+GF76+GF77+GF82</f>
        <v>183.76161909375821</v>
      </c>
      <c r="GG45" s="158">
        <f>GG47+GG62+GG71+GG74+GG75+GG76+GG77</f>
        <v>180.15786354138231</v>
      </c>
      <c r="GH45" s="167">
        <f>GH47+GH62+GH71+GH74+GH75+GH76+GH77+GH82</f>
        <v>534.18454312355288</v>
      </c>
      <c r="GI45" s="167">
        <f t="shared" si="55"/>
        <v>1741.8410336735171</v>
      </c>
      <c r="GJ45" s="219">
        <f>GJ47+GJ62+GJ71+GJ74+GJ75+GJ76+GJ77+GJ82</f>
        <v>148.57076459314649</v>
      </c>
      <c r="GK45" s="220">
        <f>GK47+GK62+GK71+GK74+GK75+GK76+GK77+GK82</f>
        <v>90.448426952266743</v>
      </c>
      <c r="GL45" s="226">
        <f>GL47+GL62+GL71+GL74+GL75+GL76+GL77+GL82</f>
        <v>130.04924139420589</v>
      </c>
      <c r="GM45" s="168">
        <f t="shared" ref="GM45:HL45" si="122">GM47+GM62+GM71+GM74+GM75+GM76+GM77+GM82</f>
        <v>369.06843293961919</v>
      </c>
      <c r="GN45" s="219">
        <f t="shared" si="122"/>
        <v>179.48261301126635</v>
      </c>
      <c r="GO45" s="220">
        <f t="shared" si="122"/>
        <v>99.77483003884538</v>
      </c>
      <c r="GP45" s="220">
        <f t="shared" si="122"/>
        <v>117.3986327713571</v>
      </c>
      <c r="GQ45" s="168">
        <f t="shared" si="122"/>
        <v>396.65607582146879</v>
      </c>
      <c r="GR45" s="220">
        <f t="shared" si="122"/>
        <v>220.17279975631956</v>
      </c>
      <c r="GS45" s="220">
        <f t="shared" si="122"/>
        <v>116.43881255062215</v>
      </c>
      <c r="GT45" s="220">
        <f t="shared" si="122"/>
        <v>315.03109399247313</v>
      </c>
      <c r="GU45" s="168">
        <f t="shared" si="122"/>
        <v>651.64270629941473</v>
      </c>
      <c r="GV45" s="219">
        <f>GV47+GV62+GV71+GV74+GV75+GV76+GV77+GV82</f>
        <v>434.50280512065586</v>
      </c>
      <c r="GW45" s="220">
        <f>GW47+GW62+GW71+GW74+GW75+GW76+GW77+GW82</f>
        <v>329.43806749599202</v>
      </c>
      <c r="GX45" s="226">
        <f>GX47+GX62+GX71+GX74+GX75+GX76+GX77</f>
        <v>363.43854922645357</v>
      </c>
      <c r="GY45" s="167">
        <f t="shared" si="122"/>
        <v>1127.3794218431015</v>
      </c>
      <c r="GZ45" s="158">
        <f t="shared" si="122"/>
        <v>2544.7466369036042</v>
      </c>
      <c r="HA45" s="255">
        <f t="shared" si="122"/>
        <v>349.68540408992095</v>
      </c>
      <c r="HB45" s="218">
        <f t="shared" si="122"/>
        <v>487.74751230404695</v>
      </c>
      <c r="HC45" s="158">
        <f>HC47+HC62+HC71+HC74+HC75+HC76+HC77+HC82</f>
        <v>244.88414116546988</v>
      </c>
      <c r="HD45" s="272">
        <f t="shared" si="122"/>
        <v>1082.3170575594379</v>
      </c>
      <c r="HE45" s="255">
        <f t="shared" si="122"/>
        <v>305.370126349614</v>
      </c>
      <c r="HF45" s="218">
        <f t="shared" si="122"/>
        <v>154.3775219740773</v>
      </c>
      <c r="HG45" s="218">
        <f t="shared" si="122"/>
        <v>214.92504106693465</v>
      </c>
      <c r="HH45" s="272">
        <f t="shared" si="122"/>
        <v>674.67268939062603</v>
      </c>
      <c r="HI45" s="218">
        <f t="shared" si="122"/>
        <v>209.67231030703431</v>
      </c>
      <c r="HJ45" s="218">
        <f t="shared" si="122"/>
        <v>213.09823225321429</v>
      </c>
      <c r="HK45" s="218">
        <f t="shared" si="122"/>
        <v>222.19752759542396</v>
      </c>
      <c r="HL45" s="272">
        <f t="shared" si="122"/>
        <v>644.96807015567265</v>
      </c>
      <c r="HM45" s="255">
        <f>HM47+HM62+HM71+HM74+HM75+HM76+HM77+HM82</f>
        <v>245.61697175327859</v>
      </c>
      <c r="HN45" s="218">
        <f>HN47+HN62+HN71+HN74+HN75+HN76+HN77+HN82</f>
        <v>286.18793420943001</v>
      </c>
      <c r="HO45" s="218">
        <f>HO47+HO62+HO71+HO74+HO75+HO76+HO77+HO82</f>
        <v>423.71844280573686</v>
      </c>
      <c r="HP45" s="272">
        <f>HP47+HP62+HP71+HP74+HP75+HP76+HP77</f>
        <v>912.23197700844548</v>
      </c>
      <c r="HQ45" s="272">
        <f>HQ47+HQ62+HQ71+HQ74+HQ75+HQ76+HQ77+HQ82</f>
        <v>3357.4811658741824</v>
      </c>
      <c r="HR45" s="255">
        <f t="shared" ref="HR45:HS45" si="123">HR47+HR62+HR71+HR74+HR75+HR76+HR77+HR82</f>
        <v>291.07570140054429</v>
      </c>
      <c r="HS45" s="218">
        <f t="shared" si="123"/>
        <v>426.28371243213775</v>
      </c>
      <c r="HT45" s="158">
        <f>HT47+HT62+HT71+HT74+HT75+HT76+HT77+HT82</f>
        <v>404.50988662282998</v>
      </c>
      <c r="HU45" s="272">
        <f t="shared" ref="HU45:IC45" si="124">HU47+HU62+HU71+HU74+HU75+HU76+HU77+HU82</f>
        <v>1121.8693004555118</v>
      </c>
      <c r="HV45" s="255">
        <f t="shared" si="124"/>
        <v>315.03413167638575</v>
      </c>
      <c r="HW45" s="218">
        <f t="shared" si="124"/>
        <v>327.62984682538877</v>
      </c>
      <c r="HX45" s="218">
        <f t="shared" si="124"/>
        <v>275.56028781748796</v>
      </c>
      <c r="HY45" s="272">
        <f t="shared" si="124"/>
        <v>918.2242663192626</v>
      </c>
      <c r="HZ45" s="218">
        <f t="shared" si="124"/>
        <v>214.30303974217992</v>
      </c>
      <c r="IA45" s="218">
        <f t="shared" si="124"/>
        <v>261.42650742427969</v>
      </c>
      <c r="IB45" s="218">
        <f t="shared" si="124"/>
        <v>182.71624135908806</v>
      </c>
      <c r="IC45" s="272">
        <f t="shared" si="124"/>
        <v>658.44578852554764</v>
      </c>
      <c r="ID45" s="255">
        <f>ID47+ID62+ID71+ID74+ID75+ID76+ID77+ID82</f>
        <v>287.87780076087518</v>
      </c>
      <c r="IE45" s="218">
        <f>IE47+IE62+IE71+IE74+IE75+IE76+IE77+IE82</f>
        <v>348.728371492191</v>
      </c>
      <c r="IF45" s="218">
        <f>IF47+IF62+IF71+IF74+IF75+IF76+IF77+IF82</f>
        <v>856.99220013252682</v>
      </c>
      <c r="IG45" s="272">
        <f>IG47+IG62+IG71+IG74+IG75+IG76+IG77+IG82</f>
        <v>1493.5983723855932</v>
      </c>
      <c r="IH45" s="272">
        <v>4192.1377276859157</v>
      </c>
      <c r="II45" s="218">
        <v>238.24238296000004</v>
      </c>
      <c r="IJ45" s="218">
        <v>247.66795504999999</v>
      </c>
      <c r="IK45" s="218">
        <v>282.21868423210464</v>
      </c>
      <c r="IL45" s="272">
        <v>768.12902224210472</v>
      </c>
      <c r="IM45" s="255">
        <v>224.41187196986925</v>
      </c>
      <c r="IN45" s="218">
        <v>422.87061879414233</v>
      </c>
      <c r="IO45" s="218">
        <v>396.04291956531995</v>
      </c>
      <c r="IP45" s="272">
        <v>1043.3254103293318</v>
      </c>
      <c r="IQ45" s="255">
        <v>349.76795297755928</v>
      </c>
      <c r="IR45" s="218">
        <v>611.06269151219499</v>
      </c>
      <c r="IS45" s="218">
        <v>420.78735898740319</v>
      </c>
      <c r="IT45" s="272">
        <v>1381.6180034771576</v>
      </c>
      <c r="IU45" s="255">
        <v>300.40176088378604</v>
      </c>
      <c r="IV45" s="218">
        <v>372.26797860657177</v>
      </c>
      <c r="IW45" s="158">
        <v>539.46691331534976</v>
      </c>
      <c r="IX45" s="272">
        <v>1212.1366528057076</v>
      </c>
      <c r="IY45" s="272">
        <v>4405.2090888543016</v>
      </c>
      <c r="IZ45" s="255">
        <v>278.77021497113697</v>
      </c>
      <c r="JA45" s="218">
        <v>291.70273465000002</v>
      </c>
      <c r="JB45" s="158">
        <v>321.1636837085714</v>
      </c>
      <c r="JC45" s="272">
        <v>891.63663332970839</v>
      </c>
      <c r="JD45" s="255">
        <v>524.78867227061221</v>
      </c>
      <c r="JE45" s="218">
        <v>538.56126796851163</v>
      </c>
      <c r="JF45" s="158">
        <v>456.98993566399417</v>
      </c>
      <c r="JG45" s="272">
        <v>1520.3398759031179</v>
      </c>
      <c r="JH45" s="255">
        <v>382.13906721422711</v>
      </c>
      <c r="JI45" s="218">
        <v>395.8554429304956</v>
      </c>
      <c r="JJ45" s="158">
        <v>383.00976580000003</v>
      </c>
      <c r="JK45" s="272">
        <v>1161.0042759447228</v>
      </c>
      <c r="JL45" s="255">
        <v>789.85693414979585</v>
      </c>
      <c r="JM45" s="218">
        <v>382.79526240725943</v>
      </c>
      <c r="JN45" s="218">
        <v>600.84156602253643</v>
      </c>
      <c r="JO45" s="272">
        <v>1773.4937625795917</v>
      </c>
      <c r="JP45" s="272">
        <v>5346.4745477571414</v>
      </c>
      <c r="JQ45" s="255">
        <v>609.20030630885424</v>
      </c>
      <c r="JR45" s="218">
        <v>402.29545560000003</v>
      </c>
      <c r="JS45" s="158">
        <v>480.78001469999998</v>
      </c>
      <c r="JT45" s="272">
        <v>1492.2757766088541</v>
      </c>
      <c r="JU45" s="255">
        <v>366.22639346991252</v>
      </c>
      <c r="JV45" s="218">
        <v>564.91592046999995</v>
      </c>
      <c r="JW45" s="158">
        <v>387.62503385999895</v>
      </c>
      <c r="JX45" s="272">
        <v>1318.7673477999117</v>
      </c>
      <c r="JY45" s="255">
        <v>465.21870317000003</v>
      </c>
      <c r="JZ45" s="218">
        <v>1092.2937437999999</v>
      </c>
      <c r="KA45" s="158">
        <v>413.27594096999997</v>
      </c>
      <c r="KB45" s="272">
        <v>1970.7883879399999</v>
      </c>
      <c r="KC45" s="255">
        <v>952.67579728999999</v>
      </c>
      <c r="KD45" s="218">
        <v>505.35317023000118</v>
      </c>
      <c r="KE45" s="218">
        <v>768.37667117405226</v>
      </c>
      <c r="KF45" s="272">
        <v>2226.4056386940538</v>
      </c>
      <c r="KG45" s="272">
        <v>7008.2371510428193</v>
      </c>
      <c r="KH45" s="219">
        <v>496.90790360000005</v>
      </c>
      <c r="KI45" s="220">
        <v>574.65975567999988</v>
      </c>
      <c r="KJ45" s="226">
        <v>594.73707166000008</v>
      </c>
      <c r="KK45" s="272">
        <v>1666.3047309399999</v>
      </c>
      <c r="KL45" s="219">
        <v>605.18340588000012</v>
      </c>
      <c r="KM45" s="220">
        <v>574.39402691999976</v>
      </c>
      <c r="KN45" s="226">
        <v>419.52364493999977</v>
      </c>
      <c r="KO45" s="272">
        <v>1599.1010777399995</v>
      </c>
      <c r="KP45" s="219">
        <v>593.04889033999973</v>
      </c>
      <c r="KQ45" s="220">
        <v>682.92516694999995</v>
      </c>
      <c r="KR45" s="226">
        <v>573.53189516999998</v>
      </c>
      <c r="KS45" s="272">
        <v>1849.5059524599994</v>
      </c>
      <c r="KT45" s="255">
        <v>532.19350462999989</v>
      </c>
      <c r="KU45" s="218">
        <v>554.75960863</v>
      </c>
      <c r="KV45" s="158">
        <v>1218.0070749499998</v>
      </c>
      <c r="KW45" s="272">
        <v>2304.9601882099996</v>
      </c>
      <c r="KX45" s="272">
        <v>7419.8719493499993</v>
      </c>
      <c r="KY45" s="219">
        <v>682.07329264999998</v>
      </c>
      <c r="KZ45" s="220">
        <v>492.93848140999995</v>
      </c>
      <c r="LA45" s="226">
        <v>739.09729158999903</v>
      </c>
      <c r="LB45" s="272">
        <v>1914.1090656499989</v>
      </c>
      <c r="LC45" s="219">
        <v>774.70857919999992</v>
      </c>
      <c r="LD45" s="220">
        <v>661.10327878999999</v>
      </c>
      <c r="LE45" s="226">
        <v>740.80363062000015</v>
      </c>
      <c r="LF45" s="272">
        <v>2176.6154886100003</v>
      </c>
      <c r="LG45" s="219">
        <v>542.92813831000012</v>
      </c>
      <c r="LH45" s="220">
        <v>793.48399182000014</v>
      </c>
      <c r="LI45" s="226">
        <v>626.73901557000147</v>
      </c>
      <c r="LJ45" s="272">
        <v>1963.1511457000015</v>
      </c>
      <c r="LK45" s="255">
        <v>769.38874701000009</v>
      </c>
      <c r="LL45" s="218">
        <v>736.66009025000017</v>
      </c>
      <c r="LM45" s="158">
        <v>1102.2810847933713</v>
      </c>
      <c r="LN45" s="272">
        <v>2608.3299220533713</v>
      </c>
      <c r="LO45" s="272">
        <v>8662.2056220133709</v>
      </c>
    </row>
    <row r="46" spans="1:327" s="44" customFormat="1" ht="17.100000000000001" customHeight="1" x14ac:dyDescent="0.25">
      <c r="A46" s="28"/>
      <c r="B46" s="29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2"/>
      <c r="U46" s="41"/>
      <c r="V46" s="41"/>
      <c r="W46" s="41"/>
      <c r="X46" s="43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1"/>
      <c r="AM46" s="41"/>
      <c r="AN46" s="41"/>
      <c r="AO46" s="41"/>
      <c r="AP46" s="41"/>
      <c r="AQ46" s="41"/>
      <c r="AR46" s="41"/>
      <c r="AS46" s="53"/>
      <c r="AT46" s="41"/>
      <c r="AU46" s="41"/>
      <c r="AV46" s="41"/>
      <c r="AW46" s="53"/>
      <c r="AX46" s="41"/>
      <c r="AY46" s="41"/>
      <c r="AZ46" s="41"/>
      <c r="BA46" s="53"/>
      <c r="BB46" s="53"/>
      <c r="BC46" s="41"/>
      <c r="BD46" s="68"/>
      <c r="BE46" s="68"/>
      <c r="BF46" s="63"/>
      <c r="BG46" s="68"/>
      <c r="BH46" s="68"/>
      <c r="BI46" s="68"/>
      <c r="BJ46" s="63"/>
      <c r="BK46" s="68"/>
      <c r="BL46" s="68"/>
      <c r="BM46" s="68"/>
      <c r="BN46" s="63"/>
      <c r="BO46" s="72"/>
      <c r="BP46" s="68"/>
      <c r="BQ46" s="68"/>
      <c r="BR46" s="63"/>
      <c r="BS46" s="63"/>
      <c r="BT46" s="68"/>
      <c r="BU46" s="68"/>
      <c r="BV46" s="68"/>
      <c r="BW46" s="63"/>
      <c r="BX46" s="68"/>
      <c r="BY46" s="68"/>
      <c r="BZ46" s="68"/>
      <c r="CA46" s="63"/>
      <c r="CB46" s="68"/>
      <c r="CC46" s="68"/>
      <c r="CD46" s="68"/>
      <c r="CE46" s="63"/>
      <c r="CF46" s="65"/>
      <c r="CG46" s="68"/>
      <c r="CH46" s="68"/>
      <c r="CI46" s="68"/>
      <c r="CJ46" s="72">
        <f t="shared" si="112"/>
        <v>0</v>
      </c>
      <c r="CK46" s="72"/>
      <c r="CL46" s="68"/>
      <c r="CM46" s="68"/>
      <c r="CN46" s="63"/>
      <c r="CO46" s="68"/>
      <c r="CP46" s="68"/>
      <c r="CQ46" s="68"/>
      <c r="CR46" s="63"/>
      <c r="CS46" s="102"/>
      <c r="CT46" s="68"/>
      <c r="CU46" s="68"/>
      <c r="CV46" s="63"/>
      <c r="CW46" s="68"/>
      <c r="CX46" s="68"/>
      <c r="CY46" s="110"/>
      <c r="CZ46" s="111"/>
      <c r="DA46" s="63">
        <f t="shared" ref="DA46:DA61" si="125">CN46+CR46+CV46+CZ46</f>
        <v>0</v>
      </c>
      <c r="DB46" s="72"/>
      <c r="DC46" s="68"/>
      <c r="DD46" s="68"/>
      <c r="DE46" s="63"/>
      <c r="DF46" s="72"/>
      <c r="DG46" s="68"/>
      <c r="DH46" s="68"/>
      <c r="DI46" s="63"/>
      <c r="DJ46" s="72"/>
      <c r="DK46" s="68"/>
      <c r="DL46" s="68"/>
      <c r="DM46" s="63"/>
      <c r="DN46" s="68"/>
      <c r="DO46" s="68"/>
      <c r="DP46" s="68"/>
      <c r="DQ46" s="111"/>
      <c r="DR46" s="138">
        <f t="shared" ref="DR46:DR62" si="126">DE46+DI46+DM46+DQ46</f>
        <v>0</v>
      </c>
      <c r="DS46" s="139"/>
      <c r="DT46" s="139"/>
      <c r="DU46" s="139"/>
      <c r="DV46" s="138"/>
      <c r="DW46" s="144"/>
      <c r="DX46" s="139"/>
      <c r="DY46" s="139"/>
      <c r="DZ46" s="138"/>
      <c r="EA46" s="144"/>
      <c r="EB46" s="139"/>
      <c r="EC46" s="139"/>
      <c r="ED46" s="138"/>
      <c r="EE46" s="139"/>
      <c r="EF46" s="139"/>
      <c r="EG46" s="139"/>
      <c r="EH46" s="138"/>
      <c r="EI46" s="138">
        <f t="shared" si="40"/>
        <v>0</v>
      </c>
      <c r="EJ46" s="139"/>
      <c r="EK46" s="139"/>
      <c r="EL46" s="139"/>
      <c r="EM46" s="138"/>
      <c r="EN46" s="139"/>
      <c r="EO46" s="139"/>
      <c r="EP46" s="139"/>
      <c r="EQ46" s="138"/>
      <c r="ER46" s="139"/>
      <c r="ES46" s="139"/>
      <c r="ET46" s="139"/>
      <c r="EU46" s="138"/>
      <c r="EV46" s="139"/>
      <c r="EW46" s="139"/>
      <c r="EX46" s="139"/>
      <c r="EY46" s="138"/>
      <c r="EZ46" s="162">
        <f t="shared" si="45"/>
        <v>0</v>
      </c>
      <c r="FA46" s="163"/>
      <c r="FB46" s="162"/>
      <c r="FC46" s="162"/>
      <c r="FD46" s="162"/>
      <c r="FE46" s="164"/>
      <c r="FF46" s="162"/>
      <c r="FG46" s="162"/>
      <c r="FH46" s="162"/>
      <c r="FI46" s="164"/>
      <c r="FJ46" s="162"/>
      <c r="FK46" s="162"/>
      <c r="FL46" s="162"/>
      <c r="FM46" s="164"/>
      <c r="FN46" s="165"/>
      <c r="FO46" s="166"/>
      <c r="FP46" s="166"/>
      <c r="FQ46" s="168"/>
      <c r="FR46" s="168">
        <f t="shared" si="50"/>
        <v>0</v>
      </c>
      <c r="FS46" s="165"/>
      <c r="FT46" s="166"/>
      <c r="FU46" s="167"/>
      <c r="FV46" s="168"/>
      <c r="FW46" s="165"/>
      <c r="FX46" s="166"/>
      <c r="FY46" s="167"/>
      <c r="FZ46" s="168"/>
      <c r="GA46" s="165"/>
      <c r="GB46" s="166"/>
      <c r="GC46" s="167"/>
      <c r="GD46" s="168"/>
      <c r="GE46" s="165"/>
      <c r="GF46" s="166"/>
      <c r="GG46" s="158"/>
      <c r="GH46" s="167"/>
      <c r="GI46" s="167">
        <f t="shared" si="55"/>
        <v>0</v>
      </c>
      <c r="GJ46" s="219"/>
      <c r="GK46" s="220"/>
      <c r="GL46" s="226"/>
      <c r="GM46" s="168"/>
      <c r="GN46" s="219"/>
      <c r="GO46" s="220"/>
      <c r="GP46" s="226"/>
      <c r="GQ46" s="168"/>
      <c r="GR46" s="245"/>
      <c r="GS46" s="220"/>
      <c r="GT46" s="226"/>
      <c r="GU46" s="168"/>
      <c r="GV46" s="219"/>
      <c r="GW46" s="220"/>
      <c r="GX46" s="226"/>
      <c r="GY46" s="167"/>
      <c r="GZ46" s="158">
        <f t="shared" si="110"/>
        <v>0</v>
      </c>
      <c r="HA46" s="255"/>
      <c r="HB46" s="218"/>
      <c r="HC46" s="158"/>
      <c r="HD46" s="272"/>
      <c r="HE46" s="255"/>
      <c r="HF46" s="218"/>
      <c r="HG46" s="158"/>
      <c r="HH46" s="272"/>
      <c r="HI46" s="279"/>
      <c r="HJ46" s="218"/>
      <c r="HK46" s="158"/>
      <c r="HL46" s="272"/>
      <c r="HM46" s="255"/>
      <c r="HN46" s="218"/>
      <c r="HO46" s="158"/>
      <c r="HP46" s="272"/>
      <c r="HQ46" s="272">
        <f t="shared" ref="HQ46:HQ80" si="127">HD46+HH46+HL46+HP46</f>
        <v>0</v>
      </c>
      <c r="HR46" s="255"/>
      <c r="HS46" s="218"/>
      <c r="HT46" s="158"/>
      <c r="HU46" s="272"/>
      <c r="HV46" s="255"/>
      <c r="HW46" s="218"/>
      <c r="HX46" s="158"/>
      <c r="HY46" s="272"/>
      <c r="HZ46" s="280"/>
      <c r="IA46" s="218"/>
      <c r="IB46" s="158"/>
      <c r="IC46" s="272"/>
      <c r="ID46" s="255"/>
      <c r="IE46" s="218"/>
      <c r="IF46" s="158"/>
      <c r="IG46" s="272"/>
      <c r="IH46" s="272">
        <v>0</v>
      </c>
      <c r="II46" s="255"/>
      <c r="IJ46" s="218"/>
      <c r="IK46" s="158"/>
      <c r="IL46" s="272"/>
      <c r="IM46" s="255"/>
      <c r="IN46" s="218"/>
      <c r="IO46" s="218"/>
      <c r="IP46" s="272"/>
      <c r="IQ46" s="255"/>
      <c r="IR46" s="218"/>
      <c r="IS46" s="158"/>
      <c r="IT46" s="272"/>
      <c r="IU46" s="255"/>
      <c r="IV46" s="218"/>
      <c r="IW46" s="158"/>
      <c r="IX46" s="272"/>
      <c r="IY46" s="272">
        <v>0</v>
      </c>
      <c r="IZ46" s="255"/>
      <c r="JA46" s="218"/>
      <c r="JB46" s="158"/>
      <c r="JC46" s="272"/>
      <c r="JD46" s="255"/>
      <c r="JE46" s="218"/>
      <c r="JF46" s="158"/>
      <c r="JG46" s="272"/>
      <c r="JH46" s="255"/>
      <c r="JI46" s="218"/>
      <c r="JJ46" s="158"/>
      <c r="JK46" s="272"/>
      <c r="JL46" s="255"/>
      <c r="JM46" s="218"/>
      <c r="JN46" s="218"/>
      <c r="JO46" s="272"/>
      <c r="JP46" s="272">
        <v>0</v>
      </c>
      <c r="JQ46" s="255"/>
      <c r="JR46" s="218"/>
      <c r="JS46" s="158"/>
      <c r="JT46" s="272"/>
      <c r="JU46" s="255"/>
      <c r="JV46" s="218"/>
      <c r="JW46" s="158"/>
      <c r="JX46" s="272"/>
      <c r="JY46" s="255"/>
      <c r="JZ46" s="218"/>
      <c r="KA46" s="158"/>
      <c r="KB46" s="272"/>
      <c r="KC46" s="255"/>
      <c r="KD46" s="218"/>
      <c r="KE46" s="218"/>
      <c r="KF46" s="272"/>
      <c r="KG46" s="272"/>
      <c r="KH46" s="219"/>
      <c r="KI46" s="220"/>
      <c r="KJ46" s="226"/>
      <c r="KK46" s="272"/>
      <c r="KL46" s="219"/>
      <c r="KM46" s="220"/>
      <c r="KN46" s="226"/>
      <c r="KO46" s="272"/>
      <c r="KP46" s="219"/>
      <c r="KQ46" s="220"/>
      <c r="KR46" s="226"/>
      <c r="KS46" s="272"/>
      <c r="KT46" s="255"/>
      <c r="KU46" s="218"/>
      <c r="KV46" s="158"/>
      <c r="KW46" s="272"/>
      <c r="KX46" s="272"/>
      <c r="KY46" s="219">
        <v>0</v>
      </c>
      <c r="KZ46" s="220">
        <v>0</v>
      </c>
      <c r="LA46" s="226">
        <v>0</v>
      </c>
      <c r="LB46" s="272"/>
      <c r="LC46" s="219">
        <v>0</v>
      </c>
      <c r="LD46" s="220">
        <v>0</v>
      </c>
      <c r="LE46" s="226">
        <v>0</v>
      </c>
      <c r="LF46" s="272"/>
      <c r="LG46" s="219">
        <v>0</v>
      </c>
      <c r="LH46" s="220">
        <v>0</v>
      </c>
      <c r="LI46" s="226">
        <v>0</v>
      </c>
      <c r="LJ46" s="272"/>
      <c r="LK46" s="255"/>
      <c r="LL46" s="218"/>
      <c r="LM46" s="158"/>
      <c r="LN46" s="272"/>
      <c r="LO46" s="272"/>
    </row>
    <row r="47" spans="1:327" ht="17.100000000000001" customHeight="1" x14ac:dyDescent="0.2">
      <c r="A47" s="2" t="s">
        <v>34</v>
      </c>
      <c r="B47" s="24"/>
      <c r="C47" s="5">
        <v>912.05</v>
      </c>
      <c r="D47" s="5">
        <v>107.2</v>
      </c>
      <c r="E47" s="5">
        <v>68.3</v>
      </c>
      <c r="F47" s="5">
        <v>76.5</v>
      </c>
      <c r="G47" s="5">
        <v>252</v>
      </c>
      <c r="H47" s="5">
        <v>68.599999999999994</v>
      </c>
      <c r="I47" s="5">
        <v>25.4</v>
      </c>
      <c r="J47" s="5">
        <v>56.9</v>
      </c>
      <c r="K47" s="5">
        <v>150.9</v>
      </c>
      <c r="L47" s="5">
        <v>92.2</v>
      </c>
      <c r="M47" s="5">
        <f>M48+M55</f>
        <v>59.8</v>
      </c>
      <c r="N47" s="5">
        <f>N48+N55</f>
        <v>57.300000000000004</v>
      </c>
      <c r="O47" s="5">
        <f t="shared" si="0"/>
        <v>209.3</v>
      </c>
      <c r="P47" s="5">
        <f>P48+P55</f>
        <v>54.6</v>
      </c>
      <c r="Q47" s="5">
        <f>Q48+Q55</f>
        <v>34.6</v>
      </c>
      <c r="R47" s="5">
        <f>R48+R55</f>
        <v>82.2</v>
      </c>
      <c r="S47" s="5">
        <f t="shared" si="1"/>
        <v>171.4</v>
      </c>
      <c r="T47" s="16">
        <f t="shared" si="7"/>
        <v>783.6</v>
      </c>
      <c r="U47" s="5">
        <f>U48+U55</f>
        <v>71.600000000000009</v>
      </c>
      <c r="V47" s="5">
        <f>V48+V55</f>
        <v>31.400000000000002</v>
      </c>
      <c r="W47" s="5">
        <f>W48+W55</f>
        <v>55.599999999999994</v>
      </c>
      <c r="X47" s="4">
        <f t="shared" si="82"/>
        <v>158.60000000000002</v>
      </c>
      <c r="Y47" s="5">
        <f>Y48+Y55</f>
        <v>43.625000000000007</v>
      </c>
      <c r="Z47" s="5">
        <f>Z48+Z55</f>
        <v>13.1</v>
      </c>
      <c r="AA47" s="5">
        <f>AA48+AA55</f>
        <v>33.58</v>
      </c>
      <c r="AB47" s="5">
        <f t="shared" si="83"/>
        <v>90.305000000000007</v>
      </c>
      <c r="AC47" s="5">
        <f>AC48+AC55</f>
        <v>20.82</v>
      </c>
      <c r="AD47" s="5">
        <f>AD48+AD55</f>
        <v>20.020000000000003</v>
      </c>
      <c r="AE47" s="5">
        <f>AE48+AE55</f>
        <v>31.94</v>
      </c>
      <c r="AF47" s="5">
        <f t="shared" si="84"/>
        <v>72.78</v>
      </c>
      <c r="AG47" s="5">
        <f>AG48+AG55</f>
        <v>56.205000000000005</v>
      </c>
      <c r="AH47" s="5">
        <f>AH48+AH55</f>
        <v>18.239999999999998</v>
      </c>
      <c r="AI47" s="5">
        <f>AI48+AI55</f>
        <v>59.300000000000004</v>
      </c>
      <c r="AJ47" s="5">
        <f t="shared" ref="AJ47:AJ86" si="128">AG47+AH47+AI47</f>
        <v>133.745</v>
      </c>
      <c r="AK47" s="16">
        <f t="shared" ref="AK47:AK81" si="129">X47+AB47+AF47+AJ47</f>
        <v>455.43000000000006</v>
      </c>
      <c r="AL47" s="5">
        <f t="shared" ref="AL47:AT47" si="130">AL48+AL55</f>
        <v>56.604999999999997</v>
      </c>
      <c r="AM47" s="5">
        <f t="shared" si="130"/>
        <v>6.7850000000000001</v>
      </c>
      <c r="AN47" s="5">
        <f t="shared" si="130"/>
        <v>40.714999999999996</v>
      </c>
      <c r="AO47" s="5">
        <f t="shared" si="86"/>
        <v>104.10499999999999</v>
      </c>
      <c r="AP47" s="5">
        <f t="shared" si="130"/>
        <v>30.19</v>
      </c>
      <c r="AQ47" s="5">
        <f t="shared" si="130"/>
        <v>11.435</v>
      </c>
      <c r="AR47" s="5">
        <f t="shared" si="130"/>
        <v>68.615000000000009</v>
      </c>
      <c r="AS47" s="54">
        <f t="shared" si="12"/>
        <v>110.24000000000001</v>
      </c>
      <c r="AT47" s="5">
        <f t="shared" si="130"/>
        <v>29.91</v>
      </c>
      <c r="AU47" s="5">
        <f>AU48+AU55</f>
        <v>24.869999999999997</v>
      </c>
      <c r="AV47" s="5">
        <f>AV48+AV55</f>
        <v>34.161999999999999</v>
      </c>
      <c r="AW47" s="54">
        <f t="shared" si="87"/>
        <v>88.942000000000007</v>
      </c>
      <c r="AX47" s="5">
        <f>AX48+AX55</f>
        <v>28.290000000000003</v>
      </c>
      <c r="AY47" s="5">
        <f>AY48+AY55</f>
        <v>11.108000000000001</v>
      </c>
      <c r="AZ47" s="5">
        <f>AZ48+AZ55</f>
        <v>56.09</v>
      </c>
      <c r="BA47" s="54">
        <f t="shared" si="14"/>
        <v>95.488</v>
      </c>
      <c r="BB47" s="54">
        <f t="shared" ref="BB47:BB85" si="131">+AS47+AO47+AW47+BA47</f>
        <v>398.77500000000003</v>
      </c>
      <c r="BC47" s="5">
        <f>BC48+BC55</f>
        <v>86.608643119999996</v>
      </c>
      <c r="BD47" s="66">
        <f>BD48+BD55</f>
        <v>19.262931299999998</v>
      </c>
      <c r="BE47" s="66">
        <f>BE48+BE55</f>
        <v>37.92122449</v>
      </c>
      <c r="BF47" s="62">
        <f>SUM(BC47:BE47)</f>
        <v>143.79279890999999</v>
      </c>
      <c r="BG47" s="67">
        <f>BG48+BG55</f>
        <v>22.193776999999997</v>
      </c>
      <c r="BH47" s="67">
        <f>BH48+BH55</f>
        <v>17.472850000000001</v>
      </c>
      <c r="BI47" s="67">
        <f>BI48+BI55</f>
        <v>16.573650000000001</v>
      </c>
      <c r="BJ47" s="62">
        <f t="shared" ref="BJ47:BJ85" si="132">SUM(BG47:BI47)</f>
        <v>56.240276999999999</v>
      </c>
      <c r="BK47" s="67">
        <f>BK48+BK55</f>
        <v>38.114929999999994</v>
      </c>
      <c r="BL47" s="67">
        <f>BL48+BL55</f>
        <v>30.003899999999998</v>
      </c>
      <c r="BM47" s="67">
        <f>BM48+BM55</f>
        <v>30.076755000000002</v>
      </c>
      <c r="BN47" s="62">
        <f t="shared" ref="BN47:BN81" si="133">SUM(BK47:BM47)</f>
        <v>98.195584999999994</v>
      </c>
      <c r="BO47" s="71">
        <f>BO48+BO55</f>
        <v>46.104994999999995</v>
      </c>
      <c r="BP47" s="67">
        <f>BP48+BP55</f>
        <v>34.67474</v>
      </c>
      <c r="BQ47" s="67">
        <f>BQ48+BQ55</f>
        <v>55.407759999999996</v>
      </c>
      <c r="BR47" s="62">
        <f t="shared" ref="BR47:BR81" si="134">SUM(BO47:BQ47)</f>
        <v>136.18749499999998</v>
      </c>
      <c r="BS47" s="62">
        <f t="shared" ref="BS47:BS81" si="135">+BF47+BJ47+BN47+BR47</f>
        <v>434.41615590999993</v>
      </c>
      <c r="BT47" s="67">
        <f>BT48+BT55</f>
        <v>136.80000000000001</v>
      </c>
      <c r="BU47" s="67">
        <f>BU48+BU55</f>
        <v>25.200000000000003</v>
      </c>
      <c r="BV47" s="67">
        <f>BV48+BV55</f>
        <v>67.100000000000009</v>
      </c>
      <c r="BW47" s="62">
        <f t="shared" ref="BW47:BW64" si="136">SUM(BT47:BV47)</f>
        <v>229.10000000000002</v>
      </c>
      <c r="BX47" s="67">
        <f>BX48+BX55</f>
        <v>33.25</v>
      </c>
      <c r="BY47" s="67">
        <f>BY48+BY55</f>
        <v>25.6</v>
      </c>
      <c r="BZ47" s="67">
        <f>BZ48+BZ55</f>
        <v>63.800000000000004</v>
      </c>
      <c r="CA47" s="62">
        <f t="shared" ref="CA47:CA64" si="137">SUM(BX47:BZ47)</f>
        <v>122.65</v>
      </c>
      <c r="CB47" s="67">
        <f>CB48+CB55</f>
        <v>55.500000000000007</v>
      </c>
      <c r="CC47" s="67">
        <f>CC48+CC55</f>
        <v>57.620000000000005</v>
      </c>
      <c r="CD47" s="67">
        <f>CD48+CD55</f>
        <v>55.1</v>
      </c>
      <c r="CE47" s="62">
        <f t="shared" ref="CE47:CE64" si="138">SUM(CB47:CD47)</f>
        <v>168.22</v>
      </c>
      <c r="CF47" s="67">
        <f>CF48+CF55</f>
        <v>29</v>
      </c>
      <c r="CG47" s="67">
        <f>CG48+CG55</f>
        <v>68.53</v>
      </c>
      <c r="CH47" s="67">
        <f>CH48+CH55</f>
        <v>54.96</v>
      </c>
      <c r="CI47" s="67">
        <f t="shared" ref="CI47:CI64" si="139">SUM(CF47:CH47)</f>
        <v>152.49</v>
      </c>
      <c r="CJ47" s="71">
        <f t="shared" si="112"/>
        <v>672.46</v>
      </c>
      <c r="CK47" s="71">
        <f>CK48+CK55</f>
        <v>130.9</v>
      </c>
      <c r="CL47" s="67">
        <f>CL48+CL55</f>
        <v>23.299999999999997</v>
      </c>
      <c r="CM47" s="67">
        <f>CM48+CM55</f>
        <v>51.7</v>
      </c>
      <c r="CN47" s="62">
        <f t="shared" ref="CN47:CN62" si="140">SUM(CK47:CM47)</f>
        <v>205.89999999999998</v>
      </c>
      <c r="CO47" s="67">
        <f>CO48+CO55</f>
        <v>37.799999999999997</v>
      </c>
      <c r="CP47" s="67">
        <f>CP48+CP55</f>
        <v>18.700000000000003</v>
      </c>
      <c r="CQ47" s="67">
        <f>CQ48+CQ55</f>
        <v>64.899999999999991</v>
      </c>
      <c r="CR47" s="62">
        <f t="shared" ref="CR47:CR62" si="141">SUM(CO47:CQ47)</f>
        <v>121.39999999999999</v>
      </c>
      <c r="CS47" s="101">
        <f>CS48+CS55</f>
        <v>91.6</v>
      </c>
      <c r="CT47" s="67">
        <f>CT48+CT55</f>
        <v>76.999999999999986</v>
      </c>
      <c r="CU47" s="67">
        <f>CU48+CU55</f>
        <v>60.1</v>
      </c>
      <c r="CV47" s="62">
        <f t="shared" ref="CV47:CV62" si="142">SUM(CS47:CU47)</f>
        <v>228.69999999999996</v>
      </c>
      <c r="CW47" s="67">
        <f>CW48+CW55</f>
        <v>54</v>
      </c>
      <c r="CX47" s="67">
        <f>CX48+CX55</f>
        <v>42.5</v>
      </c>
      <c r="CY47" s="112">
        <f>CY48+CY55</f>
        <v>84</v>
      </c>
      <c r="CZ47" s="113">
        <f t="shared" ref="CZ47:CZ62" si="143">SUM(CW47:CY47)</f>
        <v>180.5</v>
      </c>
      <c r="DA47" s="62">
        <f t="shared" si="125"/>
        <v>736.49999999999989</v>
      </c>
      <c r="DB47" s="71">
        <f>DB48+DB55</f>
        <v>117.19999999999999</v>
      </c>
      <c r="DC47" s="67">
        <f>DC48+DC55</f>
        <v>41.099999999999994</v>
      </c>
      <c r="DD47" s="67">
        <f>DD48+DD55</f>
        <v>45.7</v>
      </c>
      <c r="DE47" s="62">
        <f t="shared" ref="DE47:DE62" si="144">SUM(DB47:DD47)</f>
        <v>204</v>
      </c>
      <c r="DF47" s="71">
        <f>DF48+DF55</f>
        <v>28</v>
      </c>
      <c r="DG47" s="67">
        <f>DG48+DG55</f>
        <v>9.2000000000000011</v>
      </c>
      <c r="DH47" s="67">
        <f>DH48+DH55</f>
        <v>21.2</v>
      </c>
      <c r="DI47" s="62">
        <f t="shared" ref="DI47:DI62" si="145">SUM(DF47:DH47)</f>
        <v>58.400000000000006</v>
      </c>
      <c r="DJ47" s="71">
        <f>DJ48+DJ55</f>
        <v>62.599999999999994</v>
      </c>
      <c r="DK47" s="67">
        <f>DK48+DK55</f>
        <v>46.5</v>
      </c>
      <c r="DL47" s="67">
        <f>DL48+DL55</f>
        <v>44.900000000000006</v>
      </c>
      <c r="DM47" s="62">
        <f t="shared" ref="DM47:DM62" si="146">SUM(DJ47:DL47)</f>
        <v>154</v>
      </c>
      <c r="DN47" s="67">
        <f>DN48+DN55</f>
        <v>54.2</v>
      </c>
      <c r="DO47" s="67">
        <f>DO48+DO55</f>
        <v>25</v>
      </c>
      <c r="DP47" s="67">
        <f>DP48+DP55</f>
        <v>72</v>
      </c>
      <c r="DQ47" s="113">
        <f t="shared" ref="DQ47:DQ62" si="147">SUM(DN47:DP47)</f>
        <v>151.19999999999999</v>
      </c>
      <c r="DR47" s="140">
        <f t="shared" si="126"/>
        <v>567.59999999999991</v>
      </c>
      <c r="DS47" s="141">
        <f>DS48+DS55</f>
        <v>133.19999999999999</v>
      </c>
      <c r="DT47" s="141">
        <f>DT48+DT55</f>
        <v>38.499999999999993</v>
      </c>
      <c r="DU47" s="141">
        <f>DU48+DU55</f>
        <v>49.800000000000004</v>
      </c>
      <c r="DV47" s="140">
        <f t="shared" ref="DV47:DV79" si="148">SUM(DS47:DU47)</f>
        <v>221.5</v>
      </c>
      <c r="DW47" s="142">
        <f>DW48+DW55</f>
        <v>9.9</v>
      </c>
      <c r="DX47" s="141">
        <f>DX48+DX55</f>
        <v>6.8</v>
      </c>
      <c r="DY47" s="141">
        <f>DY48+DY55</f>
        <v>18.8</v>
      </c>
      <c r="DZ47" s="140">
        <f t="shared" ref="DZ47:DZ80" si="149">SUM(DW47:DY47)</f>
        <v>35.5</v>
      </c>
      <c r="EA47" s="142">
        <f>EA48+EA55</f>
        <v>10.5</v>
      </c>
      <c r="EB47" s="141">
        <f>EB48+EB55</f>
        <v>4.8</v>
      </c>
      <c r="EC47" s="141">
        <f>EC48+EC55</f>
        <v>7.9</v>
      </c>
      <c r="ED47" s="140">
        <f t="shared" ref="ED47:ED80" si="150">SUM(EA47:EC47)</f>
        <v>23.200000000000003</v>
      </c>
      <c r="EE47" s="141">
        <f>EE48+EE55</f>
        <v>19</v>
      </c>
      <c r="EF47" s="141">
        <f>EF48+EF55</f>
        <v>31.200000000000003</v>
      </c>
      <c r="EG47" s="141">
        <f>EG48+EG55</f>
        <v>50</v>
      </c>
      <c r="EH47" s="140">
        <f t="shared" ref="EH47:EH80" si="151">SUM(EE47:EG47)</f>
        <v>100.2</v>
      </c>
      <c r="EI47" s="140">
        <f t="shared" si="40"/>
        <v>380.4</v>
      </c>
      <c r="EJ47" s="141">
        <f>EJ48+EJ55</f>
        <v>70.5</v>
      </c>
      <c r="EK47" s="141">
        <f>EK48+EK55</f>
        <v>6.5</v>
      </c>
      <c r="EL47" s="141">
        <f>EL48+EL55</f>
        <v>20.5</v>
      </c>
      <c r="EM47" s="140">
        <f t="shared" ref="EM47:EM79" si="152">SUM(EJ47:EL47)</f>
        <v>97.5</v>
      </c>
      <c r="EN47" s="141">
        <f>EN48+EN55</f>
        <v>13.5</v>
      </c>
      <c r="EO47" s="141">
        <f>EO48+EO55</f>
        <v>11.3</v>
      </c>
      <c r="EP47" s="141">
        <f>EP48+EP55</f>
        <v>14.9</v>
      </c>
      <c r="EQ47" s="140">
        <f t="shared" ref="EQ47:EQ79" si="153">SUM(EN47:EP47)</f>
        <v>39.700000000000003</v>
      </c>
      <c r="ER47" s="141">
        <f>ER48+ER55</f>
        <v>10.629999999999999</v>
      </c>
      <c r="ES47" s="141">
        <f>ES48+ES55</f>
        <v>8.6999999999999993</v>
      </c>
      <c r="ET47" s="141">
        <f>ET48+ET55</f>
        <v>6.6</v>
      </c>
      <c r="EU47" s="140">
        <f t="shared" ref="EU47:EU79" si="154">SUM(ER47:ET47)</f>
        <v>25.93</v>
      </c>
      <c r="EV47" s="141">
        <f>EV48+EV55</f>
        <v>11.5</v>
      </c>
      <c r="EW47" s="141">
        <f>EW48+EW55</f>
        <v>5.6</v>
      </c>
      <c r="EX47" s="141">
        <v>8.2593125788000012</v>
      </c>
      <c r="EY47" s="140">
        <f t="shared" ref="EY47:EY79" si="155">SUM(EV47:EX47)</f>
        <v>25.359312578800001</v>
      </c>
      <c r="EZ47" s="169">
        <f t="shared" si="45"/>
        <v>188.4893125788</v>
      </c>
      <c r="FA47" s="170"/>
      <c r="FB47" s="169">
        <f>FB48+FB55</f>
        <v>9.1000000000000014</v>
      </c>
      <c r="FC47" s="169">
        <f>FC48+FC55</f>
        <v>3.9000000000000004</v>
      </c>
      <c r="FD47" s="169">
        <f>FD48+FD55</f>
        <v>9.8000000000000007</v>
      </c>
      <c r="FE47" s="171">
        <f t="shared" ref="FE47:FE80" si="156">SUM(FB47:FD47)</f>
        <v>22.800000000000004</v>
      </c>
      <c r="FF47" s="169">
        <f>FF48+FF55</f>
        <v>9.0209718492918007</v>
      </c>
      <c r="FG47" s="169">
        <f>FG48+FG55</f>
        <v>9.3163249325337993</v>
      </c>
      <c r="FH47" s="169">
        <f>FH48+FH55</f>
        <v>11.881785976195999</v>
      </c>
      <c r="FI47" s="171">
        <f t="shared" ref="FI47:FI80" si="157">SUM(FF47:FH47)</f>
        <v>30.219082758021599</v>
      </c>
      <c r="FJ47" s="169">
        <f>FJ48+FJ55</f>
        <v>20.011016860665602</v>
      </c>
      <c r="FK47" s="169">
        <f>FK48+FK55</f>
        <v>14.8190869473747</v>
      </c>
      <c r="FL47" s="169">
        <f>FL48+FL55</f>
        <v>31.436261666148795</v>
      </c>
      <c r="FM47" s="171">
        <f t="shared" ref="FM47:FM80" si="158">SUM(FJ47:FL47)</f>
        <v>66.266365474189101</v>
      </c>
      <c r="FN47" s="172">
        <f>FN48+FN55</f>
        <v>27.6117812926204</v>
      </c>
      <c r="FO47" s="173">
        <f>FO48+FO55</f>
        <v>36.582675224463038</v>
      </c>
      <c r="FP47" s="173">
        <f>FP48+FP55</f>
        <v>21.720448353466303</v>
      </c>
      <c r="FQ47" s="175">
        <f t="shared" ref="FQ47:FQ80" si="159">SUM(FN47:FP47)</f>
        <v>85.914904870549748</v>
      </c>
      <c r="FR47" s="175">
        <f t="shared" si="50"/>
        <v>205.20035310276046</v>
      </c>
      <c r="FS47" s="172">
        <f>FS48+FS55</f>
        <v>26.546211819999996</v>
      </c>
      <c r="FT47" s="173">
        <f>FT48+FT55</f>
        <v>32.030156894892727</v>
      </c>
      <c r="FU47" s="174">
        <f>FU48+FU55</f>
        <v>26.654290967402005</v>
      </c>
      <c r="FV47" s="175">
        <f t="shared" ref="FV47:FV80" si="160">SUM(FS47:FU47)</f>
        <v>85.230659682294728</v>
      </c>
      <c r="FW47" s="172">
        <f>FW48+FW55</f>
        <v>22.743038505074431</v>
      </c>
      <c r="FX47" s="173">
        <f>FX48+FX55</f>
        <v>23.786098441858361</v>
      </c>
      <c r="FY47" s="173">
        <f>FY48+FY55</f>
        <v>94.224857994987005</v>
      </c>
      <c r="FZ47" s="175">
        <f t="shared" ref="FZ47:FZ80" si="161">SUM(FW47:FY47)</f>
        <v>140.75399494191981</v>
      </c>
      <c r="GA47" s="172">
        <f>GA48+GA55</f>
        <v>41.648165813086138</v>
      </c>
      <c r="GB47" s="173">
        <f>GB48+GB55</f>
        <v>89.530692507735409</v>
      </c>
      <c r="GC47" s="174">
        <f>GC48+GC55</f>
        <v>58.737693910569995</v>
      </c>
      <c r="GD47" s="175">
        <f t="shared" ref="GD47:GD80" si="162">SUM(GA47:GC47)</f>
        <v>189.91655223139153</v>
      </c>
      <c r="GE47" s="172">
        <f>GE48+GE55</f>
        <v>49.393584149814103</v>
      </c>
      <c r="GF47" s="173">
        <f>GF48+GF55</f>
        <v>44.087310217302004</v>
      </c>
      <c r="GG47" s="159">
        <f>GG48+GG55</f>
        <v>42.780375470773876</v>
      </c>
      <c r="GH47" s="174">
        <f t="shared" ref="GH47:GH59" si="163">SUM(GE47:GG47)</f>
        <v>136.26126983788998</v>
      </c>
      <c r="GI47" s="174">
        <f t="shared" si="55"/>
        <v>552.16247669349605</v>
      </c>
      <c r="GJ47" s="221">
        <f>GJ48+GJ55</f>
        <v>47.588398627517989</v>
      </c>
      <c r="GK47" s="222">
        <f>GK48+GK55</f>
        <v>28.729177980580999</v>
      </c>
      <c r="GL47" s="223">
        <f>GL48+GL55</f>
        <v>34.530935145630799</v>
      </c>
      <c r="GM47" s="175">
        <f t="shared" ref="GM47:GM82" si="164">SUM(GJ47:GL47)</f>
        <v>110.84851175372978</v>
      </c>
      <c r="GN47" s="221">
        <f>GN48+GN55</f>
        <v>62.518284958747131</v>
      </c>
      <c r="GO47" s="222">
        <f>GO48+GO55</f>
        <v>58.736721076015307</v>
      </c>
      <c r="GP47" s="222">
        <f>GP48+GP55</f>
        <v>73.451647141897027</v>
      </c>
      <c r="GQ47" s="175">
        <f t="shared" ref="GQ47:GQ82" si="165">SUM(GN47:GP47)</f>
        <v>194.70665317665947</v>
      </c>
      <c r="GR47" s="222">
        <f>GR48+GR55</f>
        <v>112.47279975631955</v>
      </c>
      <c r="GS47" s="222">
        <f>GS48+GS55</f>
        <v>37.080234268245221</v>
      </c>
      <c r="GT47" s="222">
        <f>GT48+GT55</f>
        <v>68.519314314701546</v>
      </c>
      <c r="GU47" s="175">
        <f t="shared" ref="GU47:GU80" si="166">SUM(GR47:GT47)</f>
        <v>218.07234833926631</v>
      </c>
      <c r="GV47" s="221">
        <f>GV48+GV55</f>
        <v>335.0407921161526</v>
      </c>
      <c r="GW47" s="222">
        <f>GW48+GW55</f>
        <v>236.02294829318004</v>
      </c>
      <c r="GX47" s="223">
        <f>GX48+GX55</f>
        <v>272.4334970423086</v>
      </c>
      <c r="GY47" s="174">
        <f t="shared" ref="GY47:GY59" si="167">SUM(GV47:GX47)</f>
        <v>843.49723745164124</v>
      </c>
      <c r="GZ47" s="159">
        <f t="shared" si="110"/>
        <v>1367.1247507212968</v>
      </c>
      <c r="HA47" s="254">
        <f>HA48+HA55</f>
        <v>295.31495371449768</v>
      </c>
      <c r="HB47" s="160">
        <f>HB48+HB55</f>
        <v>160.52073621520606</v>
      </c>
      <c r="HC47" s="159">
        <f>HC48+HC55</f>
        <v>163.74163138256989</v>
      </c>
      <c r="HD47" s="273">
        <f t="shared" ref="HD47:HD80" si="168">SUM(HA47:HC47)</f>
        <v>619.57732131227363</v>
      </c>
      <c r="HE47" s="254">
        <f>HE48+HE55</f>
        <v>90.249939099801978</v>
      </c>
      <c r="HF47" s="160">
        <f>HF48+HF55</f>
        <v>35.112008270432696</v>
      </c>
      <c r="HG47" s="160">
        <f>HG48+HG55</f>
        <v>65.177650844627095</v>
      </c>
      <c r="HH47" s="273">
        <f t="shared" ref="HH47:HH80" si="169">SUM(HE47:HG47)</f>
        <v>190.53959821486177</v>
      </c>
      <c r="HI47" s="160">
        <f>HI48+HI55</f>
        <v>109.21691790594058</v>
      </c>
      <c r="HJ47" s="160">
        <f>HJ48+HJ55</f>
        <v>58.054878310671803</v>
      </c>
      <c r="HK47" s="160">
        <f>HK48+HK55</f>
        <v>114.7731168327801</v>
      </c>
      <c r="HL47" s="273">
        <f t="shared" ref="HL47:HL80" si="170">SUM(HI47:HK47)</f>
        <v>282.04491304939251</v>
      </c>
      <c r="HM47" s="254">
        <f>HM48+HM55</f>
        <v>131.53731556110205</v>
      </c>
      <c r="HN47" s="160">
        <f>HN48+HN55</f>
        <v>156.3250742197026</v>
      </c>
      <c r="HO47" s="159">
        <f>HO48+HO55</f>
        <v>193.45492057166987</v>
      </c>
      <c r="HP47" s="273">
        <f t="shared" ref="HP47:HP61" si="171">SUM(HM47:HO47)</f>
        <v>481.31731035247446</v>
      </c>
      <c r="HQ47" s="273">
        <f t="shared" si="127"/>
        <v>1573.4791429290026</v>
      </c>
      <c r="HR47" s="254">
        <f>HR48+HR55</f>
        <v>192.07925070030129</v>
      </c>
      <c r="HS47" s="160">
        <f>HS48+HS55</f>
        <v>282.11664144044471</v>
      </c>
      <c r="HT47" s="159">
        <f>HT48+HT55</f>
        <v>234.22973963112997</v>
      </c>
      <c r="HU47" s="273">
        <f t="shared" ref="HU47:HU80" si="172">SUM(HR47:HT47)</f>
        <v>708.42563177187594</v>
      </c>
      <c r="HV47" s="254">
        <f>HV48+HV55</f>
        <v>134.24123658625535</v>
      </c>
      <c r="HW47" s="160">
        <f>HW48+HW55</f>
        <v>59.867916992525068</v>
      </c>
      <c r="HX47" s="160">
        <f>HX48+HX55</f>
        <v>97.931149097833583</v>
      </c>
      <c r="HY47" s="273">
        <f t="shared" ref="HY47:HY60" si="173">SUM(HV47:HX47)</f>
        <v>292.04030267661403</v>
      </c>
      <c r="HZ47" s="160">
        <f>HZ48+HZ55</f>
        <v>106.5292495049211</v>
      </c>
      <c r="IA47" s="160">
        <f>IA48+IA55</f>
        <v>56.991198978405365</v>
      </c>
      <c r="IB47" s="160">
        <f>IB48+IB55</f>
        <v>93.325782441189389</v>
      </c>
      <c r="IC47" s="273">
        <f t="shared" ref="IC47:IC80" si="174">SUM(HZ47:IB47)</f>
        <v>256.84623092451585</v>
      </c>
      <c r="ID47" s="254">
        <f>ID48+ID55</f>
        <v>74.864133690688675</v>
      </c>
      <c r="IE47" s="160">
        <f>IE48+IE55</f>
        <v>56.050054040730998</v>
      </c>
      <c r="IF47" s="159">
        <f>IF48+IF55</f>
        <v>393.53018974486923</v>
      </c>
      <c r="IG47" s="273">
        <f t="shared" ref="IG47:IG80" si="175">SUM(ID47:IF47)</f>
        <v>524.44437747628888</v>
      </c>
      <c r="IH47" s="273">
        <v>1781.7565428492949</v>
      </c>
      <c r="II47" s="254">
        <v>103.35309710000001</v>
      </c>
      <c r="IJ47" s="160">
        <v>87.003367640000008</v>
      </c>
      <c r="IK47" s="159">
        <v>82.777213259999996</v>
      </c>
      <c r="IL47" s="273">
        <v>273.13367800000003</v>
      </c>
      <c r="IM47" s="254">
        <v>69.569636610769223</v>
      </c>
      <c r="IN47" s="160">
        <v>78.015895759767773</v>
      </c>
      <c r="IO47" s="160">
        <v>90.242578189999989</v>
      </c>
      <c r="IP47" s="273">
        <v>237.828110560537</v>
      </c>
      <c r="IQ47" s="254">
        <v>48.130574719999998</v>
      </c>
      <c r="IR47" s="160">
        <v>471.32777987053851</v>
      </c>
      <c r="IS47" s="159">
        <v>110.02527523043668</v>
      </c>
      <c r="IT47" s="273">
        <v>629.48362982097524</v>
      </c>
      <c r="IU47" s="254">
        <v>95.972006551644853</v>
      </c>
      <c r="IV47" s="160">
        <v>73.378076040962782</v>
      </c>
      <c r="IW47" s="159">
        <v>188.02555973600681</v>
      </c>
      <c r="IX47" s="273">
        <v>357.37564232861445</v>
      </c>
      <c r="IY47" s="273">
        <v>1497.8210607101269</v>
      </c>
      <c r="IZ47" s="254">
        <v>101.67532016483963</v>
      </c>
      <c r="JA47" s="160">
        <v>92.350121449999989</v>
      </c>
      <c r="JB47" s="159">
        <v>113.83313789</v>
      </c>
      <c r="JC47" s="273">
        <v>307.85857950483961</v>
      </c>
      <c r="JD47" s="254">
        <v>142.09935239999999</v>
      </c>
      <c r="JE47" s="160">
        <v>174.1232919</v>
      </c>
      <c r="JF47" s="159">
        <v>189.29961842</v>
      </c>
      <c r="JG47" s="273">
        <v>505.52226271999996</v>
      </c>
      <c r="JH47" s="254">
        <v>180.54126633559764</v>
      </c>
      <c r="JI47" s="160">
        <v>121.7438948805831</v>
      </c>
      <c r="JJ47" s="159">
        <v>199.06325347000001</v>
      </c>
      <c r="JK47" s="273">
        <v>501.34841468618077</v>
      </c>
      <c r="JL47" s="254">
        <v>547.5974495201458</v>
      </c>
      <c r="JM47" s="160">
        <v>268.2372257667347</v>
      </c>
      <c r="JN47" s="160">
        <v>318.00345961935858</v>
      </c>
      <c r="JO47" s="273">
        <v>1133.838134906239</v>
      </c>
      <c r="JP47" s="273">
        <v>2448.5673918172597</v>
      </c>
      <c r="JQ47" s="254">
        <v>422.35723413885427</v>
      </c>
      <c r="JR47" s="160">
        <v>216.23504588</v>
      </c>
      <c r="JS47" s="159">
        <v>228.45022040000003</v>
      </c>
      <c r="JT47" s="273">
        <v>867.04250041885427</v>
      </c>
      <c r="JU47" s="254">
        <v>220.07798537991255</v>
      </c>
      <c r="JV47" s="160">
        <v>297.36715822999997</v>
      </c>
      <c r="JW47" s="159">
        <v>206.86005686999999</v>
      </c>
      <c r="JX47" s="273">
        <v>724.30520047991251</v>
      </c>
      <c r="JY47" s="254">
        <v>244.70648062000001</v>
      </c>
      <c r="JZ47" s="160">
        <v>219.1301449</v>
      </c>
      <c r="KA47" s="159">
        <v>258.96217417999998</v>
      </c>
      <c r="KB47" s="273">
        <v>722.79879970000002</v>
      </c>
      <c r="KC47" s="254">
        <v>228.10520305999998</v>
      </c>
      <c r="KD47" s="160">
        <v>321.59236075000001</v>
      </c>
      <c r="KE47" s="160">
        <v>507.25856143941689</v>
      </c>
      <c r="KF47" s="273">
        <v>1056.9561252494168</v>
      </c>
      <c r="KG47" s="273">
        <v>3371.1026258481834</v>
      </c>
      <c r="KH47" s="221">
        <v>302.94786025999997</v>
      </c>
      <c r="KI47" s="222">
        <v>374.67807513999998</v>
      </c>
      <c r="KJ47" s="223">
        <v>265.49459629</v>
      </c>
      <c r="KK47" s="273">
        <v>943.12053168999989</v>
      </c>
      <c r="KL47" s="221">
        <v>424.45175398000009</v>
      </c>
      <c r="KM47" s="222">
        <v>333.50627215000003</v>
      </c>
      <c r="KN47" s="223">
        <v>290.10306851000001</v>
      </c>
      <c r="KO47" s="273">
        <v>1048.0610946400002</v>
      </c>
      <c r="KP47" s="221">
        <v>283.86307714999998</v>
      </c>
      <c r="KQ47" s="222">
        <v>285.94190628000001</v>
      </c>
      <c r="KR47" s="223">
        <v>309.43508380000003</v>
      </c>
      <c r="KS47" s="273">
        <v>879.24006723000002</v>
      </c>
      <c r="KT47" s="254">
        <v>328.80890731</v>
      </c>
      <c r="KU47" s="160">
        <v>293.80182696999998</v>
      </c>
      <c r="KV47" s="159">
        <v>552.00063452999996</v>
      </c>
      <c r="KW47" s="273">
        <v>1174.6113688099999</v>
      </c>
      <c r="KX47" s="273">
        <v>4045.0330623700002</v>
      </c>
      <c r="KY47" s="221">
        <v>420.38284032000001</v>
      </c>
      <c r="KZ47" s="222">
        <v>341.23458619999997</v>
      </c>
      <c r="LA47" s="223">
        <v>406.76610757999998</v>
      </c>
      <c r="LB47" s="273">
        <v>1168.3835340999999</v>
      </c>
      <c r="LC47" s="221">
        <v>519.37981328000001</v>
      </c>
      <c r="LD47" s="222">
        <v>373.52873336999994</v>
      </c>
      <c r="LE47" s="223">
        <v>507.28813708000001</v>
      </c>
      <c r="LF47" s="273">
        <v>1400.1966837299999</v>
      </c>
      <c r="LG47" s="221">
        <v>359.05084397000002</v>
      </c>
      <c r="LH47" s="222">
        <v>455.75192757000002</v>
      </c>
      <c r="LI47" s="223">
        <v>460.77026055000135</v>
      </c>
      <c r="LJ47" s="273">
        <v>1275.5730320900016</v>
      </c>
      <c r="LK47" s="222">
        <v>458.8464027600001</v>
      </c>
      <c r="LL47" s="222">
        <v>554.65826576000006</v>
      </c>
      <c r="LM47" s="222">
        <v>752.24719928000002</v>
      </c>
      <c r="LN47" s="273">
        <v>1765.7518678000001</v>
      </c>
      <c r="LO47" s="273">
        <v>5609.9051177200017</v>
      </c>
    </row>
    <row r="48" spans="1:327" ht="17.100000000000001" customHeight="1" x14ac:dyDescent="0.2">
      <c r="A48" s="2" t="s">
        <v>35</v>
      </c>
      <c r="B48" s="24"/>
      <c r="C48" s="5">
        <v>874.85</v>
      </c>
      <c r="D48" s="5">
        <v>104.5</v>
      </c>
      <c r="E48" s="5">
        <v>66.5</v>
      </c>
      <c r="F48" s="5">
        <v>73.099999999999994</v>
      </c>
      <c r="G48" s="5">
        <v>244.1</v>
      </c>
      <c r="H48" s="5">
        <v>65.900000000000006</v>
      </c>
      <c r="I48" s="5">
        <v>22.8</v>
      </c>
      <c r="J48" s="5">
        <v>55</v>
      </c>
      <c r="K48" s="5">
        <v>143.69999999999999</v>
      </c>
      <c r="L48" s="5">
        <v>87.4</v>
      </c>
      <c r="M48" s="5">
        <f>M49+M53+M54</f>
        <v>58</v>
      </c>
      <c r="N48" s="5">
        <f>N49+N53+N54</f>
        <v>55.300000000000004</v>
      </c>
      <c r="O48" s="5">
        <f t="shared" si="0"/>
        <v>200.70000000000002</v>
      </c>
      <c r="P48" s="5">
        <f>P49+P53+P54</f>
        <v>52.4</v>
      </c>
      <c r="Q48" s="5">
        <f>Q49+Q53+Q54</f>
        <v>33</v>
      </c>
      <c r="R48" s="5">
        <f>R49+R53+R54</f>
        <v>80.7</v>
      </c>
      <c r="S48" s="5">
        <f t="shared" si="1"/>
        <v>166.10000000000002</v>
      </c>
      <c r="T48" s="16">
        <f t="shared" si="7"/>
        <v>754.6</v>
      </c>
      <c r="U48" s="5">
        <f>U49+U53+U54</f>
        <v>69.600000000000009</v>
      </c>
      <c r="V48" s="5">
        <f>V49+V53+V54</f>
        <v>29.3</v>
      </c>
      <c r="W48" s="5">
        <f>W49+W53+W54</f>
        <v>53.699999999999996</v>
      </c>
      <c r="X48" s="4">
        <f t="shared" si="82"/>
        <v>152.6</v>
      </c>
      <c r="Y48" s="5">
        <f>Y49+Y53+Y54</f>
        <v>40.925000000000004</v>
      </c>
      <c r="Z48" s="5">
        <f>Z49+Z53+Z54</f>
        <v>11.2</v>
      </c>
      <c r="AA48" s="5">
        <f>AA49+AA53+AA54</f>
        <v>31.2</v>
      </c>
      <c r="AB48" s="5">
        <f t="shared" si="83"/>
        <v>83.325000000000003</v>
      </c>
      <c r="AC48" s="5">
        <f>AC49+AC53+AC54</f>
        <v>16</v>
      </c>
      <c r="AD48" s="5">
        <f>AD49+AD53+AD54</f>
        <v>17.420000000000002</v>
      </c>
      <c r="AE48" s="5">
        <f>AE49+AE53+AE54</f>
        <v>29.14</v>
      </c>
      <c r="AF48" s="5">
        <f t="shared" si="84"/>
        <v>62.56</v>
      </c>
      <c r="AG48" s="5">
        <f>AG49+AG53+AG54</f>
        <v>54.005000000000003</v>
      </c>
      <c r="AH48" s="5">
        <f>AH49+AH53+AH54</f>
        <v>16.2</v>
      </c>
      <c r="AI48" s="5">
        <f>AI49+AI53+AI54</f>
        <v>55.300000000000004</v>
      </c>
      <c r="AJ48" s="5">
        <f t="shared" si="128"/>
        <v>125.505</v>
      </c>
      <c r="AK48" s="16">
        <f t="shared" si="129"/>
        <v>423.99</v>
      </c>
      <c r="AL48" s="5">
        <f t="shared" ref="AL48:AT48" si="176">AL49+AL53+AL54</f>
        <v>53.504999999999995</v>
      </c>
      <c r="AM48" s="5">
        <f t="shared" si="176"/>
        <v>4.8849999999999998</v>
      </c>
      <c r="AN48" s="5">
        <f t="shared" si="176"/>
        <v>38.814999999999998</v>
      </c>
      <c r="AO48" s="5">
        <f t="shared" si="86"/>
        <v>97.204999999999984</v>
      </c>
      <c r="AP48" s="5">
        <f t="shared" si="176"/>
        <v>27.89</v>
      </c>
      <c r="AQ48" s="5">
        <f t="shared" si="176"/>
        <v>9.3350000000000009</v>
      </c>
      <c r="AR48" s="5">
        <f t="shared" si="176"/>
        <v>66.215000000000003</v>
      </c>
      <c r="AS48" s="54">
        <f t="shared" si="12"/>
        <v>103.44</v>
      </c>
      <c r="AT48" s="5">
        <f t="shared" si="176"/>
        <v>27.77</v>
      </c>
      <c r="AU48" s="5">
        <f>AU49+AU53+AU54</f>
        <v>22.669999999999998</v>
      </c>
      <c r="AV48" s="5">
        <f>AV49+AV53+AV54</f>
        <v>30.222000000000001</v>
      </c>
      <c r="AW48" s="54">
        <f t="shared" si="87"/>
        <v>80.662000000000006</v>
      </c>
      <c r="AX48" s="5">
        <f>AX49+AX53+AX54</f>
        <v>27.790000000000003</v>
      </c>
      <c r="AY48" s="5">
        <f>AY49+AY53+AY54</f>
        <v>8.5679999999999996</v>
      </c>
      <c r="AZ48" s="5">
        <f>AZ49+AZ53+AZ54</f>
        <v>48.49</v>
      </c>
      <c r="BA48" s="54">
        <f t="shared" si="14"/>
        <v>84.848000000000013</v>
      </c>
      <c r="BB48" s="54">
        <f t="shared" si="131"/>
        <v>366.15500000000003</v>
      </c>
      <c r="BC48" s="5">
        <f>BC49+BC53+BC54</f>
        <v>84.515000000000001</v>
      </c>
      <c r="BD48" s="66">
        <f>BD49+BD53+BD54</f>
        <v>10.855699999999999</v>
      </c>
      <c r="BE48" s="66">
        <f>BE49+BE53+BE54</f>
        <v>31.109400000000001</v>
      </c>
      <c r="BF48" s="62">
        <f>SUM(BC48:BE48)</f>
        <v>126.48009999999999</v>
      </c>
      <c r="BG48" s="67">
        <f>BG49+BG53+BG54</f>
        <v>19.831828999999999</v>
      </c>
      <c r="BH48" s="67">
        <f>BH49+BH53+BH54</f>
        <v>13.99835</v>
      </c>
      <c r="BI48" s="67">
        <f>BI49+BI53+BI54</f>
        <v>14.726419999999999</v>
      </c>
      <c r="BJ48" s="62">
        <f t="shared" si="132"/>
        <v>48.556598999999999</v>
      </c>
      <c r="BK48" s="67">
        <f>BK49+BK53+BK54</f>
        <v>34.586799999999997</v>
      </c>
      <c r="BL48" s="67">
        <f>BL49+BL53+BL54</f>
        <v>26.888299999999997</v>
      </c>
      <c r="BM48" s="67">
        <f>BM49+BM53+BM54</f>
        <v>27.819649000000002</v>
      </c>
      <c r="BN48" s="62">
        <f t="shared" si="133"/>
        <v>89.294748999999996</v>
      </c>
      <c r="BO48" s="71">
        <f>BO49+BO53+BO54</f>
        <v>41.986599999999996</v>
      </c>
      <c r="BP48" s="67">
        <f>BP49+BP53+BP54</f>
        <v>31.099899999999998</v>
      </c>
      <c r="BQ48" s="67">
        <f>BQ49+BQ53+BQ54</f>
        <v>51.84207</v>
      </c>
      <c r="BR48" s="62">
        <f t="shared" si="134"/>
        <v>124.92857000000001</v>
      </c>
      <c r="BS48" s="62">
        <f t="shared" si="135"/>
        <v>389.26001800000006</v>
      </c>
      <c r="BT48" s="67">
        <f>BT49+BT53+BT54</f>
        <v>130.5</v>
      </c>
      <c r="BU48" s="67">
        <f>BU49+BU53+BU54</f>
        <v>20.3</v>
      </c>
      <c r="BV48" s="67">
        <f>BV49+BV53+BV54</f>
        <v>62.800000000000004</v>
      </c>
      <c r="BW48" s="62">
        <f t="shared" si="136"/>
        <v>213.60000000000002</v>
      </c>
      <c r="BX48" s="67">
        <f>BX49+BX53+BX54</f>
        <v>29.549999999999997</v>
      </c>
      <c r="BY48" s="67">
        <f>BY49+BY53+BY54</f>
        <v>20.2</v>
      </c>
      <c r="BZ48" s="67">
        <f>BZ49+BZ53+BZ54</f>
        <v>57.7</v>
      </c>
      <c r="CA48" s="62">
        <f t="shared" si="137"/>
        <v>107.45</v>
      </c>
      <c r="CB48" s="67">
        <f>CB49+CB53+CB54</f>
        <v>45.400000000000006</v>
      </c>
      <c r="CC48" s="67">
        <f>CC49+CC53+CC54</f>
        <v>53.900000000000006</v>
      </c>
      <c r="CD48" s="67">
        <f>CD49+CD53+CD54</f>
        <v>51.6</v>
      </c>
      <c r="CE48" s="62">
        <f t="shared" si="138"/>
        <v>150.9</v>
      </c>
      <c r="CF48" s="67">
        <f>CF49+CF53+CF54</f>
        <v>25.84</v>
      </c>
      <c r="CG48" s="67">
        <f>CG49+CG53+CG54</f>
        <v>65.8</v>
      </c>
      <c r="CH48" s="67">
        <f>CH49+CH53+CH54</f>
        <v>52.5</v>
      </c>
      <c r="CI48" s="67">
        <f t="shared" si="139"/>
        <v>144.13999999999999</v>
      </c>
      <c r="CJ48" s="71">
        <f t="shared" si="112"/>
        <v>616.09</v>
      </c>
      <c r="CK48" s="71">
        <f>CK49+CK53+CK54</f>
        <v>127.1</v>
      </c>
      <c r="CL48" s="67">
        <f>CL49+CL53+CL54</f>
        <v>20.399999999999999</v>
      </c>
      <c r="CM48" s="67">
        <f>CM49+CM53+CM54</f>
        <v>46</v>
      </c>
      <c r="CN48" s="62">
        <f t="shared" si="140"/>
        <v>193.5</v>
      </c>
      <c r="CO48" s="67">
        <f>CO49+CO53+CO54</f>
        <v>33.9</v>
      </c>
      <c r="CP48" s="67">
        <f>CP49+CP53+CP54</f>
        <v>15.100000000000001</v>
      </c>
      <c r="CQ48" s="67">
        <f>CQ49+CQ53+CQ54</f>
        <v>60.9</v>
      </c>
      <c r="CR48" s="62">
        <f t="shared" si="141"/>
        <v>109.9</v>
      </c>
      <c r="CS48" s="101">
        <f>CS49+CS53+CS54</f>
        <v>87.8</v>
      </c>
      <c r="CT48" s="67">
        <f>CT49+CT53+CT54</f>
        <v>73.199999999999989</v>
      </c>
      <c r="CU48" s="67">
        <f>CU49+CU53+CU54</f>
        <v>53.2</v>
      </c>
      <c r="CV48" s="62">
        <f t="shared" si="142"/>
        <v>214.2</v>
      </c>
      <c r="CW48" s="67">
        <f>CW49+CW53+CW54</f>
        <v>50.5</v>
      </c>
      <c r="CX48" s="67">
        <f>CX49+CX53+CX54</f>
        <v>41.2</v>
      </c>
      <c r="CY48" s="112">
        <f>CY49+CY53+CY54</f>
        <v>80.8</v>
      </c>
      <c r="CZ48" s="113">
        <f t="shared" si="143"/>
        <v>172.5</v>
      </c>
      <c r="DA48" s="62">
        <f t="shared" si="125"/>
        <v>690.09999999999991</v>
      </c>
      <c r="DB48" s="71">
        <f>DB49+DB53+DB54</f>
        <v>113.6</v>
      </c>
      <c r="DC48" s="67">
        <f>DC49+DC53+DC54</f>
        <v>39.199999999999996</v>
      </c>
      <c r="DD48" s="67">
        <f>DD49+DD53+DD54</f>
        <v>41.5</v>
      </c>
      <c r="DE48" s="62">
        <f t="shared" si="144"/>
        <v>194.29999999999998</v>
      </c>
      <c r="DF48" s="71">
        <f>DF49+DF53+DF54</f>
        <v>22.5</v>
      </c>
      <c r="DG48" s="67">
        <f>DG49+DG53+DG54</f>
        <v>5.8000000000000007</v>
      </c>
      <c r="DH48" s="67">
        <f>DH49+DH53+DH54</f>
        <v>19</v>
      </c>
      <c r="DI48" s="62">
        <f t="shared" si="145"/>
        <v>47.3</v>
      </c>
      <c r="DJ48" s="71">
        <f>DJ49+DJ53+DJ54</f>
        <v>42.699999999999996</v>
      </c>
      <c r="DK48" s="67">
        <f>DK49+DK53+DK54</f>
        <v>43.5</v>
      </c>
      <c r="DL48" s="67">
        <f>DL49+DL53+DL54</f>
        <v>42.300000000000004</v>
      </c>
      <c r="DM48" s="62">
        <f t="shared" si="146"/>
        <v>128.5</v>
      </c>
      <c r="DN48" s="67">
        <f>DN49+DN53+DN54</f>
        <v>50</v>
      </c>
      <c r="DO48" s="67">
        <f>DO49+DO53+DO54</f>
        <v>22.1</v>
      </c>
      <c r="DP48" s="67">
        <f>DP49+DP53+DP54</f>
        <v>69.400000000000006</v>
      </c>
      <c r="DQ48" s="113">
        <f t="shared" si="147"/>
        <v>141.5</v>
      </c>
      <c r="DR48" s="140">
        <f t="shared" si="126"/>
        <v>511.59999999999997</v>
      </c>
      <c r="DS48" s="141">
        <f>DS49+DS53+DS54</f>
        <v>129.5</v>
      </c>
      <c r="DT48" s="141">
        <f>DT49+DT53+DT54</f>
        <v>35.199999999999996</v>
      </c>
      <c r="DU48" s="141">
        <f>DU49+DU53+DU54</f>
        <v>48.1</v>
      </c>
      <c r="DV48" s="140">
        <f t="shared" si="148"/>
        <v>212.79999999999998</v>
      </c>
      <c r="DW48" s="142">
        <f>DW49+DW53+DW54</f>
        <v>1.9</v>
      </c>
      <c r="DX48" s="141">
        <f>DX49+DX53+DX54</f>
        <v>1.7</v>
      </c>
      <c r="DY48" s="141">
        <f>DY49+DY53+DY54</f>
        <v>14</v>
      </c>
      <c r="DZ48" s="140">
        <f t="shared" si="149"/>
        <v>17.600000000000001</v>
      </c>
      <c r="EA48" s="142">
        <f>EA49+EA53+EA54</f>
        <v>3.5</v>
      </c>
      <c r="EB48" s="141">
        <f>EB49+EB53+EB54</f>
        <v>1.2</v>
      </c>
      <c r="EC48" s="141">
        <f>EC49+EC53+EC54</f>
        <v>2.9</v>
      </c>
      <c r="ED48" s="140">
        <f t="shared" si="150"/>
        <v>7.6</v>
      </c>
      <c r="EE48" s="141">
        <f>EE49+EE53+EE54</f>
        <v>13.1</v>
      </c>
      <c r="EF48" s="141">
        <f>EF49+EF53+EF54</f>
        <v>27.400000000000002</v>
      </c>
      <c r="EG48" s="141">
        <f>EG49+EG53+EG54</f>
        <v>45.5</v>
      </c>
      <c r="EH48" s="140">
        <f t="shared" si="151"/>
        <v>86</v>
      </c>
      <c r="EI48" s="140">
        <f t="shared" si="40"/>
        <v>324</v>
      </c>
      <c r="EJ48" s="141">
        <f>EJ49+EJ53+EJ54</f>
        <v>63.499999999999993</v>
      </c>
      <c r="EK48" s="141">
        <f>EK49+EK53+EK54</f>
        <v>3.1</v>
      </c>
      <c r="EL48" s="141">
        <f>EL49+EL53+EL54</f>
        <v>14.9</v>
      </c>
      <c r="EM48" s="140">
        <f t="shared" si="152"/>
        <v>81.5</v>
      </c>
      <c r="EN48" s="141">
        <f>EN49+EN53+EN54</f>
        <v>1.4</v>
      </c>
      <c r="EO48" s="141">
        <f>EO49+EO53+EO54</f>
        <v>5.7</v>
      </c>
      <c r="EP48" s="141">
        <f>EP49+EP53+EP54</f>
        <v>5.6</v>
      </c>
      <c r="EQ48" s="140">
        <f t="shared" si="153"/>
        <v>12.7</v>
      </c>
      <c r="ER48" s="141">
        <f>ER49+ER53+ER54</f>
        <v>1.61</v>
      </c>
      <c r="ES48" s="141">
        <f>ES49+ES53+ES54</f>
        <v>4.5999999999999996</v>
      </c>
      <c r="ET48" s="141">
        <f>ET49+ET53+ET54</f>
        <v>2.6</v>
      </c>
      <c r="EU48" s="140">
        <f t="shared" si="154"/>
        <v>8.81</v>
      </c>
      <c r="EV48" s="141">
        <f>EV49+EV53+EV54</f>
        <v>3.6</v>
      </c>
      <c r="EW48" s="141">
        <f>EW49+EW53+EW54</f>
        <v>1.4</v>
      </c>
      <c r="EX48" s="141">
        <f>EX49+EX53+EX54</f>
        <v>1.3470318000000001</v>
      </c>
      <c r="EY48" s="140">
        <f t="shared" si="155"/>
        <v>6.3470317999999999</v>
      </c>
      <c r="EZ48" s="169">
        <f t="shared" si="45"/>
        <v>109.3570318</v>
      </c>
      <c r="FA48" s="170"/>
      <c r="FB48" s="169">
        <f>FB49+FB53+FB54</f>
        <v>4.9000000000000004</v>
      </c>
      <c r="FC48" s="169">
        <f>FC49+FC53+FC54</f>
        <v>2.1</v>
      </c>
      <c r="FD48" s="169">
        <f>FD49+FD53+FD54</f>
        <v>4.7</v>
      </c>
      <c r="FE48" s="171">
        <f t="shared" si="156"/>
        <v>11.7</v>
      </c>
      <c r="FF48" s="169">
        <f>FF49+FF53+FF54</f>
        <v>2.1913920026999998</v>
      </c>
      <c r="FG48" s="169">
        <f>FG49+FG53+FG54</f>
        <v>3.9578590093999999</v>
      </c>
      <c r="FH48" s="169">
        <f>FH49+FH53+FH54</f>
        <v>6.6892411805399998</v>
      </c>
      <c r="FI48" s="171">
        <f t="shared" si="157"/>
        <v>12.83849219264</v>
      </c>
      <c r="FJ48" s="169">
        <f>FJ49+FJ53+FJ54</f>
        <v>6.2829666881000001</v>
      </c>
      <c r="FK48" s="169">
        <f>FK49+FK53+FK54</f>
        <v>8.8056652713500014</v>
      </c>
      <c r="FL48" s="169">
        <f>FL49+FL53+FL54</f>
        <v>19.522629196599997</v>
      </c>
      <c r="FM48" s="171">
        <f t="shared" si="158"/>
        <v>34.611261156049999</v>
      </c>
      <c r="FN48" s="172">
        <f>FN49+FN53+FN54</f>
        <v>18.5879122234</v>
      </c>
      <c r="FO48" s="173">
        <f>FO49+FO53+FO54</f>
        <v>22.478769338699998</v>
      </c>
      <c r="FP48" s="173">
        <f>FP49+FP53+FP54</f>
        <v>12.342319009600002</v>
      </c>
      <c r="FQ48" s="175">
        <f t="shared" si="159"/>
        <v>53.409000571700005</v>
      </c>
      <c r="FR48" s="175">
        <f t="shared" si="50"/>
        <v>112.55875392039</v>
      </c>
      <c r="FS48" s="172">
        <f>FS49+FS53+FS54</f>
        <v>17.534412879999998</v>
      </c>
      <c r="FT48" s="173">
        <f>FT49+FT53+FT54</f>
        <v>28.21393042624284</v>
      </c>
      <c r="FU48" s="174">
        <f>FU49+FU53+FU54</f>
        <v>18.039607978600003</v>
      </c>
      <c r="FV48" s="175">
        <f t="shared" si="160"/>
        <v>63.78795128484284</v>
      </c>
      <c r="FW48" s="172">
        <f>FW49+FW53+FW54</f>
        <v>11.506109391799999</v>
      </c>
      <c r="FX48" s="173">
        <f>FX49+FX53+FX54</f>
        <v>16.698721002449002</v>
      </c>
      <c r="FY48" s="173">
        <f>FY49+FY53+FY54</f>
        <v>84.404466995200011</v>
      </c>
      <c r="FZ48" s="175">
        <f t="shared" si="161"/>
        <v>112.60929738944901</v>
      </c>
      <c r="GA48" s="172">
        <f>GA49+GA53+GA54</f>
        <v>16.31856373458</v>
      </c>
      <c r="GB48" s="173">
        <f>GB49+GB53+GB54</f>
        <v>68.843517919299998</v>
      </c>
      <c r="GC48" s="174">
        <f>GC49+GC53+GC54</f>
        <v>34.906056351299995</v>
      </c>
      <c r="GD48" s="175">
        <f t="shared" si="162"/>
        <v>120.06813800517999</v>
      </c>
      <c r="GE48" s="172">
        <f>GE49+GE53+GE54</f>
        <v>17.063393245899999</v>
      </c>
      <c r="GF48" s="173">
        <f>GF49+GF53+GF54</f>
        <v>26.63938231353</v>
      </c>
      <c r="GG48" s="159">
        <f>GG49+GG53+GG54</f>
        <v>23.840863843677898</v>
      </c>
      <c r="GH48" s="174">
        <f t="shared" si="163"/>
        <v>67.543639403107889</v>
      </c>
      <c r="GI48" s="174">
        <f t="shared" si="55"/>
        <v>364.00902608257974</v>
      </c>
      <c r="GJ48" s="221">
        <f>GJ49+GJ53+GJ54</f>
        <v>22.029200069999995</v>
      </c>
      <c r="GK48" s="222">
        <f>GK49+GK53+GK54</f>
        <v>15.16894368795</v>
      </c>
      <c r="GL48" s="223">
        <f>GL49+GL53+GL54</f>
        <v>14.9720419987</v>
      </c>
      <c r="GM48" s="175">
        <f t="shared" si="164"/>
        <v>52.170185756649992</v>
      </c>
      <c r="GN48" s="221">
        <f>GN49+GN53+GN54</f>
        <v>40.0959870489</v>
      </c>
      <c r="GO48" s="222">
        <f>GO49+GO53+GO54</f>
        <v>30.876020597629548</v>
      </c>
      <c r="GP48" s="222">
        <f>GP49+GP53+GP54</f>
        <v>45.712560403953525</v>
      </c>
      <c r="GQ48" s="175">
        <f t="shared" si="165"/>
        <v>116.68456805048308</v>
      </c>
      <c r="GR48" s="222">
        <f>GR49+GR53+GR54</f>
        <v>88.372799756319552</v>
      </c>
      <c r="GS48" s="222">
        <f>GS49+GS53+GS54</f>
        <v>21.2228886924214</v>
      </c>
      <c r="GT48" s="222">
        <f>GT49+GT53+GT54</f>
        <v>46.943047158813599</v>
      </c>
      <c r="GU48" s="175">
        <f t="shared" si="166"/>
        <v>156.53873560755454</v>
      </c>
      <c r="GV48" s="221">
        <f>GV49+GV53+GV54</f>
        <v>320.66473037747613</v>
      </c>
      <c r="GW48" s="222">
        <f>GW49+GW53+GW54</f>
        <v>219.56112262002782</v>
      </c>
      <c r="GX48" s="223">
        <f>GX49+GX53+GX54</f>
        <v>259.29052069008475</v>
      </c>
      <c r="GY48" s="174">
        <f t="shared" si="167"/>
        <v>799.51637368758861</v>
      </c>
      <c r="GZ48" s="159">
        <f t="shared" si="110"/>
        <v>1124.9098631022762</v>
      </c>
      <c r="HA48" s="254">
        <f>HA49+HA53+HA54</f>
        <v>268.73875827404504</v>
      </c>
      <c r="HB48" s="160">
        <f>HB49+HB53+HB54</f>
        <v>149.37249076901003</v>
      </c>
      <c r="HC48" s="159">
        <f>HC49+HC53+HC54</f>
        <v>134.35590887351327</v>
      </c>
      <c r="HD48" s="273">
        <f t="shared" si="168"/>
        <v>552.46715791656834</v>
      </c>
      <c r="HE48" s="254">
        <f>HE49+HE53+HE54</f>
        <v>59.304034521677359</v>
      </c>
      <c r="HF48" s="160">
        <f>HF49+HF53+HF54</f>
        <v>15.3063180795066</v>
      </c>
      <c r="HG48" s="160">
        <f>HG49+HG53+HG54</f>
        <v>39.736746929218768</v>
      </c>
      <c r="HH48" s="273">
        <f t="shared" si="169"/>
        <v>114.34709953040273</v>
      </c>
      <c r="HI48" s="160">
        <f>HI49+HI53+HI54</f>
        <v>72.648498631941308</v>
      </c>
      <c r="HJ48" s="160">
        <f>HJ49+HJ53+HJ54</f>
        <v>34.236137879500852</v>
      </c>
      <c r="HK48" s="160">
        <f>HK49+HK53+HK54</f>
        <v>88.449158069542619</v>
      </c>
      <c r="HL48" s="273">
        <f t="shared" si="170"/>
        <v>195.33379458098477</v>
      </c>
      <c r="HM48" s="254">
        <f>HM49+HM53+HM54</f>
        <v>95.959305351560019</v>
      </c>
      <c r="HN48" s="160">
        <f>HN49+HN53+HN54</f>
        <v>138.35307513010432</v>
      </c>
      <c r="HO48" s="159">
        <f>HO49+HO53+HO54</f>
        <v>160.9603290201</v>
      </c>
      <c r="HP48" s="273">
        <f t="shared" si="171"/>
        <v>395.27270950176433</v>
      </c>
      <c r="HQ48" s="273">
        <f t="shared" si="127"/>
        <v>1257.42076152972</v>
      </c>
      <c r="HR48" s="254">
        <f>HR49+HR53+HR54</f>
        <v>154.71760150054519</v>
      </c>
      <c r="HS48" s="160">
        <f>HS49+HS53+HS54</f>
        <v>257.76269836779051</v>
      </c>
      <c r="HT48" s="159">
        <f>HT49+HT53+HT54</f>
        <v>195.63197061999998</v>
      </c>
      <c r="HU48" s="273">
        <f t="shared" si="172"/>
        <v>608.11227048833564</v>
      </c>
      <c r="HV48" s="254">
        <f>HV49+HV53+HV54</f>
        <v>87.268110769928256</v>
      </c>
      <c r="HW48" s="160">
        <f>HW49+HW53+HW54</f>
        <v>31.947033340344333</v>
      </c>
      <c r="HX48" s="160">
        <f>HX49+HX53+HX54</f>
        <v>77.245601440286947</v>
      </c>
      <c r="HY48" s="273">
        <f t="shared" si="173"/>
        <v>196.46074555055952</v>
      </c>
      <c r="HZ48" s="160">
        <f>HZ49+HZ53+HZ54</f>
        <v>66.002458669038745</v>
      </c>
      <c r="IA48" s="160">
        <f>IA49+IA53+IA54</f>
        <v>27.000137600358681</v>
      </c>
      <c r="IB48" s="160">
        <f>IB49+IB53+IB54</f>
        <v>69.705549279813496</v>
      </c>
      <c r="IC48" s="273">
        <f t="shared" si="174"/>
        <v>162.70814554921094</v>
      </c>
      <c r="ID48" s="254">
        <f>ID49+ID53+ID54</f>
        <v>33.164497830000002</v>
      </c>
      <c r="IE48" s="160">
        <f>IE49+IE53+IE54</f>
        <v>46.516194069999997</v>
      </c>
      <c r="IF48" s="159">
        <f>IF49+IF53+IF54</f>
        <v>368.33054512000001</v>
      </c>
      <c r="IG48" s="273">
        <f t="shared" si="175"/>
        <v>448.01123702000001</v>
      </c>
      <c r="IH48" s="273">
        <v>1415.2923986081062</v>
      </c>
      <c r="II48" s="254">
        <v>70.968565010000006</v>
      </c>
      <c r="IJ48" s="160">
        <v>69.912316990000008</v>
      </c>
      <c r="IK48" s="159">
        <v>34.481823480000003</v>
      </c>
      <c r="IL48" s="273">
        <v>175.36270548000002</v>
      </c>
      <c r="IM48" s="254">
        <v>22.863064720000001</v>
      </c>
      <c r="IN48" s="160">
        <v>49.938020229999999</v>
      </c>
      <c r="IO48" s="160">
        <v>68.902257679999991</v>
      </c>
      <c r="IP48" s="273">
        <v>141.70334263000001</v>
      </c>
      <c r="IQ48" s="254">
        <v>18.06548639</v>
      </c>
      <c r="IR48" s="160">
        <v>426.14628589999995</v>
      </c>
      <c r="IS48" s="159">
        <v>43.761026479999998</v>
      </c>
      <c r="IT48" s="273">
        <v>487.97279876999994</v>
      </c>
      <c r="IU48" s="254">
        <v>55.388215860553125</v>
      </c>
      <c r="IV48" s="160">
        <v>38.820241528747033</v>
      </c>
      <c r="IW48" s="159">
        <v>51.525788546793002</v>
      </c>
      <c r="IX48" s="273">
        <v>145.73424593609315</v>
      </c>
      <c r="IY48" s="273">
        <v>950.77309281609314</v>
      </c>
      <c r="IZ48" s="254">
        <v>58.223512528717194</v>
      </c>
      <c r="JA48" s="160">
        <v>25.164646040000001</v>
      </c>
      <c r="JB48" s="159">
        <v>91.042884200000003</v>
      </c>
      <c r="JC48" s="273">
        <v>174.43104276871719</v>
      </c>
      <c r="JD48" s="254">
        <v>101.69506216999999</v>
      </c>
      <c r="JE48" s="160">
        <v>145.01983049</v>
      </c>
      <c r="JF48" s="159">
        <v>113.15927422</v>
      </c>
      <c r="JG48" s="273">
        <v>359.87416687999996</v>
      </c>
      <c r="JH48" s="254">
        <v>133.71038378999998</v>
      </c>
      <c r="JI48" s="160">
        <v>103.03155608746356</v>
      </c>
      <c r="JJ48" s="159">
        <v>168.12982299000001</v>
      </c>
      <c r="JK48" s="273">
        <v>404.87176286746353</v>
      </c>
      <c r="JL48" s="254">
        <v>315.87170948040819</v>
      </c>
      <c r="JM48" s="160">
        <v>206.40651748364431</v>
      </c>
      <c r="JN48" s="160">
        <v>244.0051718100583</v>
      </c>
      <c r="JO48" s="273">
        <v>766.28339877411076</v>
      </c>
      <c r="JP48" s="273">
        <v>1705.4603712902915</v>
      </c>
      <c r="JQ48" s="254">
        <v>296.68891518000004</v>
      </c>
      <c r="JR48" s="160">
        <v>188.01747638000001</v>
      </c>
      <c r="JS48" s="159">
        <v>194.07559095000002</v>
      </c>
      <c r="JT48" s="273">
        <v>678.78198251000003</v>
      </c>
      <c r="JU48" s="254">
        <v>168.54608047000002</v>
      </c>
      <c r="JV48" s="160">
        <v>150.28167858999998</v>
      </c>
      <c r="JW48" s="159">
        <v>100.71628896000001</v>
      </c>
      <c r="JX48" s="273">
        <v>419.54404801999999</v>
      </c>
      <c r="JY48" s="254">
        <v>151.88042981000001</v>
      </c>
      <c r="JZ48" s="160">
        <v>153.28493548</v>
      </c>
      <c r="KA48" s="159">
        <v>193.11130001999996</v>
      </c>
      <c r="KB48" s="273">
        <v>498.27666531</v>
      </c>
      <c r="KC48" s="254">
        <v>147.11397881999997</v>
      </c>
      <c r="KD48" s="160">
        <v>241.82256089999998</v>
      </c>
      <c r="KE48" s="160">
        <v>363.46164131</v>
      </c>
      <c r="KF48" s="273">
        <v>752.39818102999993</v>
      </c>
      <c r="KG48" s="273">
        <v>2349.00087687</v>
      </c>
      <c r="KH48" s="221">
        <v>248.54719600999999</v>
      </c>
      <c r="KI48" s="222">
        <v>271.16710542999999</v>
      </c>
      <c r="KJ48" s="223">
        <v>212.07541540000003</v>
      </c>
      <c r="KK48" s="273">
        <v>731.78971683999998</v>
      </c>
      <c r="KL48" s="221">
        <v>305.09248516000008</v>
      </c>
      <c r="KM48" s="222">
        <v>226.03434677000001</v>
      </c>
      <c r="KN48" s="223">
        <v>196.46453176</v>
      </c>
      <c r="KO48" s="273">
        <v>727.59136369000009</v>
      </c>
      <c r="KP48" s="221">
        <v>192.59939030000001</v>
      </c>
      <c r="KQ48" s="222">
        <v>193.59555342000002</v>
      </c>
      <c r="KR48" s="223">
        <v>206.74943177</v>
      </c>
      <c r="KS48" s="273">
        <v>592.94437549000008</v>
      </c>
      <c r="KT48" s="254">
        <v>244.54041566000001</v>
      </c>
      <c r="KU48" s="160">
        <v>225.62647957999999</v>
      </c>
      <c r="KV48" s="159">
        <v>444.925657</v>
      </c>
      <c r="KW48" s="273">
        <v>915.09255224000003</v>
      </c>
      <c r="KX48" s="273">
        <v>2967.4180082600005</v>
      </c>
      <c r="KY48" s="221">
        <v>325.70297386999999</v>
      </c>
      <c r="KZ48" s="222">
        <v>307.05301419999995</v>
      </c>
      <c r="LA48" s="223">
        <v>315.11618166</v>
      </c>
      <c r="LB48" s="273">
        <v>947.87216973</v>
      </c>
      <c r="LC48" s="221">
        <v>355.87503250000003</v>
      </c>
      <c r="LD48" s="222">
        <v>264.28623634999997</v>
      </c>
      <c r="LE48" s="223">
        <v>421.44000231000001</v>
      </c>
      <c r="LF48" s="273">
        <v>1041.6012711599999</v>
      </c>
      <c r="LG48" s="221">
        <v>303.42271027000004</v>
      </c>
      <c r="LH48" s="222">
        <v>394.21360186000004</v>
      </c>
      <c r="LI48" s="223">
        <v>372.13980322999998</v>
      </c>
      <c r="LJ48" s="273">
        <v>1069.7761153599999</v>
      </c>
      <c r="LK48" s="221">
        <v>390.55419727000009</v>
      </c>
      <c r="LL48" s="222">
        <v>440.93935142000004</v>
      </c>
      <c r="LM48" s="223">
        <v>654.16852444000006</v>
      </c>
      <c r="LN48" s="273">
        <v>1485.6620731300002</v>
      </c>
      <c r="LO48" s="273">
        <v>4544.9116293799998</v>
      </c>
    </row>
    <row r="49" spans="1:327" ht="17.100000000000001" customHeight="1" x14ac:dyDescent="0.2">
      <c r="A49" s="2" t="s">
        <v>60</v>
      </c>
      <c r="B49" s="24"/>
      <c r="C49" s="5">
        <v>12.54</v>
      </c>
      <c r="D49" s="5">
        <v>1.3</v>
      </c>
      <c r="E49" s="5">
        <v>0.1</v>
      </c>
      <c r="F49" s="5">
        <v>1.8</v>
      </c>
      <c r="G49" s="5">
        <v>3.2</v>
      </c>
      <c r="H49" s="5">
        <v>0.3</v>
      </c>
      <c r="I49" s="5">
        <v>0.3</v>
      </c>
      <c r="J49" s="5">
        <v>0.4</v>
      </c>
      <c r="K49" s="5">
        <v>1</v>
      </c>
      <c r="L49" s="5">
        <v>0.5</v>
      </c>
      <c r="M49" s="5">
        <f>SUM(M50:M52)</f>
        <v>0</v>
      </c>
      <c r="N49" s="5">
        <f>SUM(N50:N52)</f>
        <v>0.2</v>
      </c>
      <c r="O49" s="5">
        <f t="shared" si="0"/>
        <v>0.7</v>
      </c>
      <c r="P49" s="5">
        <f>SUM(P50:P52)</f>
        <v>0.6</v>
      </c>
      <c r="Q49" s="5">
        <f>SUM(Q50:Q52)</f>
        <v>1.4</v>
      </c>
      <c r="R49" s="5">
        <f>SUM(R50:R52)</f>
        <v>1.3</v>
      </c>
      <c r="S49" s="5">
        <f t="shared" si="1"/>
        <v>3.3</v>
      </c>
      <c r="T49" s="16">
        <f t="shared" si="7"/>
        <v>8.1999999999999993</v>
      </c>
      <c r="U49" s="5">
        <f>SUM(U50:U52)</f>
        <v>0.2</v>
      </c>
      <c r="V49" s="5">
        <f>SUM(V50:V52)</f>
        <v>1.5</v>
      </c>
      <c r="W49" s="5">
        <f>SUM(W50:W52)</f>
        <v>0.4</v>
      </c>
      <c r="X49" s="4">
        <f t="shared" ref="X49:X64" si="177">U49+V49+W49</f>
        <v>2.1</v>
      </c>
      <c r="Y49" s="5">
        <f>SUM(Y50:Y52)</f>
        <v>0.2</v>
      </c>
      <c r="Z49" s="5">
        <f>SUM(Z50:Z52)</f>
        <v>0.1</v>
      </c>
      <c r="AA49" s="5">
        <f>SUM(AA50:AA52)</f>
        <v>0</v>
      </c>
      <c r="AB49" s="5">
        <f t="shared" ref="AB49:AB64" si="178">Y49+Z49+AA49</f>
        <v>0.30000000000000004</v>
      </c>
      <c r="AC49" s="5">
        <f>SUM(AC50:AC52)</f>
        <v>0</v>
      </c>
      <c r="AD49" s="5">
        <f>SUM(AD50:AD52)</f>
        <v>0.08</v>
      </c>
      <c r="AE49" s="5">
        <f>SUM(AE50:AE52)</f>
        <v>0.04</v>
      </c>
      <c r="AF49" s="5">
        <f t="shared" ref="AF49:AF64" si="179">AC49+AD49+AE49</f>
        <v>0.12</v>
      </c>
      <c r="AG49" s="5">
        <f>SUM(AG50:AG52)</f>
        <v>0</v>
      </c>
      <c r="AH49" s="5">
        <f>SUM(AH50:AH52)</f>
        <v>0.2</v>
      </c>
      <c r="AI49" s="5">
        <f>SUM(AI50:AI52)</f>
        <v>0.2</v>
      </c>
      <c r="AJ49" s="5">
        <f t="shared" si="128"/>
        <v>0.4</v>
      </c>
      <c r="AK49" s="16">
        <f t="shared" si="129"/>
        <v>2.9200000000000004</v>
      </c>
      <c r="AL49" s="5">
        <f t="shared" ref="AL49:AT49" si="180">SUM(AL50:AL52)</f>
        <v>0.40500000000000003</v>
      </c>
      <c r="AM49" s="5">
        <f t="shared" si="180"/>
        <v>0</v>
      </c>
      <c r="AN49" s="5">
        <f t="shared" si="180"/>
        <v>0.4</v>
      </c>
      <c r="AO49" s="5">
        <f t="shared" si="86"/>
        <v>0.80500000000000005</v>
      </c>
      <c r="AP49" s="5">
        <f t="shared" si="180"/>
        <v>0</v>
      </c>
      <c r="AQ49" s="5">
        <f t="shared" si="180"/>
        <v>0</v>
      </c>
      <c r="AR49" s="5">
        <f t="shared" si="180"/>
        <v>0.5</v>
      </c>
      <c r="AS49" s="54">
        <f t="shared" si="12"/>
        <v>0.5</v>
      </c>
      <c r="AT49" s="5">
        <f t="shared" si="180"/>
        <v>0</v>
      </c>
      <c r="AU49" s="5">
        <f>SUM(AU50:AU52)</f>
        <v>0</v>
      </c>
      <c r="AV49" s="5">
        <f>SUM(AV50:AV52)</f>
        <v>0</v>
      </c>
      <c r="AW49" s="54">
        <f t="shared" si="87"/>
        <v>0</v>
      </c>
      <c r="AX49" s="5">
        <f>SUM(AX50:AX52)</f>
        <v>0</v>
      </c>
      <c r="AY49" s="5">
        <f>SUM(AY50:AY52)</f>
        <v>0</v>
      </c>
      <c r="AZ49" s="5">
        <f>SUM(AZ50:AZ52)</f>
        <v>1.2</v>
      </c>
      <c r="BA49" s="54">
        <f t="shared" si="14"/>
        <v>1.2</v>
      </c>
      <c r="BB49" s="54">
        <f t="shared" si="131"/>
        <v>2.5049999999999999</v>
      </c>
      <c r="BC49" s="5">
        <f>SUM(BC50:BC52)</f>
        <v>0.12379999999999999</v>
      </c>
      <c r="BD49" s="66">
        <f>SUM(BD50:BD52)</f>
        <v>1.7595000000000001</v>
      </c>
      <c r="BE49" s="66">
        <f>SUM(BE50:BE52)</f>
        <v>0</v>
      </c>
      <c r="BF49" s="62">
        <f>SUM(BC49:BE49)</f>
        <v>1.8833</v>
      </c>
      <c r="BG49" s="67">
        <f>SUM(BG50:BG52)</f>
        <v>0</v>
      </c>
      <c r="BH49" s="67">
        <f>SUM(BH50:BH52)</f>
        <v>0.34523999999999999</v>
      </c>
      <c r="BI49" s="67">
        <f>SUM(BI50:BI52)</f>
        <v>0.34272000000000002</v>
      </c>
      <c r="BJ49" s="62">
        <f t="shared" si="132"/>
        <v>0.68796000000000002</v>
      </c>
      <c r="BK49" s="67">
        <f>SUM(BK50:BK52)</f>
        <v>0</v>
      </c>
      <c r="BL49" s="67">
        <f>SUM(BL50:BL52)</f>
        <v>3.8300000000000001E-2</v>
      </c>
      <c r="BM49" s="67">
        <f>SUM(BM50:BM52)</f>
        <v>0</v>
      </c>
      <c r="BN49" s="62">
        <f t="shared" si="133"/>
        <v>3.8300000000000001E-2</v>
      </c>
      <c r="BO49" s="71">
        <f>SUM(BO50:BO52)</f>
        <v>0</v>
      </c>
      <c r="BP49" s="67">
        <f>SUM(BP50:BP52)</f>
        <v>0</v>
      </c>
      <c r="BQ49" s="67">
        <f>SUM(BQ50:BQ52)</f>
        <v>0</v>
      </c>
      <c r="BR49" s="62">
        <f t="shared" si="134"/>
        <v>0</v>
      </c>
      <c r="BS49" s="62">
        <f t="shared" si="135"/>
        <v>2.6095600000000001</v>
      </c>
      <c r="BT49" s="67">
        <f>SUM(BT50:BT52)</f>
        <v>0</v>
      </c>
      <c r="BU49" s="67">
        <f>SUM(BU50:BU52)</f>
        <v>0</v>
      </c>
      <c r="BV49" s="67">
        <f>SUM(BV50:BV52)</f>
        <v>0</v>
      </c>
      <c r="BW49" s="62">
        <f t="shared" si="136"/>
        <v>0</v>
      </c>
      <c r="BX49" s="67">
        <f>SUM(BX50:BX52)</f>
        <v>0</v>
      </c>
      <c r="BY49" s="67">
        <f>SUM(BY50:BY52)</f>
        <v>0</v>
      </c>
      <c r="BZ49" s="67">
        <f>SUM(BZ50:BZ52)</f>
        <v>0</v>
      </c>
      <c r="CA49" s="62">
        <f t="shared" si="137"/>
        <v>0</v>
      </c>
      <c r="CB49" s="67">
        <f>SUM(CB50:CB52)</f>
        <v>0</v>
      </c>
      <c r="CC49" s="67">
        <f>SUM(CC50:CC52)</f>
        <v>0</v>
      </c>
      <c r="CD49" s="67">
        <f>SUM(CD50:CD52)</f>
        <v>0</v>
      </c>
      <c r="CE49" s="62">
        <f t="shared" si="138"/>
        <v>0</v>
      </c>
      <c r="CF49" s="67">
        <f>SUM(CF50:CF52)</f>
        <v>0</v>
      </c>
      <c r="CG49" s="67">
        <f>SUM(CG50:CG52)</f>
        <v>0</v>
      </c>
      <c r="CH49" s="67">
        <f>SUM(CH50:CH52)</f>
        <v>0</v>
      </c>
      <c r="CI49" s="67">
        <f t="shared" si="139"/>
        <v>0</v>
      </c>
      <c r="CJ49" s="71">
        <f t="shared" si="112"/>
        <v>0</v>
      </c>
      <c r="CK49" s="71">
        <f>SUM(CK50:CK52)</f>
        <v>0</v>
      </c>
      <c r="CL49" s="67">
        <f>SUM(CL50:CL52)</f>
        <v>0</v>
      </c>
      <c r="CM49" s="67">
        <f>SUM(CM50:CM52)</f>
        <v>0</v>
      </c>
      <c r="CN49" s="62">
        <f t="shared" si="140"/>
        <v>0</v>
      </c>
      <c r="CO49" s="67">
        <f>SUM(CO50:CO52)</f>
        <v>0</v>
      </c>
      <c r="CP49" s="67">
        <f>SUM(CP50:CP52)</f>
        <v>0</v>
      </c>
      <c r="CQ49" s="67">
        <f>SUM(CQ50:CQ52)</f>
        <v>0</v>
      </c>
      <c r="CR49" s="62">
        <f t="shared" si="141"/>
        <v>0</v>
      </c>
      <c r="CS49" s="101">
        <f>SUM(CS50:CS52)</f>
        <v>0</v>
      </c>
      <c r="CT49" s="67">
        <f>SUM(CT50:CT52)</f>
        <v>0</v>
      </c>
      <c r="CU49" s="67">
        <f>SUM(CU50:CU52)</f>
        <v>0</v>
      </c>
      <c r="CV49" s="62">
        <f t="shared" si="142"/>
        <v>0</v>
      </c>
      <c r="CW49" s="67">
        <f>SUM(CW50:CW52)</f>
        <v>0</v>
      </c>
      <c r="CX49" s="67">
        <f>SUM(CX50:CX52)</f>
        <v>0</v>
      </c>
      <c r="CY49" s="112">
        <f>SUM(CY50:CY52)</f>
        <v>0</v>
      </c>
      <c r="CZ49" s="113">
        <f t="shared" si="143"/>
        <v>0</v>
      </c>
      <c r="DA49" s="62">
        <f t="shared" si="125"/>
        <v>0</v>
      </c>
      <c r="DB49" s="71">
        <f>SUM(DB50:DB52)</f>
        <v>0</v>
      </c>
      <c r="DC49" s="67">
        <f>SUM(DC50:DC52)</f>
        <v>0</v>
      </c>
      <c r="DD49" s="67">
        <f>SUM(DD50:DD52)</f>
        <v>0</v>
      </c>
      <c r="DE49" s="62">
        <f t="shared" si="144"/>
        <v>0</v>
      </c>
      <c r="DF49" s="71">
        <f>SUM(DF50:DF52)</f>
        <v>0</v>
      </c>
      <c r="DG49" s="67">
        <f>SUM(DG50:DG52)</f>
        <v>0</v>
      </c>
      <c r="DH49" s="67">
        <f>SUM(DH50:DH52)</f>
        <v>0</v>
      </c>
      <c r="DI49" s="62">
        <f t="shared" si="145"/>
        <v>0</v>
      </c>
      <c r="DJ49" s="71">
        <f>SUM(DJ50:DJ52)</f>
        <v>0</v>
      </c>
      <c r="DK49" s="67">
        <f>SUM(DK50:DK52)</f>
        <v>0</v>
      </c>
      <c r="DL49" s="67">
        <f>SUM(DL50:DL52)</f>
        <v>0</v>
      </c>
      <c r="DM49" s="62">
        <f t="shared" si="146"/>
        <v>0</v>
      </c>
      <c r="DN49" s="67">
        <f>SUM(DN50:DN52)</f>
        <v>0</v>
      </c>
      <c r="DO49" s="67">
        <f>SUM(DO50:DO52)</f>
        <v>0</v>
      </c>
      <c r="DP49" s="67">
        <f>SUM(DP50:DP52)</f>
        <v>0</v>
      </c>
      <c r="DQ49" s="113">
        <f t="shared" si="147"/>
        <v>0</v>
      </c>
      <c r="DR49" s="140">
        <f t="shared" si="126"/>
        <v>0</v>
      </c>
      <c r="DS49" s="141">
        <f>SUM(DS50:DS52)</f>
        <v>0</v>
      </c>
      <c r="DT49" s="141">
        <f>SUM(DT50:DT52)</f>
        <v>0</v>
      </c>
      <c r="DU49" s="141">
        <f>SUM(DU50:DU52)</f>
        <v>0</v>
      </c>
      <c r="DV49" s="140">
        <f t="shared" si="148"/>
        <v>0</v>
      </c>
      <c r="DW49" s="142">
        <f>SUM(DW50:DW52)</f>
        <v>0</v>
      </c>
      <c r="DX49" s="141">
        <f>SUM(DX50:DX52)</f>
        <v>0</v>
      </c>
      <c r="DY49" s="141">
        <f>SUM(DY50:DY52)</f>
        <v>0</v>
      </c>
      <c r="DZ49" s="140">
        <f t="shared" si="149"/>
        <v>0</v>
      </c>
      <c r="EA49" s="142">
        <f>SUM(EA50:EA52)</f>
        <v>0</v>
      </c>
      <c r="EB49" s="141">
        <f>SUM(EB50:EB52)</f>
        <v>0</v>
      </c>
      <c r="EC49" s="141">
        <f>SUM(EC50:EC52)</f>
        <v>0</v>
      </c>
      <c r="ED49" s="140">
        <f t="shared" si="150"/>
        <v>0</v>
      </c>
      <c r="EE49" s="141">
        <f>SUM(EE50:EE52)</f>
        <v>0</v>
      </c>
      <c r="EF49" s="141">
        <f>SUM(EF50:EF52)</f>
        <v>0</v>
      </c>
      <c r="EG49" s="141">
        <f>SUM(EG50:EG52)</f>
        <v>0</v>
      </c>
      <c r="EH49" s="140">
        <f t="shared" si="151"/>
        <v>0</v>
      </c>
      <c r="EI49" s="140">
        <f t="shared" si="40"/>
        <v>0</v>
      </c>
      <c r="EJ49" s="141">
        <f>SUM(EJ50:EJ52)</f>
        <v>1.9</v>
      </c>
      <c r="EK49" s="141">
        <f>SUM(EK50:EK52)</f>
        <v>0.3</v>
      </c>
      <c r="EL49" s="141">
        <f>SUM(EL50:EL52)</f>
        <v>0.4</v>
      </c>
      <c r="EM49" s="140">
        <f t="shared" si="152"/>
        <v>2.5999999999999996</v>
      </c>
      <c r="EN49" s="141">
        <f>SUM(EN50:EN52)</f>
        <v>0</v>
      </c>
      <c r="EO49" s="141">
        <f>SUM(EO50:EO52)</f>
        <v>0</v>
      </c>
      <c r="EP49" s="141">
        <f>SUM(EP50:EP52)</f>
        <v>2.6</v>
      </c>
      <c r="EQ49" s="140">
        <f t="shared" si="153"/>
        <v>2.6</v>
      </c>
      <c r="ER49" s="141">
        <f>SUM(ER50:ER52)</f>
        <v>0</v>
      </c>
      <c r="ES49" s="141">
        <f>SUM(ES50:ES52)</f>
        <v>2.2000000000000002</v>
      </c>
      <c r="ET49" s="141">
        <f>SUM(ET50:ET52)</f>
        <v>0</v>
      </c>
      <c r="EU49" s="140">
        <f t="shared" si="154"/>
        <v>2.2000000000000002</v>
      </c>
      <c r="EV49" s="141">
        <f>SUM(EV50:EV52)</f>
        <v>2.5</v>
      </c>
      <c r="EW49" s="141">
        <f>SUM(EW50:EW52)</f>
        <v>0</v>
      </c>
      <c r="EX49" s="141">
        <f>SUM(EX50:EX52)</f>
        <v>0</v>
      </c>
      <c r="EY49" s="140">
        <f t="shared" si="155"/>
        <v>2.5</v>
      </c>
      <c r="EZ49" s="169">
        <f t="shared" si="45"/>
        <v>9.8999999999999986</v>
      </c>
      <c r="FA49" s="170"/>
      <c r="FB49" s="169">
        <f>SUM(FB50:FB52)</f>
        <v>3.1</v>
      </c>
      <c r="FC49" s="169">
        <f>SUM(FC50:FC52)</f>
        <v>0</v>
      </c>
      <c r="FD49" s="169">
        <f>SUM(FD50:FD52)</f>
        <v>2.6</v>
      </c>
      <c r="FE49" s="171">
        <f t="shared" si="156"/>
        <v>5.7</v>
      </c>
      <c r="FF49" s="169">
        <f>SUM(FF50:FF52)</f>
        <v>0</v>
      </c>
      <c r="FG49" s="169">
        <f>SUM(FG50:FG52)</f>
        <v>2.6582731900000001</v>
      </c>
      <c r="FH49" s="169">
        <f>SUM(FH50:FH52)</f>
        <v>2.8215110000000001</v>
      </c>
      <c r="FI49" s="171">
        <f t="shared" si="157"/>
        <v>5.4797841900000002</v>
      </c>
      <c r="FJ49" s="169">
        <f>SUM(FJ50:FJ52)</f>
        <v>3.69684664</v>
      </c>
      <c r="FK49" s="169">
        <f>SUM(FK50:FK52)</f>
        <v>6.5868860310000006</v>
      </c>
      <c r="FL49" s="169">
        <f>SUM(FL50:FL52)</f>
        <v>17.666963631999998</v>
      </c>
      <c r="FM49" s="171">
        <f t="shared" si="158"/>
        <v>27.950696303000001</v>
      </c>
      <c r="FN49" s="172">
        <f>SUM(FN50:FN52)</f>
        <v>16.336968621600001</v>
      </c>
      <c r="FO49" s="173">
        <f>SUM(FO50:FO52)</f>
        <v>20.343585739399998</v>
      </c>
      <c r="FP49" s="173">
        <f>SUM(FP50:FP52)</f>
        <v>9.7533622100000024</v>
      </c>
      <c r="FQ49" s="175">
        <f t="shared" si="159"/>
        <v>46.433916570999997</v>
      </c>
      <c r="FR49" s="175">
        <f t="shared" si="50"/>
        <v>85.564397063999991</v>
      </c>
      <c r="FS49" s="172">
        <f>SUM(FS50:FS52)</f>
        <v>13.94218699</v>
      </c>
      <c r="FT49" s="173">
        <f>SUM(FT50:FT52)</f>
        <v>25.765263466942841</v>
      </c>
      <c r="FU49" s="174">
        <f>SUM(FU50:FU52)</f>
        <v>14.073316599600002</v>
      </c>
      <c r="FV49" s="175">
        <f t="shared" si="160"/>
        <v>53.780767056542842</v>
      </c>
      <c r="FW49" s="172">
        <f>SUM(FW50:FW52)</f>
        <v>9.7019849708999999</v>
      </c>
      <c r="FX49" s="173">
        <f>SUM(FX50:FX52)</f>
        <v>13.173052391049001</v>
      </c>
      <c r="FY49" s="173">
        <f>SUM(FY50:FY52)</f>
        <v>80.061747287200006</v>
      </c>
      <c r="FZ49" s="175">
        <f t="shared" si="161"/>
        <v>102.936784649149</v>
      </c>
      <c r="GA49" s="172">
        <f>SUM(GA50:GA52)</f>
        <v>9.1516814853799993</v>
      </c>
      <c r="GB49" s="173">
        <f>SUM(GB50:GB52)</f>
        <v>65.422512739599995</v>
      </c>
      <c r="GC49" s="174">
        <f>SUM(GC50:GC52)</f>
        <v>31.809275132599996</v>
      </c>
      <c r="GD49" s="175">
        <f t="shared" si="162"/>
        <v>106.38346935757998</v>
      </c>
      <c r="GE49" s="172">
        <f>SUM(GE50:GE52)</f>
        <v>13.8426976777</v>
      </c>
      <c r="GF49" s="173">
        <f>SUM(GF50:GF52)</f>
        <v>23.143751901999998</v>
      </c>
      <c r="GG49" s="159">
        <f>SUM(GG50:GG52)</f>
        <v>19.834510523677899</v>
      </c>
      <c r="GH49" s="174">
        <f t="shared" si="163"/>
        <v>56.820960103377899</v>
      </c>
      <c r="GI49" s="174">
        <f t="shared" si="55"/>
        <v>319.92198116664974</v>
      </c>
      <c r="GJ49" s="221">
        <f>SUM(GJ50:GJ52)</f>
        <v>20.386588390999997</v>
      </c>
      <c r="GK49" s="222">
        <f>SUM(GK50:GK52)</f>
        <v>13.0467312589</v>
      </c>
      <c r="GL49" s="223">
        <f>SUM(GL50:GL52)</f>
        <v>11.733348779889999</v>
      </c>
      <c r="GM49" s="175">
        <f t="shared" si="164"/>
        <v>45.166668429790001</v>
      </c>
      <c r="GN49" s="221">
        <f>SUM(GN50:GN52)</f>
        <v>37.038956090199996</v>
      </c>
      <c r="GO49" s="222">
        <f>SUM(GO50:GO52)</f>
        <v>26.145229809592379</v>
      </c>
      <c r="GP49" s="222">
        <f>SUM(GP50:GP52)</f>
        <v>42.05485649611623</v>
      </c>
      <c r="GQ49" s="175">
        <f t="shared" si="165"/>
        <v>105.2390423959086</v>
      </c>
      <c r="GR49" s="222">
        <f>SUM(GR50:GR52)</f>
        <v>83.272799756319557</v>
      </c>
      <c r="GS49" s="222">
        <f>SUM(GS50:GS52)</f>
        <v>18.226309090993439</v>
      </c>
      <c r="GT49" s="222">
        <f>SUM(GT50:GT52)</f>
        <v>43.108682569384698</v>
      </c>
      <c r="GU49" s="175">
        <f t="shared" si="166"/>
        <v>144.60779141669769</v>
      </c>
      <c r="GV49" s="221">
        <f>SUM(GV50:GV52)</f>
        <v>41.086241659051765</v>
      </c>
      <c r="GW49" s="222">
        <f>SUM(GW50:GW52)</f>
        <v>14.654717950573882</v>
      </c>
      <c r="GX49" s="223">
        <f>SUM(GX50:GX52)</f>
        <v>25.754395710186508</v>
      </c>
      <c r="GY49" s="174">
        <f t="shared" si="167"/>
        <v>81.495355319812148</v>
      </c>
      <c r="GZ49" s="159">
        <f t="shared" si="110"/>
        <v>376.50885756220839</v>
      </c>
      <c r="HA49" s="254">
        <f>SUM(HA50:HA52)</f>
        <v>31.272013004317653</v>
      </c>
      <c r="HB49" s="160">
        <f>SUM(HB50:HB52)</f>
        <v>7.4850164203730252</v>
      </c>
      <c r="HC49" s="159">
        <f>SUM(HC50:HC52)</f>
        <v>57.163214233879422</v>
      </c>
      <c r="HD49" s="273">
        <f t="shared" si="168"/>
        <v>95.920243658570101</v>
      </c>
      <c r="HE49" s="254">
        <f>SUM(HE50:HE52)</f>
        <v>9.3378588399456532</v>
      </c>
      <c r="HF49" s="160">
        <f>SUM(HF50:HF52)</f>
        <v>13.519341370837877</v>
      </c>
      <c r="HG49" s="160">
        <f>SUM(HG50:HG52)</f>
        <v>8.009548869050473</v>
      </c>
      <c r="HH49" s="273">
        <f t="shared" si="169"/>
        <v>30.866749079834005</v>
      </c>
      <c r="HI49" s="160">
        <f>SUM(HI50:HI52)</f>
        <v>52.614278590444755</v>
      </c>
      <c r="HJ49" s="160">
        <f>SUM(HJ50:HJ52)</f>
        <v>11.468751519413052</v>
      </c>
      <c r="HK49" s="160">
        <f>SUM(HK50:HK52)</f>
        <v>27.552498419614349</v>
      </c>
      <c r="HL49" s="273">
        <f t="shared" si="170"/>
        <v>91.635528529472154</v>
      </c>
      <c r="HM49" s="254">
        <f>SUM(HM50:HM52)</f>
        <v>23.207542802045623</v>
      </c>
      <c r="HN49" s="160">
        <f>SUM(HN50:HN52)</f>
        <v>28.793314779973887</v>
      </c>
      <c r="HO49" s="159">
        <f>SUM(HO50:HO52)</f>
        <v>15.48689761</v>
      </c>
      <c r="HP49" s="273">
        <f t="shared" si="171"/>
        <v>67.487755192019506</v>
      </c>
      <c r="HQ49" s="273">
        <f t="shared" si="127"/>
        <v>285.91027645989578</v>
      </c>
      <c r="HR49" s="254">
        <f>SUM(HR50:HR52)</f>
        <v>20.825401750000001</v>
      </c>
      <c r="HS49" s="160">
        <f>SUM(HS50:HS52)</f>
        <v>39.481074987847926</v>
      </c>
      <c r="HT49" s="159">
        <f>SUM(HT50:HT52)</f>
        <v>10.824359109999998</v>
      </c>
      <c r="HU49" s="273">
        <f t="shared" si="172"/>
        <v>71.130835847847933</v>
      </c>
      <c r="HV49" s="254">
        <f>SUM(HV50:HV52)</f>
        <v>25.619416650000002</v>
      </c>
      <c r="HW49" s="160">
        <f>SUM(HW50:HW52)</f>
        <v>14.002879790530846</v>
      </c>
      <c r="HX49" s="160">
        <f>SUM(HX50:HX52)</f>
        <v>19.951158310286946</v>
      </c>
      <c r="HY49" s="273">
        <f t="shared" si="173"/>
        <v>59.573454750817788</v>
      </c>
      <c r="HZ49" s="160">
        <f>SUM(HZ50:HZ52)</f>
        <v>34.510740299856529</v>
      </c>
      <c r="IA49" s="160">
        <f>SUM(IA50:IA52)</f>
        <v>6.0464383695982775</v>
      </c>
      <c r="IB49" s="160">
        <f>SUM(IB50:IB52)</f>
        <v>34.045285289813492</v>
      </c>
      <c r="IC49" s="273">
        <f t="shared" si="174"/>
        <v>74.602463959268306</v>
      </c>
      <c r="ID49" s="254">
        <f>SUM(ID50:ID52)</f>
        <v>5.0242820000000004</v>
      </c>
      <c r="IE49" s="160">
        <f>SUM(IE50:IE52)</f>
        <v>32.395695549999999</v>
      </c>
      <c r="IF49" s="160">
        <f>SUM(IF50:IF52)</f>
        <v>360.78349123999999</v>
      </c>
      <c r="IG49" s="273">
        <f t="shared" si="175"/>
        <v>398.20346878999999</v>
      </c>
      <c r="IH49" s="273">
        <v>603.51022334793402</v>
      </c>
      <c r="II49" s="254">
        <v>13.414708610000002</v>
      </c>
      <c r="IJ49" s="160">
        <v>32.567930480000001</v>
      </c>
      <c r="IK49" s="159">
        <v>29.506907750000003</v>
      </c>
      <c r="IL49" s="273">
        <v>75.489546840000003</v>
      </c>
      <c r="IM49" s="254">
        <v>16.059820479999999</v>
      </c>
      <c r="IN49" s="160">
        <v>47.679084439999997</v>
      </c>
      <c r="IO49" s="160">
        <v>67.763512149999997</v>
      </c>
      <c r="IP49" s="273">
        <v>131.50241706999998</v>
      </c>
      <c r="IQ49" s="254">
        <v>15.770107300000001</v>
      </c>
      <c r="IR49" s="160">
        <v>425.03453851999996</v>
      </c>
      <c r="IS49" s="159">
        <v>39.109289599999997</v>
      </c>
      <c r="IT49" s="273">
        <v>479.91393541999997</v>
      </c>
      <c r="IU49" s="254">
        <v>50.548023568558946</v>
      </c>
      <c r="IV49" s="160">
        <v>36.777845618075801</v>
      </c>
      <c r="IW49" s="159">
        <v>48.09018461548105</v>
      </c>
      <c r="IX49" s="273">
        <v>135.41605380211581</v>
      </c>
      <c r="IY49" s="273">
        <v>822.32195313211582</v>
      </c>
      <c r="IZ49" s="254">
        <v>32.70547623912536</v>
      </c>
      <c r="JA49" s="160">
        <v>22.42053756</v>
      </c>
      <c r="JB49" s="159">
        <v>65.265653310000005</v>
      </c>
      <c r="JC49" s="273">
        <v>120.39166710912536</v>
      </c>
      <c r="JD49" s="254">
        <v>44.386459019999997</v>
      </c>
      <c r="JE49" s="160">
        <v>117.91110368</v>
      </c>
      <c r="JF49" s="159">
        <v>52.348150099999991</v>
      </c>
      <c r="JG49" s="273">
        <v>214.64571279999998</v>
      </c>
      <c r="JH49" s="254">
        <v>89.624279529999995</v>
      </c>
      <c r="JI49" s="160">
        <v>68.952919508892123</v>
      </c>
      <c r="JJ49" s="159">
        <v>99.245176549999996</v>
      </c>
      <c r="JK49" s="273">
        <v>257.8223755888921</v>
      </c>
      <c r="JL49" s="254">
        <v>60.71312190040819</v>
      </c>
      <c r="JM49" s="160">
        <v>67.536888333644313</v>
      </c>
      <c r="JN49" s="160">
        <v>117.79481803005831</v>
      </c>
      <c r="JO49" s="273">
        <v>246.04482826411081</v>
      </c>
      <c r="JP49" s="273">
        <v>838.90458376212825</v>
      </c>
      <c r="JQ49" s="254">
        <v>115.98393170000001</v>
      </c>
      <c r="JR49" s="160">
        <v>56.340168670000004</v>
      </c>
      <c r="JS49" s="159">
        <v>104.99036928000001</v>
      </c>
      <c r="JT49" s="273">
        <v>277.31446965000004</v>
      </c>
      <c r="JU49" s="254">
        <v>119.73124159</v>
      </c>
      <c r="JV49" s="160">
        <v>90.681045820000008</v>
      </c>
      <c r="JW49" s="159">
        <v>75.940597230000009</v>
      </c>
      <c r="JX49" s="273">
        <v>286.35288464000001</v>
      </c>
      <c r="JY49" s="254">
        <v>108.64722578000001</v>
      </c>
      <c r="JZ49" s="160">
        <v>145.96827153000001</v>
      </c>
      <c r="KA49" s="159">
        <v>163.83032981999997</v>
      </c>
      <c r="KB49" s="273">
        <v>418.44582713</v>
      </c>
      <c r="KC49" s="254">
        <v>62.595421709999997</v>
      </c>
      <c r="KD49" s="160">
        <v>96.702479310000001</v>
      </c>
      <c r="KE49" s="160">
        <v>198.06263232999999</v>
      </c>
      <c r="KF49" s="273">
        <v>357.36053334999997</v>
      </c>
      <c r="KG49" s="273">
        <v>1339.47371477</v>
      </c>
      <c r="KH49" s="221">
        <v>63.805783529999999</v>
      </c>
      <c r="KI49" s="222">
        <v>91.442841130000005</v>
      </c>
      <c r="KJ49" s="223">
        <v>70.811774320000012</v>
      </c>
      <c r="KK49" s="273">
        <v>226.06039898000003</v>
      </c>
      <c r="KL49" s="221">
        <v>175.34324136000004</v>
      </c>
      <c r="KM49" s="222">
        <v>125.63068675000001</v>
      </c>
      <c r="KN49" s="223">
        <v>103.37766970000001</v>
      </c>
      <c r="KO49" s="273">
        <v>404.35159781000004</v>
      </c>
      <c r="KP49" s="221">
        <v>117.16887245000001</v>
      </c>
      <c r="KQ49" s="222">
        <v>109.03682541000001</v>
      </c>
      <c r="KR49" s="223">
        <v>147.07013068000001</v>
      </c>
      <c r="KS49" s="273">
        <v>373.27582854000002</v>
      </c>
      <c r="KT49" s="254">
        <v>120.04876238</v>
      </c>
      <c r="KU49" s="160">
        <v>63.801709930000001</v>
      </c>
      <c r="KV49" s="159">
        <v>157.21007237000001</v>
      </c>
      <c r="KW49" s="273">
        <v>341.06054468000002</v>
      </c>
      <c r="KX49" s="273">
        <v>1344.7483700100001</v>
      </c>
      <c r="KY49" s="221">
        <v>33.068368239999998</v>
      </c>
      <c r="KZ49" s="222">
        <v>37.436158779999992</v>
      </c>
      <c r="LA49" s="223">
        <v>87.31703546</v>
      </c>
      <c r="LB49" s="273">
        <v>157.82156247999998</v>
      </c>
      <c r="LC49" s="221">
        <v>36.431038299999997</v>
      </c>
      <c r="LD49" s="222">
        <v>74.167465110000009</v>
      </c>
      <c r="LE49" s="223">
        <v>170.31465584</v>
      </c>
      <c r="LF49" s="273">
        <v>280.91315925000004</v>
      </c>
      <c r="LG49" s="221">
        <v>119.71332425</v>
      </c>
      <c r="LH49" s="222">
        <v>125.02893374999999</v>
      </c>
      <c r="LI49" s="223">
        <v>66.810130909999998</v>
      </c>
      <c r="LJ49" s="273">
        <v>311.55238890999999</v>
      </c>
      <c r="LK49" s="254">
        <v>91.973024330000015</v>
      </c>
      <c r="LL49" s="160">
        <v>119.29144666000001</v>
      </c>
      <c r="LM49" s="159">
        <v>111.91064246000001</v>
      </c>
      <c r="LN49" s="273">
        <v>323.17511345000003</v>
      </c>
      <c r="LO49" s="273">
        <v>1073.4622240900001</v>
      </c>
    </row>
    <row r="50" spans="1:327" ht="17.100000000000001" customHeight="1" x14ac:dyDescent="0.25">
      <c r="A50" s="2" t="s">
        <v>36</v>
      </c>
      <c r="B50" s="24"/>
      <c r="C50" s="5">
        <v>2.1</v>
      </c>
      <c r="D50" s="5">
        <v>0.3</v>
      </c>
      <c r="E50" s="5">
        <v>0</v>
      </c>
      <c r="F50" s="5">
        <v>0</v>
      </c>
      <c r="G50" s="5">
        <v>0.3</v>
      </c>
      <c r="H50" s="5">
        <v>0.3</v>
      </c>
      <c r="I50" s="5">
        <v>0.3</v>
      </c>
      <c r="J50" s="5">
        <v>0.3</v>
      </c>
      <c r="K50" s="5">
        <v>0.9</v>
      </c>
      <c r="L50" s="5">
        <v>0.2</v>
      </c>
      <c r="M50" s="5">
        <v>0</v>
      </c>
      <c r="N50" s="5">
        <v>0</v>
      </c>
      <c r="O50" s="5">
        <f t="shared" si="0"/>
        <v>0.2</v>
      </c>
      <c r="P50" s="5">
        <v>0</v>
      </c>
      <c r="Q50" s="5">
        <v>0</v>
      </c>
      <c r="R50" s="5">
        <v>0.3</v>
      </c>
      <c r="S50" s="5">
        <f t="shared" si="1"/>
        <v>0.3</v>
      </c>
      <c r="T50" s="16">
        <f t="shared" si="7"/>
        <v>1.7</v>
      </c>
      <c r="U50" s="5"/>
      <c r="V50" s="5">
        <v>0</v>
      </c>
      <c r="W50" s="5">
        <v>0</v>
      </c>
      <c r="X50" s="4">
        <f t="shared" si="177"/>
        <v>0</v>
      </c>
      <c r="Y50" s="5">
        <v>0.2</v>
      </c>
      <c r="Z50" s="5">
        <v>0</v>
      </c>
      <c r="AA50" s="8"/>
      <c r="AB50" s="5">
        <f t="shared" si="178"/>
        <v>0.2</v>
      </c>
      <c r="AC50" s="5">
        <v>0</v>
      </c>
      <c r="AD50" s="5">
        <v>0</v>
      </c>
      <c r="AE50" s="5">
        <v>0</v>
      </c>
      <c r="AF50" s="5">
        <f t="shared" si="179"/>
        <v>0</v>
      </c>
      <c r="AG50" s="5"/>
      <c r="AH50" s="5">
        <v>0</v>
      </c>
      <c r="AI50" s="5">
        <v>0</v>
      </c>
      <c r="AJ50" s="5">
        <f t="shared" si="128"/>
        <v>0</v>
      </c>
      <c r="AK50" s="16">
        <f t="shared" si="129"/>
        <v>0.2</v>
      </c>
      <c r="AL50" s="5">
        <v>0</v>
      </c>
      <c r="AM50" s="5">
        <v>0</v>
      </c>
      <c r="AN50" s="5">
        <v>0</v>
      </c>
      <c r="AO50" s="5">
        <f t="shared" ref="AO50:AO67" si="181">AL50+AM50+AN50</f>
        <v>0</v>
      </c>
      <c r="AP50" s="5">
        <v>0</v>
      </c>
      <c r="AQ50" s="5">
        <v>0</v>
      </c>
      <c r="AR50" s="5">
        <v>0</v>
      </c>
      <c r="AS50" s="54">
        <f t="shared" si="12"/>
        <v>0</v>
      </c>
      <c r="AT50" s="5">
        <v>0</v>
      </c>
      <c r="AU50" s="5">
        <v>0</v>
      </c>
      <c r="AV50" s="5">
        <v>0</v>
      </c>
      <c r="AW50" s="54">
        <f t="shared" ref="AW50:AW67" si="182">+SUM(AT50:AV50)</f>
        <v>0</v>
      </c>
      <c r="AX50" s="5">
        <v>0</v>
      </c>
      <c r="AY50" s="5">
        <v>0</v>
      </c>
      <c r="AZ50" s="5">
        <v>0</v>
      </c>
      <c r="BA50" s="54">
        <f t="shared" si="14"/>
        <v>0</v>
      </c>
      <c r="BB50" s="54">
        <f t="shared" si="131"/>
        <v>0</v>
      </c>
      <c r="BC50" s="5">
        <v>0</v>
      </c>
      <c r="BD50" s="66"/>
      <c r="BE50" s="66"/>
      <c r="BF50" s="62">
        <f>SUM(BB50:BD50)</f>
        <v>0</v>
      </c>
      <c r="BG50" s="67"/>
      <c r="BH50" s="67"/>
      <c r="BI50" s="67"/>
      <c r="BJ50" s="62">
        <f t="shared" si="132"/>
        <v>0</v>
      </c>
      <c r="BK50" s="67"/>
      <c r="BL50" s="67"/>
      <c r="BM50" s="67"/>
      <c r="BN50" s="62">
        <f t="shared" si="133"/>
        <v>0</v>
      </c>
      <c r="BO50" s="71"/>
      <c r="BP50" s="67"/>
      <c r="BQ50" s="67"/>
      <c r="BR50" s="62">
        <f t="shared" si="134"/>
        <v>0</v>
      </c>
      <c r="BS50" s="62">
        <f t="shared" si="135"/>
        <v>0</v>
      </c>
      <c r="BT50" s="67"/>
      <c r="BU50" s="67"/>
      <c r="BV50" s="67"/>
      <c r="BW50" s="62">
        <f t="shared" si="136"/>
        <v>0</v>
      </c>
      <c r="BX50" s="67"/>
      <c r="BY50" s="67"/>
      <c r="BZ50" s="67"/>
      <c r="CA50" s="62">
        <f t="shared" si="137"/>
        <v>0</v>
      </c>
      <c r="CB50" s="67"/>
      <c r="CC50" s="67"/>
      <c r="CD50" s="67"/>
      <c r="CE50" s="62">
        <f t="shared" si="138"/>
        <v>0</v>
      </c>
      <c r="CF50" s="67"/>
      <c r="CG50" s="67"/>
      <c r="CH50" s="67"/>
      <c r="CI50" s="67">
        <f t="shared" si="139"/>
        <v>0</v>
      </c>
      <c r="CJ50" s="71">
        <f t="shared" si="112"/>
        <v>0</v>
      </c>
      <c r="CK50" s="71"/>
      <c r="CL50" s="67"/>
      <c r="CM50" s="67"/>
      <c r="CN50" s="62">
        <f t="shared" si="140"/>
        <v>0</v>
      </c>
      <c r="CO50" s="67"/>
      <c r="CP50" s="67"/>
      <c r="CQ50" s="67"/>
      <c r="CR50" s="62">
        <f t="shared" si="141"/>
        <v>0</v>
      </c>
      <c r="CS50" s="101"/>
      <c r="CT50" s="67"/>
      <c r="CU50" s="67"/>
      <c r="CV50" s="62">
        <f t="shared" si="142"/>
        <v>0</v>
      </c>
      <c r="CW50" s="67"/>
      <c r="CX50" s="67"/>
      <c r="CY50" s="112"/>
      <c r="CZ50" s="113">
        <f t="shared" si="143"/>
        <v>0</v>
      </c>
      <c r="DA50" s="62">
        <f t="shared" si="125"/>
        <v>0</v>
      </c>
      <c r="DB50" s="71"/>
      <c r="DC50" s="67"/>
      <c r="DD50" s="67"/>
      <c r="DE50" s="62">
        <f t="shared" si="144"/>
        <v>0</v>
      </c>
      <c r="DF50" s="71"/>
      <c r="DG50" s="67"/>
      <c r="DH50" s="67"/>
      <c r="DI50" s="62">
        <f t="shared" si="145"/>
        <v>0</v>
      </c>
      <c r="DJ50" s="71"/>
      <c r="DK50" s="67"/>
      <c r="DL50" s="67"/>
      <c r="DM50" s="62">
        <f t="shared" si="146"/>
        <v>0</v>
      </c>
      <c r="DN50" s="67"/>
      <c r="DO50" s="67"/>
      <c r="DP50" s="67"/>
      <c r="DQ50" s="113">
        <f t="shared" si="147"/>
        <v>0</v>
      </c>
      <c r="DR50" s="140">
        <f t="shared" si="126"/>
        <v>0</v>
      </c>
      <c r="DS50" s="141"/>
      <c r="DT50" s="141"/>
      <c r="DU50" s="141"/>
      <c r="DV50" s="140">
        <f t="shared" si="148"/>
        <v>0</v>
      </c>
      <c r="DW50" s="142"/>
      <c r="DX50" s="141"/>
      <c r="DY50" s="141"/>
      <c r="DZ50" s="140">
        <f t="shared" si="149"/>
        <v>0</v>
      </c>
      <c r="EA50" s="142"/>
      <c r="EB50" s="141"/>
      <c r="EC50" s="141"/>
      <c r="ED50" s="140">
        <f t="shared" si="150"/>
        <v>0</v>
      </c>
      <c r="EE50" s="141"/>
      <c r="EF50" s="141"/>
      <c r="EG50" s="141"/>
      <c r="EH50" s="140">
        <f t="shared" si="151"/>
        <v>0</v>
      </c>
      <c r="EI50" s="140">
        <f t="shared" si="40"/>
        <v>0</v>
      </c>
      <c r="EJ50" s="141"/>
      <c r="EK50" s="141"/>
      <c r="EL50" s="141"/>
      <c r="EM50" s="140">
        <f t="shared" si="152"/>
        <v>0</v>
      </c>
      <c r="EN50" s="141"/>
      <c r="EO50" s="141"/>
      <c r="EP50" s="141"/>
      <c r="EQ50" s="140">
        <f t="shared" si="153"/>
        <v>0</v>
      </c>
      <c r="ER50" s="141"/>
      <c r="ES50" s="141"/>
      <c r="ET50" s="141"/>
      <c r="EU50" s="140">
        <f t="shared" si="154"/>
        <v>0</v>
      </c>
      <c r="EV50" s="141"/>
      <c r="EW50" s="141"/>
      <c r="EX50" s="141"/>
      <c r="EY50" s="140">
        <f t="shared" si="155"/>
        <v>0</v>
      </c>
      <c r="EZ50" s="169">
        <f t="shared" si="45"/>
        <v>0</v>
      </c>
      <c r="FA50" s="170"/>
      <c r="FB50" s="169"/>
      <c r="FC50" s="169"/>
      <c r="FD50" s="169"/>
      <c r="FE50" s="171">
        <f t="shared" si="156"/>
        <v>0</v>
      </c>
      <c r="FF50" s="169"/>
      <c r="FG50" s="169"/>
      <c r="FH50" s="169"/>
      <c r="FI50" s="171">
        <f t="shared" si="157"/>
        <v>0</v>
      </c>
      <c r="FJ50" s="169"/>
      <c r="FK50" s="169"/>
      <c r="FL50" s="169"/>
      <c r="FM50" s="171">
        <f t="shared" si="158"/>
        <v>0</v>
      </c>
      <c r="FN50" s="172"/>
      <c r="FO50" s="173"/>
      <c r="FP50" s="173"/>
      <c r="FQ50" s="175">
        <f t="shared" si="159"/>
        <v>0</v>
      </c>
      <c r="FR50" s="175">
        <f t="shared" si="50"/>
        <v>0</v>
      </c>
      <c r="FS50" s="172"/>
      <c r="FT50" s="173"/>
      <c r="FU50" s="174"/>
      <c r="FV50" s="175">
        <f t="shared" si="160"/>
        <v>0</v>
      </c>
      <c r="FW50" s="172"/>
      <c r="FX50" s="173"/>
      <c r="FY50" s="174">
        <v>0</v>
      </c>
      <c r="FZ50" s="175">
        <f t="shared" si="161"/>
        <v>0</v>
      </c>
      <c r="GA50" s="172"/>
      <c r="GB50" s="173"/>
      <c r="GC50" s="174"/>
      <c r="GD50" s="175">
        <f t="shared" si="162"/>
        <v>0</v>
      </c>
      <c r="GE50" s="172">
        <v>7.0835600000000012E-2</v>
      </c>
      <c r="GF50" s="173">
        <v>0</v>
      </c>
      <c r="GG50" s="159"/>
      <c r="GH50" s="174">
        <f t="shared" si="163"/>
        <v>7.0835600000000012E-2</v>
      </c>
      <c r="GI50" s="174">
        <f t="shared" si="55"/>
        <v>7.0835600000000012E-2</v>
      </c>
      <c r="GJ50" s="221"/>
      <c r="GK50" s="222"/>
      <c r="GL50" s="223"/>
      <c r="GM50" s="175">
        <f t="shared" si="164"/>
        <v>0</v>
      </c>
      <c r="GN50" s="221"/>
      <c r="GO50" s="222"/>
      <c r="GP50" s="223"/>
      <c r="GQ50" s="175">
        <f t="shared" si="165"/>
        <v>0</v>
      </c>
      <c r="GR50" s="245">
        <v>0</v>
      </c>
      <c r="GS50" s="222"/>
      <c r="GT50" s="223">
        <v>0.233783549356223</v>
      </c>
      <c r="GU50" s="175">
        <f t="shared" si="166"/>
        <v>0.233783549356223</v>
      </c>
      <c r="GV50" s="221">
        <v>0</v>
      </c>
      <c r="GW50" s="222">
        <v>1.3449337704591102</v>
      </c>
      <c r="GX50" s="223">
        <v>0.13789999999999999</v>
      </c>
      <c r="GY50" s="174">
        <f t="shared" si="167"/>
        <v>1.4828337704591101</v>
      </c>
      <c r="GZ50" s="159">
        <f t="shared" si="110"/>
        <v>1.7166173198153332</v>
      </c>
      <c r="HA50" s="254">
        <v>0</v>
      </c>
      <c r="HB50" s="160"/>
      <c r="HC50" s="159"/>
      <c r="HD50" s="273">
        <f t="shared" si="168"/>
        <v>0</v>
      </c>
      <c r="HE50" s="254"/>
      <c r="HF50" s="160"/>
      <c r="HG50" s="159"/>
      <c r="HH50" s="273">
        <f t="shared" si="169"/>
        <v>0</v>
      </c>
      <c r="HI50" s="279"/>
      <c r="HJ50" s="160"/>
      <c r="HK50" s="159"/>
      <c r="HL50" s="273">
        <f t="shared" si="170"/>
        <v>0</v>
      </c>
      <c r="HM50" s="254"/>
      <c r="HN50" s="160"/>
      <c r="HO50" s="159"/>
      <c r="HP50" s="273">
        <f t="shared" si="171"/>
        <v>0</v>
      </c>
      <c r="HQ50" s="273">
        <f t="shared" si="127"/>
        <v>0</v>
      </c>
      <c r="HR50" s="254">
        <v>0</v>
      </c>
      <c r="HS50" s="160"/>
      <c r="HT50" s="159"/>
      <c r="HU50" s="273">
        <f t="shared" si="172"/>
        <v>0</v>
      </c>
      <c r="HV50" s="254"/>
      <c r="HW50" s="160"/>
      <c r="HX50" s="159"/>
      <c r="HY50" s="273">
        <f t="shared" si="173"/>
        <v>0</v>
      </c>
      <c r="HZ50" s="280"/>
      <c r="IA50" s="160"/>
      <c r="IB50" s="159"/>
      <c r="IC50" s="273">
        <f t="shared" si="174"/>
        <v>0</v>
      </c>
      <c r="ID50" s="254"/>
      <c r="IE50" s="160"/>
      <c r="IF50" s="159"/>
      <c r="IG50" s="273">
        <f t="shared" si="175"/>
        <v>0</v>
      </c>
      <c r="IH50" s="273">
        <v>0</v>
      </c>
      <c r="II50" s="254"/>
      <c r="IJ50" s="160">
        <v>0</v>
      </c>
      <c r="IK50" s="159">
        <v>0</v>
      </c>
      <c r="IL50" s="273">
        <v>0</v>
      </c>
      <c r="IM50" s="254">
        <v>0</v>
      </c>
      <c r="IN50" s="160">
        <v>0</v>
      </c>
      <c r="IO50" s="160">
        <v>0</v>
      </c>
      <c r="IP50" s="273">
        <v>0</v>
      </c>
      <c r="IQ50" s="254">
        <v>0</v>
      </c>
      <c r="IR50" s="160">
        <v>0</v>
      </c>
      <c r="IS50" s="159">
        <v>0</v>
      </c>
      <c r="IT50" s="273">
        <v>0</v>
      </c>
      <c r="IU50" s="254">
        <v>0</v>
      </c>
      <c r="IV50" s="160">
        <v>0</v>
      </c>
      <c r="IW50" s="159">
        <v>0</v>
      </c>
      <c r="IX50" s="273">
        <v>0</v>
      </c>
      <c r="IY50" s="273">
        <v>0</v>
      </c>
      <c r="IZ50" s="254"/>
      <c r="JA50" s="160"/>
      <c r="JB50" s="159"/>
      <c r="JC50" s="273">
        <v>0</v>
      </c>
      <c r="JD50" s="254"/>
      <c r="JE50" s="160"/>
      <c r="JF50" s="159"/>
      <c r="JG50" s="273">
        <v>0</v>
      </c>
      <c r="JH50" s="254"/>
      <c r="JI50" s="160"/>
      <c r="JJ50" s="159"/>
      <c r="JK50" s="273">
        <v>0</v>
      </c>
      <c r="JL50" s="254"/>
      <c r="JM50" s="160"/>
      <c r="JN50" s="159"/>
      <c r="JO50" s="273">
        <v>0</v>
      </c>
      <c r="JP50" s="273">
        <v>0</v>
      </c>
      <c r="JQ50" s="254"/>
      <c r="JR50" s="160">
        <v>4.5787315700000004</v>
      </c>
      <c r="JS50" s="159">
        <v>2.8098086699999998</v>
      </c>
      <c r="JT50" s="273">
        <v>7.3885402400000002</v>
      </c>
      <c r="JU50" s="254">
        <v>7.5013823799999999</v>
      </c>
      <c r="JV50" s="160">
        <v>1.9997891400000001</v>
      </c>
      <c r="JW50" s="159">
        <v>4.49988163</v>
      </c>
      <c r="JX50" s="273">
        <v>14.001053150000001</v>
      </c>
      <c r="JY50" s="254"/>
      <c r="JZ50" s="160">
        <v>4.1617215999999999</v>
      </c>
      <c r="KA50" s="159"/>
      <c r="KB50" s="273">
        <v>4.1617215999999999</v>
      </c>
      <c r="KC50" s="254"/>
      <c r="KD50" s="160"/>
      <c r="KE50" s="159">
        <v>0.70650000000000002</v>
      </c>
      <c r="KF50" s="273">
        <v>0.70650000000000002</v>
      </c>
      <c r="KG50" s="273">
        <v>26.25781499</v>
      </c>
      <c r="KH50" s="221"/>
      <c r="KI50" s="222"/>
      <c r="KJ50" s="223"/>
      <c r="KK50" s="273">
        <v>0</v>
      </c>
      <c r="KL50" s="221"/>
      <c r="KM50" s="222"/>
      <c r="KN50" s="223"/>
      <c r="KO50" s="273">
        <v>0</v>
      </c>
      <c r="KP50" s="221"/>
      <c r="KQ50" s="222"/>
      <c r="KR50" s="223">
        <v>0.16181000000000001</v>
      </c>
      <c r="KS50" s="273">
        <v>0.16181000000000001</v>
      </c>
      <c r="KT50" s="254"/>
      <c r="KU50" s="160"/>
      <c r="KV50" s="159">
        <v>0.77559040000000001</v>
      </c>
      <c r="KW50" s="273">
        <v>0.77559040000000001</v>
      </c>
      <c r="KX50" s="273">
        <v>0.93740040000000002</v>
      </c>
      <c r="KY50" s="221">
        <v>0</v>
      </c>
      <c r="KZ50" s="222">
        <v>0</v>
      </c>
      <c r="LA50" s="223">
        <v>6.93E-2</v>
      </c>
      <c r="LB50" s="273">
        <v>6.93E-2</v>
      </c>
      <c r="LC50" s="221">
        <v>0</v>
      </c>
      <c r="LD50" s="222">
        <v>2.1499999999999998E-2</v>
      </c>
      <c r="LE50" s="223">
        <v>0</v>
      </c>
      <c r="LF50" s="273">
        <v>2.1499999999999998E-2</v>
      </c>
      <c r="LG50" s="221">
        <v>0.91230696</v>
      </c>
      <c r="LH50" s="222">
        <v>78.933758349999991</v>
      </c>
      <c r="LI50" s="223">
        <v>0</v>
      </c>
      <c r="LJ50" s="273">
        <v>79.846065309999986</v>
      </c>
      <c r="LK50" s="254"/>
      <c r="LL50" s="160"/>
      <c r="LM50" s="159"/>
      <c r="LN50" s="273">
        <v>0</v>
      </c>
      <c r="LO50" s="273">
        <v>79.936865309999988</v>
      </c>
    </row>
    <row r="51" spans="1:327" ht="17.100000000000001" customHeight="1" x14ac:dyDescent="0.25">
      <c r="A51" s="2" t="s">
        <v>37</v>
      </c>
      <c r="B51" s="24"/>
      <c r="C51" s="5">
        <v>7.2</v>
      </c>
      <c r="D51" s="5">
        <v>1</v>
      </c>
      <c r="E51" s="5">
        <v>0.1</v>
      </c>
      <c r="F51" s="5">
        <v>0.2</v>
      </c>
      <c r="G51" s="5">
        <v>1.3</v>
      </c>
      <c r="H51" s="5">
        <v>0</v>
      </c>
      <c r="I51" s="5">
        <v>0</v>
      </c>
      <c r="J51" s="5">
        <v>0.1</v>
      </c>
      <c r="K51" s="5">
        <v>0.1</v>
      </c>
      <c r="L51" s="5">
        <v>0</v>
      </c>
      <c r="M51" s="5">
        <v>0</v>
      </c>
      <c r="N51" s="5">
        <v>0</v>
      </c>
      <c r="O51" s="5">
        <f t="shared" si="0"/>
        <v>0</v>
      </c>
      <c r="P51" s="5">
        <v>0</v>
      </c>
      <c r="Q51" s="5">
        <v>0</v>
      </c>
      <c r="R51" s="5">
        <v>0</v>
      </c>
      <c r="S51" s="5">
        <f t="shared" si="1"/>
        <v>0</v>
      </c>
      <c r="T51" s="16">
        <f t="shared" si="7"/>
        <v>1.4000000000000001</v>
      </c>
      <c r="U51" s="5"/>
      <c r="V51" s="5">
        <v>0</v>
      </c>
      <c r="W51" s="5">
        <v>0</v>
      </c>
      <c r="X51" s="4">
        <f t="shared" si="177"/>
        <v>0</v>
      </c>
      <c r="Y51" s="5">
        <v>0</v>
      </c>
      <c r="Z51" s="5">
        <v>0</v>
      </c>
      <c r="AA51" s="8"/>
      <c r="AB51" s="5">
        <f t="shared" si="178"/>
        <v>0</v>
      </c>
      <c r="AC51" s="5">
        <v>0</v>
      </c>
      <c r="AD51" s="5">
        <v>0.04</v>
      </c>
      <c r="AE51" s="5">
        <v>0</v>
      </c>
      <c r="AF51" s="5">
        <f t="shared" si="179"/>
        <v>0.04</v>
      </c>
      <c r="AG51" s="5">
        <v>0</v>
      </c>
      <c r="AH51" s="5">
        <v>0</v>
      </c>
      <c r="AI51" s="5">
        <v>0</v>
      </c>
      <c r="AJ51" s="5">
        <f t="shared" si="128"/>
        <v>0</v>
      </c>
      <c r="AK51" s="16">
        <f t="shared" si="129"/>
        <v>0.04</v>
      </c>
      <c r="AL51" s="5">
        <v>0</v>
      </c>
      <c r="AM51" s="5">
        <v>0</v>
      </c>
      <c r="AN51" s="5">
        <v>0</v>
      </c>
      <c r="AO51" s="5">
        <f t="shared" si="181"/>
        <v>0</v>
      </c>
      <c r="AP51" s="5">
        <v>0</v>
      </c>
      <c r="AQ51" s="5">
        <v>0</v>
      </c>
      <c r="AR51" s="5">
        <v>0</v>
      </c>
      <c r="AS51" s="54">
        <f t="shared" si="12"/>
        <v>0</v>
      </c>
      <c r="AT51" s="5">
        <v>0</v>
      </c>
      <c r="AU51" s="5">
        <v>0</v>
      </c>
      <c r="AV51" s="5">
        <v>0</v>
      </c>
      <c r="AW51" s="54">
        <f t="shared" si="182"/>
        <v>0</v>
      </c>
      <c r="AX51" s="5">
        <v>0</v>
      </c>
      <c r="AY51" s="5">
        <v>0</v>
      </c>
      <c r="AZ51" s="5">
        <v>0</v>
      </c>
      <c r="BA51" s="54">
        <f t="shared" si="14"/>
        <v>0</v>
      </c>
      <c r="BB51" s="54">
        <f t="shared" si="131"/>
        <v>0</v>
      </c>
      <c r="BC51" s="5">
        <v>0</v>
      </c>
      <c r="BD51" s="66"/>
      <c r="BE51" s="66"/>
      <c r="BF51" s="62">
        <f>SUM(BB51:BD51)</f>
        <v>0</v>
      </c>
      <c r="BG51" s="67"/>
      <c r="BH51" s="67"/>
      <c r="BI51" s="67"/>
      <c r="BJ51" s="62">
        <f t="shared" si="132"/>
        <v>0</v>
      </c>
      <c r="BK51" s="67"/>
      <c r="BL51" s="67"/>
      <c r="BM51" s="67"/>
      <c r="BN51" s="62">
        <f t="shared" si="133"/>
        <v>0</v>
      </c>
      <c r="BO51" s="71"/>
      <c r="BP51" s="67"/>
      <c r="BQ51" s="67"/>
      <c r="BR51" s="62">
        <f t="shared" si="134"/>
        <v>0</v>
      </c>
      <c r="BS51" s="62">
        <f t="shared" si="135"/>
        <v>0</v>
      </c>
      <c r="BT51" s="67"/>
      <c r="BU51" s="67"/>
      <c r="BV51" s="67"/>
      <c r="BW51" s="62">
        <f t="shared" si="136"/>
        <v>0</v>
      </c>
      <c r="BX51" s="67"/>
      <c r="BY51" s="67"/>
      <c r="BZ51" s="67"/>
      <c r="CA51" s="62">
        <f t="shared" si="137"/>
        <v>0</v>
      </c>
      <c r="CB51" s="67"/>
      <c r="CC51" s="67"/>
      <c r="CD51" s="67"/>
      <c r="CE51" s="62">
        <f t="shared" si="138"/>
        <v>0</v>
      </c>
      <c r="CF51" s="67"/>
      <c r="CG51" s="67"/>
      <c r="CH51" s="67"/>
      <c r="CI51" s="67">
        <f t="shared" si="139"/>
        <v>0</v>
      </c>
      <c r="CJ51" s="71">
        <f t="shared" si="112"/>
        <v>0</v>
      </c>
      <c r="CK51" s="71"/>
      <c r="CL51" s="67"/>
      <c r="CM51" s="67"/>
      <c r="CN51" s="62">
        <f t="shared" si="140"/>
        <v>0</v>
      </c>
      <c r="CO51" s="67"/>
      <c r="CP51" s="67"/>
      <c r="CQ51" s="67"/>
      <c r="CR51" s="62">
        <f t="shared" si="141"/>
        <v>0</v>
      </c>
      <c r="CS51" s="101"/>
      <c r="CT51" s="67"/>
      <c r="CU51" s="67"/>
      <c r="CV51" s="62">
        <f t="shared" si="142"/>
        <v>0</v>
      </c>
      <c r="CW51" s="67"/>
      <c r="CX51" s="67"/>
      <c r="CY51" s="112"/>
      <c r="CZ51" s="113">
        <f t="shared" si="143"/>
        <v>0</v>
      </c>
      <c r="DA51" s="62">
        <f t="shared" si="125"/>
        <v>0</v>
      </c>
      <c r="DB51" s="71"/>
      <c r="DC51" s="67"/>
      <c r="DD51" s="67"/>
      <c r="DE51" s="62">
        <f t="shared" si="144"/>
        <v>0</v>
      </c>
      <c r="DF51" s="71"/>
      <c r="DG51" s="67"/>
      <c r="DH51" s="67"/>
      <c r="DI51" s="62">
        <f t="shared" si="145"/>
        <v>0</v>
      </c>
      <c r="DJ51" s="71"/>
      <c r="DK51" s="67"/>
      <c r="DL51" s="67"/>
      <c r="DM51" s="62">
        <f t="shared" si="146"/>
        <v>0</v>
      </c>
      <c r="DN51" s="67"/>
      <c r="DO51" s="67"/>
      <c r="DP51" s="67"/>
      <c r="DQ51" s="113">
        <f t="shared" si="147"/>
        <v>0</v>
      </c>
      <c r="DR51" s="140">
        <f t="shared" si="126"/>
        <v>0</v>
      </c>
      <c r="DS51" s="141"/>
      <c r="DT51" s="141"/>
      <c r="DU51" s="141"/>
      <c r="DV51" s="140">
        <f t="shared" si="148"/>
        <v>0</v>
      </c>
      <c r="DW51" s="142"/>
      <c r="DX51" s="141"/>
      <c r="DY51" s="141"/>
      <c r="DZ51" s="140">
        <f t="shared" si="149"/>
        <v>0</v>
      </c>
      <c r="EA51" s="142"/>
      <c r="EB51" s="141"/>
      <c r="EC51" s="141"/>
      <c r="ED51" s="140">
        <f t="shared" si="150"/>
        <v>0</v>
      </c>
      <c r="EE51" s="141"/>
      <c r="EF51" s="141"/>
      <c r="EG51" s="141"/>
      <c r="EH51" s="140">
        <f t="shared" si="151"/>
        <v>0</v>
      </c>
      <c r="EI51" s="140">
        <f t="shared" si="40"/>
        <v>0</v>
      </c>
      <c r="EJ51" s="141">
        <v>1.9</v>
      </c>
      <c r="EK51" s="141"/>
      <c r="EL51" s="141"/>
      <c r="EM51" s="140">
        <f t="shared" si="152"/>
        <v>1.9</v>
      </c>
      <c r="EN51" s="141"/>
      <c r="EO51" s="141"/>
      <c r="EP51" s="141">
        <v>2.6</v>
      </c>
      <c r="EQ51" s="140">
        <f t="shared" si="153"/>
        <v>2.6</v>
      </c>
      <c r="ER51" s="141">
        <v>0</v>
      </c>
      <c r="ES51" s="141">
        <v>2.2000000000000002</v>
      </c>
      <c r="ET51" s="141"/>
      <c r="EU51" s="140">
        <f t="shared" si="154"/>
        <v>2.2000000000000002</v>
      </c>
      <c r="EV51" s="141">
        <v>2.5</v>
      </c>
      <c r="EW51" s="141"/>
      <c r="EX51" s="141"/>
      <c r="EY51" s="140">
        <f t="shared" si="155"/>
        <v>2.5</v>
      </c>
      <c r="EZ51" s="169">
        <f t="shared" si="45"/>
        <v>9.1999999999999993</v>
      </c>
      <c r="FA51" s="170"/>
      <c r="FB51" s="169">
        <v>3.1</v>
      </c>
      <c r="FC51" s="169"/>
      <c r="FD51" s="169">
        <v>2.6</v>
      </c>
      <c r="FE51" s="171">
        <f t="shared" si="156"/>
        <v>5.7</v>
      </c>
      <c r="FF51" s="169"/>
      <c r="FG51" s="169">
        <v>2.6582731900000001</v>
      </c>
      <c r="FH51" s="169">
        <v>2.8215110000000001</v>
      </c>
      <c r="FI51" s="171">
        <f t="shared" si="157"/>
        <v>5.4797841900000002</v>
      </c>
      <c r="FJ51" s="169">
        <v>3.69684664</v>
      </c>
      <c r="FK51" s="169">
        <v>6.5868860310000006</v>
      </c>
      <c r="FL51" s="169">
        <v>17.666963631999998</v>
      </c>
      <c r="FM51" s="171">
        <f t="shared" si="158"/>
        <v>27.950696303000001</v>
      </c>
      <c r="FN51" s="172">
        <v>16.336968621600001</v>
      </c>
      <c r="FO51" s="173">
        <v>20.343585739399998</v>
      </c>
      <c r="FP51" s="173">
        <v>9.7533622100000024</v>
      </c>
      <c r="FQ51" s="175">
        <f t="shared" si="159"/>
        <v>46.433916570999997</v>
      </c>
      <c r="FR51" s="175">
        <f t="shared" si="50"/>
        <v>85.564397063999991</v>
      </c>
      <c r="FS51" s="172">
        <v>13.94218699</v>
      </c>
      <c r="FT51" s="173">
        <v>25.061609466942841</v>
      </c>
      <c r="FU51" s="174">
        <v>14.073316599600002</v>
      </c>
      <c r="FV51" s="175">
        <f t="shared" si="160"/>
        <v>53.077113056542842</v>
      </c>
      <c r="FW51" s="172">
        <v>8.6575514800000004</v>
      </c>
      <c r="FX51" s="173">
        <v>12.14491100975</v>
      </c>
      <c r="FY51" s="174">
        <v>78.100418461000004</v>
      </c>
      <c r="FZ51" s="175">
        <f t="shared" si="161"/>
        <v>98.902880950750003</v>
      </c>
      <c r="GA51" s="172">
        <v>5.7476157800000003</v>
      </c>
      <c r="GB51" s="173">
        <v>62.109891830099997</v>
      </c>
      <c r="GC51" s="174">
        <v>31.622875858999997</v>
      </c>
      <c r="GD51" s="175">
        <f t="shared" si="162"/>
        <v>99.480383469099991</v>
      </c>
      <c r="GE51" s="172">
        <v>12.9640026308</v>
      </c>
      <c r="GF51" s="173">
        <v>22.795313411999999</v>
      </c>
      <c r="GG51" s="159">
        <v>19.62986871</v>
      </c>
      <c r="GH51" s="174">
        <f t="shared" si="163"/>
        <v>55.389184752799991</v>
      </c>
      <c r="GI51" s="174">
        <f t="shared" si="55"/>
        <v>306.84956222919283</v>
      </c>
      <c r="GJ51" s="221">
        <v>20.284898420999998</v>
      </c>
      <c r="GK51" s="222">
        <v>11.611373519299999</v>
      </c>
      <c r="GL51" s="223">
        <v>11.481972769999999</v>
      </c>
      <c r="GM51" s="175">
        <f t="shared" si="164"/>
        <v>43.378244710299995</v>
      </c>
      <c r="GN51" s="221">
        <v>33.805827720199993</v>
      </c>
      <c r="GO51" s="222">
        <v>23.908543699722379</v>
      </c>
      <c r="GP51" s="223">
        <v>41.081827349793009</v>
      </c>
      <c r="GQ51" s="175">
        <f t="shared" si="165"/>
        <v>98.796198769715375</v>
      </c>
      <c r="GR51" s="245">
        <v>70.240026379662908</v>
      </c>
      <c r="GS51" s="222">
        <v>15.526019090152511</v>
      </c>
      <c r="GT51" s="223">
        <v>39.470490679556519</v>
      </c>
      <c r="GU51" s="175">
        <f t="shared" si="166"/>
        <v>125.23653614937194</v>
      </c>
      <c r="GV51" s="221">
        <v>40.626870659051768</v>
      </c>
      <c r="GW51" s="222">
        <v>9.4172349296987026</v>
      </c>
      <c r="GX51" s="223">
        <v>21.475651450502149</v>
      </c>
      <c r="GY51" s="174">
        <f t="shared" si="167"/>
        <v>71.519757039252625</v>
      </c>
      <c r="GZ51" s="159">
        <f t="shared" si="110"/>
        <v>338.93073666863995</v>
      </c>
      <c r="HA51" s="254">
        <v>23.069170791965572</v>
      </c>
      <c r="HB51" s="160">
        <v>5.2806850000000001</v>
      </c>
      <c r="HC51" s="159">
        <v>50.480092700143416</v>
      </c>
      <c r="HD51" s="273">
        <f t="shared" si="168"/>
        <v>78.829948492108997</v>
      </c>
      <c r="HE51" s="254">
        <v>0.90346810043041603</v>
      </c>
      <c r="HF51" s="160">
        <v>11.5928744097</v>
      </c>
      <c r="HG51" s="159">
        <v>6.1337506996987088</v>
      </c>
      <c r="HH51" s="273">
        <f t="shared" si="169"/>
        <v>18.630093209829127</v>
      </c>
      <c r="HI51" s="279">
        <v>46.778114819999999</v>
      </c>
      <c r="HJ51" s="160">
        <v>3.648158</v>
      </c>
      <c r="HK51" s="159">
        <v>23.93160995766571</v>
      </c>
      <c r="HL51" s="273">
        <f t="shared" si="170"/>
        <v>74.357882777665708</v>
      </c>
      <c r="HM51" s="254">
        <v>21.011352881000001</v>
      </c>
      <c r="HN51" s="160">
        <v>25.085709009999999</v>
      </c>
      <c r="HO51" s="159">
        <v>4.3404470800000006</v>
      </c>
      <c r="HP51" s="273">
        <f t="shared" si="171"/>
        <v>50.437508971</v>
      </c>
      <c r="HQ51" s="273">
        <f t="shared" si="127"/>
        <v>222.25543345060385</v>
      </c>
      <c r="HR51" s="254">
        <v>19.696263610000003</v>
      </c>
      <c r="HS51" s="160">
        <v>32.617242218077479</v>
      </c>
      <c r="HT51" s="159">
        <v>10.569561919999998</v>
      </c>
      <c r="HU51" s="273">
        <f t="shared" si="172"/>
        <v>62.88306774807748</v>
      </c>
      <c r="HV51" s="254">
        <v>14.119416650000002</v>
      </c>
      <c r="HW51" s="160">
        <v>14.002879790530846</v>
      </c>
      <c r="HX51" s="159">
        <v>13.861616610000002</v>
      </c>
      <c r="HY51" s="273">
        <f t="shared" si="173"/>
        <v>41.983913050530845</v>
      </c>
      <c r="HZ51" s="280">
        <v>3.5507402998565301</v>
      </c>
      <c r="IA51" s="160">
        <v>0.86345334002869434</v>
      </c>
      <c r="IB51" s="159">
        <v>15.846949289813491</v>
      </c>
      <c r="IC51" s="273">
        <f t="shared" si="174"/>
        <v>20.261142929698714</v>
      </c>
      <c r="ID51" s="254">
        <v>4.9721600000000006</v>
      </c>
      <c r="IE51" s="160">
        <v>30.289669909712643</v>
      </c>
      <c r="IF51" s="159">
        <v>44.357923250000006</v>
      </c>
      <c r="IG51" s="273">
        <f t="shared" si="175"/>
        <v>79.619753159712644</v>
      </c>
      <c r="IH51" s="273">
        <v>204.74787688801968</v>
      </c>
      <c r="II51" s="254">
        <v>8.9265457700000006</v>
      </c>
      <c r="IJ51" s="160">
        <v>21.389183680000002</v>
      </c>
      <c r="IK51" s="159">
        <v>22.758500000000002</v>
      </c>
      <c r="IL51" s="273">
        <v>53.074229450000004</v>
      </c>
      <c r="IM51" s="254">
        <v>11.467009099999999</v>
      </c>
      <c r="IN51" s="160">
        <v>22.894531929999999</v>
      </c>
      <c r="IO51" s="160">
        <v>27.091623259999999</v>
      </c>
      <c r="IP51" s="273">
        <v>61.453164289999997</v>
      </c>
      <c r="IQ51" s="254">
        <v>14.308127330000001</v>
      </c>
      <c r="IR51" s="160">
        <v>13.456249999999999</v>
      </c>
      <c r="IS51" s="159">
        <v>39.109289599999997</v>
      </c>
      <c r="IT51" s="273">
        <v>66.873666929999999</v>
      </c>
      <c r="IU51" s="254">
        <v>25.600675728704509</v>
      </c>
      <c r="IV51" s="160">
        <v>20.453238440758017</v>
      </c>
      <c r="IW51" s="159">
        <v>26.939164390641402</v>
      </c>
      <c r="IX51" s="273">
        <v>72.993078560103925</v>
      </c>
      <c r="IY51" s="273">
        <v>254.39413923010392</v>
      </c>
      <c r="IZ51" s="254">
        <v>27.934432979591829</v>
      </c>
      <c r="JA51" s="160">
        <v>18.888729210000001</v>
      </c>
      <c r="JB51" s="159">
        <v>40.907870160000002</v>
      </c>
      <c r="JC51" s="273">
        <v>87.731032349591828</v>
      </c>
      <c r="JD51" s="254">
        <v>40.498591259999998</v>
      </c>
      <c r="JE51" s="160">
        <v>81.799919500000001</v>
      </c>
      <c r="JF51" s="159">
        <v>52.086853409999989</v>
      </c>
      <c r="JG51" s="273">
        <v>174.38536417</v>
      </c>
      <c r="JH51" s="254">
        <v>56.257291859999995</v>
      </c>
      <c r="JI51" s="160">
        <v>48.037750868892125</v>
      </c>
      <c r="JJ51" s="159">
        <v>93.218915330000002</v>
      </c>
      <c r="JK51" s="273">
        <v>197.51395805889211</v>
      </c>
      <c r="JL51" s="254">
        <v>45.143820690408198</v>
      </c>
      <c r="JM51" s="160">
        <v>56.554611350000002</v>
      </c>
      <c r="JN51" s="159">
        <v>52.637132350000002</v>
      </c>
      <c r="JO51" s="273">
        <v>154.33556439040819</v>
      </c>
      <c r="JP51" s="273">
        <v>613.96591896889208</v>
      </c>
      <c r="JQ51" s="254">
        <v>107.76929330000002</v>
      </c>
      <c r="JR51" s="160">
        <v>36.440190680000001</v>
      </c>
      <c r="JS51" s="159">
        <v>78.521995790000005</v>
      </c>
      <c r="JT51" s="273">
        <v>222.73147977000002</v>
      </c>
      <c r="JU51" s="254">
        <v>89.564843249999996</v>
      </c>
      <c r="JV51" s="160">
        <v>71.301069229999996</v>
      </c>
      <c r="JW51" s="159">
        <v>63.226635000000002</v>
      </c>
      <c r="JX51" s="273">
        <v>224.09254748000001</v>
      </c>
      <c r="JY51" s="254">
        <v>80.265851590000011</v>
      </c>
      <c r="JZ51" s="160">
        <v>80.437054140000015</v>
      </c>
      <c r="KA51" s="159">
        <v>122.02770972999998</v>
      </c>
      <c r="KB51" s="273">
        <v>282.73061546000002</v>
      </c>
      <c r="KC51" s="254">
        <v>46.24951196</v>
      </c>
      <c r="KD51" s="160">
        <v>77.400072929999993</v>
      </c>
      <c r="KE51" s="159">
        <v>156.02295628999997</v>
      </c>
      <c r="KF51" s="273">
        <v>279.67254117999994</v>
      </c>
      <c r="KG51" s="273">
        <v>1009.22718389</v>
      </c>
      <c r="KH51" s="221">
        <v>62.26831378</v>
      </c>
      <c r="KI51" s="222">
        <v>58.966917299999999</v>
      </c>
      <c r="KJ51" s="223">
        <v>43.988099870000006</v>
      </c>
      <c r="KK51" s="273">
        <v>165.22333095000002</v>
      </c>
      <c r="KL51" s="221">
        <v>79.481711380000007</v>
      </c>
      <c r="KM51" s="222">
        <v>83.351185100000009</v>
      </c>
      <c r="KN51" s="223">
        <v>92.981056840000008</v>
      </c>
      <c r="KO51" s="273">
        <v>255.81395332000002</v>
      </c>
      <c r="KP51" s="221">
        <v>96.959294780000008</v>
      </c>
      <c r="KQ51" s="222">
        <v>86.47927116000001</v>
      </c>
      <c r="KR51" s="223">
        <v>114.20168418</v>
      </c>
      <c r="KS51" s="273">
        <v>297.64025012000002</v>
      </c>
      <c r="KT51" s="254">
        <v>106.68156675</v>
      </c>
      <c r="KU51" s="160">
        <v>53.823206570000004</v>
      </c>
      <c r="KV51" s="159">
        <v>145.02214677000001</v>
      </c>
      <c r="KW51" s="273">
        <v>305.52692008999998</v>
      </c>
      <c r="KX51" s="273">
        <v>1024.2044544800001</v>
      </c>
      <c r="KY51" s="221">
        <v>1.0658342599999999</v>
      </c>
      <c r="KZ51" s="222">
        <v>15.236951839999998</v>
      </c>
      <c r="LA51" s="223">
        <v>76.288335889999999</v>
      </c>
      <c r="LB51" s="273">
        <v>92.591121990000005</v>
      </c>
      <c r="LC51" s="221">
        <v>26.17534508</v>
      </c>
      <c r="LD51" s="222">
        <v>62.478151480000001</v>
      </c>
      <c r="LE51" s="223">
        <v>94.834801249999998</v>
      </c>
      <c r="LF51" s="273">
        <v>183.48829781000001</v>
      </c>
      <c r="LG51" s="221">
        <v>93.094987410000002</v>
      </c>
      <c r="LH51" s="222">
        <v>28.609302409999998</v>
      </c>
      <c r="LI51" s="223">
        <v>50.870688330000007</v>
      </c>
      <c r="LJ51" s="273">
        <v>172.57497814999999</v>
      </c>
      <c r="LK51" s="254">
        <v>67.804140180000005</v>
      </c>
      <c r="LL51" s="160">
        <v>105.51676996</v>
      </c>
      <c r="LM51" s="159">
        <v>83.83557694000001</v>
      </c>
      <c r="LN51" s="273">
        <v>257.15648708000003</v>
      </c>
      <c r="LO51" s="273">
        <v>705.81088503000001</v>
      </c>
    </row>
    <row r="52" spans="1:327" ht="17.100000000000001" customHeight="1" x14ac:dyDescent="0.25">
      <c r="A52" s="2" t="s">
        <v>38</v>
      </c>
      <c r="B52" s="24"/>
      <c r="C52" s="5">
        <v>3.24</v>
      </c>
      <c r="D52" s="5">
        <v>0</v>
      </c>
      <c r="E52" s="5">
        <v>0</v>
      </c>
      <c r="F52" s="5">
        <v>1.6</v>
      </c>
      <c r="G52" s="5">
        <v>1.6</v>
      </c>
      <c r="H52" s="5">
        <v>0</v>
      </c>
      <c r="I52" s="5">
        <v>0</v>
      </c>
      <c r="J52" s="5">
        <v>0</v>
      </c>
      <c r="K52" s="5">
        <v>0</v>
      </c>
      <c r="L52" s="5">
        <v>0.3</v>
      </c>
      <c r="M52" s="5">
        <v>0</v>
      </c>
      <c r="N52" s="5">
        <v>0.2</v>
      </c>
      <c r="O52" s="5">
        <f t="shared" si="0"/>
        <v>0.5</v>
      </c>
      <c r="P52" s="5">
        <v>0.6</v>
      </c>
      <c r="Q52" s="5">
        <v>1.4</v>
      </c>
      <c r="R52" s="5">
        <v>1</v>
      </c>
      <c r="S52" s="5">
        <f t="shared" si="1"/>
        <v>3</v>
      </c>
      <c r="T52" s="16">
        <f t="shared" si="7"/>
        <v>5.0999999999999996</v>
      </c>
      <c r="U52" s="5">
        <v>0.2</v>
      </c>
      <c r="V52" s="5">
        <v>1.5</v>
      </c>
      <c r="W52" s="5">
        <v>0.4</v>
      </c>
      <c r="X52" s="4">
        <f t="shared" si="177"/>
        <v>2.1</v>
      </c>
      <c r="Y52" s="5">
        <v>0</v>
      </c>
      <c r="Z52" s="5">
        <v>0.1</v>
      </c>
      <c r="AA52" s="8"/>
      <c r="AB52" s="5">
        <f t="shared" si="178"/>
        <v>0.1</v>
      </c>
      <c r="AC52" s="5">
        <v>0</v>
      </c>
      <c r="AD52" s="5">
        <v>0.04</v>
      </c>
      <c r="AE52" s="5">
        <v>0.04</v>
      </c>
      <c r="AF52" s="5">
        <f t="shared" si="179"/>
        <v>0.08</v>
      </c>
      <c r="AG52" s="5"/>
      <c r="AH52" s="5">
        <f>0.2</f>
        <v>0.2</v>
      </c>
      <c r="AI52" s="5">
        <f>0.2</f>
        <v>0.2</v>
      </c>
      <c r="AJ52" s="5">
        <f t="shared" si="128"/>
        <v>0.4</v>
      </c>
      <c r="AK52" s="16">
        <f t="shared" si="129"/>
        <v>2.68</v>
      </c>
      <c r="AL52" s="5">
        <f>0.4+0.005</f>
        <v>0.40500000000000003</v>
      </c>
      <c r="AM52" s="5"/>
      <c r="AN52" s="5">
        <v>0.4</v>
      </c>
      <c r="AO52" s="5">
        <f t="shared" si="181"/>
        <v>0.80500000000000005</v>
      </c>
      <c r="AP52" s="5">
        <v>0</v>
      </c>
      <c r="AQ52" s="5">
        <v>0</v>
      </c>
      <c r="AR52" s="5">
        <v>0.5</v>
      </c>
      <c r="AS52" s="54">
        <f t="shared" si="12"/>
        <v>0.5</v>
      </c>
      <c r="AT52" s="5"/>
      <c r="AU52" s="5"/>
      <c r="AV52" s="5"/>
      <c r="AW52" s="54">
        <f t="shared" si="182"/>
        <v>0</v>
      </c>
      <c r="AX52" s="5"/>
      <c r="AY52" s="5"/>
      <c r="AZ52" s="5">
        <v>1.2</v>
      </c>
      <c r="BA52" s="54">
        <f t="shared" si="14"/>
        <v>1.2</v>
      </c>
      <c r="BB52" s="54">
        <f t="shared" si="131"/>
        <v>2.5049999999999999</v>
      </c>
      <c r="BC52" s="5">
        <v>0.12379999999999999</v>
      </c>
      <c r="BD52" s="66">
        <v>1.7595000000000001</v>
      </c>
      <c r="BE52" s="66">
        <v>0</v>
      </c>
      <c r="BF52" s="62">
        <f>SUM(BC52:BE52)</f>
        <v>1.8833</v>
      </c>
      <c r="BG52" s="67"/>
      <c r="BH52" s="67">
        <v>0.34523999999999999</v>
      </c>
      <c r="BI52" s="67">
        <v>0.34272000000000002</v>
      </c>
      <c r="BJ52" s="62">
        <f t="shared" si="132"/>
        <v>0.68796000000000002</v>
      </c>
      <c r="BK52" s="67"/>
      <c r="BL52" s="67">
        <v>3.8300000000000001E-2</v>
      </c>
      <c r="BM52" s="67"/>
      <c r="BN52" s="62">
        <f t="shared" si="133"/>
        <v>3.8300000000000001E-2</v>
      </c>
      <c r="BO52" s="71"/>
      <c r="BP52" s="67"/>
      <c r="BQ52" s="67"/>
      <c r="BR52" s="62">
        <f t="shared" si="134"/>
        <v>0</v>
      </c>
      <c r="BS52" s="62">
        <f t="shared" si="135"/>
        <v>2.6095600000000001</v>
      </c>
      <c r="BT52" s="67"/>
      <c r="BU52" s="67"/>
      <c r="BV52" s="67"/>
      <c r="BW52" s="62">
        <f t="shared" si="136"/>
        <v>0</v>
      </c>
      <c r="BX52" s="67"/>
      <c r="BY52" s="67"/>
      <c r="BZ52" s="67"/>
      <c r="CA52" s="62">
        <f t="shared" si="137"/>
        <v>0</v>
      </c>
      <c r="CB52" s="67"/>
      <c r="CC52" s="67"/>
      <c r="CD52" s="67"/>
      <c r="CE52" s="62">
        <f t="shared" si="138"/>
        <v>0</v>
      </c>
      <c r="CF52" s="67"/>
      <c r="CG52" s="67"/>
      <c r="CH52" s="67"/>
      <c r="CI52" s="67">
        <f t="shared" si="139"/>
        <v>0</v>
      </c>
      <c r="CJ52" s="71">
        <f t="shared" si="112"/>
        <v>0</v>
      </c>
      <c r="CK52" s="71"/>
      <c r="CL52" s="67"/>
      <c r="CM52" s="67"/>
      <c r="CN52" s="62">
        <f t="shared" si="140"/>
        <v>0</v>
      </c>
      <c r="CO52" s="67"/>
      <c r="CP52" s="67"/>
      <c r="CQ52" s="67"/>
      <c r="CR52" s="62">
        <f t="shared" si="141"/>
        <v>0</v>
      </c>
      <c r="CS52" s="101"/>
      <c r="CT52" s="67"/>
      <c r="CU52" s="67"/>
      <c r="CV52" s="62">
        <f t="shared" si="142"/>
        <v>0</v>
      </c>
      <c r="CW52" s="67"/>
      <c r="CX52" s="67"/>
      <c r="CY52" s="112"/>
      <c r="CZ52" s="113">
        <f t="shared" si="143"/>
        <v>0</v>
      </c>
      <c r="DA52" s="62">
        <f t="shared" si="125"/>
        <v>0</v>
      </c>
      <c r="DB52" s="71"/>
      <c r="DC52" s="67"/>
      <c r="DD52" s="67"/>
      <c r="DE52" s="62">
        <f t="shared" si="144"/>
        <v>0</v>
      </c>
      <c r="DF52" s="71"/>
      <c r="DG52" s="67"/>
      <c r="DH52" s="67"/>
      <c r="DI52" s="62">
        <f t="shared" si="145"/>
        <v>0</v>
      </c>
      <c r="DJ52" s="71"/>
      <c r="DK52" s="67"/>
      <c r="DL52" s="67"/>
      <c r="DM52" s="62">
        <f t="shared" si="146"/>
        <v>0</v>
      </c>
      <c r="DN52" s="67"/>
      <c r="DO52" s="67"/>
      <c r="DP52" s="67"/>
      <c r="DQ52" s="113">
        <f t="shared" si="147"/>
        <v>0</v>
      </c>
      <c r="DR52" s="140">
        <f t="shared" si="126"/>
        <v>0</v>
      </c>
      <c r="DS52" s="141"/>
      <c r="DT52" s="141"/>
      <c r="DU52" s="141"/>
      <c r="DV52" s="140">
        <f t="shared" si="148"/>
        <v>0</v>
      </c>
      <c r="DW52" s="142"/>
      <c r="DX52" s="141"/>
      <c r="DY52" s="141"/>
      <c r="DZ52" s="140">
        <f t="shared" si="149"/>
        <v>0</v>
      </c>
      <c r="EA52" s="142"/>
      <c r="EB52" s="141"/>
      <c r="EC52" s="141"/>
      <c r="ED52" s="140">
        <f t="shared" si="150"/>
        <v>0</v>
      </c>
      <c r="EE52" s="141"/>
      <c r="EF52" s="141"/>
      <c r="EG52" s="141"/>
      <c r="EH52" s="140">
        <f t="shared" si="151"/>
        <v>0</v>
      </c>
      <c r="EI52" s="140">
        <f t="shared" si="40"/>
        <v>0</v>
      </c>
      <c r="EJ52" s="141"/>
      <c r="EK52" s="141">
        <v>0.3</v>
      </c>
      <c r="EL52" s="141">
        <v>0.4</v>
      </c>
      <c r="EM52" s="140">
        <f t="shared" si="152"/>
        <v>0.7</v>
      </c>
      <c r="EN52" s="141"/>
      <c r="EO52" s="141"/>
      <c r="EP52" s="141"/>
      <c r="EQ52" s="140">
        <f t="shared" si="153"/>
        <v>0</v>
      </c>
      <c r="ER52" s="141"/>
      <c r="ES52" s="141"/>
      <c r="ET52" s="141"/>
      <c r="EU52" s="140">
        <f t="shared" si="154"/>
        <v>0</v>
      </c>
      <c r="EV52" s="141"/>
      <c r="EW52" s="141"/>
      <c r="EX52" s="141"/>
      <c r="EY52" s="140">
        <f t="shared" si="155"/>
        <v>0</v>
      </c>
      <c r="EZ52" s="169">
        <f t="shared" si="45"/>
        <v>0.7</v>
      </c>
      <c r="FA52" s="170"/>
      <c r="FB52" s="169"/>
      <c r="FC52" s="169"/>
      <c r="FD52" s="169"/>
      <c r="FE52" s="171">
        <f t="shared" si="156"/>
        <v>0</v>
      </c>
      <c r="FF52" s="169"/>
      <c r="FG52" s="169"/>
      <c r="FH52" s="169"/>
      <c r="FI52" s="171">
        <f t="shared" si="157"/>
        <v>0</v>
      </c>
      <c r="FJ52" s="169"/>
      <c r="FK52" s="169"/>
      <c r="FL52" s="169"/>
      <c r="FM52" s="171">
        <f t="shared" si="158"/>
        <v>0</v>
      </c>
      <c r="FN52" s="172"/>
      <c r="FO52" s="173"/>
      <c r="FP52" s="173"/>
      <c r="FQ52" s="175">
        <f t="shared" si="159"/>
        <v>0</v>
      </c>
      <c r="FR52" s="175">
        <f t="shared" si="50"/>
        <v>0</v>
      </c>
      <c r="FS52" s="172"/>
      <c r="FT52" s="173">
        <v>0.703654</v>
      </c>
      <c r="FU52" s="174"/>
      <c r="FV52" s="175">
        <f t="shared" si="160"/>
        <v>0.703654</v>
      </c>
      <c r="FW52" s="172">
        <v>1.0444334908999999</v>
      </c>
      <c r="FX52" s="173">
        <v>1.0281413812990001</v>
      </c>
      <c r="FY52" s="174">
        <v>1.9613288262000002</v>
      </c>
      <c r="FZ52" s="175">
        <f t="shared" si="161"/>
        <v>4.0339036983990004</v>
      </c>
      <c r="GA52" s="172">
        <v>3.4040657053799999</v>
      </c>
      <c r="GB52" s="173">
        <v>3.3126209095000001</v>
      </c>
      <c r="GC52" s="174">
        <v>0.1863992736</v>
      </c>
      <c r="GD52" s="175">
        <f t="shared" si="162"/>
        <v>6.9030858884800006</v>
      </c>
      <c r="GE52" s="172">
        <v>0.8078594469</v>
      </c>
      <c r="GF52" s="173">
        <v>0.34843848999999999</v>
      </c>
      <c r="GG52" s="159">
        <v>0.20464181367789999</v>
      </c>
      <c r="GH52" s="174">
        <f t="shared" si="163"/>
        <v>1.3609397505779</v>
      </c>
      <c r="GI52" s="174">
        <f t="shared" si="55"/>
        <v>13.001583337456902</v>
      </c>
      <c r="GJ52" s="221">
        <v>0.10168997</v>
      </c>
      <c r="GK52" s="222">
        <v>1.4353577396000001</v>
      </c>
      <c r="GL52" s="223">
        <v>0.25137600988999997</v>
      </c>
      <c r="GM52" s="175">
        <f t="shared" si="164"/>
        <v>1.7884237194900001</v>
      </c>
      <c r="GN52" s="221">
        <v>3.2331283700000002</v>
      </c>
      <c r="GO52" s="222">
        <v>2.2366861098699999</v>
      </c>
      <c r="GP52" s="223">
        <v>0.97302914632321724</v>
      </c>
      <c r="GQ52" s="175">
        <f t="shared" si="165"/>
        <v>6.4428436261932172</v>
      </c>
      <c r="GR52" s="245">
        <v>13.032773376656648</v>
      </c>
      <c r="GS52" s="222">
        <v>2.7002900008409281</v>
      </c>
      <c r="GT52" s="223">
        <v>3.4044083404719547</v>
      </c>
      <c r="GU52" s="175">
        <f t="shared" si="166"/>
        <v>19.137471717969532</v>
      </c>
      <c r="GV52" s="221">
        <v>0.45937099999999997</v>
      </c>
      <c r="GW52" s="222">
        <v>3.8925492504160686</v>
      </c>
      <c r="GX52" s="223">
        <v>4.1408442596843607</v>
      </c>
      <c r="GY52" s="174">
        <f t="shared" si="167"/>
        <v>8.4927645101004288</v>
      </c>
      <c r="GZ52" s="159">
        <f t="shared" si="110"/>
        <v>35.861503573753183</v>
      </c>
      <c r="HA52" s="254">
        <v>8.2028422123520812</v>
      </c>
      <c r="HB52" s="160">
        <v>2.2043314203730251</v>
      </c>
      <c r="HC52" s="159">
        <v>6.6831215337360081</v>
      </c>
      <c r="HD52" s="273">
        <f t="shared" si="168"/>
        <v>17.090295166461114</v>
      </c>
      <c r="HE52" s="254">
        <v>8.4343907395152371</v>
      </c>
      <c r="HF52" s="160">
        <v>1.9264669611378766</v>
      </c>
      <c r="HG52" s="159">
        <v>1.8757981693517647</v>
      </c>
      <c r="HH52" s="273">
        <f t="shared" si="169"/>
        <v>12.236655870004878</v>
      </c>
      <c r="HI52" s="279">
        <v>5.8361637704447595</v>
      </c>
      <c r="HJ52" s="160">
        <v>7.8205935194130518</v>
      </c>
      <c r="HK52" s="159">
        <v>3.620888461948637</v>
      </c>
      <c r="HL52" s="273">
        <f t="shared" si="170"/>
        <v>17.27764575180645</v>
      </c>
      <c r="HM52" s="254">
        <v>2.1961899210456242</v>
      </c>
      <c r="HN52" s="160">
        <v>3.7076057699738882</v>
      </c>
      <c r="HO52" s="159">
        <v>11.146450529999999</v>
      </c>
      <c r="HP52" s="273">
        <f t="shared" si="171"/>
        <v>17.050246221019513</v>
      </c>
      <c r="HQ52" s="273">
        <f t="shared" si="127"/>
        <v>63.654843009291959</v>
      </c>
      <c r="HR52" s="254">
        <v>1.12913814</v>
      </c>
      <c r="HS52" s="160">
        <v>6.8638327697704451</v>
      </c>
      <c r="HT52" s="159">
        <v>0.25479719000000001</v>
      </c>
      <c r="HU52" s="273">
        <f t="shared" si="172"/>
        <v>8.247768099770445</v>
      </c>
      <c r="HV52" s="254">
        <v>11.5</v>
      </c>
      <c r="HW52" s="160"/>
      <c r="HX52" s="159">
        <v>6.0895417002869436</v>
      </c>
      <c r="HY52" s="273">
        <f t="shared" si="173"/>
        <v>17.589541700286944</v>
      </c>
      <c r="HZ52" s="280">
        <v>30.96</v>
      </c>
      <c r="IA52" s="160">
        <v>5.1829850295695836</v>
      </c>
      <c r="IB52" s="159">
        <v>18.198336000000001</v>
      </c>
      <c r="IC52" s="273">
        <f t="shared" si="174"/>
        <v>54.341321029569585</v>
      </c>
      <c r="ID52" s="254">
        <v>5.2122000000000002E-2</v>
      </c>
      <c r="IE52" s="160">
        <v>2.1060256402873563</v>
      </c>
      <c r="IF52" s="159">
        <v>316.42556798999999</v>
      </c>
      <c r="IG52" s="273">
        <f t="shared" si="175"/>
        <v>318.58371563028737</v>
      </c>
      <c r="IH52" s="273">
        <v>398.76234645991434</v>
      </c>
      <c r="II52" s="254">
        <v>4.4881628400000002</v>
      </c>
      <c r="IJ52" s="160">
        <v>11.178746800000001</v>
      </c>
      <c r="IK52" s="159">
        <v>6.7484077500000001</v>
      </c>
      <c r="IL52" s="273">
        <v>22.415317389999998</v>
      </c>
      <c r="IM52" s="254">
        <v>4.5928113800000006</v>
      </c>
      <c r="IN52" s="160">
        <v>24.784552509999997</v>
      </c>
      <c r="IO52" s="160">
        <v>40.671888890000005</v>
      </c>
      <c r="IP52" s="273">
        <v>70.049252780000003</v>
      </c>
      <c r="IQ52" s="254">
        <v>1.46197997</v>
      </c>
      <c r="IR52" s="160">
        <v>411.57828851999994</v>
      </c>
      <c r="IS52" s="159"/>
      <c r="IT52" s="273">
        <v>413.04026848999996</v>
      </c>
      <c r="IU52" s="254">
        <v>24.947347839854441</v>
      </c>
      <c r="IV52" s="160">
        <v>16.32460717731778</v>
      </c>
      <c r="IW52" s="159">
        <v>21.151020224839648</v>
      </c>
      <c r="IX52" s="273">
        <v>62.422975242011866</v>
      </c>
      <c r="IY52" s="273">
        <v>567.92781390201185</v>
      </c>
      <c r="IZ52" s="254">
        <v>4.7710432595335277</v>
      </c>
      <c r="JA52" s="160">
        <v>3.5318083500000004</v>
      </c>
      <c r="JB52" s="159">
        <v>24.357783150000003</v>
      </c>
      <c r="JC52" s="273">
        <v>32.660634759533529</v>
      </c>
      <c r="JD52" s="254">
        <v>3.8878677600000002</v>
      </c>
      <c r="JE52" s="160">
        <v>36.111184180000002</v>
      </c>
      <c r="JF52" s="159">
        <v>0.26129669</v>
      </c>
      <c r="JG52" s="273">
        <v>40.260348630000003</v>
      </c>
      <c r="JH52" s="254">
        <v>33.36698767</v>
      </c>
      <c r="JI52" s="160">
        <v>20.915168640000001</v>
      </c>
      <c r="JJ52" s="159">
        <v>6.0262612200000003</v>
      </c>
      <c r="JK52" s="273">
        <v>60.308417530000007</v>
      </c>
      <c r="JL52" s="254">
        <v>15.569301209999992</v>
      </c>
      <c r="JM52" s="160">
        <v>10.98227698364431</v>
      </c>
      <c r="JN52" s="159">
        <v>65.157685680058307</v>
      </c>
      <c r="JO52" s="273">
        <v>91.709263873702611</v>
      </c>
      <c r="JP52" s="273">
        <v>224.93866479323614</v>
      </c>
      <c r="JQ52" s="254">
        <v>8.2146384000000001</v>
      </c>
      <c r="JR52" s="160">
        <v>15.321246420000001</v>
      </c>
      <c r="JS52" s="159">
        <v>23.658564820000002</v>
      </c>
      <c r="JT52" s="273">
        <v>47.194449640000002</v>
      </c>
      <c r="JU52" s="254">
        <v>22.665015960000002</v>
      </c>
      <c r="JV52" s="160">
        <v>17.380187450000001</v>
      </c>
      <c r="JW52" s="159">
        <v>8.2140805999999991</v>
      </c>
      <c r="JX52" s="273">
        <v>48.259284010000002</v>
      </c>
      <c r="JY52" s="254">
        <v>28.381374190000002</v>
      </c>
      <c r="JZ52" s="160">
        <v>61.369495790000002</v>
      </c>
      <c r="KA52" s="159">
        <v>41.802620089999998</v>
      </c>
      <c r="KB52" s="273">
        <v>131.55349007000001</v>
      </c>
      <c r="KC52" s="254">
        <v>16.345909750000001</v>
      </c>
      <c r="KD52" s="160">
        <v>19.302406380000004</v>
      </c>
      <c r="KE52" s="159">
        <v>41.333176039999998</v>
      </c>
      <c r="KF52" s="273">
        <v>76.981492169999996</v>
      </c>
      <c r="KG52" s="273">
        <v>303.98871588999998</v>
      </c>
      <c r="KH52" s="221">
        <v>1.5374697499999999</v>
      </c>
      <c r="KI52" s="222">
        <v>32.475923829999999</v>
      </c>
      <c r="KJ52" s="223">
        <v>26.823674449999999</v>
      </c>
      <c r="KK52" s="273">
        <v>60.837068029999998</v>
      </c>
      <c r="KL52" s="221">
        <v>95.861529980000014</v>
      </c>
      <c r="KM52" s="222">
        <v>42.27950165</v>
      </c>
      <c r="KN52" s="223">
        <v>10.396612859999999</v>
      </c>
      <c r="KO52" s="273">
        <v>148.53764449000002</v>
      </c>
      <c r="KP52" s="221">
        <v>20.209577670000002</v>
      </c>
      <c r="KQ52" s="222">
        <v>22.557554250000003</v>
      </c>
      <c r="KR52" s="223">
        <v>32.706636499999995</v>
      </c>
      <c r="KS52" s="273">
        <v>75.473768419999999</v>
      </c>
      <c r="KT52" s="254">
        <v>13.367195630000001</v>
      </c>
      <c r="KU52" s="160">
        <v>9.9785033599999995</v>
      </c>
      <c r="KV52" s="159">
        <v>11.412335199999999</v>
      </c>
      <c r="KW52" s="273">
        <v>34.758034190000004</v>
      </c>
      <c r="KX52" s="273">
        <v>319.60651512999999</v>
      </c>
      <c r="KY52" s="221">
        <v>32.002533979999995</v>
      </c>
      <c r="KZ52" s="222">
        <v>22.199206939999996</v>
      </c>
      <c r="LA52" s="223">
        <v>10.95939957</v>
      </c>
      <c r="LB52" s="273">
        <v>65.161140489999994</v>
      </c>
      <c r="LC52" s="221">
        <v>10.255693219999998</v>
      </c>
      <c r="LD52" s="222">
        <v>11.667813629999999</v>
      </c>
      <c r="LE52" s="223">
        <v>75.479854589999988</v>
      </c>
      <c r="LF52" s="273">
        <v>97.403361439999983</v>
      </c>
      <c r="LG52" s="221">
        <v>25.706029879999996</v>
      </c>
      <c r="LH52" s="222">
        <v>17.485872990000001</v>
      </c>
      <c r="LI52" s="223">
        <v>15.939442579999998</v>
      </c>
      <c r="LJ52" s="273">
        <v>59.131345449999991</v>
      </c>
      <c r="LK52" s="254">
        <v>24.168884150000007</v>
      </c>
      <c r="LL52" s="160">
        <v>13.774676700000001</v>
      </c>
      <c r="LM52" s="159">
        <v>28.075065519999999</v>
      </c>
      <c r="LN52" s="273">
        <v>66.018626370000007</v>
      </c>
      <c r="LO52" s="273">
        <v>287.71447374999997</v>
      </c>
    </row>
    <row r="53" spans="1:327" ht="17.100000000000001" customHeight="1" x14ac:dyDescent="0.2">
      <c r="A53" s="2" t="s">
        <v>109</v>
      </c>
      <c r="B53" s="24"/>
      <c r="C53" s="5">
        <v>815.91</v>
      </c>
      <c r="D53" s="5">
        <v>98.2</v>
      </c>
      <c r="E53" s="5">
        <v>62.1</v>
      </c>
      <c r="F53" s="5">
        <v>65.7</v>
      </c>
      <c r="G53" s="5">
        <v>226</v>
      </c>
      <c r="H53" s="5">
        <v>61.9</v>
      </c>
      <c r="I53" s="5">
        <v>20.100000000000001</v>
      </c>
      <c r="J53" s="5">
        <v>49.4</v>
      </c>
      <c r="K53" s="5">
        <v>131.4</v>
      </c>
      <c r="L53" s="5">
        <v>83.6</v>
      </c>
      <c r="M53" s="5">
        <v>52.9</v>
      </c>
      <c r="N53" s="5">
        <f>46.1+4.5</f>
        <v>50.6</v>
      </c>
      <c r="O53" s="5">
        <f t="shared" si="0"/>
        <v>187.1</v>
      </c>
      <c r="P53" s="5">
        <v>46.4</v>
      </c>
      <c r="Q53" s="5">
        <v>29.3</v>
      </c>
      <c r="R53" s="5">
        <v>76.2</v>
      </c>
      <c r="S53" s="5">
        <f t="shared" si="1"/>
        <v>151.9</v>
      </c>
      <c r="T53" s="16">
        <f t="shared" si="7"/>
        <v>696.4</v>
      </c>
      <c r="U53" s="5">
        <v>66.2</v>
      </c>
      <c r="V53" s="5">
        <f>25.6</f>
        <v>25.6</v>
      </c>
      <c r="W53" s="5">
        <v>47.8</v>
      </c>
      <c r="X53" s="4">
        <f t="shared" si="177"/>
        <v>139.60000000000002</v>
      </c>
      <c r="Y53" s="5">
        <v>36.125</v>
      </c>
      <c r="Z53" s="5">
        <v>7.8</v>
      </c>
      <c r="AA53" s="9">
        <v>27.9</v>
      </c>
      <c r="AB53" s="5">
        <f t="shared" si="178"/>
        <v>71.824999999999989</v>
      </c>
      <c r="AC53" s="5">
        <f>9.96+0.04</f>
        <v>10</v>
      </c>
      <c r="AD53" s="5">
        <v>14</v>
      </c>
      <c r="AE53" s="5">
        <v>24.2</v>
      </c>
      <c r="AF53" s="5">
        <f t="shared" si="179"/>
        <v>48.2</v>
      </c>
      <c r="AG53" s="5">
        <v>49.305</v>
      </c>
      <c r="AH53" s="5">
        <v>12.4</v>
      </c>
      <c r="AI53" s="5">
        <v>51.96</v>
      </c>
      <c r="AJ53" s="5">
        <f t="shared" si="128"/>
        <v>113.66499999999999</v>
      </c>
      <c r="AK53" s="16">
        <f t="shared" si="129"/>
        <v>373.28999999999996</v>
      </c>
      <c r="AL53" s="5">
        <v>49.3</v>
      </c>
      <c r="AM53" s="5">
        <v>0.185</v>
      </c>
      <c r="AN53" s="5">
        <v>33.515000000000001</v>
      </c>
      <c r="AO53" s="5">
        <f t="shared" si="181"/>
        <v>83</v>
      </c>
      <c r="AP53" s="5">
        <v>21.59</v>
      </c>
      <c r="AQ53" s="5">
        <v>4.835</v>
      </c>
      <c r="AR53" s="5">
        <v>61.914999999999999</v>
      </c>
      <c r="AS53" s="54">
        <f t="shared" si="12"/>
        <v>88.34</v>
      </c>
      <c r="AT53" s="5">
        <v>24.43</v>
      </c>
      <c r="AU53" s="5">
        <v>19.27</v>
      </c>
      <c r="AV53" s="5">
        <v>23.481999999999999</v>
      </c>
      <c r="AW53" s="54">
        <f t="shared" si="182"/>
        <v>67.182000000000002</v>
      </c>
      <c r="AX53" s="5">
        <f>0.02279*1000</f>
        <v>22.790000000000003</v>
      </c>
      <c r="AY53" s="5">
        <v>4.4279999999999999</v>
      </c>
      <c r="AZ53" s="5">
        <v>43.29</v>
      </c>
      <c r="BA53" s="54">
        <f t="shared" si="14"/>
        <v>70.50800000000001</v>
      </c>
      <c r="BB53" s="54">
        <f t="shared" si="131"/>
        <v>309.02999999999997</v>
      </c>
      <c r="BC53" s="5">
        <v>81.459000000000003</v>
      </c>
      <c r="BD53" s="66">
        <v>4.8449999999999998</v>
      </c>
      <c r="BE53" s="66">
        <v>24.135000000000002</v>
      </c>
      <c r="BF53" s="62">
        <f>SUM(BC53:BE53)</f>
        <v>110.43900000000001</v>
      </c>
      <c r="BG53" s="67">
        <v>15.775</v>
      </c>
      <c r="BH53" s="67">
        <v>8.83</v>
      </c>
      <c r="BI53" s="67">
        <v>10.42</v>
      </c>
      <c r="BJ53" s="62">
        <f t="shared" si="132"/>
        <v>35.024999999999999</v>
      </c>
      <c r="BK53" s="67">
        <v>31.88</v>
      </c>
      <c r="BL53" s="67">
        <v>21.65</v>
      </c>
      <c r="BM53" s="67">
        <v>21.245000000000001</v>
      </c>
      <c r="BN53" s="62">
        <f t="shared" si="133"/>
        <v>74.775000000000006</v>
      </c>
      <c r="BO53" s="71">
        <v>37.22</v>
      </c>
      <c r="BP53" s="67">
        <v>27.254999999999999</v>
      </c>
      <c r="BQ53" s="67">
        <v>46.8</v>
      </c>
      <c r="BR53" s="62">
        <f t="shared" si="134"/>
        <v>111.27499999999999</v>
      </c>
      <c r="BS53" s="62">
        <f t="shared" si="135"/>
        <v>331.51400000000001</v>
      </c>
      <c r="BT53" s="67">
        <v>128</v>
      </c>
      <c r="BU53" s="67">
        <v>17.600000000000001</v>
      </c>
      <c r="BV53" s="67">
        <v>56.7</v>
      </c>
      <c r="BW53" s="62">
        <f t="shared" si="136"/>
        <v>202.3</v>
      </c>
      <c r="BX53" s="67">
        <v>25.9</v>
      </c>
      <c r="BY53" s="67">
        <v>14.6</v>
      </c>
      <c r="BZ53" s="67">
        <v>54.2</v>
      </c>
      <c r="CA53" s="62">
        <f t="shared" si="137"/>
        <v>94.7</v>
      </c>
      <c r="CB53" s="67">
        <v>42.7</v>
      </c>
      <c r="CC53" s="67">
        <v>50.2</v>
      </c>
      <c r="CD53" s="67">
        <v>48.1</v>
      </c>
      <c r="CE53" s="62">
        <f t="shared" si="138"/>
        <v>141</v>
      </c>
      <c r="CF53" s="67">
        <v>22.2</v>
      </c>
      <c r="CG53" s="67">
        <v>62.3</v>
      </c>
      <c r="CH53" s="67">
        <v>47.6</v>
      </c>
      <c r="CI53" s="67">
        <f t="shared" si="139"/>
        <v>132.1</v>
      </c>
      <c r="CJ53" s="71">
        <f t="shared" si="112"/>
        <v>570.1</v>
      </c>
      <c r="CK53" s="71">
        <v>123.8</v>
      </c>
      <c r="CL53" s="67">
        <v>17.2</v>
      </c>
      <c r="CM53" s="67">
        <v>42.7</v>
      </c>
      <c r="CN53" s="62">
        <f t="shared" si="140"/>
        <v>183.7</v>
      </c>
      <c r="CO53" s="67">
        <v>31.2</v>
      </c>
      <c r="CP53" s="67">
        <v>10.9</v>
      </c>
      <c r="CQ53" s="67">
        <v>57.9</v>
      </c>
      <c r="CR53" s="62">
        <f t="shared" si="141"/>
        <v>100</v>
      </c>
      <c r="CS53" s="101">
        <v>83.6</v>
      </c>
      <c r="CT53" s="67">
        <v>70.599999999999994</v>
      </c>
      <c r="CU53" s="67">
        <v>50.6</v>
      </c>
      <c r="CV53" s="62">
        <f t="shared" si="142"/>
        <v>204.79999999999998</v>
      </c>
      <c r="CW53" s="67">
        <v>47.5</v>
      </c>
      <c r="CX53" s="67">
        <v>38.200000000000003</v>
      </c>
      <c r="CY53" s="112">
        <v>77.5</v>
      </c>
      <c r="CZ53" s="113">
        <f t="shared" si="143"/>
        <v>163.19999999999999</v>
      </c>
      <c r="DA53" s="62">
        <f t="shared" si="125"/>
        <v>651.70000000000005</v>
      </c>
      <c r="DB53" s="71">
        <v>111.5</v>
      </c>
      <c r="DC53" s="67">
        <v>35.9</v>
      </c>
      <c r="DD53" s="67">
        <v>39.700000000000003</v>
      </c>
      <c r="DE53" s="62">
        <f t="shared" si="144"/>
        <v>187.10000000000002</v>
      </c>
      <c r="DF53" s="71">
        <v>20.5</v>
      </c>
      <c r="DG53" s="67">
        <v>2.6</v>
      </c>
      <c r="DH53" s="67">
        <v>17.399999999999999</v>
      </c>
      <c r="DI53" s="62">
        <f t="shared" si="145"/>
        <v>40.5</v>
      </c>
      <c r="DJ53" s="71">
        <v>40.9</v>
      </c>
      <c r="DK53" s="67">
        <v>41.5</v>
      </c>
      <c r="DL53" s="67">
        <v>41.1</v>
      </c>
      <c r="DM53" s="62">
        <f t="shared" si="146"/>
        <v>123.5</v>
      </c>
      <c r="DN53" s="67">
        <v>47.4</v>
      </c>
      <c r="DO53" s="67">
        <v>18.100000000000001</v>
      </c>
      <c r="DP53" s="67">
        <v>66.7</v>
      </c>
      <c r="DQ53" s="113">
        <f t="shared" si="147"/>
        <v>132.19999999999999</v>
      </c>
      <c r="DR53" s="140">
        <f t="shared" si="126"/>
        <v>483.3</v>
      </c>
      <c r="DS53" s="141">
        <v>125.8</v>
      </c>
      <c r="DT53" s="141">
        <v>31.9</v>
      </c>
      <c r="DU53" s="141">
        <v>45</v>
      </c>
      <c r="DV53" s="140">
        <f t="shared" si="148"/>
        <v>202.7</v>
      </c>
      <c r="DW53" s="142">
        <v>0</v>
      </c>
      <c r="DX53" s="141">
        <v>0</v>
      </c>
      <c r="DY53" s="141">
        <v>11.9</v>
      </c>
      <c r="DZ53" s="140">
        <f t="shared" si="149"/>
        <v>11.9</v>
      </c>
      <c r="EA53" s="142">
        <v>0</v>
      </c>
      <c r="EB53" s="141">
        <v>0</v>
      </c>
      <c r="EC53" s="141">
        <v>0.1</v>
      </c>
      <c r="ED53" s="140">
        <f t="shared" si="150"/>
        <v>0.1</v>
      </c>
      <c r="EE53" s="141">
        <v>10.7</v>
      </c>
      <c r="EF53" s="141">
        <v>24.3</v>
      </c>
      <c r="EG53" s="141">
        <v>43.1</v>
      </c>
      <c r="EH53" s="140">
        <f t="shared" si="151"/>
        <v>78.099999999999994</v>
      </c>
      <c r="EI53" s="140">
        <f t="shared" si="40"/>
        <v>292.79999999999995</v>
      </c>
      <c r="EJ53" s="141">
        <v>58.3</v>
      </c>
      <c r="EK53" s="141">
        <v>1.5</v>
      </c>
      <c r="EL53" s="141">
        <v>11</v>
      </c>
      <c r="EM53" s="140">
        <f t="shared" si="152"/>
        <v>70.8</v>
      </c>
      <c r="EN53" s="141">
        <v>0</v>
      </c>
      <c r="EO53" s="141">
        <v>2.5</v>
      </c>
      <c r="EP53" s="141"/>
      <c r="EQ53" s="140">
        <f t="shared" si="153"/>
        <v>2.5</v>
      </c>
      <c r="ER53" s="141"/>
      <c r="ES53" s="141"/>
      <c r="ET53" s="141"/>
      <c r="EU53" s="140">
        <f t="shared" si="154"/>
        <v>0</v>
      </c>
      <c r="EV53" s="141"/>
      <c r="EW53" s="141"/>
      <c r="EX53" s="141"/>
      <c r="EY53" s="140">
        <f t="shared" si="155"/>
        <v>0</v>
      </c>
      <c r="EZ53" s="169">
        <f t="shared" si="45"/>
        <v>73.3</v>
      </c>
      <c r="FA53" s="170"/>
      <c r="FB53" s="169"/>
      <c r="FC53" s="169"/>
      <c r="FD53" s="169"/>
      <c r="FE53" s="171">
        <f t="shared" si="156"/>
        <v>0</v>
      </c>
      <c r="FF53" s="169"/>
      <c r="FG53" s="169"/>
      <c r="FH53" s="169"/>
      <c r="FI53" s="171">
        <f t="shared" si="157"/>
        <v>0</v>
      </c>
      <c r="FJ53" s="169"/>
      <c r="FK53" s="169"/>
      <c r="FL53" s="169"/>
      <c r="FM53" s="171">
        <f t="shared" si="158"/>
        <v>0</v>
      </c>
      <c r="FN53" s="172"/>
      <c r="FO53" s="173"/>
      <c r="FP53" s="173"/>
      <c r="FQ53" s="175">
        <f t="shared" si="159"/>
        <v>0</v>
      </c>
      <c r="FR53" s="175">
        <f t="shared" si="50"/>
        <v>0</v>
      </c>
      <c r="FS53" s="172"/>
      <c r="FT53" s="173"/>
      <c r="FU53" s="174"/>
      <c r="FV53" s="175">
        <f t="shared" si="160"/>
        <v>0</v>
      </c>
      <c r="FW53" s="172">
        <v>0</v>
      </c>
      <c r="FX53" s="173"/>
      <c r="FY53" s="174">
        <v>0</v>
      </c>
      <c r="FZ53" s="175">
        <f t="shared" si="161"/>
        <v>0</v>
      </c>
      <c r="GA53" s="172"/>
      <c r="GB53" s="173"/>
      <c r="GC53" s="174"/>
      <c r="GD53" s="175">
        <f t="shared" si="162"/>
        <v>0</v>
      </c>
      <c r="GE53" s="172"/>
      <c r="GF53" s="173"/>
      <c r="GG53" s="159"/>
      <c r="GH53" s="174">
        <f t="shared" si="163"/>
        <v>0</v>
      </c>
      <c r="GI53" s="174">
        <f t="shared" si="55"/>
        <v>0</v>
      </c>
      <c r="GJ53" s="221"/>
      <c r="GK53" s="222"/>
      <c r="GL53" s="223"/>
      <c r="GM53" s="175">
        <f t="shared" si="164"/>
        <v>0</v>
      </c>
      <c r="GN53" s="221"/>
      <c r="GO53" s="222"/>
      <c r="GP53" s="223"/>
      <c r="GQ53" s="175">
        <f t="shared" si="165"/>
        <v>0</v>
      </c>
      <c r="GR53" s="319"/>
      <c r="GS53" s="222"/>
      <c r="GT53" s="223"/>
      <c r="GU53" s="175">
        <f t="shared" si="166"/>
        <v>0</v>
      </c>
      <c r="GV53" s="221">
        <v>273.3</v>
      </c>
      <c r="GW53" s="222">
        <v>200.7</v>
      </c>
      <c r="GX53" s="223">
        <v>232</v>
      </c>
      <c r="GY53" s="174">
        <f t="shared" si="167"/>
        <v>706</v>
      </c>
      <c r="GZ53" s="159">
        <f t="shared" si="110"/>
        <v>706</v>
      </c>
      <c r="HA53" s="254">
        <v>236.7</v>
      </c>
      <c r="HB53" s="160">
        <v>139.19999999999999</v>
      </c>
      <c r="HC53" s="159">
        <v>71.8</v>
      </c>
      <c r="HD53" s="273">
        <f t="shared" si="168"/>
        <v>447.7</v>
      </c>
      <c r="HE53" s="254">
        <v>45.4</v>
      </c>
      <c r="HF53" s="160">
        <v>0.4</v>
      </c>
      <c r="HG53" s="159">
        <v>29.8</v>
      </c>
      <c r="HH53" s="273">
        <f t="shared" si="169"/>
        <v>75.599999999999994</v>
      </c>
      <c r="HI53" s="279">
        <v>17</v>
      </c>
      <c r="HJ53" s="160">
        <v>19.2</v>
      </c>
      <c r="HK53" s="159">
        <v>59</v>
      </c>
      <c r="HL53" s="273">
        <f t="shared" si="170"/>
        <v>95.2</v>
      </c>
      <c r="HM53" s="254">
        <v>69.5</v>
      </c>
      <c r="HN53" s="160">
        <v>106.7</v>
      </c>
      <c r="HO53" s="159">
        <v>142.6</v>
      </c>
      <c r="HP53" s="273">
        <f t="shared" si="171"/>
        <v>318.79999999999995</v>
      </c>
      <c r="HQ53" s="273">
        <f t="shared" si="127"/>
        <v>937.3</v>
      </c>
      <c r="HR53" s="254">
        <v>130</v>
      </c>
      <c r="HS53" s="160">
        <v>214.89999999999998</v>
      </c>
      <c r="HT53" s="159">
        <v>180.7</v>
      </c>
      <c r="HU53" s="273">
        <f t="shared" si="172"/>
        <v>525.59999999999991</v>
      </c>
      <c r="HV53" s="254">
        <v>57.1</v>
      </c>
      <c r="HW53" s="160">
        <v>12.8</v>
      </c>
      <c r="HX53" s="159">
        <v>54.6</v>
      </c>
      <c r="HY53" s="273">
        <f t="shared" si="173"/>
        <v>124.5</v>
      </c>
      <c r="HZ53" s="280">
        <v>28.1</v>
      </c>
      <c r="IA53" s="160">
        <v>18.100000000000001</v>
      </c>
      <c r="IB53" s="159">
        <v>32.5</v>
      </c>
      <c r="IC53" s="273">
        <f t="shared" si="174"/>
        <v>78.7</v>
      </c>
      <c r="ID53" s="254">
        <v>24.1</v>
      </c>
      <c r="IE53" s="160">
        <v>7.1</v>
      </c>
      <c r="IF53" s="159">
        <v>4</v>
      </c>
      <c r="IG53" s="273">
        <f t="shared" si="175"/>
        <v>35.200000000000003</v>
      </c>
      <c r="IH53" s="273">
        <v>764</v>
      </c>
      <c r="II53" s="254">
        <v>55</v>
      </c>
      <c r="IJ53" s="254">
        <v>35.5</v>
      </c>
      <c r="IK53" s="159">
        <v>0</v>
      </c>
      <c r="IL53" s="273">
        <v>90.5</v>
      </c>
      <c r="IM53" s="277">
        <v>3.8</v>
      </c>
      <c r="IN53" s="160"/>
      <c r="IO53" s="160"/>
      <c r="IP53" s="273">
        <v>3.8</v>
      </c>
      <c r="IQ53" s="254"/>
      <c r="IR53" s="160"/>
      <c r="IS53" s="159"/>
      <c r="IT53" s="273">
        <v>0</v>
      </c>
      <c r="IU53" s="254"/>
      <c r="IV53" s="160"/>
      <c r="IW53" s="159"/>
      <c r="IX53" s="273">
        <v>0</v>
      </c>
      <c r="IY53" s="273">
        <v>94.3</v>
      </c>
      <c r="IZ53" s="254">
        <v>21</v>
      </c>
      <c r="JA53" s="160">
        <v>0.5</v>
      </c>
      <c r="JB53" s="159">
        <v>24.7</v>
      </c>
      <c r="JC53" s="273">
        <v>46.2</v>
      </c>
      <c r="JD53" s="254">
        <v>55</v>
      </c>
      <c r="JE53" s="160">
        <v>23</v>
      </c>
      <c r="JF53" s="159">
        <v>58</v>
      </c>
      <c r="JG53" s="273">
        <v>136</v>
      </c>
      <c r="JH53" s="254">
        <v>36.6</v>
      </c>
      <c r="JI53" s="160">
        <v>31.1</v>
      </c>
      <c r="JJ53" s="159">
        <v>66.3</v>
      </c>
      <c r="JK53" s="273">
        <v>134</v>
      </c>
      <c r="JL53" s="254">
        <v>253.7</v>
      </c>
      <c r="JM53" s="160">
        <v>136.80000000000001</v>
      </c>
      <c r="JN53" s="159">
        <v>124.5</v>
      </c>
      <c r="JO53" s="273">
        <v>515</v>
      </c>
      <c r="JP53" s="273">
        <v>831.2</v>
      </c>
      <c r="JQ53" s="254">
        <v>178.2</v>
      </c>
      <c r="JR53" s="160">
        <v>130.1</v>
      </c>
      <c r="JS53" s="159">
        <v>86.4</v>
      </c>
      <c r="JT53" s="273">
        <v>394.69999999999993</v>
      </c>
      <c r="JU53" s="256">
        <v>47.2</v>
      </c>
      <c r="JV53" s="160">
        <v>56.7</v>
      </c>
      <c r="JW53" s="159">
        <v>22</v>
      </c>
      <c r="JX53" s="273">
        <v>125.9</v>
      </c>
      <c r="JY53" s="254">
        <v>40</v>
      </c>
      <c r="JZ53" s="160">
        <v>4.5</v>
      </c>
      <c r="KA53" s="159">
        <v>28.099999999999998</v>
      </c>
      <c r="KB53" s="273">
        <v>72.599999999999994</v>
      </c>
      <c r="KC53" s="254">
        <v>81</v>
      </c>
      <c r="KD53" s="160">
        <v>142.19999999999999</v>
      </c>
      <c r="KE53" s="159">
        <v>162.5</v>
      </c>
      <c r="KF53" s="273">
        <v>385.7</v>
      </c>
      <c r="KG53" s="273">
        <v>978.89999999999986</v>
      </c>
      <c r="KH53" s="221">
        <v>183</v>
      </c>
      <c r="KI53" s="222">
        <v>178.8</v>
      </c>
      <c r="KJ53" s="223">
        <v>139.5</v>
      </c>
      <c r="KK53" s="273">
        <v>501.3</v>
      </c>
      <c r="KL53" s="221">
        <v>127.60000000000001</v>
      </c>
      <c r="KM53" s="222">
        <v>99.399999999999991</v>
      </c>
      <c r="KN53" s="223">
        <v>92.6</v>
      </c>
      <c r="KO53" s="273">
        <v>319.60000000000002</v>
      </c>
      <c r="KP53" s="221">
        <v>73.600000000000009</v>
      </c>
      <c r="KQ53" s="222">
        <v>83</v>
      </c>
      <c r="KR53" s="223">
        <v>57.3</v>
      </c>
      <c r="KS53" s="273">
        <v>213.90000000000003</v>
      </c>
      <c r="KT53" s="254">
        <v>123.2</v>
      </c>
      <c r="KU53" s="160">
        <v>160.19999999999999</v>
      </c>
      <c r="KV53" s="159">
        <v>287.10895001</v>
      </c>
      <c r="KW53" s="273">
        <v>570.50895001000004</v>
      </c>
      <c r="KX53" s="273">
        <v>1605.3089500100002</v>
      </c>
      <c r="KY53" s="221">
        <v>286.3</v>
      </c>
      <c r="KZ53" s="222">
        <v>268.39999999999998</v>
      </c>
      <c r="LA53" s="223">
        <v>226.89999999999998</v>
      </c>
      <c r="LB53" s="273">
        <v>781.6</v>
      </c>
      <c r="LC53" s="221">
        <v>317.3</v>
      </c>
      <c r="LD53" s="222">
        <v>188.6</v>
      </c>
      <c r="LE53" s="223">
        <v>248.2</v>
      </c>
      <c r="LF53" s="273">
        <v>754.09999999999991</v>
      </c>
      <c r="LG53" s="221">
        <v>181.5</v>
      </c>
      <c r="LH53" s="222">
        <v>267.90000000000003</v>
      </c>
      <c r="LI53" s="223">
        <v>304.59999999999997</v>
      </c>
      <c r="LJ53" s="273">
        <v>754</v>
      </c>
      <c r="LK53" s="254">
        <v>289.10000000000002</v>
      </c>
      <c r="LL53" s="160">
        <v>321</v>
      </c>
      <c r="LM53" s="159">
        <v>537.20000000000005</v>
      </c>
      <c r="LN53" s="273">
        <v>1147.3000000000002</v>
      </c>
      <c r="LO53" s="273">
        <v>3437</v>
      </c>
    </row>
    <row r="54" spans="1:327" ht="17.100000000000001" customHeight="1" x14ac:dyDescent="0.25">
      <c r="A54" s="2" t="s">
        <v>100</v>
      </c>
      <c r="B54" s="24"/>
      <c r="C54" s="5">
        <v>46.4</v>
      </c>
      <c r="D54" s="5">
        <v>5</v>
      </c>
      <c r="E54" s="5">
        <v>4.3</v>
      </c>
      <c r="F54" s="5">
        <v>5.6</v>
      </c>
      <c r="G54" s="5">
        <v>14.9</v>
      </c>
      <c r="H54" s="5">
        <v>3.7</v>
      </c>
      <c r="I54" s="5">
        <v>2.4</v>
      </c>
      <c r="J54" s="5">
        <v>5.2</v>
      </c>
      <c r="K54" s="5">
        <v>11.3</v>
      </c>
      <c r="L54" s="5">
        <v>3.3</v>
      </c>
      <c r="M54" s="5">
        <v>5.0999999999999996</v>
      </c>
      <c r="N54" s="5">
        <v>4.5</v>
      </c>
      <c r="O54" s="5">
        <f t="shared" si="0"/>
        <v>12.899999999999999</v>
      </c>
      <c r="P54" s="5">
        <v>5.4</v>
      </c>
      <c r="Q54" s="5">
        <v>2.2999999999999998</v>
      </c>
      <c r="R54" s="5">
        <v>3.2</v>
      </c>
      <c r="S54" s="5">
        <f t="shared" si="1"/>
        <v>10.9</v>
      </c>
      <c r="T54" s="16">
        <f t="shared" si="7"/>
        <v>49.999999999999993</v>
      </c>
      <c r="U54" s="5">
        <v>3.2</v>
      </c>
      <c r="V54" s="5">
        <v>2.2000000000000002</v>
      </c>
      <c r="W54" s="5">
        <v>5.5</v>
      </c>
      <c r="X54" s="4">
        <f t="shared" si="177"/>
        <v>10.9</v>
      </c>
      <c r="Y54" s="5">
        <v>4.5999999999999996</v>
      </c>
      <c r="Z54" s="5">
        <v>3.3</v>
      </c>
      <c r="AA54" s="9">
        <v>3.3</v>
      </c>
      <c r="AB54" s="5">
        <f t="shared" si="178"/>
        <v>11.2</v>
      </c>
      <c r="AC54" s="5">
        <v>6</v>
      </c>
      <c r="AD54" s="5">
        <v>3.34</v>
      </c>
      <c r="AE54" s="5">
        <v>4.9000000000000004</v>
      </c>
      <c r="AF54" s="5">
        <f t="shared" si="179"/>
        <v>14.24</v>
      </c>
      <c r="AG54" s="5">
        <v>4.7</v>
      </c>
      <c r="AH54" s="5">
        <f>3.6</f>
        <v>3.6</v>
      </c>
      <c r="AI54" s="5">
        <f>3.1+0.04</f>
        <v>3.14</v>
      </c>
      <c r="AJ54" s="5">
        <f t="shared" si="128"/>
        <v>11.440000000000001</v>
      </c>
      <c r="AK54" s="16">
        <f t="shared" si="129"/>
        <v>47.78</v>
      </c>
      <c r="AL54" s="5">
        <v>3.8</v>
      </c>
      <c r="AM54" s="5">
        <v>4.7</v>
      </c>
      <c r="AN54" s="5">
        <v>4.9000000000000004</v>
      </c>
      <c r="AO54" s="5">
        <f t="shared" si="181"/>
        <v>13.4</v>
      </c>
      <c r="AP54" s="5">
        <v>6.3</v>
      </c>
      <c r="AQ54" s="5">
        <v>4.5</v>
      </c>
      <c r="AR54" s="5">
        <v>3.8</v>
      </c>
      <c r="AS54" s="54">
        <f t="shared" si="12"/>
        <v>14.600000000000001</v>
      </c>
      <c r="AT54" s="5">
        <f>3.34</f>
        <v>3.34</v>
      </c>
      <c r="AU54" s="5">
        <v>3.4</v>
      </c>
      <c r="AV54" s="5">
        <v>6.74</v>
      </c>
      <c r="AW54" s="54">
        <f t="shared" si="182"/>
        <v>13.48</v>
      </c>
      <c r="AX54" s="5">
        <v>5</v>
      </c>
      <c r="AY54" s="5">
        <v>4.1399999999999997</v>
      </c>
      <c r="AZ54" s="5">
        <v>4</v>
      </c>
      <c r="BA54" s="54">
        <f t="shared" si="14"/>
        <v>13.14</v>
      </c>
      <c r="BB54" s="54">
        <f t="shared" si="131"/>
        <v>54.620000000000005</v>
      </c>
      <c r="BC54" s="5">
        <v>2.9321999999999999</v>
      </c>
      <c r="BD54" s="66">
        <v>4.2511999999999999</v>
      </c>
      <c r="BE54" s="66">
        <v>6.9744000000000002</v>
      </c>
      <c r="BF54" s="62">
        <f>SUM(BC54:BE54)</f>
        <v>14.1578</v>
      </c>
      <c r="BG54" s="67">
        <v>4.0568289999999996</v>
      </c>
      <c r="BH54" s="67">
        <v>4.8231099999999998</v>
      </c>
      <c r="BI54" s="67">
        <v>3.9636999999999998</v>
      </c>
      <c r="BJ54" s="62">
        <f t="shared" si="132"/>
        <v>12.843639</v>
      </c>
      <c r="BK54" s="67">
        <v>2.7067999999999999</v>
      </c>
      <c r="BL54" s="67">
        <f>+ROUND(5.167,1)</f>
        <v>5.2</v>
      </c>
      <c r="BM54" s="67">
        <v>6.574649</v>
      </c>
      <c r="BN54" s="62">
        <f t="shared" si="133"/>
        <v>14.481449000000001</v>
      </c>
      <c r="BO54" s="71">
        <v>4.7666000000000004</v>
      </c>
      <c r="BP54" s="67">
        <v>3.8449</v>
      </c>
      <c r="BQ54" s="67">
        <v>5.0420699999999998</v>
      </c>
      <c r="BR54" s="62">
        <f t="shared" si="134"/>
        <v>13.653569999999998</v>
      </c>
      <c r="BS54" s="62">
        <f t="shared" si="135"/>
        <v>55.136458000000005</v>
      </c>
      <c r="BT54" s="67">
        <v>2.5</v>
      </c>
      <c r="BU54" s="67">
        <v>2.7</v>
      </c>
      <c r="BV54" s="67">
        <v>6.1</v>
      </c>
      <c r="BW54" s="62">
        <f t="shared" si="136"/>
        <v>11.3</v>
      </c>
      <c r="BX54" s="67">
        <v>3.65</v>
      </c>
      <c r="BY54" s="67">
        <v>5.6</v>
      </c>
      <c r="BZ54" s="67">
        <v>3.5</v>
      </c>
      <c r="CA54" s="62">
        <f t="shared" si="137"/>
        <v>12.75</v>
      </c>
      <c r="CB54" s="67">
        <v>2.7</v>
      </c>
      <c r="CC54" s="67">
        <v>3.7</v>
      </c>
      <c r="CD54" s="67">
        <v>3.5</v>
      </c>
      <c r="CE54" s="62">
        <f t="shared" si="138"/>
        <v>9.9</v>
      </c>
      <c r="CF54" s="67">
        <v>3.64</v>
      </c>
      <c r="CG54" s="67">
        <v>3.5</v>
      </c>
      <c r="CH54" s="67">
        <v>4.9000000000000004</v>
      </c>
      <c r="CI54" s="67">
        <f t="shared" si="139"/>
        <v>12.040000000000001</v>
      </c>
      <c r="CJ54" s="71">
        <f t="shared" si="112"/>
        <v>45.99</v>
      </c>
      <c r="CK54" s="71">
        <v>3.3</v>
      </c>
      <c r="CL54" s="67">
        <v>3.2</v>
      </c>
      <c r="CM54" s="67">
        <v>3.3</v>
      </c>
      <c r="CN54" s="62">
        <f t="shared" si="140"/>
        <v>9.8000000000000007</v>
      </c>
      <c r="CO54" s="67">
        <v>2.7</v>
      </c>
      <c r="CP54" s="67">
        <v>4.2</v>
      </c>
      <c r="CQ54" s="67">
        <v>3</v>
      </c>
      <c r="CR54" s="62">
        <f t="shared" si="141"/>
        <v>9.9</v>
      </c>
      <c r="CS54" s="101">
        <v>4.2</v>
      </c>
      <c r="CT54" s="67">
        <v>2.6</v>
      </c>
      <c r="CU54" s="67">
        <v>2.6</v>
      </c>
      <c r="CV54" s="62">
        <f t="shared" si="142"/>
        <v>9.4</v>
      </c>
      <c r="CW54" s="67">
        <v>3</v>
      </c>
      <c r="CX54" s="67">
        <v>3</v>
      </c>
      <c r="CY54" s="112">
        <v>3.3</v>
      </c>
      <c r="CZ54" s="113">
        <f t="shared" si="143"/>
        <v>9.3000000000000007</v>
      </c>
      <c r="DA54" s="62">
        <f t="shared" si="125"/>
        <v>38.400000000000006</v>
      </c>
      <c r="DB54" s="71">
        <v>2.1</v>
      </c>
      <c r="DC54" s="67">
        <v>3.3</v>
      </c>
      <c r="DD54" s="67">
        <v>1.8</v>
      </c>
      <c r="DE54" s="62">
        <f t="shared" si="144"/>
        <v>7.2</v>
      </c>
      <c r="DF54" s="71">
        <v>2</v>
      </c>
      <c r="DG54" s="67">
        <v>3.2</v>
      </c>
      <c r="DH54" s="67">
        <v>1.6</v>
      </c>
      <c r="DI54" s="62">
        <f t="shared" si="145"/>
        <v>6.8000000000000007</v>
      </c>
      <c r="DJ54" s="71">
        <v>1.8</v>
      </c>
      <c r="DK54" s="67">
        <v>2</v>
      </c>
      <c r="DL54" s="67">
        <v>1.2</v>
      </c>
      <c r="DM54" s="62">
        <f t="shared" si="146"/>
        <v>5</v>
      </c>
      <c r="DN54" s="67">
        <v>2.6</v>
      </c>
      <c r="DO54" s="67">
        <v>4</v>
      </c>
      <c r="DP54" s="67">
        <v>2.7</v>
      </c>
      <c r="DQ54" s="113">
        <f t="shared" si="147"/>
        <v>9.3000000000000007</v>
      </c>
      <c r="DR54" s="140">
        <f t="shared" si="126"/>
        <v>28.3</v>
      </c>
      <c r="DS54" s="141">
        <v>3.7</v>
      </c>
      <c r="DT54" s="141">
        <v>3.3</v>
      </c>
      <c r="DU54" s="141">
        <v>3.1</v>
      </c>
      <c r="DV54" s="140">
        <f t="shared" si="148"/>
        <v>10.1</v>
      </c>
      <c r="DW54" s="142">
        <v>1.9</v>
      </c>
      <c r="DX54" s="141">
        <v>1.7</v>
      </c>
      <c r="DY54" s="141">
        <v>2.1</v>
      </c>
      <c r="DZ54" s="140">
        <f t="shared" si="149"/>
        <v>5.6999999999999993</v>
      </c>
      <c r="EA54" s="142">
        <v>3.5</v>
      </c>
      <c r="EB54" s="141">
        <v>1.2</v>
      </c>
      <c r="EC54" s="141">
        <v>2.8</v>
      </c>
      <c r="ED54" s="140">
        <f t="shared" si="150"/>
        <v>7.5</v>
      </c>
      <c r="EE54" s="141">
        <v>2.4</v>
      </c>
      <c r="EF54" s="141">
        <v>3.1</v>
      </c>
      <c r="EG54" s="141">
        <v>2.4</v>
      </c>
      <c r="EH54" s="140">
        <f t="shared" si="151"/>
        <v>7.9</v>
      </c>
      <c r="EI54" s="140">
        <f t="shared" si="40"/>
        <v>31.199999999999996</v>
      </c>
      <c r="EJ54" s="141">
        <v>3.3</v>
      </c>
      <c r="EK54" s="141">
        <v>1.3</v>
      </c>
      <c r="EL54" s="141">
        <v>3.5</v>
      </c>
      <c r="EM54" s="140">
        <f t="shared" si="152"/>
        <v>8.1</v>
      </c>
      <c r="EN54" s="141">
        <v>1.4</v>
      </c>
      <c r="EO54" s="141">
        <v>3.2</v>
      </c>
      <c r="EP54" s="141">
        <v>3</v>
      </c>
      <c r="EQ54" s="140">
        <f t="shared" si="153"/>
        <v>7.6</v>
      </c>
      <c r="ER54" s="141">
        <v>1.61</v>
      </c>
      <c r="ES54" s="141">
        <v>2.4</v>
      </c>
      <c r="ET54" s="141">
        <v>2.6</v>
      </c>
      <c r="EU54" s="140">
        <f t="shared" si="154"/>
        <v>6.6099999999999994</v>
      </c>
      <c r="EV54" s="141">
        <v>1.1000000000000001</v>
      </c>
      <c r="EW54" s="141">
        <v>1.4</v>
      </c>
      <c r="EX54" s="141">
        <v>1.3470318000000001</v>
      </c>
      <c r="EY54" s="140">
        <f t="shared" si="155"/>
        <v>3.8470317999999999</v>
      </c>
      <c r="EZ54" s="169">
        <f t="shared" si="45"/>
        <v>26.157031799999999</v>
      </c>
      <c r="FA54" s="170"/>
      <c r="FB54" s="169">
        <v>1.8</v>
      </c>
      <c r="FC54" s="169">
        <v>2.1</v>
      </c>
      <c r="FD54" s="169">
        <v>2.1</v>
      </c>
      <c r="FE54" s="171">
        <f t="shared" si="156"/>
        <v>6</v>
      </c>
      <c r="FF54" s="169">
        <v>2.1913920026999998</v>
      </c>
      <c r="FG54" s="169">
        <v>1.2995858193999998</v>
      </c>
      <c r="FH54" s="169">
        <v>3.8677301805399997</v>
      </c>
      <c r="FI54" s="171">
        <f t="shared" si="157"/>
        <v>7.3587080026399994</v>
      </c>
      <c r="FJ54" s="169">
        <v>2.5861200480999997</v>
      </c>
      <c r="FK54" s="169">
        <v>2.21877924035</v>
      </c>
      <c r="FL54" s="169">
        <v>1.8556655645999998</v>
      </c>
      <c r="FM54" s="171">
        <f t="shared" si="158"/>
        <v>6.6605648530499995</v>
      </c>
      <c r="FN54" s="172">
        <v>2.2509436018</v>
      </c>
      <c r="FO54" s="173">
        <v>2.1351835993000003</v>
      </c>
      <c r="FP54" s="173">
        <v>2.5889567996</v>
      </c>
      <c r="FQ54" s="175">
        <f t="shared" si="159"/>
        <v>6.9750840007000008</v>
      </c>
      <c r="FR54" s="175">
        <f t="shared" si="50"/>
        <v>26.994356856389999</v>
      </c>
      <c r="FS54" s="172">
        <v>3.5922258899999999</v>
      </c>
      <c r="FT54" s="173">
        <v>2.4486669593000001</v>
      </c>
      <c r="FU54" s="174">
        <v>3.9662913790000003</v>
      </c>
      <c r="FV54" s="175">
        <f t="shared" si="160"/>
        <v>10.007184228300002</v>
      </c>
      <c r="FW54" s="172">
        <v>1.8041244209</v>
      </c>
      <c r="FX54" s="173">
        <v>3.5256686113999995</v>
      </c>
      <c r="FY54" s="174">
        <v>4.3427197080000006</v>
      </c>
      <c r="FZ54" s="175">
        <f t="shared" si="161"/>
        <v>9.6725127403000002</v>
      </c>
      <c r="GA54" s="172">
        <v>7.1668822492000004</v>
      </c>
      <c r="GB54" s="173">
        <v>3.4210051797000003</v>
      </c>
      <c r="GC54" s="174">
        <v>3.0967812186999994</v>
      </c>
      <c r="GD54" s="175">
        <f t="shared" si="162"/>
        <v>13.684668647599999</v>
      </c>
      <c r="GE54" s="172">
        <v>3.2206955681999996</v>
      </c>
      <c r="GF54" s="173">
        <v>3.4956304115300001</v>
      </c>
      <c r="GG54" s="159">
        <v>4.0063533199999997</v>
      </c>
      <c r="GH54" s="174">
        <f t="shared" si="163"/>
        <v>10.72267929973</v>
      </c>
      <c r="GI54" s="174">
        <f t="shared" si="55"/>
        <v>44.087044915930008</v>
      </c>
      <c r="GJ54" s="221">
        <v>1.6426116789999998</v>
      </c>
      <c r="GK54" s="222">
        <v>2.1222124290500002</v>
      </c>
      <c r="GL54" s="223">
        <v>3.2386932188100004</v>
      </c>
      <c r="GM54" s="175">
        <f t="shared" si="164"/>
        <v>7.0035173268600008</v>
      </c>
      <c r="GN54" s="221">
        <v>3.0570309587000004</v>
      </c>
      <c r="GO54" s="222">
        <v>4.7307907880371705</v>
      </c>
      <c r="GP54" s="223">
        <v>3.6577039078372957</v>
      </c>
      <c r="GQ54" s="175">
        <f t="shared" si="165"/>
        <v>11.445525654574467</v>
      </c>
      <c r="GR54" s="245">
        <v>5.0999999999999996</v>
      </c>
      <c r="GS54" s="222">
        <v>2.99657960142796</v>
      </c>
      <c r="GT54" s="223">
        <v>3.8343645894288998</v>
      </c>
      <c r="GU54" s="175">
        <f t="shared" si="166"/>
        <v>11.930944190856859</v>
      </c>
      <c r="GV54" s="221">
        <v>6.2784887184243479</v>
      </c>
      <c r="GW54" s="222">
        <v>4.2064046694539456</v>
      </c>
      <c r="GX54" s="223">
        <v>1.5361249798982786</v>
      </c>
      <c r="GY54" s="174">
        <f t="shared" si="167"/>
        <v>12.021018367776573</v>
      </c>
      <c r="GZ54" s="159">
        <f t="shared" si="110"/>
        <v>42.401005540067899</v>
      </c>
      <c r="HA54" s="254">
        <v>0.76674526972740309</v>
      </c>
      <c r="HB54" s="160">
        <v>2.6874743486370147</v>
      </c>
      <c r="HC54" s="159">
        <v>5.3926946396338584</v>
      </c>
      <c r="HD54" s="273">
        <f t="shared" si="168"/>
        <v>8.8469142579982751</v>
      </c>
      <c r="HE54" s="254">
        <v>4.566175681731707</v>
      </c>
      <c r="HF54" s="160">
        <v>1.386976708668723</v>
      </c>
      <c r="HG54" s="159">
        <v>1.9271980601682919</v>
      </c>
      <c r="HH54" s="273">
        <f t="shared" si="169"/>
        <v>7.8803504505687219</v>
      </c>
      <c r="HI54" s="279">
        <v>3.0342200414965568</v>
      </c>
      <c r="HJ54" s="160">
        <v>3.5673863600878035</v>
      </c>
      <c r="HK54" s="159">
        <v>1.8966596499282649</v>
      </c>
      <c r="HL54" s="273">
        <f t="shared" si="170"/>
        <v>8.4982660515126263</v>
      </c>
      <c r="HM54" s="254">
        <v>3.2517625495143903</v>
      </c>
      <c r="HN54" s="160">
        <v>2.8597603501304163</v>
      </c>
      <c r="HO54" s="159">
        <v>2.8734314101000002</v>
      </c>
      <c r="HP54" s="273">
        <f t="shared" si="171"/>
        <v>8.9849543097448077</v>
      </c>
      <c r="HQ54" s="273">
        <f t="shared" si="127"/>
        <v>34.210485069824429</v>
      </c>
      <c r="HR54" s="254">
        <v>3.8921997505451942</v>
      </c>
      <c r="HS54" s="160">
        <v>3.381623379942611</v>
      </c>
      <c r="HT54" s="159">
        <v>4.1076115099999999</v>
      </c>
      <c r="HU54" s="273">
        <f t="shared" si="172"/>
        <v>11.381434640487806</v>
      </c>
      <c r="HV54" s="254">
        <v>4.548694119928264</v>
      </c>
      <c r="HW54" s="160">
        <v>5.1441535498134865</v>
      </c>
      <c r="HX54" s="159">
        <v>2.6944431300000002</v>
      </c>
      <c r="HY54" s="273">
        <f t="shared" si="173"/>
        <v>12.38729079974175</v>
      </c>
      <c r="HZ54" s="280">
        <v>3.3917183691822093</v>
      </c>
      <c r="IA54" s="160">
        <v>2.8536992307604021</v>
      </c>
      <c r="IB54" s="159">
        <v>3.1602639899999998</v>
      </c>
      <c r="IC54" s="273">
        <f t="shared" si="174"/>
        <v>9.4056815899426098</v>
      </c>
      <c r="ID54" s="254">
        <v>4.0402158300000002</v>
      </c>
      <c r="IE54" s="160">
        <v>7.0204985200000003</v>
      </c>
      <c r="IF54" s="159">
        <v>3.54705388</v>
      </c>
      <c r="IG54" s="273">
        <f t="shared" si="175"/>
        <v>14.607768230000001</v>
      </c>
      <c r="IH54" s="273">
        <v>47.782175260172167</v>
      </c>
      <c r="II54" s="254">
        <v>2.5538563999999999</v>
      </c>
      <c r="IJ54" s="160">
        <v>1.8443865100000001</v>
      </c>
      <c r="IK54" s="159">
        <v>4.9749157300000002</v>
      </c>
      <c r="IL54" s="273">
        <v>9.3731586399999998</v>
      </c>
      <c r="IM54" s="254">
        <v>3.0032442400000003</v>
      </c>
      <c r="IN54" s="160">
        <v>2.2589357900000002</v>
      </c>
      <c r="IO54" s="160">
        <v>1.13874553</v>
      </c>
      <c r="IP54" s="273">
        <v>6.400925560000001</v>
      </c>
      <c r="IQ54" s="254">
        <v>2.29537909</v>
      </c>
      <c r="IR54" s="160">
        <v>1.11174738</v>
      </c>
      <c r="IS54" s="159">
        <v>4.6517368799999996</v>
      </c>
      <c r="IT54" s="273">
        <v>8.0588633499999993</v>
      </c>
      <c r="IU54" s="254">
        <v>4.8401922919941773</v>
      </c>
      <c r="IV54" s="160">
        <v>2.0423959106712331</v>
      </c>
      <c r="IW54" s="159">
        <v>3.4356039313119533</v>
      </c>
      <c r="IX54" s="273">
        <v>10.318192133977362</v>
      </c>
      <c r="IY54" s="273">
        <v>34.151139683977362</v>
      </c>
      <c r="IZ54" s="254">
        <v>4.5180362895918362</v>
      </c>
      <c r="JA54" s="160">
        <v>2.24410848</v>
      </c>
      <c r="JB54" s="159">
        <v>1.0772308900000001</v>
      </c>
      <c r="JC54" s="273">
        <v>7.8393756595918367</v>
      </c>
      <c r="JD54" s="254">
        <v>2.3086031500000002</v>
      </c>
      <c r="JE54" s="160">
        <v>4.1087268100000003</v>
      </c>
      <c r="JF54" s="159">
        <v>2.8111241199999997</v>
      </c>
      <c r="JG54" s="273">
        <v>9.2284540799999988</v>
      </c>
      <c r="JH54" s="254">
        <v>7.4861042599999994</v>
      </c>
      <c r="JI54" s="160">
        <v>2.9786365785714284</v>
      </c>
      <c r="JJ54" s="159">
        <v>2.5846464400000002</v>
      </c>
      <c r="JK54" s="273">
        <v>13.049387278571428</v>
      </c>
      <c r="JL54" s="254">
        <v>1.4585875799999999</v>
      </c>
      <c r="JM54" s="160">
        <v>2.0696291499999999</v>
      </c>
      <c r="JN54" s="159">
        <v>1.7103537799999999</v>
      </c>
      <c r="JO54" s="273">
        <v>5.2385705099999997</v>
      </c>
      <c r="JP54" s="273">
        <v>35.355787528163269</v>
      </c>
      <c r="JQ54" s="254">
        <v>2.5049834800000004</v>
      </c>
      <c r="JR54" s="160">
        <v>1.5773077099999999</v>
      </c>
      <c r="JS54" s="159">
        <v>2.6852216699999998</v>
      </c>
      <c r="JT54" s="273">
        <v>6.7675128600000001</v>
      </c>
      <c r="JU54" s="254">
        <v>1.6148388800000002</v>
      </c>
      <c r="JV54" s="160">
        <v>2.9006327700000005</v>
      </c>
      <c r="JW54" s="159">
        <v>2.7756917299999997</v>
      </c>
      <c r="JX54" s="273">
        <v>7.2911633800000004</v>
      </c>
      <c r="JY54" s="254">
        <v>3.23320403</v>
      </c>
      <c r="JZ54" s="160">
        <v>2.8166639499999997</v>
      </c>
      <c r="KA54" s="159">
        <v>1.1809702</v>
      </c>
      <c r="KB54" s="273">
        <v>7.2308381800000001</v>
      </c>
      <c r="KC54" s="254">
        <v>3.5185571100000002</v>
      </c>
      <c r="KD54" s="160">
        <v>2.9200815900000001</v>
      </c>
      <c r="KE54" s="159">
        <v>2.8990089799999996</v>
      </c>
      <c r="KF54" s="273">
        <v>9.3376476799999999</v>
      </c>
      <c r="KG54" s="273">
        <v>30.6271621</v>
      </c>
      <c r="KH54" s="221">
        <v>1.7414124799999997</v>
      </c>
      <c r="KI54" s="222">
        <v>0.92426429999999993</v>
      </c>
      <c r="KJ54" s="223">
        <v>1.76364108</v>
      </c>
      <c r="KK54" s="273">
        <v>4.4293178599999994</v>
      </c>
      <c r="KL54" s="221">
        <v>2.1492438000000003</v>
      </c>
      <c r="KM54" s="222">
        <v>1.0036600200000001</v>
      </c>
      <c r="KN54" s="223">
        <v>0.48686205999999999</v>
      </c>
      <c r="KO54" s="273">
        <v>3.6397658800000006</v>
      </c>
      <c r="KP54" s="221">
        <v>1.8305178499999999</v>
      </c>
      <c r="KQ54" s="222">
        <v>1.5587280100000001</v>
      </c>
      <c r="KR54" s="223">
        <v>2.3793010900000002</v>
      </c>
      <c r="KS54" s="273">
        <v>5.7685469500000002</v>
      </c>
      <c r="KT54" s="254">
        <v>1.29165328</v>
      </c>
      <c r="KU54" s="160">
        <v>1.6247696500000002</v>
      </c>
      <c r="KV54" s="159">
        <v>0.60663462000000001</v>
      </c>
      <c r="KW54" s="273">
        <v>3.5230575500000003</v>
      </c>
      <c r="KX54" s="273">
        <v>17.360688240000002</v>
      </c>
      <c r="KY54" s="221">
        <v>6.3346056300000004</v>
      </c>
      <c r="KZ54" s="222">
        <v>1.2168554199999999</v>
      </c>
      <c r="LA54" s="223">
        <v>0.89914620000000001</v>
      </c>
      <c r="LB54" s="273">
        <v>8.4506072500000009</v>
      </c>
      <c r="LC54" s="221">
        <v>2.1439941999999999</v>
      </c>
      <c r="LD54" s="222">
        <v>1.51877124</v>
      </c>
      <c r="LE54" s="223">
        <v>2.9253464699999996</v>
      </c>
      <c r="LF54" s="273">
        <v>6.5881119099999994</v>
      </c>
      <c r="LG54" s="221">
        <v>2.2093860200000002</v>
      </c>
      <c r="LH54" s="222">
        <v>1.2846681099999999</v>
      </c>
      <c r="LI54" s="223">
        <v>0.72967231999999993</v>
      </c>
      <c r="LJ54" s="273">
        <v>4.22372645</v>
      </c>
      <c r="LK54" s="254">
        <v>9.4811729399999987</v>
      </c>
      <c r="LL54" s="160">
        <v>0.64790475999999997</v>
      </c>
      <c r="LM54" s="159">
        <v>5.0578819799999994</v>
      </c>
      <c r="LN54" s="273">
        <v>15.186959679999998</v>
      </c>
      <c r="LO54" s="273">
        <v>34.449405290000001</v>
      </c>
    </row>
    <row r="55" spans="1:327" ht="17.100000000000001" customHeight="1" x14ac:dyDescent="0.2">
      <c r="A55" s="2" t="s">
        <v>39</v>
      </c>
      <c r="B55" s="24"/>
      <c r="C55" s="5">
        <v>37.200000000000003</v>
      </c>
      <c r="D55" s="5">
        <v>2.7</v>
      </c>
      <c r="E55" s="5">
        <v>1.8</v>
      </c>
      <c r="F55" s="5">
        <v>3.4</v>
      </c>
      <c r="G55" s="5">
        <v>7.9</v>
      </c>
      <c r="H55" s="5">
        <v>2.7</v>
      </c>
      <c r="I55" s="5">
        <v>2.6</v>
      </c>
      <c r="J55" s="5">
        <v>1.9</v>
      </c>
      <c r="K55" s="5">
        <v>7.2</v>
      </c>
      <c r="L55" s="5">
        <v>4.8</v>
      </c>
      <c r="M55" s="5">
        <f>SUM(M56:M61)</f>
        <v>1.8</v>
      </c>
      <c r="N55" s="5">
        <f>SUM(N56:N61)</f>
        <v>2</v>
      </c>
      <c r="O55" s="5">
        <f t="shared" si="0"/>
        <v>8.6</v>
      </c>
      <c r="P55" s="5">
        <f>SUM(P56:P61)</f>
        <v>2.2000000000000002</v>
      </c>
      <c r="Q55" s="5">
        <f>SUM(Q56:Q61)</f>
        <v>1.6</v>
      </c>
      <c r="R55" s="5">
        <f>SUM(R56:R61)</f>
        <v>1.5</v>
      </c>
      <c r="S55" s="5">
        <f t="shared" si="1"/>
        <v>5.3000000000000007</v>
      </c>
      <c r="T55" s="16">
        <f t="shared" si="7"/>
        <v>29</v>
      </c>
      <c r="U55" s="5">
        <f>SUM(U56:U61)</f>
        <v>2</v>
      </c>
      <c r="V55" s="5">
        <f>SUM(V56:V61)</f>
        <v>2.1</v>
      </c>
      <c r="W55" s="5">
        <f>SUM(W56:W61)</f>
        <v>1.9000000000000001</v>
      </c>
      <c r="X55" s="4">
        <f t="shared" si="177"/>
        <v>6</v>
      </c>
      <c r="Y55" s="5">
        <f>SUM(Y56:Y61)</f>
        <v>2.7</v>
      </c>
      <c r="Z55" s="5">
        <f>SUM(Z56:Z61)</f>
        <v>1.9000000000000001</v>
      </c>
      <c r="AA55" s="9">
        <f>SUM(AA56:AA61)</f>
        <v>2.38</v>
      </c>
      <c r="AB55" s="5">
        <f t="shared" si="178"/>
        <v>6.98</v>
      </c>
      <c r="AC55" s="5">
        <f>SUM(AC56:AC61)</f>
        <v>4.82</v>
      </c>
      <c r="AD55" s="5">
        <f>SUM(AD56:AD61)</f>
        <v>2.6</v>
      </c>
      <c r="AE55" s="5">
        <f>SUM(AE56:AE61)</f>
        <v>2.8</v>
      </c>
      <c r="AF55" s="5">
        <f t="shared" si="179"/>
        <v>10.219999999999999</v>
      </c>
      <c r="AG55" s="5">
        <f>SUM(AG56:AG61)</f>
        <v>2.2000000000000002</v>
      </c>
      <c r="AH55" s="5">
        <f>SUM(AH56:AH61)</f>
        <v>2.04</v>
      </c>
      <c r="AI55" s="5">
        <f>SUM(AI56:AI61)</f>
        <v>4</v>
      </c>
      <c r="AJ55" s="5">
        <f t="shared" si="128"/>
        <v>8.24</v>
      </c>
      <c r="AK55" s="16">
        <f t="shared" si="129"/>
        <v>31.439999999999998</v>
      </c>
      <c r="AL55" s="5">
        <f t="shared" ref="AL55:AT55" si="183">SUM(AL56:AL61)</f>
        <v>3.1</v>
      </c>
      <c r="AM55" s="5">
        <f t="shared" si="183"/>
        <v>1.9</v>
      </c>
      <c r="AN55" s="5">
        <f t="shared" si="183"/>
        <v>1.9000000000000001</v>
      </c>
      <c r="AO55" s="5">
        <f t="shared" si="181"/>
        <v>6.9</v>
      </c>
      <c r="AP55" s="5">
        <f t="shared" si="183"/>
        <v>2.2999999999999998</v>
      </c>
      <c r="AQ55" s="5">
        <f t="shared" si="183"/>
        <v>2.1</v>
      </c>
      <c r="AR55" s="5">
        <f t="shared" si="183"/>
        <v>2.4</v>
      </c>
      <c r="AS55" s="54">
        <f t="shared" si="12"/>
        <v>6.8000000000000007</v>
      </c>
      <c r="AT55" s="5">
        <f t="shared" si="183"/>
        <v>2.14</v>
      </c>
      <c r="AU55" s="5">
        <f>SUM(AU56:AU61)</f>
        <v>2.2000000000000002</v>
      </c>
      <c r="AV55" s="5">
        <f>SUM(AV56:AV61)</f>
        <v>3.94</v>
      </c>
      <c r="AW55" s="54">
        <f t="shared" si="182"/>
        <v>8.2799999999999994</v>
      </c>
      <c r="AX55" s="5">
        <f>SUM(AX56:AX61)</f>
        <v>0.5</v>
      </c>
      <c r="AY55" s="5">
        <f>SUM(AY56:AY61)</f>
        <v>2.54</v>
      </c>
      <c r="AZ55" s="5">
        <f>SUM(AZ56:AZ61)</f>
        <v>7.6</v>
      </c>
      <c r="BA55" s="54">
        <f t="shared" si="14"/>
        <v>10.64</v>
      </c>
      <c r="BB55" s="54">
        <f t="shared" si="131"/>
        <v>32.620000000000005</v>
      </c>
      <c r="BC55" s="5">
        <f>SUM(BC56:BC61)</f>
        <v>2.0936431200000003</v>
      </c>
      <c r="BD55" s="66">
        <f>SUM(BD56:BD61)</f>
        <v>8.4072312999999994</v>
      </c>
      <c r="BE55" s="66">
        <f>SUM(BE56:BE61)</f>
        <v>6.8118244900000002</v>
      </c>
      <c r="BF55" s="62">
        <f>SUM(BC55:BE55)</f>
        <v>17.312698909999998</v>
      </c>
      <c r="BG55" s="67">
        <f>SUM(BG56:BG61)</f>
        <v>2.3619479999999999</v>
      </c>
      <c r="BH55" s="67">
        <f>SUM(BH56:BH61)</f>
        <v>3.4744999999999999</v>
      </c>
      <c r="BI55" s="67">
        <f>SUM(BI56:BI61)</f>
        <v>1.8472300000000001</v>
      </c>
      <c r="BJ55" s="62">
        <f t="shared" si="132"/>
        <v>7.6836780000000005</v>
      </c>
      <c r="BK55" s="67">
        <f>SUM(BK56:BK61)</f>
        <v>3.52813</v>
      </c>
      <c r="BL55" s="67">
        <f>SUM(BL56:BL61)</f>
        <v>3.1156000000000001</v>
      </c>
      <c r="BM55" s="67">
        <f>SUM(BM56:BM61)</f>
        <v>2.2571059999999998</v>
      </c>
      <c r="BN55" s="62">
        <f t="shared" si="133"/>
        <v>8.900836</v>
      </c>
      <c r="BO55" s="71">
        <f>SUM(BO56:BO61)</f>
        <v>4.1183949999999996</v>
      </c>
      <c r="BP55" s="67">
        <f>SUM(BP56:BP61)</f>
        <v>3.57484</v>
      </c>
      <c r="BQ55" s="67">
        <f>SUM(BQ56:BQ61)</f>
        <v>3.56569</v>
      </c>
      <c r="BR55" s="62">
        <f t="shared" si="134"/>
        <v>11.258925</v>
      </c>
      <c r="BS55" s="62">
        <f t="shared" si="135"/>
        <v>45.156137909999998</v>
      </c>
      <c r="BT55" s="67">
        <f>SUM(BT56:BT61)</f>
        <v>6.3000000000000007</v>
      </c>
      <c r="BU55" s="67">
        <f>SUM(BU56:BU61)</f>
        <v>4.9000000000000004</v>
      </c>
      <c r="BV55" s="67">
        <f>SUM(BV56:BV61)</f>
        <v>4.3</v>
      </c>
      <c r="BW55" s="62">
        <f t="shared" si="136"/>
        <v>15.5</v>
      </c>
      <c r="BX55" s="67">
        <f>SUM(BX56:BX61)</f>
        <v>3.7</v>
      </c>
      <c r="BY55" s="67">
        <f>SUM(BY56:BY61)</f>
        <v>5.4</v>
      </c>
      <c r="BZ55" s="67">
        <f>SUM(BZ56:BZ61)</f>
        <v>6.1</v>
      </c>
      <c r="CA55" s="62">
        <f t="shared" si="137"/>
        <v>15.200000000000001</v>
      </c>
      <c r="CB55" s="67">
        <f>SUM(CB56:CB61)</f>
        <v>10.1</v>
      </c>
      <c r="CC55" s="67">
        <f>SUM(CC56:CC61)</f>
        <v>3.7199999999999998</v>
      </c>
      <c r="CD55" s="67">
        <f>SUM(CD56:CD61)</f>
        <v>3.5</v>
      </c>
      <c r="CE55" s="62">
        <f t="shared" si="138"/>
        <v>17.32</v>
      </c>
      <c r="CF55" s="67">
        <f>SUM(CF56:CF61)</f>
        <v>3.16</v>
      </c>
      <c r="CG55" s="67">
        <f>SUM(CG56:CG61)</f>
        <v>2.7300000000000004</v>
      </c>
      <c r="CH55" s="67">
        <f>SUM(CH56:CH61)</f>
        <v>2.46</v>
      </c>
      <c r="CI55" s="67">
        <f t="shared" si="139"/>
        <v>8.3500000000000014</v>
      </c>
      <c r="CJ55" s="71">
        <f t="shared" si="112"/>
        <v>56.370000000000005</v>
      </c>
      <c r="CK55" s="71">
        <f>SUM(CK56:CK61)</f>
        <v>3.8</v>
      </c>
      <c r="CL55" s="67">
        <f>SUM(CL56:CL61)</f>
        <v>2.9</v>
      </c>
      <c r="CM55" s="67">
        <f>SUM(CM56:CM61)</f>
        <v>5.6999999999999993</v>
      </c>
      <c r="CN55" s="62">
        <f t="shared" si="140"/>
        <v>12.399999999999999</v>
      </c>
      <c r="CO55" s="67">
        <f>SUM(CO56:CO61)</f>
        <v>3.8999999999999995</v>
      </c>
      <c r="CP55" s="67">
        <f>SUM(CP56:CP61)</f>
        <v>3.5999999999999996</v>
      </c>
      <c r="CQ55" s="67">
        <f>SUM(CQ56:CQ61)</f>
        <v>3.9999999999999996</v>
      </c>
      <c r="CR55" s="62">
        <f t="shared" si="141"/>
        <v>11.499999999999998</v>
      </c>
      <c r="CS55" s="101">
        <f>SUM(CS56:CS61)</f>
        <v>3.8</v>
      </c>
      <c r="CT55" s="67">
        <f>SUM(CT56:CT61)</f>
        <v>3.8000000000000003</v>
      </c>
      <c r="CU55" s="67">
        <f>SUM(CU56:CU61)</f>
        <v>6.9</v>
      </c>
      <c r="CV55" s="62">
        <f t="shared" si="142"/>
        <v>14.5</v>
      </c>
      <c r="CW55" s="67">
        <f>SUM(CW56:CW61)</f>
        <v>3.4999999999999996</v>
      </c>
      <c r="CX55" s="67">
        <f>SUM(CX56:CX61)</f>
        <v>1.3</v>
      </c>
      <c r="CY55" s="112">
        <f>SUM(CY56:CY61)</f>
        <v>3.2</v>
      </c>
      <c r="CZ55" s="113">
        <f t="shared" si="143"/>
        <v>8</v>
      </c>
      <c r="DA55" s="62">
        <f t="shared" si="125"/>
        <v>46.4</v>
      </c>
      <c r="DB55" s="71">
        <f>SUM(DB56:DB61)</f>
        <v>3.5999999999999996</v>
      </c>
      <c r="DC55" s="67">
        <f>SUM(DC56:DC61)</f>
        <v>1.9000000000000001</v>
      </c>
      <c r="DD55" s="67">
        <f>SUM(DD56:DD61)</f>
        <v>4.2</v>
      </c>
      <c r="DE55" s="62">
        <f t="shared" si="144"/>
        <v>9.6999999999999993</v>
      </c>
      <c r="DF55" s="71">
        <f>SUM(DF56:DF61)</f>
        <v>5.5</v>
      </c>
      <c r="DG55" s="67">
        <f>SUM(DG56:DG61)</f>
        <v>3.4000000000000004</v>
      </c>
      <c r="DH55" s="67">
        <f>SUM(DH56:DH61)</f>
        <v>2.2000000000000002</v>
      </c>
      <c r="DI55" s="62">
        <f t="shared" si="145"/>
        <v>11.100000000000001</v>
      </c>
      <c r="DJ55" s="71">
        <f>SUM(DJ56:DJ61)</f>
        <v>19.899999999999999</v>
      </c>
      <c r="DK55" s="67">
        <f>SUM(DK56:DK61)</f>
        <v>3</v>
      </c>
      <c r="DL55" s="67">
        <f>SUM(DL56:DL61)</f>
        <v>2.5999999999999996</v>
      </c>
      <c r="DM55" s="62">
        <f t="shared" si="146"/>
        <v>25.5</v>
      </c>
      <c r="DN55" s="67">
        <f>SUM(DN56:DN61)</f>
        <v>4.1999999999999993</v>
      </c>
      <c r="DO55" s="67">
        <f>SUM(DO56:DO61)</f>
        <v>2.9</v>
      </c>
      <c r="DP55" s="67">
        <f>SUM(DP56:DP61)</f>
        <v>2.5999999999999996</v>
      </c>
      <c r="DQ55" s="113">
        <f t="shared" si="147"/>
        <v>9.6999999999999993</v>
      </c>
      <c r="DR55" s="140">
        <f t="shared" si="126"/>
        <v>56</v>
      </c>
      <c r="DS55" s="141">
        <f>SUM(DS56:DS61)</f>
        <v>3.7</v>
      </c>
      <c r="DT55" s="141">
        <f>SUM(DT56:DT61)</f>
        <v>3.3000000000000003</v>
      </c>
      <c r="DU55" s="141">
        <f>SUM(DU56:DU61)</f>
        <v>1.7000000000000002</v>
      </c>
      <c r="DV55" s="140">
        <f t="shared" si="148"/>
        <v>8.6999999999999993</v>
      </c>
      <c r="DW55" s="142">
        <f>SUM(DW56:DW61)</f>
        <v>8</v>
      </c>
      <c r="DX55" s="141">
        <f>SUM(DX56:DX61)</f>
        <v>5.0999999999999996</v>
      </c>
      <c r="DY55" s="141">
        <f>SUM(DY56:DY61)</f>
        <v>4.8</v>
      </c>
      <c r="DZ55" s="140">
        <f t="shared" si="149"/>
        <v>17.899999999999999</v>
      </c>
      <c r="EA55" s="142">
        <f>SUM(EA56:EA61)</f>
        <v>7</v>
      </c>
      <c r="EB55" s="141">
        <f>SUM(EB56:EB61)</f>
        <v>3.5999999999999996</v>
      </c>
      <c r="EC55" s="141">
        <f>SUM(EC56:EC61)</f>
        <v>5</v>
      </c>
      <c r="ED55" s="140">
        <f t="shared" si="150"/>
        <v>15.6</v>
      </c>
      <c r="EE55" s="141">
        <f>SUM(EE56:EE61)</f>
        <v>5.9</v>
      </c>
      <c r="EF55" s="141">
        <f>SUM(EF56:EF61)</f>
        <v>3.8</v>
      </c>
      <c r="EG55" s="141">
        <f>SUM(EG56:EG61)</f>
        <v>4.5</v>
      </c>
      <c r="EH55" s="140">
        <f t="shared" si="151"/>
        <v>14.2</v>
      </c>
      <c r="EI55" s="140">
        <f t="shared" si="40"/>
        <v>56.399999999999991</v>
      </c>
      <c r="EJ55" s="141">
        <f>SUM(EJ56:EJ61)</f>
        <v>7</v>
      </c>
      <c r="EK55" s="141">
        <f>SUM(EK56:EK61)</f>
        <v>3.4</v>
      </c>
      <c r="EL55" s="141">
        <f>SUM(EL56:EL61)</f>
        <v>5.6</v>
      </c>
      <c r="EM55" s="140">
        <f t="shared" si="152"/>
        <v>16</v>
      </c>
      <c r="EN55" s="141">
        <f>SUM(EN56:EN61)</f>
        <v>12.1</v>
      </c>
      <c r="EO55" s="141">
        <f>SUM(EO56:EO61)</f>
        <v>5.6</v>
      </c>
      <c r="EP55" s="141">
        <f>SUM(EP56:EP61)</f>
        <v>9.3000000000000007</v>
      </c>
      <c r="EQ55" s="140">
        <f t="shared" si="153"/>
        <v>27</v>
      </c>
      <c r="ER55" s="141">
        <f>SUM(ER56:ER61)</f>
        <v>9.02</v>
      </c>
      <c r="ES55" s="141">
        <f>SUM(ES56:ES61)</f>
        <v>4.0999999999999996</v>
      </c>
      <c r="ET55" s="141">
        <f>SUM(ET56:ET61)</f>
        <v>4</v>
      </c>
      <c r="EU55" s="140">
        <f t="shared" si="154"/>
        <v>17.119999999999997</v>
      </c>
      <c r="EV55" s="141">
        <f>SUM(EV56:EV61)</f>
        <v>7.9</v>
      </c>
      <c r="EW55" s="141">
        <f>SUM(EW56:EW61)</f>
        <v>4.2</v>
      </c>
      <c r="EX55" s="141">
        <f>SUM(EX56:EX61)</f>
        <v>3.4545657588000003</v>
      </c>
      <c r="EY55" s="140">
        <f t="shared" si="155"/>
        <v>15.554565758800003</v>
      </c>
      <c r="EZ55" s="169">
        <f t="shared" si="45"/>
        <v>75.6745657588</v>
      </c>
      <c r="FA55" s="170"/>
      <c r="FB55" s="169">
        <f>SUM(FB56:FB61)</f>
        <v>4.2</v>
      </c>
      <c r="FC55" s="169">
        <f>SUM(FC56:FC61)</f>
        <v>1.8</v>
      </c>
      <c r="FD55" s="169">
        <f>SUM(FD56:FD61)</f>
        <v>5.0999999999999996</v>
      </c>
      <c r="FE55" s="171">
        <f t="shared" si="156"/>
        <v>11.1</v>
      </c>
      <c r="FF55" s="169">
        <f>SUM(FF56:FF61)</f>
        <v>6.8295798465918001</v>
      </c>
      <c r="FG55" s="169">
        <f>SUM(FG56:FG61)</f>
        <v>5.3584659231337994</v>
      </c>
      <c r="FH55" s="169">
        <f>SUM(FH56:FH61)</f>
        <v>5.1925447956559996</v>
      </c>
      <c r="FI55" s="171">
        <f t="shared" si="157"/>
        <v>17.380590565381599</v>
      </c>
      <c r="FJ55" s="169">
        <f>SUM(FJ56:FJ61)</f>
        <v>13.728050172565602</v>
      </c>
      <c r="FK55" s="169">
        <f>SUM(FK56:FK61)</f>
        <v>6.0134216760246995</v>
      </c>
      <c r="FL55" s="169">
        <f>SUM(FL56:FL61)</f>
        <v>11.913632469548798</v>
      </c>
      <c r="FM55" s="171">
        <f t="shared" si="158"/>
        <v>31.655104318139099</v>
      </c>
      <c r="FN55" s="172">
        <f>SUM(FN56:FN61)</f>
        <v>9.0238690692203996</v>
      </c>
      <c r="FO55" s="173">
        <f>SUM(FO56:FO61)</f>
        <v>14.103905885763041</v>
      </c>
      <c r="FP55" s="173">
        <f>SUM(FP56:FP61)</f>
        <v>9.378129343866302</v>
      </c>
      <c r="FQ55" s="175">
        <f t="shared" si="159"/>
        <v>32.505904298849742</v>
      </c>
      <c r="FR55" s="175">
        <f t="shared" si="50"/>
        <v>92.641599182370442</v>
      </c>
      <c r="FS55" s="172">
        <f>SUM(FS56:FS61)</f>
        <v>9.0117989399999985</v>
      </c>
      <c r="FT55" s="173">
        <f>SUM(FT56:FT61)</f>
        <v>3.8162264686498899</v>
      </c>
      <c r="FU55" s="174">
        <f>SUM(FU56:FU61)</f>
        <v>8.6146829888020005</v>
      </c>
      <c r="FV55" s="175">
        <f t="shared" si="160"/>
        <v>21.442708397451888</v>
      </c>
      <c r="FW55" s="172">
        <f>SUM(FW56:FW61)</f>
        <v>11.236929113274432</v>
      </c>
      <c r="FX55" s="173">
        <f>SUM(FX56:FX61)</f>
        <v>7.0873774394093596</v>
      </c>
      <c r="FY55" s="173">
        <f>SUM(FY56:FY61)</f>
        <v>9.8203909997869996</v>
      </c>
      <c r="FZ55" s="175">
        <f t="shared" si="161"/>
        <v>28.144697552470788</v>
      </c>
      <c r="GA55" s="172">
        <f>SUM(GA56:GA61)</f>
        <v>25.329602078506138</v>
      </c>
      <c r="GB55" s="173">
        <f>SUM(GB56:GB61)</f>
        <v>20.687174588435404</v>
      </c>
      <c r="GC55" s="174">
        <f>SUM(GC56:GC61)</f>
        <v>23.83163755927</v>
      </c>
      <c r="GD55" s="175">
        <f t="shared" si="162"/>
        <v>69.848414226211531</v>
      </c>
      <c r="GE55" s="172">
        <f>SUM(GE56:GE61)</f>
        <v>32.330190903914101</v>
      </c>
      <c r="GF55" s="173">
        <f>SUM(GF56:GF61)</f>
        <v>17.447927903772001</v>
      </c>
      <c r="GG55" s="159">
        <f>SUM(GG56:GG61)</f>
        <v>18.939511627095982</v>
      </c>
      <c r="GH55" s="174">
        <f t="shared" si="163"/>
        <v>68.71763043478208</v>
      </c>
      <c r="GI55" s="174">
        <f t="shared" si="55"/>
        <v>188.15345061091628</v>
      </c>
      <c r="GJ55" s="221">
        <f>SUM(GJ56:GJ61)</f>
        <v>25.559198557517998</v>
      </c>
      <c r="GK55" s="222">
        <f>SUM(GK56:GK61)</f>
        <v>13.560234292631</v>
      </c>
      <c r="GL55" s="223">
        <f>SUM(GL56:GL61)</f>
        <v>19.558893146930799</v>
      </c>
      <c r="GM55" s="175">
        <f t="shared" si="164"/>
        <v>58.678325997079796</v>
      </c>
      <c r="GN55" s="221">
        <f>SUM(GN56:GN61)</f>
        <v>22.422297909847131</v>
      </c>
      <c r="GO55" s="222">
        <f>SUM(GO56:GO61)</f>
        <v>27.860700478385759</v>
      </c>
      <c r="GP55" s="222">
        <f>SUM(GP56:GP61)</f>
        <v>27.739086737943499</v>
      </c>
      <c r="GQ55" s="175">
        <f t="shared" si="165"/>
        <v>78.022085126176393</v>
      </c>
      <c r="GR55" s="222">
        <f>SUM(GR56:GR61)</f>
        <v>24.1</v>
      </c>
      <c r="GS55" s="222">
        <f>SUM(GS56:GS61)</f>
        <v>15.857345575823825</v>
      </c>
      <c r="GT55" s="222">
        <f>SUM(GT56:GT61)</f>
        <v>21.576267155887944</v>
      </c>
      <c r="GU55" s="175">
        <f t="shared" si="166"/>
        <v>61.53361273171177</v>
      </c>
      <c r="GV55" s="221">
        <f>SUM(GV56:GV61)</f>
        <v>14.376061738676476</v>
      </c>
      <c r="GW55" s="222">
        <f>SUM(GW56:GW61)</f>
        <v>16.461825673152219</v>
      </c>
      <c r="GX55" s="223">
        <f>SUM(GX56:GX61)</f>
        <v>13.142976352223835</v>
      </c>
      <c r="GY55" s="174">
        <f t="shared" si="167"/>
        <v>43.980863764052529</v>
      </c>
      <c r="GZ55" s="159">
        <f t="shared" si="110"/>
        <v>242.21488761902049</v>
      </c>
      <c r="HA55" s="254">
        <f>SUM(HA56:HA61)</f>
        <v>26.576195440452622</v>
      </c>
      <c r="HB55" s="160">
        <f>SUM(HB56:HB61)</f>
        <v>11.148245446196043</v>
      </c>
      <c r="HC55" s="159">
        <f>SUM(HC56:HC61)</f>
        <v>29.385722509056613</v>
      </c>
      <c r="HD55" s="273">
        <f t="shared" si="168"/>
        <v>67.110163395705285</v>
      </c>
      <c r="HE55" s="254">
        <f>SUM(HE56:HE61)</f>
        <v>30.945904578124615</v>
      </c>
      <c r="HF55" s="160">
        <f>SUM(HF56:HF61)</f>
        <v>19.805690190926093</v>
      </c>
      <c r="HG55" s="160">
        <f>SUM(HG56:HG61)</f>
        <v>25.44090391540832</v>
      </c>
      <c r="HH55" s="273">
        <f t="shared" si="169"/>
        <v>76.192498684459025</v>
      </c>
      <c r="HI55" s="160">
        <f>SUM(HI56:HI61)</f>
        <v>36.568419273999268</v>
      </c>
      <c r="HJ55" s="160">
        <f>SUM(HJ56:HJ61)</f>
        <v>23.818740431170951</v>
      </c>
      <c r="HK55" s="160">
        <f>SUM(HK56:HK61)</f>
        <v>26.323958763237485</v>
      </c>
      <c r="HL55" s="273">
        <f t="shared" si="170"/>
        <v>86.711118468407705</v>
      </c>
      <c r="HM55" s="254">
        <f>SUM(HM56:HM61)</f>
        <v>35.578010209542043</v>
      </c>
      <c r="HN55" s="160">
        <f>SUM(HN56:HN61)</f>
        <v>17.971999089598285</v>
      </c>
      <c r="HO55" s="159">
        <f>SUM(HO56:HO61)</f>
        <v>32.494591551569869</v>
      </c>
      <c r="HP55" s="273">
        <f t="shared" si="171"/>
        <v>86.044600850710196</v>
      </c>
      <c r="HQ55" s="273">
        <f t="shared" si="127"/>
        <v>316.05838139928221</v>
      </c>
      <c r="HR55" s="254">
        <f>SUM(HR56:HR61)</f>
        <v>37.361649199756101</v>
      </c>
      <c r="HS55" s="160">
        <f>SUM(HS56:HS61)</f>
        <v>24.353943072654232</v>
      </c>
      <c r="HT55" s="159">
        <f>SUM(HT56:HT61)</f>
        <v>38.597769011129998</v>
      </c>
      <c r="HU55" s="273">
        <f t="shared" si="172"/>
        <v>100.31336128354033</v>
      </c>
      <c r="HV55" s="254">
        <f>SUM(HV56:HV61)</f>
        <v>46.973125816327112</v>
      </c>
      <c r="HW55" s="160">
        <f>SUM(HW56:HW61)</f>
        <v>27.920883652180734</v>
      </c>
      <c r="HX55" s="160">
        <f>SUM(HX56:HX61)</f>
        <v>20.685547657546628</v>
      </c>
      <c r="HY55" s="273">
        <f t="shared" si="173"/>
        <v>95.579557126054482</v>
      </c>
      <c r="HZ55" s="160">
        <f>SUM(HZ56:HZ61)</f>
        <v>40.526790835882352</v>
      </c>
      <c r="IA55" s="160">
        <f>SUM(IA56:IA61)</f>
        <v>29.991061378046687</v>
      </c>
      <c r="IB55" s="160">
        <f>SUM(IB56:IB61)</f>
        <v>23.620233161375896</v>
      </c>
      <c r="IC55" s="273">
        <f t="shared" si="174"/>
        <v>94.138085375304939</v>
      </c>
      <c r="ID55" s="254">
        <f>SUM(ID56:ID61)</f>
        <v>41.699635860688673</v>
      </c>
      <c r="IE55" s="160">
        <f>SUM(IE56:IE61)</f>
        <v>9.533859970731001</v>
      </c>
      <c r="IF55" s="159">
        <f>SUM(IF56:IF61)</f>
        <v>25.199644624869229</v>
      </c>
      <c r="IG55" s="273">
        <f t="shared" si="175"/>
        <v>76.433140456288896</v>
      </c>
      <c r="IH55" s="273">
        <v>366.46414424118871</v>
      </c>
      <c r="II55" s="254">
        <v>32.38453209</v>
      </c>
      <c r="IJ55" s="160">
        <v>17.09105065</v>
      </c>
      <c r="IK55" s="159">
        <v>48.295389780000001</v>
      </c>
      <c r="IL55" s="273">
        <v>97.770972520000001</v>
      </c>
      <c r="IM55" s="254">
        <v>46.706571890769226</v>
      </c>
      <c r="IN55" s="160">
        <v>28.07787552976778</v>
      </c>
      <c r="IO55" s="160">
        <v>21.340320510000002</v>
      </c>
      <c r="IP55" s="273">
        <v>96.124767930537004</v>
      </c>
      <c r="IQ55" s="254">
        <v>30.065088330000002</v>
      </c>
      <c r="IR55" s="160">
        <v>45.181493970538568</v>
      </c>
      <c r="IS55" s="159">
        <v>66.264248750436678</v>
      </c>
      <c r="IT55" s="273">
        <v>141.51083105097524</v>
      </c>
      <c r="IU55" s="254">
        <v>40.583790691091721</v>
      </c>
      <c r="IV55" s="160">
        <v>34.557834512215742</v>
      </c>
      <c r="IW55" s="159">
        <v>136.49977118921382</v>
      </c>
      <c r="IX55" s="273">
        <v>211.64139639252127</v>
      </c>
      <c r="IY55" s="273">
        <v>547.04796789403349</v>
      </c>
      <c r="IZ55" s="254">
        <v>43.451807636122446</v>
      </c>
      <c r="JA55" s="160">
        <v>67.185475409999995</v>
      </c>
      <c r="JB55" s="159">
        <v>22.79025369</v>
      </c>
      <c r="JC55" s="273">
        <v>133.42753673612242</v>
      </c>
      <c r="JD55" s="254">
        <v>40.404290229999994</v>
      </c>
      <c r="JE55" s="160">
        <v>29.103461410000001</v>
      </c>
      <c r="JF55" s="159">
        <v>76.140344200000015</v>
      </c>
      <c r="JG55" s="273">
        <v>145.64809584</v>
      </c>
      <c r="JH55" s="254">
        <v>46.83088254559766</v>
      </c>
      <c r="JI55" s="160">
        <v>18.712338793119535</v>
      </c>
      <c r="JJ55" s="159">
        <v>30.933430479999998</v>
      </c>
      <c r="JK55" s="273">
        <v>96.476651818717187</v>
      </c>
      <c r="JL55" s="254">
        <v>231.72574003973759</v>
      </c>
      <c r="JM55" s="160">
        <v>61.830708283090381</v>
      </c>
      <c r="JN55" s="160">
        <v>73.99828780930028</v>
      </c>
      <c r="JO55" s="273">
        <v>367.55473613212826</v>
      </c>
      <c r="JP55" s="273">
        <v>743.10702052696786</v>
      </c>
      <c r="JQ55" s="254">
        <v>125.66831895885424</v>
      </c>
      <c r="JR55" s="160">
        <v>28.2175695</v>
      </c>
      <c r="JS55" s="159">
        <v>34.374629450000008</v>
      </c>
      <c r="JT55" s="273">
        <v>188.26051790885427</v>
      </c>
      <c r="JU55" s="254">
        <v>51.531904909912541</v>
      </c>
      <c r="JV55" s="160">
        <v>147.08547964000002</v>
      </c>
      <c r="JW55" s="159">
        <v>106.14376790999999</v>
      </c>
      <c r="JX55" s="273">
        <v>304.76115245991258</v>
      </c>
      <c r="JY55" s="254">
        <v>92.826050809999998</v>
      </c>
      <c r="JZ55" s="160">
        <v>65.845209420000003</v>
      </c>
      <c r="KA55" s="159">
        <v>65.850874160000004</v>
      </c>
      <c r="KB55" s="273">
        <v>224.52213439000002</v>
      </c>
      <c r="KC55" s="254">
        <v>80.991224240000008</v>
      </c>
      <c r="KD55" s="160">
        <v>79.769799849999998</v>
      </c>
      <c r="KE55" s="160">
        <v>143.79692012941689</v>
      </c>
      <c r="KF55" s="273">
        <v>304.55794421941687</v>
      </c>
      <c r="KG55" s="273">
        <v>1022.1017489781838</v>
      </c>
      <c r="KH55" s="221">
        <v>54.400664249999998</v>
      </c>
      <c r="KI55" s="222">
        <v>103.51096971</v>
      </c>
      <c r="KJ55" s="223">
        <v>53.419180890000007</v>
      </c>
      <c r="KK55" s="273">
        <v>211.33081485</v>
      </c>
      <c r="KL55" s="221">
        <v>119.35926882000001</v>
      </c>
      <c r="KM55" s="222">
        <v>107.47192538000002</v>
      </c>
      <c r="KN55" s="223">
        <v>93.63853675</v>
      </c>
      <c r="KO55" s="273">
        <v>320.46973095000004</v>
      </c>
      <c r="KP55" s="221">
        <v>91.263686849999999</v>
      </c>
      <c r="KQ55" s="222">
        <v>92.34635286000001</v>
      </c>
      <c r="KR55" s="223">
        <v>102.68565203</v>
      </c>
      <c r="KS55" s="273">
        <v>286.29569174000005</v>
      </c>
      <c r="KT55" s="254">
        <v>84.268491650000001</v>
      </c>
      <c r="KU55" s="160">
        <v>68.175347390000013</v>
      </c>
      <c r="KV55" s="159">
        <v>107.07497752999998</v>
      </c>
      <c r="KW55" s="273">
        <v>259.51881657000001</v>
      </c>
      <c r="KX55" s="273">
        <v>1077.6150541100001</v>
      </c>
      <c r="KY55" s="221">
        <v>94.679866450000006</v>
      </c>
      <c r="KZ55" s="222">
        <v>34.181571999999996</v>
      </c>
      <c r="LA55" s="223">
        <v>91.649925920000001</v>
      </c>
      <c r="LB55" s="273">
        <v>220.51136437000002</v>
      </c>
      <c r="LC55" s="221">
        <v>163.50478078</v>
      </c>
      <c r="LD55" s="222">
        <v>109.24249702</v>
      </c>
      <c r="LE55" s="223">
        <v>85.848134770000001</v>
      </c>
      <c r="LF55" s="273">
        <v>358.59541257000001</v>
      </c>
      <c r="LG55" s="221">
        <v>55.628133699999992</v>
      </c>
      <c r="LH55" s="222">
        <v>61.538325709999995</v>
      </c>
      <c r="LI55" s="223">
        <v>88.630457320001398</v>
      </c>
      <c r="LJ55" s="273">
        <v>205.79691673000139</v>
      </c>
      <c r="LK55" s="254">
        <v>68.292205490000015</v>
      </c>
      <c r="LL55" s="160">
        <v>113.71891434000001</v>
      </c>
      <c r="LM55" s="159">
        <v>98.078674840000005</v>
      </c>
      <c r="LN55" s="273">
        <v>280.08979467000006</v>
      </c>
      <c r="LO55" s="273">
        <v>1064.9934883400015</v>
      </c>
    </row>
    <row r="56" spans="1:327" ht="17.100000000000001" customHeight="1" x14ac:dyDescent="0.25">
      <c r="A56" s="2" t="s">
        <v>40</v>
      </c>
      <c r="B56" s="24"/>
      <c r="C56" s="5">
        <v>12.5</v>
      </c>
      <c r="D56" s="5">
        <v>0.1</v>
      </c>
      <c r="E56" s="5">
        <v>1.2</v>
      </c>
      <c r="F56" s="5">
        <v>1.7</v>
      </c>
      <c r="G56" s="5">
        <v>3</v>
      </c>
      <c r="H56" s="5">
        <v>1.2</v>
      </c>
      <c r="I56" s="5">
        <v>1.3</v>
      </c>
      <c r="J56" s="5">
        <v>0</v>
      </c>
      <c r="K56" s="5">
        <v>2.5</v>
      </c>
      <c r="L56" s="5">
        <v>2.4</v>
      </c>
      <c r="M56" s="5">
        <v>1.2</v>
      </c>
      <c r="N56" s="5">
        <v>0</v>
      </c>
      <c r="O56" s="5">
        <f t="shared" si="0"/>
        <v>3.5999999999999996</v>
      </c>
      <c r="P56" s="5">
        <v>1</v>
      </c>
      <c r="Q56" s="5">
        <v>0</v>
      </c>
      <c r="R56" s="5">
        <v>0.9</v>
      </c>
      <c r="S56" s="5">
        <f t="shared" si="1"/>
        <v>1.9</v>
      </c>
      <c r="T56" s="16">
        <f t="shared" si="7"/>
        <v>11</v>
      </c>
      <c r="U56" s="5">
        <v>1</v>
      </c>
      <c r="V56" s="5">
        <v>1</v>
      </c>
      <c r="W56" s="5">
        <v>1.1000000000000001</v>
      </c>
      <c r="X56" s="4">
        <f t="shared" si="177"/>
        <v>3.1</v>
      </c>
      <c r="Y56" s="5">
        <v>0</v>
      </c>
      <c r="Z56" s="5">
        <v>0.3</v>
      </c>
      <c r="AA56" s="9">
        <v>1.2</v>
      </c>
      <c r="AB56" s="5">
        <f t="shared" si="178"/>
        <v>1.5</v>
      </c>
      <c r="AC56" s="5">
        <v>0.04</v>
      </c>
      <c r="AD56" s="5">
        <v>1.3</v>
      </c>
      <c r="AE56" s="5"/>
      <c r="AF56" s="5">
        <f t="shared" si="179"/>
        <v>1.34</v>
      </c>
      <c r="AG56" s="5">
        <v>1.7</v>
      </c>
      <c r="AH56" s="5">
        <f>1.9</f>
        <v>1.9</v>
      </c>
      <c r="AI56" s="5">
        <f>1.9</f>
        <v>1.9</v>
      </c>
      <c r="AJ56" s="5">
        <f t="shared" si="128"/>
        <v>5.5</v>
      </c>
      <c r="AK56" s="16">
        <f t="shared" si="129"/>
        <v>11.44</v>
      </c>
      <c r="AL56" s="5">
        <v>0</v>
      </c>
      <c r="AM56" s="5">
        <v>0</v>
      </c>
      <c r="AN56" s="5">
        <v>0.1</v>
      </c>
      <c r="AO56" s="5">
        <f t="shared" si="181"/>
        <v>0.1</v>
      </c>
      <c r="AP56" s="5">
        <v>0</v>
      </c>
      <c r="AQ56" s="5">
        <v>0</v>
      </c>
      <c r="AR56" s="5">
        <v>0</v>
      </c>
      <c r="AS56" s="54">
        <f t="shared" si="12"/>
        <v>0</v>
      </c>
      <c r="AT56" s="5"/>
      <c r="AU56" s="5"/>
      <c r="AV56" s="5"/>
      <c r="AW56" s="54">
        <f t="shared" si="182"/>
        <v>0</v>
      </c>
      <c r="AX56" s="5"/>
      <c r="AY56" s="5">
        <v>1.24</v>
      </c>
      <c r="AZ56" s="5">
        <v>5.8</v>
      </c>
      <c r="BA56" s="54">
        <f t="shared" si="14"/>
        <v>7.04</v>
      </c>
      <c r="BB56" s="54">
        <f t="shared" si="131"/>
        <v>7.14</v>
      </c>
      <c r="BC56" s="5">
        <v>0</v>
      </c>
      <c r="BD56" s="66"/>
      <c r="BE56" s="66"/>
      <c r="BF56" s="62">
        <f>SUM(BC56:BE56)</f>
        <v>0</v>
      </c>
      <c r="BG56" s="67"/>
      <c r="BH56" s="67"/>
      <c r="BI56" s="67"/>
      <c r="BJ56" s="62">
        <f t="shared" si="132"/>
        <v>0</v>
      </c>
      <c r="BK56" s="67"/>
      <c r="BL56" s="67"/>
      <c r="BM56" s="67"/>
      <c r="BN56" s="62">
        <f t="shared" si="133"/>
        <v>0</v>
      </c>
      <c r="BO56" s="71"/>
      <c r="BP56" s="67"/>
      <c r="BQ56" s="67"/>
      <c r="BR56" s="62">
        <f t="shared" si="134"/>
        <v>0</v>
      </c>
      <c r="BS56" s="62">
        <f t="shared" si="135"/>
        <v>0</v>
      </c>
      <c r="BT56" s="67">
        <v>1.1000000000000001</v>
      </c>
      <c r="BU56" s="67">
        <v>1.1000000000000001</v>
      </c>
      <c r="BV56" s="67">
        <v>1.7</v>
      </c>
      <c r="BW56" s="62">
        <f t="shared" si="136"/>
        <v>3.9000000000000004</v>
      </c>
      <c r="BX56" s="67">
        <v>1.2</v>
      </c>
      <c r="BY56" s="67">
        <v>1.5</v>
      </c>
      <c r="BZ56" s="67">
        <v>1.1000000000000001</v>
      </c>
      <c r="CA56" s="62">
        <f t="shared" si="137"/>
        <v>3.8000000000000003</v>
      </c>
      <c r="CB56" s="67">
        <v>1.1000000000000001</v>
      </c>
      <c r="CC56" s="67">
        <v>1.5</v>
      </c>
      <c r="CD56" s="67">
        <v>0.2</v>
      </c>
      <c r="CE56" s="62">
        <f t="shared" si="138"/>
        <v>2.8000000000000003</v>
      </c>
      <c r="CF56" s="67">
        <v>1.44</v>
      </c>
      <c r="CG56" s="67">
        <v>1.25</v>
      </c>
      <c r="CH56" s="67">
        <v>1.43</v>
      </c>
      <c r="CI56" s="67">
        <f t="shared" si="139"/>
        <v>4.12</v>
      </c>
      <c r="CJ56" s="71">
        <f t="shared" si="112"/>
        <v>14.620000000000001</v>
      </c>
      <c r="CK56" s="71">
        <v>1.6</v>
      </c>
      <c r="CL56" s="67">
        <v>1.5</v>
      </c>
      <c r="CM56" s="67">
        <v>1.1000000000000001</v>
      </c>
      <c r="CN56" s="62">
        <f t="shared" si="140"/>
        <v>4.2</v>
      </c>
      <c r="CO56" s="67">
        <v>1.2</v>
      </c>
      <c r="CP56" s="67">
        <v>1.9</v>
      </c>
      <c r="CQ56" s="67">
        <v>1.4</v>
      </c>
      <c r="CR56" s="62">
        <f t="shared" si="141"/>
        <v>4.5</v>
      </c>
      <c r="CS56" s="101">
        <v>1.4</v>
      </c>
      <c r="CT56" s="67">
        <v>1.2</v>
      </c>
      <c r="CU56" s="67">
        <v>1.5</v>
      </c>
      <c r="CV56" s="62">
        <f t="shared" si="142"/>
        <v>4.0999999999999996</v>
      </c>
      <c r="CW56" s="67">
        <v>1.6</v>
      </c>
      <c r="CX56" s="67">
        <v>0.2</v>
      </c>
      <c r="CY56" s="112">
        <v>1.8</v>
      </c>
      <c r="CZ56" s="113">
        <f t="shared" si="143"/>
        <v>3.6</v>
      </c>
      <c r="DA56" s="62">
        <f t="shared" si="125"/>
        <v>16.399999999999999</v>
      </c>
      <c r="DB56" s="71">
        <v>0.7</v>
      </c>
      <c r="DC56" s="67">
        <v>0.1</v>
      </c>
      <c r="DD56" s="67">
        <v>1.9</v>
      </c>
      <c r="DE56" s="62">
        <f t="shared" si="144"/>
        <v>2.6999999999999997</v>
      </c>
      <c r="DF56" s="71">
        <v>0.8</v>
      </c>
      <c r="DG56" s="67">
        <v>0.7</v>
      </c>
      <c r="DH56" s="67">
        <v>1</v>
      </c>
      <c r="DI56" s="62">
        <f t="shared" si="145"/>
        <v>2.5</v>
      </c>
      <c r="DJ56" s="71">
        <v>0.7</v>
      </c>
      <c r="DK56" s="67">
        <v>1.1000000000000001</v>
      </c>
      <c r="DL56" s="67">
        <v>0.8</v>
      </c>
      <c r="DM56" s="62">
        <f t="shared" si="146"/>
        <v>2.6</v>
      </c>
      <c r="DN56" s="67">
        <v>0.8</v>
      </c>
      <c r="DO56" s="67">
        <v>2.5</v>
      </c>
      <c r="DP56" s="67">
        <v>1.7</v>
      </c>
      <c r="DQ56" s="113">
        <f t="shared" si="147"/>
        <v>5</v>
      </c>
      <c r="DR56" s="140">
        <f t="shared" si="126"/>
        <v>12.799999999999999</v>
      </c>
      <c r="DS56" s="141">
        <v>0.9</v>
      </c>
      <c r="DT56" s="141">
        <v>1.2</v>
      </c>
      <c r="DU56" s="141">
        <v>0.1</v>
      </c>
      <c r="DV56" s="140">
        <f t="shared" si="148"/>
        <v>2.2000000000000002</v>
      </c>
      <c r="DW56" s="142">
        <v>1.2</v>
      </c>
      <c r="DX56" s="141">
        <v>1</v>
      </c>
      <c r="DY56" s="141">
        <v>1.5</v>
      </c>
      <c r="DZ56" s="140">
        <f t="shared" si="149"/>
        <v>3.7</v>
      </c>
      <c r="EA56" s="142">
        <v>1.2</v>
      </c>
      <c r="EB56" s="141">
        <v>1.9</v>
      </c>
      <c r="EC56" s="141">
        <v>0.9</v>
      </c>
      <c r="ED56" s="140">
        <f t="shared" si="150"/>
        <v>3.9999999999999996</v>
      </c>
      <c r="EE56" s="141">
        <v>0.3</v>
      </c>
      <c r="EF56" s="141">
        <v>1.2</v>
      </c>
      <c r="EG56" s="141">
        <v>0.1</v>
      </c>
      <c r="EH56" s="140">
        <f t="shared" si="151"/>
        <v>1.6</v>
      </c>
      <c r="EI56" s="140">
        <f t="shared" si="40"/>
        <v>11.5</v>
      </c>
      <c r="EJ56" s="141">
        <v>1.2</v>
      </c>
      <c r="EK56" s="141">
        <v>0.9</v>
      </c>
      <c r="EL56" s="141">
        <v>0.9</v>
      </c>
      <c r="EM56" s="140">
        <f t="shared" si="152"/>
        <v>3</v>
      </c>
      <c r="EN56" s="141">
        <v>0.9</v>
      </c>
      <c r="EO56" s="141">
        <v>0.9</v>
      </c>
      <c r="EP56" s="141">
        <v>0.9</v>
      </c>
      <c r="EQ56" s="140">
        <f t="shared" si="153"/>
        <v>2.7</v>
      </c>
      <c r="ER56" s="141">
        <v>0</v>
      </c>
      <c r="ES56" s="141"/>
      <c r="ET56" s="141">
        <v>0.9</v>
      </c>
      <c r="EU56" s="140">
        <f t="shared" si="154"/>
        <v>0.9</v>
      </c>
      <c r="EV56" s="141">
        <v>0.9</v>
      </c>
      <c r="EW56" s="141">
        <v>1.2</v>
      </c>
      <c r="EX56" s="141">
        <v>1.5749126800000002</v>
      </c>
      <c r="EY56" s="140">
        <f t="shared" si="155"/>
        <v>3.6749126800000003</v>
      </c>
      <c r="EZ56" s="169">
        <f t="shared" si="45"/>
        <v>10.27491268</v>
      </c>
      <c r="FA56" s="170"/>
      <c r="FB56" s="169">
        <v>0.9</v>
      </c>
      <c r="FC56" s="169">
        <v>0</v>
      </c>
      <c r="FD56" s="169">
        <v>0.8</v>
      </c>
      <c r="FE56" s="171">
        <f t="shared" si="156"/>
        <v>1.7000000000000002</v>
      </c>
      <c r="FF56" s="169">
        <v>0.77289996000000005</v>
      </c>
      <c r="FG56" s="169">
        <v>0.98503250919100005</v>
      </c>
      <c r="FH56" s="169">
        <v>1.32967754</v>
      </c>
      <c r="FI56" s="171">
        <f t="shared" si="157"/>
        <v>3.0876100091910001</v>
      </c>
      <c r="FJ56" s="169">
        <v>0.66646040075000001</v>
      </c>
      <c r="FK56" s="169">
        <v>1.04274776105</v>
      </c>
      <c r="FL56" s="169">
        <v>1.1174708501820001</v>
      </c>
      <c r="FM56" s="171">
        <f t="shared" si="158"/>
        <v>2.8266790119819998</v>
      </c>
      <c r="FN56" s="172">
        <v>0.9944108009999999</v>
      </c>
      <c r="FO56" s="173">
        <v>1.0043616101269999</v>
      </c>
      <c r="FP56" s="173">
        <v>0.70861995964699998</v>
      </c>
      <c r="FQ56" s="175">
        <f t="shared" si="159"/>
        <v>2.7073923707739995</v>
      </c>
      <c r="FR56" s="175">
        <f t="shared" si="50"/>
        <v>10.321681391946999</v>
      </c>
      <c r="FS56" s="172">
        <v>0.73119603999999983</v>
      </c>
      <c r="FT56" s="173">
        <v>0.71705016039199998</v>
      </c>
      <c r="FU56" s="174">
        <v>1.0307888599999999</v>
      </c>
      <c r="FV56" s="175">
        <f t="shared" si="160"/>
        <v>2.4790350603919995</v>
      </c>
      <c r="FW56" s="172">
        <v>1.045934580076</v>
      </c>
      <c r="FX56" s="173">
        <v>1.35997754</v>
      </c>
      <c r="FY56" s="174">
        <v>0.72928325000000005</v>
      </c>
      <c r="FZ56" s="175">
        <f t="shared" si="161"/>
        <v>3.135195370076</v>
      </c>
      <c r="GA56" s="172">
        <v>0.74832111099999998</v>
      </c>
      <c r="GB56" s="173">
        <v>1.1187719415399999</v>
      </c>
      <c r="GC56" s="174">
        <v>1.30509963898</v>
      </c>
      <c r="GD56" s="175">
        <f t="shared" si="162"/>
        <v>3.1721926915200003</v>
      </c>
      <c r="GE56" s="172">
        <v>1.09280227</v>
      </c>
      <c r="GF56" s="173">
        <v>1.0361662415719999</v>
      </c>
      <c r="GG56" s="159">
        <v>1.2719231705999998</v>
      </c>
      <c r="GH56" s="174">
        <f t="shared" si="163"/>
        <v>3.4008916821719994</v>
      </c>
      <c r="GI56" s="174">
        <f t="shared" si="55"/>
        <v>12.18731480416</v>
      </c>
      <c r="GJ56" s="221">
        <v>1.1519542299999999</v>
      </c>
      <c r="GK56" s="222">
        <v>1.1983243003200001</v>
      </c>
      <c r="GL56" s="223">
        <v>1.1603173995199998</v>
      </c>
      <c r="GM56" s="175">
        <f t="shared" si="164"/>
        <v>3.5105959298399996</v>
      </c>
      <c r="GN56" s="221">
        <v>0.78468452123900012</v>
      </c>
      <c r="GO56" s="222">
        <v>1.4059912406368533</v>
      </c>
      <c r="GP56" s="223">
        <v>1.3439149202933565</v>
      </c>
      <c r="GQ56" s="175">
        <f t="shared" si="165"/>
        <v>3.5345906821692101</v>
      </c>
      <c r="GR56" s="245">
        <v>1.3</v>
      </c>
      <c r="GS56" s="222">
        <v>1.312766929091</v>
      </c>
      <c r="GT56" s="223">
        <v>1.3045188806008583</v>
      </c>
      <c r="GU56" s="175">
        <f t="shared" si="166"/>
        <v>3.9172858096918586</v>
      </c>
      <c r="GV56" s="221">
        <v>0.43961288984263203</v>
      </c>
      <c r="GW56" s="222">
        <v>0</v>
      </c>
      <c r="GX56" s="223"/>
      <c r="GY56" s="174">
        <f t="shared" si="167"/>
        <v>0.43961288984263203</v>
      </c>
      <c r="GZ56" s="159">
        <f t="shared" si="110"/>
        <v>11.402085311543701</v>
      </c>
      <c r="HA56" s="254">
        <v>1.4226714605451938</v>
      </c>
      <c r="HB56" s="160">
        <v>1.3753824390243907</v>
      </c>
      <c r="HC56" s="159">
        <v>1.4050921305595401</v>
      </c>
      <c r="HD56" s="273">
        <f t="shared" si="168"/>
        <v>4.2031460301291244</v>
      </c>
      <c r="HE56" s="254">
        <v>1.5403980301560978</v>
      </c>
      <c r="HF56" s="160">
        <v>1.415296929698709</v>
      </c>
      <c r="HG56" s="159">
        <v>0.67582977044476367</v>
      </c>
      <c r="HH56" s="273">
        <f t="shared" si="169"/>
        <v>3.6315247302995703</v>
      </c>
      <c r="HI56" s="279">
        <v>1.4525134900000001</v>
      </c>
      <c r="HJ56" s="160">
        <v>1.5191506456240999E-3</v>
      </c>
      <c r="HK56" s="159">
        <v>1.0801901893830699</v>
      </c>
      <c r="HL56" s="273">
        <f t="shared" si="170"/>
        <v>2.534222830028694</v>
      </c>
      <c r="HM56" s="254">
        <v>1.0367291160930001</v>
      </c>
      <c r="HN56" s="160">
        <v>0.50647198030129092</v>
      </c>
      <c r="HO56" s="159">
        <v>0.80860819130000006</v>
      </c>
      <c r="HP56" s="273">
        <f t="shared" si="171"/>
        <v>2.3518092876942909</v>
      </c>
      <c r="HQ56" s="273">
        <f t="shared" si="127"/>
        <v>12.72070287815168</v>
      </c>
      <c r="HR56" s="254">
        <v>0.5</v>
      </c>
      <c r="HS56" s="160">
        <v>1.5044088952654232E-2</v>
      </c>
      <c r="HT56" s="159">
        <v>0.50871</v>
      </c>
      <c r="HU56" s="273">
        <f t="shared" si="172"/>
        <v>1.0237540889526542</v>
      </c>
      <c r="HV56" s="254">
        <v>1.4304492900000001</v>
      </c>
      <c r="HW56" s="160">
        <v>1.5224591200000002</v>
      </c>
      <c r="HX56" s="159">
        <v>0.50237405000000002</v>
      </c>
      <c r="HY56" s="273">
        <f t="shared" si="173"/>
        <v>3.4552824600000003</v>
      </c>
      <c r="HZ56" s="280"/>
      <c r="IA56" s="160">
        <v>1.501600700387</v>
      </c>
      <c r="IB56" s="159">
        <v>1.9568124232860831</v>
      </c>
      <c r="IC56" s="273">
        <f t="shared" si="174"/>
        <v>3.4584131236730831</v>
      </c>
      <c r="ID56" s="254">
        <v>4.7447718099999996</v>
      </c>
      <c r="IE56" s="160">
        <v>1.7387454500000001</v>
      </c>
      <c r="IF56" s="159">
        <v>2.0786790415107914</v>
      </c>
      <c r="IG56" s="273">
        <f t="shared" si="175"/>
        <v>8.5621963015107916</v>
      </c>
      <c r="IH56" s="273">
        <v>16.499645974136527</v>
      </c>
      <c r="II56" s="254">
        <v>0.91792722999999998</v>
      </c>
      <c r="IJ56" s="160">
        <v>0.90375466000000004</v>
      </c>
      <c r="IK56" s="159">
        <v>2.4304033199999999</v>
      </c>
      <c r="IL56" s="273">
        <v>4.2520852099999997</v>
      </c>
      <c r="IM56" s="254">
        <v>1.4165342600000002</v>
      </c>
      <c r="IN56" s="160">
        <v>0.95063065000000013</v>
      </c>
      <c r="IO56" s="160">
        <v>1.9046004700000001</v>
      </c>
      <c r="IP56" s="273">
        <v>4.2717653800000006</v>
      </c>
      <c r="IQ56" s="254">
        <v>1.8992267399999998</v>
      </c>
      <c r="IR56" s="160">
        <v>1.5207158199999999</v>
      </c>
      <c r="IS56" s="159">
        <v>3.0607080000000002E-2</v>
      </c>
      <c r="IT56" s="273">
        <v>3.4505496399999998</v>
      </c>
      <c r="IU56" s="254">
        <v>0.60995471906841359</v>
      </c>
      <c r="IV56" s="160">
        <v>1.4959593199999999</v>
      </c>
      <c r="IW56" s="159">
        <v>0.92211493000000011</v>
      </c>
      <c r="IX56" s="273">
        <v>3.0280289690684139</v>
      </c>
      <c r="IY56" s="273">
        <v>15.002429199068414</v>
      </c>
      <c r="IZ56" s="254">
        <v>1.4396803602040817</v>
      </c>
      <c r="JA56" s="160">
        <v>1.3934532399999999</v>
      </c>
      <c r="JB56" s="159">
        <v>1.4011771</v>
      </c>
      <c r="JC56" s="273">
        <v>4.2343107002040821</v>
      </c>
      <c r="JD56" s="254">
        <v>1.40186341</v>
      </c>
      <c r="JE56" s="160">
        <v>1.4002514499999998</v>
      </c>
      <c r="JF56" s="159">
        <v>1.3774367300000001</v>
      </c>
      <c r="JG56" s="273">
        <v>4.17955159</v>
      </c>
      <c r="JH56" s="254">
        <v>2.3301795200000002</v>
      </c>
      <c r="JI56" s="160">
        <v>1.4263427600000003</v>
      </c>
      <c r="JJ56" s="159">
        <v>1.4146369299999999</v>
      </c>
      <c r="JK56" s="273">
        <v>5.1711592100000008</v>
      </c>
      <c r="JL56" s="254">
        <v>1.4375002100000001</v>
      </c>
      <c r="JM56" s="160">
        <v>1.5470854296793002</v>
      </c>
      <c r="JN56" s="159">
        <v>1.8746539402915452</v>
      </c>
      <c r="JO56" s="273">
        <v>4.8592395799708452</v>
      </c>
      <c r="JP56" s="273">
        <v>18.444261080174929</v>
      </c>
      <c r="JQ56" s="254">
        <v>0.53944999999999999</v>
      </c>
      <c r="JR56" s="160">
        <v>1.5282984400000001</v>
      </c>
      <c r="JS56" s="159">
        <v>1.4885165300000001</v>
      </c>
      <c r="JT56" s="273">
        <v>3.55626497</v>
      </c>
      <c r="JU56" s="254">
        <v>1.48046374</v>
      </c>
      <c r="JV56" s="160">
        <v>1.4904215000000001</v>
      </c>
      <c r="JW56" s="159">
        <v>1.5521949300000002</v>
      </c>
      <c r="JX56" s="273">
        <v>4.5230801700000001</v>
      </c>
      <c r="JY56" s="254">
        <v>1.5305556</v>
      </c>
      <c r="JZ56" s="160">
        <v>1.4635874</v>
      </c>
      <c r="KA56" s="159">
        <v>1.95548006</v>
      </c>
      <c r="KB56" s="273">
        <v>4.9496230600000004</v>
      </c>
      <c r="KC56" s="254">
        <v>1.47798363</v>
      </c>
      <c r="KD56" s="160">
        <v>1.57741256</v>
      </c>
      <c r="KE56" s="159">
        <v>1.8042083200000001</v>
      </c>
      <c r="KF56" s="273">
        <v>4.8596045099999996</v>
      </c>
      <c r="KG56" s="273">
        <v>17.888572710000002</v>
      </c>
      <c r="KH56" s="221">
        <v>1.43613068</v>
      </c>
      <c r="KI56" s="222">
        <v>1.8738708100000001</v>
      </c>
      <c r="KJ56" s="223">
        <v>1.58153587</v>
      </c>
      <c r="KK56" s="273">
        <v>4.8915373600000001</v>
      </c>
      <c r="KL56" s="221">
        <v>1.96497309</v>
      </c>
      <c r="KM56" s="222">
        <v>2.2950537200000003</v>
      </c>
      <c r="KN56" s="223">
        <v>1.84880661</v>
      </c>
      <c r="KO56" s="273">
        <v>6.1088334199999998</v>
      </c>
      <c r="KP56" s="221">
        <v>2.15410229</v>
      </c>
      <c r="KQ56" s="222">
        <v>4.2229548299999999</v>
      </c>
      <c r="KR56" s="223">
        <v>2.0331201000000001</v>
      </c>
      <c r="KS56" s="273">
        <v>8.4101772199999996</v>
      </c>
      <c r="KT56" s="254">
        <v>1.4174014699999999</v>
      </c>
      <c r="KU56" s="160">
        <v>1.4317761600000003</v>
      </c>
      <c r="KV56" s="159">
        <v>2.5224881000000003</v>
      </c>
      <c r="KW56" s="273">
        <v>5.3716657300000001</v>
      </c>
      <c r="KX56" s="273">
        <v>24.782213729999999</v>
      </c>
      <c r="KY56" s="221">
        <v>1.3887254500000004</v>
      </c>
      <c r="KZ56" s="222">
        <v>1.7641709000000003</v>
      </c>
      <c r="LA56" s="223">
        <v>1.3208880999999988</v>
      </c>
      <c r="LB56" s="273">
        <v>4.4737844499999992</v>
      </c>
      <c r="LC56" s="221">
        <v>1.3059241299999993</v>
      </c>
      <c r="LD56" s="222">
        <v>1.3389326599999991</v>
      </c>
      <c r="LE56" s="223">
        <v>1.3247397599999999</v>
      </c>
      <c r="LF56" s="273">
        <v>3.9695965499999986</v>
      </c>
      <c r="LG56" s="221">
        <v>1.4951096299999995</v>
      </c>
      <c r="LH56" s="222">
        <v>1.4582174800000001</v>
      </c>
      <c r="LI56" s="223">
        <v>2.7748368699999997</v>
      </c>
      <c r="LJ56" s="273">
        <v>5.7281639799999997</v>
      </c>
      <c r="LK56" s="254">
        <v>1.4488011200000006</v>
      </c>
      <c r="LL56" s="160">
        <v>1.5252376900000004</v>
      </c>
      <c r="LM56" s="159">
        <v>2.7567896600000008</v>
      </c>
      <c r="LN56" s="273">
        <v>5.7308284700000023</v>
      </c>
      <c r="LO56" s="273">
        <v>19.902373449999999</v>
      </c>
    </row>
    <row r="57" spans="1:327" ht="17.100000000000001" customHeight="1" x14ac:dyDescent="0.25">
      <c r="A57" s="2" t="s">
        <v>41</v>
      </c>
      <c r="B57" s="24"/>
      <c r="C57" s="5">
        <v>3.5</v>
      </c>
      <c r="D57" s="5">
        <v>0.1</v>
      </c>
      <c r="E57" s="5">
        <v>0.6</v>
      </c>
      <c r="F57" s="5">
        <v>0.5</v>
      </c>
      <c r="G57" s="5">
        <v>1.2</v>
      </c>
      <c r="H57" s="5">
        <v>1</v>
      </c>
      <c r="I57" s="5">
        <v>0.7</v>
      </c>
      <c r="J57" s="5">
        <v>1.6</v>
      </c>
      <c r="K57" s="5">
        <v>3.3</v>
      </c>
      <c r="L57" s="5">
        <v>1</v>
      </c>
      <c r="M57" s="5">
        <v>0.1</v>
      </c>
      <c r="N57" s="5">
        <v>0.2</v>
      </c>
      <c r="O57" s="5">
        <f t="shared" si="0"/>
        <v>1.3</v>
      </c>
      <c r="P57" s="5">
        <v>0.2</v>
      </c>
      <c r="Q57" s="5">
        <v>0</v>
      </c>
      <c r="R57" s="5">
        <v>0</v>
      </c>
      <c r="S57" s="5">
        <f t="shared" si="1"/>
        <v>0.2</v>
      </c>
      <c r="T57" s="16">
        <f t="shared" si="7"/>
        <v>6</v>
      </c>
      <c r="U57" s="5"/>
      <c r="V57" s="5"/>
      <c r="W57" s="5"/>
      <c r="X57" s="4">
        <f t="shared" si="177"/>
        <v>0</v>
      </c>
      <c r="Y57" s="5">
        <v>1</v>
      </c>
      <c r="Z57" s="5">
        <v>0</v>
      </c>
      <c r="AA57" s="9">
        <v>0.04</v>
      </c>
      <c r="AB57" s="5">
        <f t="shared" si="178"/>
        <v>1.04</v>
      </c>
      <c r="AC57" s="5">
        <v>0.04</v>
      </c>
      <c r="AD57" s="5">
        <v>0</v>
      </c>
      <c r="AE57" s="5">
        <v>0</v>
      </c>
      <c r="AF57" s="5">
        <f t="shared" si="179"/>
        <v>0.04</v>
      </c>
      <c r="AG57" s="5">
        <v>0</v>
      </c>
      <c r="AH57" s="5">
        <v>0</v>
      </c>
      <c r="AI57" s="5">
        <v>0</v>
      </c>
      <c r="AJ57" s="5">
        <f t="shared" si="128"/>
        <v>0</v>
      </c>
      <c r="AK57" s="16">
        <f t="shared" si="129"/>
        <v>1.08</v>
      </c>
      <c r="AL57" s="5">
        <v>0</v>
      </c>
      <c r="AM57" s="5">
        <v>0</v>
      </c>
      <c r="AN57" s="5">
        <v>0</v>
      </c>
      <c r="AO57" s="5">
        <f t="shared" si="181"/>
        <v>0</v>
      </c>
      <c r="AP57" s="5">
        <v>0</v>
      </c>
      <c r="AQ57" s="5">
        <v>0</v>
      </c>
      <c r="AR57" s="5">
        <v>0</v>
      </c>
      <c r="AS57" s="54">
        <f t="shared" si="12"/>
        <v>0</v>
      </c>
      <c r="AT57" s="5"/>
      <c r="AU57" s="5"/>
      <c r="AV57" s="5"/>
      <c r="AW57" s="54">
        <f t="shared" si="182"/>
        <v>0</v>
      </c>
      <c r="AX57" s="5"/>
      <c r="AY57" s="5"/>
      <c r="AZ57" s="5"/>
      <c r="BA57" s="54">
        <f t="shared" si="14"/>
        <v>0</v>
      </c>
      <c r="BB57" s="54">
        <f t="shared" si="131"/>
        <v>0</v>
      </c>
      <c r="BC57" s="5">
        <v>0</v>
      </c>
      <c r="BD57" s="66"/>
      <c r="BE57" s="66"/>
      <c r="BF57" s="62">
        <f>SUM(BB57:BD57)</f>
        <v>0</v>
      </c>
      <c r="BG57" s="67"/>
      <c r="BH57" s="67"/>
      <c r="BI57" s="67"/>
      <c r="BJ57" s="62">
        <f t="shared" si="132"/>
        <v>0</v>
      </c>
      <c r="BK57" s="67"/>
      <c r="BL57" s="67"/>
      <c r="BM57" s="67"/>
      <c r="BN57" s="62">
        <f t="shared" si="133"/>
        <v>0</v>
      </c>
      <c r="BO57" s="71"/>
      <c r="BP57" s="67"/>
      <c r="BQ57" s="67"/>
      <c r="BR57" s="62">
        <f t="shared" si="134"/>
        <v>0</v>
      </c>
      <c r="BS57" s="62">
        <f t="shared" si="135"/>
        <v>0</v>
      </c>
      <c r="BT57" s="67"/>
      <c r="BU57" s="67"/>
      <c r="BV57" s="67"/>
      <c r="BW57" s="62">
        <f t="shared" si="136"/>
        <v>0</v>
      </c>
      <c r="BX57" s="67"/>
      <c r="BY57" s="67"/>
      <c r="BZ57" s="67">
        <v>0.2</v>
      </c>
      <c r="CA57" s="62">
        <f t="shared" si="137"/>
        <v>0.2</v>
      </c>
      <c r="CB57" s="67">
        <v>0.1</v>
      </c>
      <c r="CC57" s="67">
        <v>0.16</v>
      </c>
      <c r="CD57" s="67"/>
      <c r="CE57" s="62">
        <f t="shared" si="138"/>
        <v>0.26</v>
      </c>
      <c r="CF57" s="67">
        <v>0.14000000000000001</v>
      </c>
      <c r="CG57" s="67">
        <v>0.12</v>
      </c>
      <c r="CH57" s="67">
        <v>0.08</v>
      </c>
      <c r="CI57" s="67">
        <f t="shared" si="139"/>
        <v>0.34</v>
      </c>
      <c r="CJ57" s="71">
        <f t="shared" si="112"/>
        <v>0.8</v>
      </c>
      <c r="CK57" s="71">
        <v>0.2</v>
      </c>
      <c r="CL57" s="67">
        <v>0.1</v>
      </c>
      <c r="CM57" s="67">
        <v>0.2</v>
      </c>
      <c r="CN57" s="62">
        <f t="shared" si="140"/>
        <v>0.5</v>
      </c>
      <c r="CO57" s="67">
        <v>0.6</v>
      </c>
      <c r="CP57" s="67">
        <v>0.4</v>
      </c>
      <c r="CQ57" s="67">
        <v>0.7</v>
      </c>
      <c r="CR57" s="62">
        <f t="shared" si="141"/>
        <v>1.7</v>
      </c>
      <c r="CS57" s="101">
        <v>0.2</v>
      </c>
      <c r="CT57" s="67">
        <v>0.7</v>
      </c>
      <c r="CU57" s="67">
        <v>0.8</v>
      </c>
      <c r="CV57" s="62">
        <f t="shared" si="142"/>
        <v>1.7</v>
      </c>
      <c r="CW57" s="67">
        <v>0.7</v>
      </c>
      <c r="CX57" s="67">
        <v>0.4</v>
      </c>
      <c r="CY57" s="112">
        <v>0.7</v>
      </c>
      <c r="CZ57" s="113">
        <f t="shared" si="143"/>
        <v>1.8</v>
      </c>
      <c r="DA57" s="62">
        <f t="shared" si="125"/>
        <v>5.7</v>
      </c>
      <c r="DB57" s="71">
        <v>0.6</v>
      </c>
      <c r="DC57" s="67">
        <v>0.1</v>
      </c>
      <c r="DD57" s="67">
        <v>0.2</v>
      </c>
      <c r="DE57" s="62">
        <f t="shared" si="144"/>
        <v>0.89999999999999991</v>
      </c>
      <c r="DF57" s="71">
        <v>0.2</v>
      </c>
      <c r="DG57" s="67">
        <v>0</v>
      </c>
      <c r="DH57" s="67">
        <v>0</v>
      </c>
      <c r="DI57" s="62">
        <f t="shared" si="145"/>
        <v>0.2</v>
      </c>
      <c r="DJ57" s="71"/>
      <c r="DK57" s="67"/>
      <c r="DL57" s="67"/>
      <c r="DM57" s="62">
        <f t="shared" si="146"/>
        <v>0</v>
      </c>
      <c r="DN57" s="67"/>
      <c r="DO57" s="67"/>
      <c r="DP57" s="67">
        <v>0.2</v>
      </c>
      <c r="DQ57" s="113">
        <f t="shared" si="147"/>
        <v>0.2</v>
      </c>
      <c r="DR57" s="140">
        <f t="shared" si="126"/>
        <v>1.2999999999999998</v>
      </c>
      <c r="DS57" s="141"/>
      <c r="DT57" s="141"/>
      <c r="DU57" s="141"/>
      <c r="DV57" s="140">
        <f t="shared" si="148"/>
        <v>0</v>
      </c>
      <c r="DW57" s="142"/>
      <c r="DX57" s="141"/>
      <c r="DY57" s="141"/>
      <c r="DZ57" s="140">
        <f t="shared" si="149"/>
        <v>0</v>
      </c>
      <c r="EA57" s="142"/>
      <c r="EB57" s="141"/>
      <c r="EC57" s="141"/>
      <c r="ED57" s="140">
        <f t="shared" si="150"/>
        <v>0</v>
      </c>
      <c r="EE57" s="141"/>
      <c r="EF57" s="141"/>
      <c r="EG57" s="141">
        <v>0.9</v>
      </c>
      <c r="EH57" s="140">
        <f t="shared" si="151"/>
        <v>0.9</v>
      </c>
      <c r="EI57" s="140">
        <f t="shared" si="40"/>
        <v>0.9</v>
      </c>
      <c r="EJ57" s="141">
        <v>0.6</v>
      </c>
      <c r="EK57" s="141">
        <v>0</v>
      </c>
      <c r="EL57" s="141"/>
      <c r="EM57" s="140">
        <f t="shared" si="152"/>
        <v>0.6</v>
      </c>
      <c r="EN57" s="141"/>
      <c r="EO57" s="141"/>
      <c r="EP57" s="141"/>
      <c r="EQ57" s="140">
        <f t="shared" si="153"/>
        <v>0</v>
      </c>
      <c r="ER57" s="141"/>
      <c r="ES57" s="141"/>
      <c r="ET57" s="141"/>
      <c r="EU57" s="140">
        <f t="shared" si="154"/>
        <v>0</v>
      </c>
      <c r="EV57" s="141"/>
      <c r="EW57" s="141"/>
      <c r="EX57" s="141">
        <v>0.2</v>
      </c>
      <c r="EY57" s="140">
        <f t="shared" si="155"/>
        <v>0.2</v>
      </c>
      <c r="EZ57" s="169">
        <f t="shared" si="45"/>
        <v>0.8</v>
      </c>
      <c r="FA57" s="170"/>
      <c r="FB57" s="169">
        <v>0.1</v>
      </c>
      <c r="FC57" s="169"/>
      <c r="FD57" s="169"/>
      <c r="FE57" s="171">
        <f t="shared" si="156"/>
        <v>0.1</v>
      </c>
      <c r="FF57" s="169"/>
      <c r="FG57" s="169"/>
      <c r="FH57" s="169"/>
      <c r="FI57" s="171">
        <f t="shared" si="157"/>
        <v>0</v>
      </c>
      <c r="FJ57" s="169">
        <v>0.1577209899</v>
      </c>
      <c r="FK57" s="169"/>
      <c r="FL57" s="169">
        <v>6.0665102419999997</v>
      </c>
      <c r="FM57" s="171">
        <f t="shared" si="158"/>
        <v>6.2242312318999993</v>
      </c>
      <c r="FN57" s="172">
        <v>1.19843E-2</v>
      </c>
      <c r="FO57" s="173">
        <v>3.7860590004373602</v>
      </c>
      <c r="FP57" s="173">
        <v>0.27109755000000002</v>
      </c>
      <c r="FQ57" s="175">
        <f t="shared" si="159"/>
        <v>4.0691408504373605</v>
      </c>
      <c r="FR57" s="175">
        <f t="shared" si="50"/>
        <v>10.393372082337359</v>
      </c>
      <c r="FS57" s="172">
        <v>0.72866805999999995</v>
      </c>
      <c r="FT57" s="173">
        <v>0.11704320033</v>
      </c>
      <c r="FU57" s="174">
        <v>3.1407457900000004</v>
      </c>
      <c r="FV57" s="175">
        <f t="shared" si="160"/>
        <v>3.9864570503300003</v>
      </c>
      <c r="FW57" s="172">
        <v>2.5124171000000001E-2</v>
      </c>
      <c r="FX57" s="173">
        <v>0.17748705563</v>
      </c>
      <c r="FY57" s="174">
        <v>4.9419074136599992</v>
      </c>
      <c r="FZ57" s="175">
        <f t="shared" si="161"/>
        <v>5.1445186402899994</v>
      </c>
      <c r="GA57" s="172">
        <v>4.574688201E-3</v>
      </c>
      <c r="GB57" s="173">
        <v>3.1511925740900004</v>
      </c>
      <c r="GC57" s="174">
        <v>3.5821598696199999</v>
      </c>
      <c r="GD57" s="175">
        <f t="shared" si="162"/>
        <v>6.7379271319110003</v>
      </c>
      <c r="GE57" s="172">
        <v>3.8451535695200003</v>
      </c>
      <c r="GF57" s="173">
        <v>0</v>
      </c>
      <c r="GG57" s="159">
        <v>2.065333324904</v>
      </c>
      <c r="GH57" s="174">
        <f t="shared" si="163"/>
        <v>5.9104868944240003</v>
      </c>
      <c r="GI57" s="174">
        <f t="shared" si="55"/>
        <v>21.779389716955002</v>
      </c>
      <c r="GJ57" s="221">
        <v>3.9020383900000004</v>
      </c>
      <c r="GK57" s="222">
        <v>2.932424782</v>
      </c>
      <c r="GL57" s="223">
        <v>1.6210133113</v>
      </c>
      <c r="GM57" s="175">
        <f t="shared" si="164"/>
        <v>8.4554764833</v>
      </c>
      <c r="GN57" s="221">
        <v>7.8862483941999999</v>
      </c>
      <c r="GO57" s="222">
        <v>0.84719285991678195</v>
      </c>
      <c r="GP57" s="223">
        <v>2.6437182291509371</v>
      </c>
      <c r="GQ57" s="175">
        <f t="shared" si="165"/>
        <v>11.377159483267718</v>
      </c>
      <c r="GR57" s="245">
        <v>0.8</v>
      </c>
      <c r="GS57" s="222">
        <v>0.50459402218520732</v>
      </c>
      <c r="GT57" s="223">
        <v>0.43978298969928586</v>
      </c>
      <c r="GU57" s="175">
        <f t="shared" si="166"/>
        <v>1.744377011884493</v>
      </c>
      <c r="GV57" s="221">
        <v>7.5166299282639886E-3</v>
      </c>
      <c r="GW57" s="222">
        <v>0.69682592972740309</v>
      </c>
      <c r="GX57" s="223">
        <v>8.8535509999999998E-2</v>
      </c>
      <c r="GY57" s="174">
        <f t="shared" si="167"/>
        <v>0.79287806965566709</v>
      </c>
      <c r="GZ57" s="159">
        <f t="shared" si="110"/>
        <v>22.369891048107878</v>
      </c>
      <c r="HA57" s="254">
        <v>0</v>
      </c>
      <c r="HB57" s="160"/>
      <c r="HC57" s="159">
        <v>1.6788521893830699</v>
      </c>
      <c r="HD57" s="273">
        <f t="shared" si="168"/>
        <v>1.6788521893830699</v>
      </c>
      <c r="HE57" s="254">
        <v>1.8587292094691501</v>
      </c>
      <c r="HF57" s="160">
        <v>0</v>
      </c>
      <c r="HG57" s="159">
        <v>1.8587292094691501</v>
      </c>
      <c r="HH57" s="273">
        <f t="shared" si="169"/>
        <v>3.7174584189383002</v>
      </c>
      <c r="HI57" s="279">
        <v>4.4599809999999997E-2</v>
      </c>
      <c r="HJ57" s="160">
        <v>0</v>
      </c>
      <c r="HK57" s="159">
        <v>5.0082146900865094</v>
      </c>
      <c r="HL57" s="273">
        <f t="shared" si="170"/>
        <v>5.0528145000865097</v>
      </c>
      <c r="HM57" s="254">
        <v>4.3060220000000003E-2</v>
      </c>
      <c r="HN57" s="160">
        <v>1.6487498092969901</v>
      </c>
      <c r="HO57" s="159">
        <v>3.6580809100000002</v>
      </c>
      <c r="HP57" s="273">
        <f t="shared" si="171"/>
        <v>5.3498909392969907</v>
      </c>
      <c r="HQ57" s="273">
        <f t="shared" si="127"/>
        <v>15.799016047704871</v>
      </c>
      <c r="HR57" s="254">
        <v>0</v>
      </c>
      <c r="HS57" s="160">
        <v>0</v>
      </c>
      <c r="HT57" s="159"/>
      <c r="HU57" s="273">
        <f t="shared" si="172"/>
        <v>0</v>
      </c>
      <c r="HV57" s="254"/>
      <c r="HW57" s="160">
        <v>0</v>
      </c>
      <c r="HX57" s="159">
        <v>0</v>
      </c>
      <c r="HY57" s="273">
        <f t="shared" si="173"/>
        <v>0</v>
      </c>
      <c r="HZ57" s="280"/>
      <c r="IA57" s="160">
        <v>2.3149289999999998</v>
      </c>
      <c r="IB57" s="159">
        <v>5.1249909169999999</v>
      </c>
      <c r="IC57" s="273">
        <f t="shared" si="174"/>
        <v>7.4399199169999992</v>
      </c>
      <c r="ID57" s="254">
        <v>1.7987701999999999</v>
      </c>
      <c r="IE57" s="160">
        <v>4.1276743800000002</v>
      </c>
      <c r="IF57" s="159">
        <v>0.78030350000000004</v>
      </c>
      <c r="IG57" s="273">
        <f t="shared" si="175"/>
        <v>6.7067480800000006</v>
      </c>
      <c r="IH57" s="273">
        <v>14.146667997</v>
      </c>
      <c r="II57" s="254"/>
      <c r="IJ57" s="160">
        <v>0</v>
      </c>
      <c r="IK57" s="159">
        <v>0</v>
      </c>
      <c r="IL57" s="273">
        <v>0</v>
      </c>
      <c r="IM57" s="254">
        <v>3.57484383018868</v>
      </c>
      <c r="IN57" s="160">
        <v>0</v>
      </c>
      <c r="IO57" s="160"/>
      <c r="IP57" s="273">
        <v>3.57484383018868</v>
      </c>
      <c r="IQ57" s="254">
        <v>0</v>
      </c>
      <c r="IR57" s="160">
        <v>3.8489674905385698</v>
      </c>
      <c r="IS57" s="159">
        <v>9.4560599999999988E-3</v>
      </c>
      <c r="IT57" s="273">
        <v>3.85842355053857</v>
      </c>
      <c r="IU57" s="254">
        <v>2.6636981200000003</v>
      </c>
      <c r="IV57" s="160">
        <v>2.7562707899999999</v>
      </c>
      <c r="IW57" s="159">
        <v>99.631767109999998</v>
      </c>
      <c r="IX57" s="273">
        <v>105.05173601999999</v>
      </c>
      <c r="IY57" s="273">
        <v>112.48500340072724</v>
      </c>
      <c r="IZ57" s="254"/>
      <c r="JA57" s="160">
        <v>24.463388579999997</v>
      </c>
      <c r="JB57" s="159">
        <v>0</v>
      </c>
      <c r="JC57" s="273">
        <v>24.463388579999997</v>
      </c>
      <c r="JD57" s="254">
        <v>0.90689820999999993</v>
      </c>
      <c r="JE57" s="160">
        <v>0</v>
      </c>
      <c r="JF57" s="159"/>
      <c r="JG57" s="273">
        <v>0.90689820999999993</v>
      </c>
      <c r="JH57" s="254">
        <v>2.3685315758017502</v>
      </c>
      <c r="JI57" s="160">
        <v>0.99814528000000002</v>
      </c>
      <c r="JJ57" s="159"/>
      <c r="JK57" s="273">
        <v>3.3666768558017504</v>
      </c>
      <c r="JL57" s="254">
        <v>6.7305694599999999</v>
      </c>
      <c r="JM57" s="160">
        <v>1.8587292099125401</v>
      </c>
      <c r="JN57" s="159">
        <v>19.71321163</v>
      </c>
      <c r="JO57" s="273">
        <v>28.302510299912541</v>
      </c>
      <c r="JP57" s="273">
        <v>57.039473945714292</v>
      </c>
      <c r="JQ57" s="254">
        <v>1.8587292099999999</v>
      </c>
      <c r="JR57" s="160">
        <v>0</v>
      </c>
      <c r="JS57" s="159">
        <v>3.5375813999999997</v>
      </c>
      <c r="JT57" s="273">
        <v>5.3963106099999996</v>
      </c>
      <c r="JU57" s="254">
        <v>1.8587292099125401</v>
      </c>
      <c r="JV57" s="160">
        <v>46.611328380000003</v>
      </c>
      <c r="JW57" s="159">
        <v>53.712759259999999</v>
      </c>
      <c r="JX57" s="273">
        <v>102.18281684991254</v>
      </c>
      <c r="JY57" s="254">
        <v>26.517278650000002</v>
      </c>
      <c r="JZ57" s="160">
        <v>19.26604713</v>
      </c>
      <c r="KA57" s="159">
        <v>21.641502559999999</v>
      </c>
      <c r="KB57" s="273">
        <v>67.424828340000005</v>
      </c>
      <c r="KC57" s="254">
        <v>27.618442030000001</v>
      </c>
      <c r="KD57" s="160">
        <v>14.536277700000001</v>
      </c>
      <c r="KE57" s="159">
        <v>89.63877488</v>
      </c>
      <c r="KF57" s="273">
        <v>131.79349461000001</v>
      </c>
      <c r="KG57" s="273">
        <v>306.79745040991259</v>
      </c>
      <c r="KH57" s="221">
        <v>5.4396053699999998</v>
      </c>
      <c r="KI57" s="222">
        <v>21.38475437</v>
      </c>
      <c r="KJ57" s="223">
        <v>0</v>
      </c>
      <c r="KK57" s="273">
        <v>26.824359739999998</v>
      </c>
      <c r="KL57" s="221">
        <v>48.134955939999998</v>
      </c>
      <c r="KM57" s="222">
        <v>63.829882380000008</v>
      </c>
      <c r="KN57" s="223">
        <v>41.899369239999999</v>
      </c>
      <c r="KO57" s="273">
        <v>153.86420756000001</v>
      </c>
      <c r="KP57" s="221">
        <v>23.232005180000002</v>
      </c>
      <c r="KQ57" s="222">
        <v>37.936633240000006</v>
      </c>
      <c r="KR57" s="223">
        <v>44.024603439999993</v>
      </c>
      <c r="KS57" s="273">
        <v>105.19324186</v>
      </c>
      <c r="KT57" s="254">
        <v>14.543913680000001</v>
      </c>
      <c r="KU57" s="160">
        <v>21.674746830000004</v>
      </c>
      <c r="KV57" s="159">
        <v>49.085085179999993</v>
      </c>
      <c r="KW57" s="273">
        <v>85.30374569</v>
      </c>
      <c r="KX57" s="273">
        <v>371.18555485000002</v>
      </c>
      <c r="KY57" s="221">
        <v>5.0735860299999995</v>
      </c>
      <c r="KZ57" s="222">
        <v>0.36531011999999996</v>
      </c>
      <c r="LA57" s="223">
        <v>14.47478679</v>
      </c>
      <c r="LB57" s="273">
        <v>19.913682940000001</v>
      </c>
      <c r="LC57" s="221">
        <v>71.51484975999999</v>
      </c>
      <c r="LD57" s="222">
        <v>47.001058879999995</v>
      </c>
      <c r="LE57" s="223">
        <v>21.919182279999998</v>
      </c>
      <c r="LF57" s="273">
        <v>140.43509091999999</v>
      </c>
      <c r="LG57" s="221">
        <v>18.328028679999999</v>
      </c>
      <c r="LH57" s="222">
        <v>16.132495120000002</v>
      </c>
      <c r="LI57" s="223">
        <v>17.18442632</v>
      </c>
      <c r="LJ57" s="273">
        <v>51.644950120000004</v>
      </c>
      <c r="LK57" s="254">
        <v>14.1173646</v>
      </c>
      <c r="LL57" s="160">
        <v>7.3509342400000008</v>
      </c>
      <c r="LM57" s="159">
        <v>27.23176535</v>
      </c>
      <c r="LN57" s="273">
        <v>48.700064190000006</v>
      </c>
      <c r="LO57" s="273">
        <v>260.69378817</v>
      </c>
    </row>
    <row r="58" spans="1:327" ht="17.100000000000001" customHeight="1" x14ac:dyDescent="0.25">
      <c r="A58" s="2" t="s">
        <v>42</v>
      </c>
      <c r="B58" s="24"/>
      <c r="C58" s="5">
        <v>0.4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f t="shared" si="0"/>
        <v>0</v>
      </c>
      <c r="P58" s="5">
        <v>0</v>
      </c>
      <c r="Q58" s="5">
        <v>0</v>
      </c>
      <c r="R58" s="5">
        <v>0</v>
      </c>
      <c r="S58" s="5">
        <f t="shared" si="1"/>
        <v>0</v>
      </c>
      <c r="T58" s="16">
        <f t="shared" si="7"/>
        <v>0</v>
      </c>
      <c r="U58" s="5">
        <v>0</v>
      </c>
      <c r="V58" s="5">
        <v>0</v>
      </c>
      <c r="W58" s="5">
        <v>0</v>
      </c>
      <c r="X58" s="4">
        <f t="shared" si="177"/>
        <v>0</v>
      </c>
      <c r="Y58" s="5">
        <v>0</v>
      </c>
      <c r="Z58" s="5">
        <v>0</v>
      </c>
      <c r="AA58" s="8"/>
      <c r="AB58" s="5">
        <f t="shared" si="178"/>
        <v>0</v>
      </c>
      <c r="AC58" s="5">
        <v>0</v>
      </c>
      <c r="AD58" s="5">
        <v>0</v>
      </c>
      <c r="AE58" s="5">
        <v>0</v>
      </c>
      <c r="AF58" s="5">
        <f t="shared" si="179"/>
        <v>0</v>
      </c>
      <c r="AG58" s="5">
        <v>0</v>
      </c>
      <c r="AH58" s="5">
        <v>0</v>
      </c>
      <c r="AI58" s="5">
        <v>0</v>
      </c>
      <c r="AJ58" s="5">
        <f t="shared" si="128"/>
        <v>0</v>
      </c>
      <c r="AK58" s="16">
        <f t="shared" si="129"/>
        <v>0</v>
      </c>
      <c r="AL58" s="5">
        <v>0</v>
      </c>
      <c r="AM58" s="5">
        <v>0</v>
      </c>
      <c r="AN58" s="5">
        <v>0</v>
      </c>
      <c r="AO58" s="5">
        <f t="shared" si="181"/>
        <v>0</v>
      </c>
      <c r="AP58" s="5">
        <v>0</v>
      </c>
      <c r="AQ58" s="5">
        <v>0</v>
      </c>
      <c r="AR58" s="5">
        <v>0</v>
      </c>
      <c r="AS58" s="54">
        <f t="shared" si="12"/>
        <v>0</v>
      </c>
      <c r="AT58" s="5"/>
      <c r="AU58" s="5"/>
      <c r="AV58" s="5"/>
      <c r="AW58" s="54">
        <f t="shared" si="182"/>
        <v>0</v>
      </c>
      <c r="AX58" s="5"/>
      <c r="AY58" s="5"/>
      <c r="AZ58" s="5"/>
      <c r="BA58" s="54">
        <f t="shared" si="14"/>
        <v>0</v>
      </c>
      <c r="BB58" s="54">
        <f t="shared" si="131"/>
        <v>0</v>
      </c>
      <c r="BC58" s="5">
        <v>0</v>
      </c>
      <c r="BD58" s="66"/>
      <c r="BE58" s="66"/>
      <c r="BF58" s="62">
        <f>SUM(BB58:BD58)</f>
        <v>0</v>
      </c>
      <c r="BG58" s="67"/>
      <c r="BH58" s="67"/>
      <c r="BI58" s="67"/>
      <c r="BJ58" s="62">
        <f t="shared" si="132"/>
        <v>0</v>
      </c>
      <c r="BK58" s="67"/>
      <c r="BL58" s="67"/>
      <c r="BM58" s="67"/>
      <c r="BN58" s="62">
        <f t="shared" si="133"/>
        <v>0</v>
      </c>
      <c r="BO58" s="71"/>
      <c r="BP58" s="67"/>
      <c r="BQ58" s="67"/>
      <c r="BR58" s="62">
        <f t="shared" si="134"/>
        <v>0</v>
      </c>
      <c r="BS58" s="62">
        <f t="shared" si="135"/>
        <v>0</v>
      </c>
      <c r="BT58" s="67"/>
      <c r="BU58" s="67"/>
      <c r="BV58" s="67"/>
      <c r="BW58" s="62">
        <f t="shared" si="136"/>
        <v>0</v>
      </c>
      <c r="BX58" s="67"/>
      <c r="BY58" s="67"/>
      <c r="BZ58" s="67"/>
      <c r="CA58" s="62">
        <f t="shared" si="137"/>
        <v>0</v>
      </c>
      <c r="CB58" s="67"/>
      <c r="CC58" s="67"/>
      <c r="CD58" s="67"/>
      <c r="CE58" s="62">
        <f t="shared" si="138"/>
        <v>0</v>
      </c>
      <c r="CF58" s="67"/>
      <c r="CG58" s="67"/>
      <c r="CH58" s="67"/>
      <c r="CI58" s="67">
        <f t="shared" si="139"/>
        <v>0</v>
      </c>
      <c r="CJ58" s="71">
        <f t="shared" si="112"/>
        <v>0</v>
      </c>
      <c r="CK58" s="71"/>
      <c r="CL58" s="67"/>
      <c r="CM58" s="67"/>
      <c r="CN58" s="62">
        <f t="shared" si="140"/>
        <v>0</v>
      </c>
      <c r="CO58" s="67"/>
      <c r="CP58" s="67"/>
      <c r="CQ58" s="67"/>
      <c r="CR58" s="62">
        <f t="shared" si="141"/>
        <v>0</v>
      </c>
      <c r="CS58" s="101"/>
      <c r="CT58" s="67"/>
      <c r="CU58" s="67"/>
      <c r="CV58" s="62">
        <f t="shared" si="142"/>
        <v>0</v>
      </c>
      <c r="CW58" s="67"/>
      <c r="CX58" s="67"/>
      <c r="CY58" s="112"/>
      <c r="CZ58" s="113">
        <f t="shared" si="143"/>
        <v>0</v>
      </c>
      <c r="DA58" s="62">
        <f t="shared" si="125"/>
        <v>0</v>
      </c>
      <c r="DB58" s="71"/>
      <c r="DC58" s="67">
        <v>0.1</v>
      </c>
      <c r="DD58" s="67"/>
      <c r="DE58" s="62">
        <f t="shared" si="144"/>
        <v>0.1</v>
      </c>
      <c r="DF58" s="71"/>
      <c r="DG58" s="67"/>
      <c r="DH58" s="67"/>
      <c r="DI58" s="62">
        <f t="shared" si="145"/>
        <v>0</v>
      </c>
      <c r="DJ58" s="71"/>
      <c r="DK58" s="67"/>
      <c r="DL58" s="67"/>
      <c r="DM58" s="62">
        <f t="shared" si="146"/>
        <v>0</v>
      </c>
      <c r="DN58" s="67"/>
      <c r="DO58" s="67"/>
      <c r="DP58" s="67"/>
      <c r="DQ58" s="113">
        <f t="shared" si="147"/>
        <v>0</v>
      </c>
      <c r="DR58" s="140">
        <f t="shared" si="126"/>
        <v>0.1</v>
      </c>
      <c r="DS58" s="141"/>
      <c r="DT58" s="141"/>
      <c r="DU58" s="141"/>
      <c r="DV58" s="140">
        <f t="shared" si="148"/>
        <v>0</v>
      </c>
      <c r="DW58" s="142"/>
      <c r="DX58" s="141"/>
      <c r="DY58" s="141"/>
      <c r="DZ58" s="140">
        <f t="shared" si="149"/>
        <v>0</v>
      </c>
      <c r="EA58" s="142"/>
      <c r="EB58" s="141"/>
      <c r="EC58" s="141"/>
      <c r="ED58" s="140">
        <f t="shared" si="150"/>
        <v>0</v>
      </c>
      <c r="EE58" s="141"/>
      <c r="EF58" s="141"/>
      <c r="EG58" s="141"/>
      <c r="EH58" s="140">
        <f t="shared" si="151"/>
        <v>0</v>
      </c>
      <c r="EI58" s="140">
        <f t="shared" si="40"/>
        <v>0</v>
      </c>
      <c r="EJ58" s="141"/>
      <c r="EK58" s="141"/>
      <c r="EL58" s="141"/>
      <c r="EM58" s="140">
        <f t="shared" si="152"/>
        <v>0</v>
      </c>
      <c r="EN58" s="141"/>
      <c r="EO58" s="141"/>
      <c r="EP58" s="141"/>
      <c r="EQ58" s="140">
        <f t="shared" si="153"/>
        <v>0</v>
      </c>
      <c r="ER58" s="141"/>
      <c r="ES58" s="141"/>
      <c r="ET58" s="141"/>
      <c r="EU58" s="140">
        <f t="shared" si="154"/>
        <v>0</v>
      </c>
      <c r="EV58" s="141"/>
      <c r="EW58" s="141"/>
      <c r="EX58" s="141"/>
      <c r="EY58" s="140">
        <f t="shared" si="155"/>
        <v>0</v>
      </c>
      <c r="EZ58" s="169">
        <f t="shared" si="45"/>
        <v>0</v>
      </c>
      <c r="FA58" s="170"/>
      <c r="FB58" s="169"/>
      <c r="FC58" s="169"/>
      <c r="FD58" s="169"/>
      <c r="FE58" s="171">
        <f t="shared" si="156"/>
        <v>0</v>
      </c>
      <c r="FF58" s="169"/>
      <c r="FG58" s="169"/>
      <c r="FH58" s="169"/>
      <c r="FI58" s="171">
        <f t="shared" si="157"/>
        <v>0</v>
      </c>
      <c r="FJ58" s="169"/>
      <c r="FK58" s="169"/>
      <c r="FL58" s="169">
        <v>1.3420807389999998</v>
      </c>
      <c r="FM58" s="171">
        <f t="shared" si="158"/>
        <v>1.3420807389999998</v>
      </c>
      <c r="FN58" s="172">
        <v>1.1849433498739999</v>
      </c>
      <c r="FO58" s="173">
        <v>4.3354386180199995</v>
      </c>
      <c r="FP58" s="173">
        <v>2.9899736403800006</v>
      </c>
      <c r="FQ58" s="175">
        <f>SUM(FN58:FP58)</f>
        <v>8.5103556082740006</v>
      </c>
      <c r="FR58" s="175">
        <f t="shared" si="50"/>
        <v>9.8524363472740006</v>
      </c>
      <c r="FS58" s="172">
        <v>1.13187002</v>
      </c>
      <c r="FT58" s="173">
        <v>0.47108629999000001</v>
      </c>
      <c r="FU58" s="174">
        <v>1.6418683687</v>
      </c>
      <c r="FV58" s="175">
        <f t="shared" si="160"/>
        <v>3.2448246886900001</v>
      </c>
      <c r="FW58" s="172">
        <v>0.48663952346199996</v>
      </c>
      <c r="FX58" s="173">
        <v>0.79675120218000006</v>
      </c>
      <c r="FY58" s="174">
        <v>0.70803470090999998</v>
      </c>
      <c r="FZ58" s="175">
        <f t="shared" si="161"/>
        <v>1.9914254265519999</v>
      </c>
      <c r="GA58" s="172">
        <v>16.017172564618999</v>
      </c>
      <c r="GB58" s="173">
        <v>13.828557468587</v>
      </c>
      <c r="GC58" s="174">
        <v>16.951259530310001</v>
      </c>
      <c r="GD58" s="175">
        <f t="shared" si="162"/>
        <v>46.796989563516</v>
      </c>
      <c r="GE58" s="172">
        <v>19.255862141447</v>
      </c>
      <c r="GF58" s="173">
        <v>14.220461591000001</v>
      </c>
      <c r="GG58" s="159">
        <v>14.105151297620003</v>
      </c>
      <c r="GH58" s="174">
        <f t="shared" si="163"/>
        <v>47.581475030067004</v>
      </c>
      <c r="GI58" s="174">
        <f t="shared" si="55"/>
        <v>99.614714708825005</v>
      </c>
      <c r="GJ58" s="221">
        <v>19.93111401949</v>
      </c>
      <c r="GK58" s="222">
        <v>7.5593443214310003</v>
      </c>
      <c r="GL58" s="223">
        <v>13.171221010140002</v>
      </c>
      <c r="GM58" s="175">
        <f t="shared" si="164"/>
        <v>40.661679351061004</v>
      </c>
      <c r="GN58" s="221">
        <v>0.56756181885000001</v>
      </c>
      <c r="GO58" s="222">
        <v>20.578123610096739</v>
      </c>
      <c r="GP58" s="223">
        <v>18.970753732030818</v>
      </c>
      <c r="GQ58" s="175">
        <f t="shared" si="165"/>
        <v>40.116439160977556</v>
      </c>
      <c r="GR58" s="245">
        <v>9.1</v>
      </c>
      <c r="GS58" s="222">
        <v>10.838579827273552</v>
      </c>
      <c r="GT58" s="223">
        <v>17.091481069646083</v>
      </c>
      <c r="GU58" s="175">
        <f t="shared" si="166"/>
        <v>37.030060896919636</v>
      </c>
      <c r="GV58" s="221">
        <v>0.25262865000000001</v>
      </c>
      <c r="GW58" s="222">
        <v>12.136625272721661</v>
      </c>
      <c r="GX58" s="223">
        <v>7.2749298393113317</v>
      </c>
      <c r="GY58" s="174">
        <f t="shared" si="167"/>
        <v>19.664183762032991</v>
      </c>
      <c r="GZ58" s="159">
        <f t="shared" si="110"/>
        <v>137.47236317099117</v>
      </c>
      <c r="HA58" s="254">
        <v>14.69793819225211</v>
      </c>
      <c r="HB58" s="160">
        <v>7.4126578694404506</v>
      </c>
      <c r="HC58" s="159">
        <v>13.602648651362989</v>
      </c>
      <c r="HD58" s="273">
        <f t="shared" si="168"/>
        <v>35.713244713055552</v>
      </c>
      <c r="HE58" s="254">
        <v>14.530620429646916</v>
      </c>
      <c r="HF58" s="160">
        <v>12.00181304892396</v>
      </c>
      <c r="HG58" s="159">
        <v>18.956371249426049</v>
      </c>
      <c r="HH58" s="273">
        <f t="shared" si="169"/>
        <v>45.488804727996921</v>
      </c>
      <c r="HI58" s="279">
        <v>17.094283517643042</v>
      </c>
      <c r="HJ58" s="160">
        <v>14.61902902985782</v>
      </c>
      <c r="HK58" s="159">
        <v>16.740690889038738</v>
      </c>
      <c r="HL58" s="273">
        <f t="shared" si="170"/>
        <v>48.454003436539601</v>
      </c>
      <c r="HM58" s="254">
        <v>16.7327618817</v>
      </c>
      <c r="HN58" s="160">
        <v>12.241387300000001</v>
      </c>
      <c r="HO58" s="159">
        <v>13.454872099999999</v>
      </c>
      <c r="HP58" s="273">
        <f t="shared" si="171"/>
        <v>42.429021281700003</v>
      </c>
      <c r="HQ58" s="273">
        <f t="shared" si="127"/>
        <v>172.08507415929211</v>
      </c>
      <c r="HR58" s="254">
        <v>19.058081940000001</v>
      </c>
      <c r="HS58" s="160">
        <v>13.24906443522238</v>
      </c>
      <c r="HT58" s="159">
        <v>8.7173753000000005</v>
      </c>
      <c r="HU58" s="273">
        <f t="shared" si="172"/>
        <v>41.024521675222381</v>
      </c>
      <c r="HV58" s="254">
        <v>4.3200373802008603</v>
      </c>
      <c r="HW58" s="160">
        <v>15.64274604017217</v>
      </c>
      <c r="HX58" s="159">
        <v>15.226735869999999</v>
      </c>
      <c r="HY58" s="273">
        <f t="shared" si="173"/>
        <v>35.189519290373028</v>
      </c>
      <c r="HZ58" s="280">
        <v>16.142831250028692</v>
      </c>
      <c r="IA58" s="160">
        <v>12.08682057</v>
      </c>
      <c r="IB58" s="159">
        <v>4.3200373802008603</v>
      </c>
      <c r="IC58" s="273">
        <f t="shared" si="174"/>
        <v>32.549689200229551</v>
      </c>
      <c r="ID58" s="254">
        <v>20.545130630688671</v>
      </c>
      <c r="IE58" s="160">
        <v>0.11457796000000001</v>
      </c>
      <c r="IF58" s="159"/>
      <c r="IG58" s="273">
        <f t="shared" si="175"/>
        <v>20.65970859068867</v>
      </c>
      <c r="IH58" s="273">
        <v>129.42343875651363</v>
      </c>
      <c r="II58" s="254">
        <v>16.67997841</v>
      </c>
      <c r="IJ58" s="160">
        <v>12.15398461</v>
      </c>
      <c r="IK58" s="159">
        <v>31.665071359999999</v>
      </c>
      <c r="IL58" s="273">
        <v>60.499034379999998</v>
      </c>
      <c r="IM58" s="254">
        <v>24.354344600000001</v>
      </c>
      <c r="IN58" s="160">
        <v>21.403987190000002</v>
      </c>
      <c r="IO58" s="160">
        <v>13.7853048</v>
      </c>
      <c r="IP58" s="273">
        <v>59.543636589999998</v>
      </c>
      <c r="IQ58" s="254">
        <v>9.5453835199999997</v>
      </c>
      <c r="IR58" s="160">
        <v>21.726819989999999</v>
      </c>
      <c r="IS58" s="159">
        <v>38.568607229999998</v>
      </c>
      <c r="IT58" s="273">
        <v>69.840810739999995</v>
      </c>
      <c r="IU58" s="254">
        <v>16.03442079911208</v>
      </c>
      <c r="IV58" s="160">
        <v>5.2243714800000003</v>
      </c>
      <c r="IW58" s="159">
        <v>3.3600999799999998</v>
      </c>
      <c r="IX58" s="273">
        <v>24.61889225911208</v>
      </c>
      <c r="IY58" s="273">
        <v>214.50237396911206</v>
      </c>
      <c r="IZ58" s="254">
        <v>22.633034010233231</v>
      </c>
      <c r="JA58" s="160">
        <v>16.038110709999998</v>
      </c>
      <c r="JB58" s="159">
        <v>17.115632469999998</v>
      </c>
      <c r="JC58" s="273">
        <v>55.786777190233224</v>
      </c>
      <c r="JD58" s="254">
        <v>18.260121699999999</v>
      </c>
      <c r="JE58" s="160">
        <v>15.983024460000001</v>
      </c>
      <c r="JF58" s="159">
        <v>17.064179499999998</v>
      </c>
      <c r="JG58" s="273">
        <v>51.307325660000004</v>
      </c>
      <c r="JH58" s="254">
        <v>16.472913069999997</v>
      </c>
      <c r="JI58" s="160">
        <v>0</v>
      </c>
      <c r="JJ58" s="159">
        <v>17.426091469999999</v>
      </c>
      <c r="JK58" s="273">
        <v>33.899004539999993</v>
      </c>
      <c r="JL58" s="254">
        <v>19.311700399999999</v>
      </c>
      <c r="JM58" s="160">
        <v>18.800246870000002</v>
      </c>
      <c r="JN58" s="159">
        <v>5.7708E-4</v>
      </c>
      <c r="JO58" s="273">
        <v>38.112524350000001</v>
      </c>
      <c r="JP58" s="273">
        <v>179.10563174023321</v>
      </c>
      <c r="JQ58" s="254">
        <v>12.33791592985423</v>
      </c>
      <c r="JR58" s="160">
        <v>18.57647948</v>
      </c>
      <c r="JS58" s="159">
        <v>8.5537578400000012</v>
      </c>
      <c r="JT58" s="273">
        <v>39.468153249854232</v>
      </c>
      <c r="JU58" s="254">
        <v>16.157529880000002</v>
      </c>
      <c r="JV58" s="160">
        <v>23.764697429999998</v>
      </c>
      <c r="JW58" s="159">
        <v>18.891634109999998</v>
      </c>
      <c r="JX58" s="273">
        <v>58.813861419999995</v>
      </c>
      <c r="JY58" s="254">
        <v>19.310224120000001</v>
      </c>
      <c r="JZ58" s="160">
        <v>19.641107590000001</v>
      </c>
      <c r="KA58" s="159">
        <v>20.554751360000001</v>
      </c>
      <c r="KB58" s="273">
        <v>59.506083070000003</v>
      </c>
      <c r="KC58" s="254">
        <v>18.818132930000001</v>
      </c>
      <c r="KD58" s="160">
        <v>36.580589689999996</v>
      </c>
      <c r="KE58" s="159">
        <v>18.84836426</v>
      </c>
      <c r="KF58" s="273">
        <v>74.247086879999998</v>
      </c>
      <c r="KG58" s="273">
        <v>232.03518461985419</v>
      </c>
      <c r="KH58" s="221">
        <v>20.078049849999999</v>
      </c>
      <c r="KI58" s="222">
        <v>19.674168770000001</v>
      </c>
      <c r="KJ58" s="223">
        <v>19.779126529999999</v>
      </c>
      <c r="KK58" s="273">
        <v>59.53134515</v>
      </c>
      <c r="KL58" s="221">
        <v>23.886284479999997</v>
      </c>
      <c r="KM58" s="222">
        <v>19.677128399999997</v>
      </c>
      <c r="KN58" s="223">
        <v>22.16480833</v>
      </c>
      <c r="KO58" s="273">
        <v>65.728221209999987</v>
      </c>
      <c r="KP58" s="221">
        <v>20.563940039999999</v>
      </c>
      <c r="KQ58" s="222">
        <v>22.001421430000001</v>
      </c>
      <c r="KR58" s="223">
        <v>21.031541699999998</v>
      </c>
      <c r="KS58" s="273">
        <v>63.596903169999997</v>
      </c>
      <c r="KT58" s="254">
        <v>21.04418429</v>
      </c>
      <c r="KU58" s="160">
        <v>21.01053812</v>
      </c>
      <c r="KV58" s="159">
        <v>19.77282645</v>
      </c>
      <c r="KW58" s="273">
        <v>61.827548859999993</v>
      </c>
      <c r="KX58" s="273">
        <v>250.68401838999995</v>
      </c>
      <c r="KY58" s="221">
        <v>20.544831679999998</v>
      </c>
      <c r="KZ58" s="222">
        <v>0</v>
      </c>
      <c r="LA58" s="223">
        <v>33.725994579999998</v>
      </c>
      <c r="LB58" s="273">
        <v>54.270826259999993</v>
      </c>
      <c r="LC58" s="221">
        <v>22.605742710000001</v>
      </c>
      <c r="LD58" s="222">
        <v>18.788363289999999</v>
      </c>
      <c r="LE58" s="223">
        <v>6.9662757099999997</v>
      </c>
      <c r="LF58" s="273">
        <v>48.360381709999999</v>
      </c>
      <c r="LG58" s="221">
        <v>1.9340564599999999</v>
      </c>
      <c r="LH58" s="222">
        <v>11.296589020000001</v>
      </c>
      <c r="LI58" s="223">
        <v>25.242206389999996</v>
      </c>
      <c r="LJ58" s="273">
        <v>38.47285187</v>
      </c>
      <c r="LK58" s="254">
        <v>22.174592270000002</v>
      </c>
      <c r="LL58" s="160">
        <v>15.997865020000001</v>
      </c>
      <c r="LM58" s="159">
        <v>21.582615199999999</v>
      </c>
      <c r="LN58" s="273">
        <v>59.755072490000003</v>
      </c>
      <c r="LO58" s="273">
        <v>200.85913232999999</v>
      </c>
    </row>
    <row r="59" spans="1:327" ht="17.100000000000001" hidden="1" customHeight="1" outlineLevel="1" x14ac:dyDescent="0.25">
      <c r="A59" s="2" t="s">
        <v>43</v>
      </c>
      <c r="B59" s="24"/>
      <c r="C59" s="5">
        <v>1.1000000000000001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f t="shared" si="0"/>
        <v>0</v>
      </c>
      <c r="P59" s="5">
        <v>0</v>
      </c>
      <c r="Q59" s="5">
        <v>0</v>
      </c>
      <c r="R59" s="5">
        <v>0</v>
      </c>
      <c r="S59" s="5">
        <f t="shared" si="1"/>
        <v>0</v>
      </c>
      <c r="T59" s="16">
        <f t="shared" si="7"/>
        <v>0</v>
      </c>
      <c r="U59" s="5">
        <v>0</v>
      </c>
      <c r="V59" s="5">
        <v>0</v>
      </c>
      <c r="W59" s="5">
        <v>0</v>
      </c>
      <c r="X59" s="4">
        <f t="shared" si="177"/>
        <v>0</v>
      </c>
      <c r="Y59" s="5">
        <v>0</v>
      </c>
      <c r="Z59" s="5">
        <v>0</v>
      </c>
      <c r="AA59" s="8"/>
      <c r="AB59" s="5">
        <f t="shared" si="178"/>
        <v>0</v>
      </c>
      <c r="AC59" s="5">
        <v>0</v>
      </c>
      <c r="AD59" s="5">
        <v>0</v>
      </c>
      <c r="AE59" s="5">
        <v>0</v>
      </c>
      <c r="AF59" s="5">
        <f t="shared" si="179"/>
        <v>0</v>
      </c>
      <c r="AG59" s="5">
        <v>0</v>
      </c>
      <c r="AH59" s="5">
        <v>0</v>
      </c>
      <c r="AI59" s="5">
        <v>0</v>
      </c>
      <c r="AJ59" s="5">
        <f t="shared" si="128"/>
        <v>0</v>
      </c>
      <c r="AK59" s="16">
        <f t="shared" si="129"/>
        <v>0</v>
      </c>
      <c r="AL59" s="5">
        <v>0</v>
      </c>
      <c r="AM59" s="5">
        <v>0</v>
      </c>
      <c r="AN59" s="5">
        <v>0</v>
      </c>
      <c r="AO59" s="5">
        <f t="shared" si="181"/>
        <v>0</v>
      </c>
      <c r="AP59" s="5">
        <v>0</v>
      </c>
      <c r="AQ59" s="5">
        <v>0</v>
      </c>
      <c r="AR59" s="5">
        <v>0</v>
      </c>
      <c r="AS59" s="54">
        <f t="shared" si="12"/>
        <v>0</v>
      </c>
      <c r="AT59" s="5"/>
      <c r="AU59" s="5"/>
      <c r="AV59" s="5"/>
      <c r="AW59" s="54">
        <f t="shared" si="182"/>
        <v>0</v>
      </c>
      <c r="AX59" s="5"/>
      <c r="AY59" s="5"/>
      <c r="AZ59" s="5"/>
      <c r="BA59" s="54">
        <f t="shared" si="14"/>
        <v>0</v>
      </c>
      <c r="BB59" s="54">
        <f t="shared" si="131"/>
        <v>0</v>
      </c>
      <c r="BC59" s="5">
        <v>0</v>
      </c>
      <c r="BD59" s="66"/>
      <c r="BE59" s="66"/>
      <c r="BF59" s="62">
        <f>SUM(BB59:BD59)</f>
        <v>0</v>
      </c>
      <c r="BG59" s="67"/>
      <c r="BH59" s="67"/>
      <c r="BI59" s="67"/>
      <c r="BJ59" s="62">
        <f t="shared" si="132"/>
        <v>0</v>
      </c>
      <c r="BK59" s="67"/>
      <c r="BL59" s="67"/>
      <c r="BM59" s="67"/>
      <c r="BN59" s="62">
        <f t="shared" si="133"/>
        <v>0</v>
      </c>
      <c r="BO59" s="71"/>
      <c r="BP59" s="67"/>
      <c r="BQ59" s="67"/>
      <c r="BR59" s="62">
        <f t="shared" si="134"/>
        <v>0</v>
      </c>
      <c r="BS59" s="62">
        <f t="shared" si="135"/>
        <v>0</v>
      </c>
      <c r="BT59" s="67"/>
      <c r="BU59" s="67"/>
      <c r="BV59" s="67"/>
      <c r="BW59" s="62">
        <f t="shared" si="136"/>
        <v>0</v>
      </c>
      <c r="BX59" s="67"/>
      <c r="BY59" s="67"/>
      <c r="BZ59" s="67"/>
      <c r="CA59" s="62">
        <f t="shared" si="137"/>
        <v>0</v>
      </c>
      <c r="CB59" s="67"/>
      <c r="CC59" s="67"/>
      <c r="CD59" s="67"/>
      <c r="CE59" s="62">
        <f t="shared" si="138"/>
        <v>0</v>
      </c>
      <c r="CF59" s="67"/>
      <c r="CG59" s="67"/>
      <c r="CH59" s="67"/>
      <c r="CI59" s="67">
        <f t="shared" si="139"/>
        <v>0</v>
      </c>
      <c r="CJ59" s="71">
        <f t="shared" si="112"/>
        <v>0</v>
      </c>
      <c r="CK59" s="71"/>
      <c r="CL59" s="67"/>
      <c r="CM59" s="67"/>
      <c r="CN59" s="62">
        <f t="shared" si="140"/>
        <v>0</v>
      </c>
      <c r="CO59" s="67"/>
      <c r="CP59" s="67"/>
      <c r="CQ59" s="67"/>
      <c r="CR59" s="62">
        <f t="shared" si="141"/>
        <v>0</v>
      </c>
      <c r="CS59" s="101"/>
      <c r="CT59" s="67"/>
      <c r="CU59" s="67"/>
      <c r="CV59" s="62">
        <f t="shared" si="142"/>
        <v>0</v>
      </c>
      <c r="CW59" s="67"/>
      <c r="CX59" s="67"/>
      <c r="CY59" s="112"/>
      <c r="CZ59" s="113">
        <f t="shared" si="143"/>
        <v>0</v>
      </c>
      <c r="DA59" s="62">
        <f t="shared" si="125"/>
        <v>0</v>
      </c>
      <c r="DB59" s="71"/>
      <c r="DC59" s="67"/>
      <c r="DD59" s="67"/>
      <c r="DE59" s="62">
        <f t="shared" si="144"/>
        <v>0</v>
      </c>
      <c r="DF59" s="71"/>
      <c r="DG59" s="67"/>
      <c r="DH59" s="67"/>
      <c r="DI59" s="62">
        <f t="shared" si="145"/>
        <v>0</v>
      </c>
      <c r="DJ59" s="71"/>
      <c r="DK59" s="67"/>
      <c r="DL59" s="67"/>
      <c r="DM59" s="62">
        <f t="shared" si="146"/>
        <v>0</v>
      </c>
      <c r="DN59" s="67"/>
      <c r="DO59" s="67"/>
      <c r="DP59" s="67"/>
      <c r="DQ59" s="113">
        <f t="shared" si="147"/>
        <v>0</v>
      </c>
      <c r="DR59" s="140">
        <f t="shared" si="126"/>
        <v>0</v>
      </c>
      <c r="DS59" s="141"/>
      <c r="DT59" s="141"/>
      <c r="DU59" s="141"/>
      <c r="DV59" s="140">
        <f t="shared" si="148"/>
        <v>0</v>
      </c>
      <c r="DW59" s="142"/>
      <c r="DX59" s="141"/>
      <c r="DY59" s="141"/>
      <c r="DZ59" s="140">
        <f t="shared" si="149"/>
        <v>0</v>
      </c>
      <c r="EA59" s="142"/>
      <c r="EB59" s="141"/>
      <c r="EC59" s="141"/>
      <c r="ED59" s="140">
        <f t="shared" si="150"/>
        <v>0</v>
      </c>
      <c r="EE59" s="141"/>
      <c r="EF59" s="141"/>
      <c r="EG59" s="141"/>
      <c r="EH59" s="140">
        <f t="shared" si="151"/>
        <v>0</v>
      </c>
      <c r="EI59" s="140">
        <f t="shared" si="40"/>
        <v>0</v>
      </c>
      <c r="EJ59" s="141"/>
      <c r="EK59" s="141"/>
      <c r="EL59" s="141"/>
      <c r="EM59" s="140">
        <f t="shared" si="152"/>
        <v>0</v>
      </c>
      <c r="EN59" s="141"/>
      <c r="EO59" s="141"/>
      <c r="EP59" s="141"/>
      <c r="EQ59" s="140">
        <f t="shared" si="153"/>
        <v>0</v>
      </c>
      <c r="ER59" s="141"/>
      <c r="ES59" s="141"/>
      <c r="ET59" s="141"/>
      <c r="EU59" s="140">
        <f t="shared" si="154"/>
        <v>0</v>
      </c>
      <c r="EV59" s="141"/>
      <c r="EW59" s="141"/>
      <c r="EX59" s="141"/>
      <c r="EY59" s="140">
        <f t="shared" si="155"/>
        <v>0</v>
      </c>
      <c r="EZ59" s="169">
        <f t="shared" si="45"/>
        <v>0</v>
      </c>
      <c r="FA59" s="170"/>
      <c r="FB59" s="169"/>
      <c r="FC59" s="169"/>
      <c r="FD59" s="169"/>
      <c r="FE59" s="171">
        <f t="shared" si="156"/>
        <v>0</v>
      </c>
      <c r="FF59" s="169"/>
      <c r="FG59" s="169"/>
      <c r="FH59" s="169"/>
      <c r="FI59" s="171">
        <f t="shared" si="157"/>
        <v>0</v>
      </c>
      <c r="FJ59" s="169"/>
      <c r="FK59" s="169"/>
      <c r="FL59" s="169"/>
      <c r="FM59" s="171">
        <f t="shared" si="158"/>
        <v>0</v>
      </c>
      <c r="FN59" s="172"/>
      <c r="FO59" s="173"/>
      <c r="FP59" s="173"/>
      <c r="FQ59" s="175">
        <f>SUM(FN59:FP59)</f>
        <v>0</v>
      </c>
      <c r="FR59" s="175">
        <f t="shared" si="50"/>
        <v>0</v>
      </c>
      <c r="FS59" s="172"/>
      <c r="FT59" s="173"/>
      <c r="FU59" s="174"/>
      <c r="FV59" s="175">
        <f t="shared" si="160"/>
        <v>0</v>
      </c>
      <c r="FW59" s="172"/>
      <c r="FX59" s="173"/>
      <c r="FY59" s="174"/>
      <c r="FZ59" s="175">
        <f t="shared" si="161"/>
        <v>0</v>
      </c>
      <c r="GA59" s="172"/>
      <c r="GB59" s="173"/>
      <c r="GC59" s="174"/>
      <c r="GD59" s="175">
        <f t="shared" si="162"/>
        <v>0</v>
      </c>
      <c r="GE59" s="172"/>
      <c r="GF59" s="173"/>
      <c r="GG59" s="159"/>
      <c r="GH59" s="174">
        <f t="shared" si="163"/>
        <v>0</v>
      </c>
      <c r="GI59" s="174">
        <f t="shared" si="55"/>
        <v>0</v>
      </c>
      <c r="GJ59" s="221"/>
      <c r="GK59" s="222"/>
      <c r="GL59" s="223"/>
      <c r="GM59" s="175">
        <f t="shared" si="164"/>
        <v>0</v>
      </c>
      <c r="GN59" s="221"/>
      <c r="GO59" s="227"/>
      <c r="GP59" s="223"/>
      <c r="GQ59" s="175">
        <f t="shared" si="165"/>
        <v>0</v>
      </c>
      <c r="GR59" s="245">
        <v>0</v>
      </c>
      <c r="GS59" s="222"/>
      <c r="GT59" s="223"/>
      <c r="GU59" s="175">
        <f t="shared" si="166"/>
        <v>0</v>
      </c>
      <c r="GV59" s="221"/>
      <c r="GW59" s="222"/>
      <c r="GY59" s="174">
        <f t="shared" si="167"/>
        <v>0</v>
      </c>
      <c r="GZ59" s="159">
        <f t="shared" si="110"/>
        <v>0</v>
      </c>
      <c r="HA59" s="254"/>
      <c r="HB59" s="160"/>
      <c r="HC59" s="159"/>
      <c r="HD59" s="273">
        <f t="shared" si="168"/>
        <v>0</v>
      </c>
      <c r="HE59" s="276"/>
      <c r="HF59" s="276"/>
      <c r="HG59" s="276"/>
      <c r="HH59" s="273">
        <f t="shared" si="169"/>
        <v>0</v>
      </c>
      <c r="HI59" s="279"/>
      <c r="HJ59" s="160"/>
      <c r="HK59" s="159"/>
      <c r="HL59" s="273">
        <f t="shared" si="170"/>
        <v>0</v>
      </c>
      <c r="HM59" s="276"/>
      <c r="HN59" s="160"/>
      <c r="HO59" s="276"/>
      <c r="HP59" s="273">
        <f t="shared" si="171"/>
        <v>0</v>
      </c>
      <c r="HQ59" s="273">
        <f t="shared" si="127"/>
        <v>0</v>
      </c>
      <c r="HR59" s="254"/>
      <c r="HS59" s="160"/>
      <c r="HT59" s="159"/>
      <c r="HU59" s="273">
        <f t="shared" si="172"/>
        <v>0</v>
      </c>
      <c r="HV59" s="277"/>
      <c r="HW59" s="277"/>
      <c r="HX59" s="277"/>
      <c r="HY59" s="273">
        <f t="shared" si="173"/>
        <v>0</v>
      </c>
      <c r="HZ59" s="280"/>
      <c r="IA59" s="160"/>
      <c r="IB59" s="159"/>
      <c r="IC59" s="273">
        <f t="shared" si="174"/>
        <v>0</v>
      </c>
      <c r="ID59" s="277"/>
      <c r="IE59" s="160"/>
      <c r="IF59" s="277"/>
      <c r="IG59" s="273">
        <f t="shared" si="175"/>
        <v>0</v>
      </c>
      <c r="IH59" s="273">
        <v>0</v>
      </c>
      <c r="II59" s="259"/>
      <c r="IJ59" s="160"/>
      <c r="IK59" s="159"/>
      <c r="IL59" s="273">
        <v>0</v>
      </c>
      <c r="IM59" s="254"/>
      <c r="IN59" s="160"/>
      <c r="IO59" s="160"/>
      <c r="IP59" s="273">
        <v>0</v>
      </c>
      <c r="IQ59" s="254"/>
      <c r="IR59" s="160"/>
      <c r="IS59" s="159"/>
      <c r="IT59" s="273">
        <v>0</v>
      </c>
      <c r="IU59" s="254"/>
      <c r="IV59" s="160"/>
      <c r="IW59" s="159"/>
      <c r="IX59" s="273">
        <v>0</v>
      </c>
      <c r="IY59" s="273">
        <v>0</v>
      </c>
      <c r="IZ59" s="254"/>
      <c r="JA59" s="160"/>
      <c r="JB59" s="159"/>
      <c r="JC59" s="273">
        <v>0</v>
      </c>
      <c r="JD59" s="254"/>
      <c r="JE59" s="160"/>
      <c r="JF59" s="159"/>
      <c r="JG59" s="273">
        <v>0</v>
      </c>
      <c r="JH59" s="254"/>
      <c r="JI59" s="160"/>
      <c r="JJ59" s="159"/>
      <c r="JK59" s="273">
        <v>0</v>
      </c>
      <c r="JL59" s="254"/>
      <c r="JM59" s="160"/>
      <c r="JN59" s="159"/>
      <c r="JO59" s="273">
        <v>0</v>
      </c>
      <c r="JP59" s="273">
        <v>0</v>
      </c>
      <c r="JQ59" s="254"/>
      <c r="JR59" s="160"/>
      <c r="JS59" s="159"/>
      <c r="JT59" s="273">
        <v>0</v>
      </c>
      <c r="JU59" s="254"/>
      <c r="JV59" s="160"/>
      <c r="JW59" s="159"/>
      <c r="JX59" s="273">
        <v>0</v>
      </c>
      <c r="JY59" s="254"/>
      <c r="JZ59" s="160"/>
      <c r="KA59" s="159"/>
      <c r="KB59" s="273">
        <v>0</v>
      </c>
      <c r="KC59" s="254"/>
      <c r="KD59" s="160"/>
      <c r="KE59" s="159"/>
      <c r="KF59" s="273">
        <v>0</v>
      </c>
      <c r="KG59" s="273">
        <v>0</v>
      </c>
      <c r="KH59" s="221"/>
      <c r="KI59" s="222"/>
      <c r="KJ59" s="223"/>
      <c r="KK59" s="273">
        <v>0</v>
      </c>
      <c r="KL59" s="221"/>
      <c r="KM59" s="222"/>
      <c r="KN59" s="223"/>
      <c r="KO59" s="273">
        <v>0</v>
      </c>
      <c r="KP59" s="221"/>
      <c r="KQ59" s="222"/>
      <c r="KR59" s="223"/>
      <c r="KS59" s="273">
        <v>0</v>
      </c>
      <c r="KT59" s="254"/>
      <c r="KU59" s="160"/>
      <c r="KV59" s="159"/>
      <c r="KW59" s="273">
        <v>0</v>
      </c>
      <c r="KX59" s="273">
        <v>0</v>
      </c>
      <c r="KY59" s="221">
        <v>0</v>
      </c>
      <c r="KZ59" s="222">
        <v>0</v>
      </c>
      <c r="LA59" s="223">
        <v>0</v>
      </c>
      <c r="LB59" s="273">
        <v>0</v>
      </c>
      <c r="LC59" s="221">
        <v>0</v>
      </c>
      <c r="LD59" s="222">
        <v>0</v>
      </c>
      <c r="LE59" s="223">
        <v>0</v>
      </c>
      <c r="LF59" s="273">
        <v>0</v>
      </c>
      <c r="LG59" s="221">
        <v>0</v>
      </c>
      <c r="LH59" s="222">
        <v>0</v>
      </c>
      <c r="LI59" s="223">
        <v>0</v>
      </c>
      <c r="LJ59" s="273">
        <v>0</v>
      </c>
      <c r="LK59" s="254"/>
      <c r="LL59" s="160"/>
      <c r="LM59" s="159"/>
      <c r="LN59" s="273">
        <v>0</v>
      </c>
      <c r="LO59" s="273">
        <v>0</v>
      </c>
    </row>
    <row r="60" spans="1:327" ht="17.100000000000001" customHeight="1" collapsed="1" x14ac:dyDescent="0.25">
      <c r="A60" s="2" t="s">
        <v>44</v>
      </c>
      <c r="B60" s="24"/>
      <c r="C60" s="5">
        <v>0.9</v>
      </c>
      <c r="D60" s="5">
        <v>0.5</v>
      </c>
      <c r="E60" s="5">
        <v>0</v>
      </c>
      <c r="F60" s="5">
        <v>0.4</v>
      </c>
      <c r="G60" s="5">
        <v>0.9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f t="shared" si="0"/>
        <v>0</v>
      </c>
      <c r="P60" s="5">
        <v>0</v>
      </c>
      <c r="Q60" s="5">
        <v>0</v>
      </c>
      <c r="R60" s="5">
        <v>0</v>
      </c>
      <c r="S60" s="5">
        <f t="shared" si="1"/>
        <v>0</v>
      </c>
      <c r="T60" s="16">
        <f t="shared" si="7"/>
        <v>0.9</v>
      </c>
      <c r="U60" s="5">
        <v>0</v>
      </c>
      <c r="V60" s="5">
        <v>0</v>
      </c>
      <c r="W60" s="5">
        <v>0</v>
      </c>
      <c r="X60" s="4">
        <f t="shared" si="177"/>
        <v>0</v>
      </c>
      <c r="Y60" s="5">
        <v>0</v>
      </c>
      <c r="Z60" s="5">
        <v>0</v>
      </c>
      <c r="AA60" s="8"/>
      <c r="AB60" s="5">
        <f t="shared" si="178"/>
        <v>0</v>
      </c>
      <c r="AC60" s="5">
        <v>0</v>
      </c>
      <c r="AD60" s="5">
        <v>0</v>
      </c>
      <c r="AE60" s="5">
        <v>0.7</v>
      </c>
      <c r="AF60" s="5">
        <f t="shared" si="179"/>
        <v>0.7</v>
      </c>
      <c r="AG60" s="5"/>
      <c r="AH60" s="5">
        <v>0</v>
      </c>
      <c r="AI60" s="5">
        <v>0</v>
      </c>
      <c r="AJ60" s="5">
        <f t="shared" si="128"/>
        <v>0</v>
      </c>
      <c r="AK60" s="16">
        <f t="shared" si="129"/>
        <v>0.7</v>
      </c>
      <c r="AL60" s="5">
        <v>0</v>
      </c>
      <c r="AM60" s="5">
        <v>0</v>
      </c>
      <c r="AN60" s="5">
        <v>0</v>
      </c>
      <c r="AO60" s="5">
        <f t="shared" si="181"/>
        <v>0</v>
      </c>
      <c r="AP60" s="5">
        <v>0</v>
      </c>
      <c r="AQ60" s="5">
        <v>0</v>
      </c>
      <c r="AR60" s="5">
        <v>0</v>
      </c>
      <c r="AS60" s="54">
        <f t="shared" si="12"/>
        <v>0</v>
      </c>
      <c r="AT60" s="5"/>
      <c r="AU60" s="5"/>
      <c r="AV60" s="5"/>
      <c r="AW60" s="54">
        <f t="shared" si="182"/>
        <v>0</v>
      </c>
      <c r="AX60" s="5"/>
      <c r="AY60" s="5"/>
      <c r="AZ60" s="5"/>
      <c r="BA60" s="54">
        <f t="shared" si="14"/>
        <v>0</v>
      </c>
      <c r="BB60" s="54">
        <f t="shared" si="131"/>
        <v>0</v>
      </c>
      <c r="BC60" s="5">
        <v>0</v>
      </c>
      <c r="BD60" s="66"/>
      <c r="BE60" s="66"/>
      <c r="BF60" s="62">
        <f>SUM(BB60:BD60)</f>
        <v>0</v>
      </c>
      <c r="BG60" s="67">
        <v>0.79182699999999995</v>
      </c>
      <c r="BH60" s="67">
        <v>0.77778000000000003</v>
      </c>
      <c r="BI60" s="67">
        <v>0.77778000000000003</v>
      </c>
      <c r="BJ60" s="62">
        <f t="shared" si="132"/>
        <v>2.3473869999999999</v>
      </c>
      <c r="BK60" s="67">
        <v>0.77778000000000003</v>
      </c>
      <c r="BL60" s="67">
        <v>0.77780000000000005</v>
      </c>
      <c r="BM60" s="67"/>
      <c r="BN60" s="62">
        <f t="shared" si="133"/>
        <v>1.55558</v>
      </c>
      <c r="BO60" s="71"/>
      <c r="BP60" s="67"/>
      <c r="BQ60" s="67"/>
      <c r="BR60" s="62">
        <f t="shared" si="134"/>
        <v>0</v>
      </c>
      <c r="BS60" s="62">
        <f t="shared" si="135"/>
        <v>3.9029669999999999</v>
      </c>
      <c r="BT60" s="67">
        <v>0.8</v>
      </c>
      <c r="BU60" s="67"/>
      <c r="BV60" s="67"/>
      <c r="BW60" s="62">
        <f t="shared" si="136"/>
        <v>0.8</v>
      </c>
      <c r="BX60" s="67">
        <v>2.2000000000000002</v>
      </c>
      <c r="BY60" s="67">
        <v>1.1000000000000001</v>
      </c>
      <c r="BZ60" s="67">
        <v>1</v>
      </c>
      <c r="CA60" s="62">
        <f t="shared" si="137"/>
        <v>4.3000000000000007</v>
      </c>
      <c r="CB60" s="67">
        <v>0.8</v>
      </c>
      <c r="CC60" s="67">
        <v>0.9</v>
      </c>
      <c r="CD60" s="67">
        <v>0.7</v>
      </c>
      <c r="CE60" s="62">
        <f t="shared" si="138"/>
        <v>2.4000000000000004</v>
      </c>
      <c r="CF60" s="67">
        <v>0.17</v>
      </c>
      <c r="CG60" s="67">
        <v>0.01</v>
      </c>
      <c r="CH60" s="67">
        <v>7.0000000000000007E-2</v>
      </c>
      <c r="CI60" s="67">
        <f t="shared" si="139"/>
        <v>0.25</v>
      </c>
      <c r="CJ60" s="71">
        <f t="shared" si="112"/>
        <v>7.7500000000000009</v>
      </c>
      <c r="CK60" s="71">
        <v>1.5</v>
      </c>
      <c r="CL60" s="67">
        <v>0.9</v>
      </c>
      <c r="CM60" s="67">
        <v>1</v>
      </c>
      <c r="CN60" s="62">
        <f t="shared" si="140"/>
        <v>3.4</v>
      </c>
      <c r="CO60" s="67">
        <v>0.9</v>
      </c>
      <c r="CP60" s="67">
        <v>1</v>
      </c>
      <c r="CQ60" s="67">
        <v>1</v>
      </c>
      <c r="CR60" s="62">
        <f t="shared" si="141"/>
        <v>2.9</v>
      </c>
      <c r="CS60" s="101">
        <v>0.8</v>
      </c>
      <c r="CT60" s="67">
        <v>0.8</v>
      </c>
      <c r="CU60" s="67">
        <v>0.9</v>
      </c>
      <c r="CV60" s="62">
        <f t="shared" si="142"/>
        <v>2.5</v>
      </c>
      <c r="CW60" s="67">
        <v>0.8</v>
      </c>
      <c r="CX60" s="67">
        <v>0.1</v>
      </c>
      <c r="CY60" s="112">
        <v>0.1</v>
      </c>
      <c r="CZ60" s="113">
        <f t="shared" si="143"/>
        <v>1</v>
      </c>
      <c r="DA60" s="62">
        <f t="shared" si="125"/>
        <v>9.8000000000000007</v>
      </c>
      <c r="DB60" s="71">
        <v>2</v>
      </c>
      <c r="DC60" s="67">
        <v>0.9</v>
      </c>
      <c r="DD60" s="67">
        <v>1.1000000000000001</v>
      </c>
      <c r="DE60" s="62">
        <f t="shared" si="144"/>
        <v>4</v>
      </c>
      <c r="DF60" s="71">
        <v>3.2</v>
      </c>
      <c r="DG60" s="67">
        <v>1.3</v>
      </c>
      <c r="DH60" s="67">
        <v>0.1</v>
      </c>
      <c r="DI60" s="62">
        <f t="shared" si="145"/>
        <v>4.5999999999999996</v>
      </c>
      <c r="DJ60" s="71">
        <v>3.8</v>
      </c>
      <c r="DK60" s="67">
        <v>1</v>
      </c>
      <c r="DL60" s="67">
        <v>1.5</v>
      </c>
      <c r="DM60" s="62">
        <f t="shared" si="146"/>
        <v>6.3</v>
      </c>
      <c r="DN60" s="67">
        <v>2.2999999999999998</v>
      </c>
      <c r="DO60" s="67"/>
      <c r="DP60" s="67">
        <v>0.7</v>
      </c>
      <c r="DQ60" s="113">
        <f t="shared" si="147"/>
        <v>3</v>
      </c>
      <c r="DR60" s="140">
        <f t="shared" si="126"/>
        <v>17.899999999999999</v>
      </c>
      <c r="DS60" s="141">
        <v>2.6</v>
      </c>
      <c r="DT60" s="141">
        <v>1.5</v>
      </c>
      <c r="DU60" s="141">
        <v>1</v>
      </c>
      <c r="DV60" s="140">
        <f t="shared" si="148"/>
        <v>5.0999999999999996</v>
      </c>
      <c r="DW60" s="142">
        <v>5.2</v>
      </c>
      <c r="DX60" s="141">
        <v>1.2</v>
      </c>
      <c r="DY60" s="141">
        <v>1.3</v>
      </c>
      <c r="DZ60" s="140">
        <f t="shared" si="149"/>
        <v>7.7</v>
      </c>
      <c r="EA60" s="142">
        <v>4.3</v>
      </c>
      <c r="EB60" s="141">
        <v>1</v>
      </c>
      <c r="EC60" s="141">
        <v>1.1000000000000001</v>
      </c>
      <c r="ED60" s="140">
        <f t="shared" si="150"/>
        <v>6.4</v>
      </c>
      <c r="EE60" s="141">
        <v>3.2</v>
      </c>
      <c r="EF60" s="141">
        <v>0.2</v>
      </c>
      <c r="EG60" s="141"/>
      <c r="EH60" s="140">
        <f t="shared" si="151"/>
        <v>3.4000000000000004</v>
      </c>
      <c r="EI60" s="140">
        <f t="shared" si="40"/>
        <v>22.6</v>
      </c>
      <c r="EJ60" s="141">
        <v>4.4000000000000004</v>
      </c>
      <c r="EK60" s="141">
        <v>1</v>
      </c>
      <c r="EL60" s="141">
        <v>1</v>
      </c>
      <c r="EM60" s="140">
        <f t="shared" si="152"/>
        <v>6.4</v>
      </c>
      <c r="EN60" s="141">
        <v>5.5</v>
      </c>
      <c r="EO60" s="141">
        <v>1</v>
      </c>
      <c r="EP60" s="141">
        <v>1</v>
      </c>
      <c r="EQ60" s="140">
        <f t="shared" si="153"/>
        <v>7.5</v>
      </c>
      <c r="ER60" s="141">
        <v>5.31</v>
      </c>
      <c r="ES60" s="141">
        <v>1</v>
      </c>
      <c r="ET60" s="141">
        <v>0.9</v>
      </c>
      <c r="EU60" s="140">
        <f t="shared" si="154"/>
        <v>7.21</v>
      </c>
      <c r="EV60" s="141">
        <v>5.0999999999999996</v>
      </c>
      <c r="EW60" s="141">
        <v>0.4</v>
      </c>
      <c r="EX60" s="141">
        <v>0.06</v>
      </c>
      <c r="EY60" s="140">
        <f t="shared" si="155"/>
        <v>5.56</v>
      </c>
      <c r="EZ60" s="169">
        <f t="shared" si="45"/>
        <v>26.669999999999998</v>
      </c>
      <c r="FA60" s="170"/>
      <c r="FB60" s="169">
        <v>1.2</v>
      </c>
      <c r="FC60" s="169">
        <v>0.1</v>
      </c>
      <c r="FD60" s="169">
        <v>2</v>
      </c>
      <c r="FE60" s="171">
        <f t="shared" si="156"/>
        <v>3.3</v>
      </c>
      <c r="FF60" s="169">
        <v>4.6923595599999999</v>
      </c>
      <c r="FG60" s="169">
        <v>2.1299359999999998</v>
      </c>
      <c r="FH60" s="169">
        <v>1.2544000000000002</v>
      </c>
      <c r="FI60" s="171">
        <f t="shared" si="157"/>
        <v>8.0766955599999992</v>
      </c>
      <c r="FJ60" s="169">
        <v>5.7441041600000009</v>
      </c>
      <c r="FK60" s="169">
        <v>1.0664854094999998</v>
      </c>
      <c r="FL60" s="169">
        <v>1.0262049996</v>
      </c>
      <c r="FM60" s="171">
        <f t="shared" si="158"/>
        <v>7.8367945691000012</v>
      </c>
      <c r="FN60" s="172">
        <v>5.3385412200000006</v>
      </c>
      <c r="FO60" s="173">
        <v>0.66985528929999993</v>
      </c>
      <c r="FP60" s="173">
        <v>7.2539999999999993E-2</v>
      </c>
      <c r="FQ60" s="175">
        <f t="shared" si="159"/>
        <v>6.0809365093000007</v>
      </c>
      <c r="FR60" s="175">
        <f t="shared" si="50"/>
        <v>25.294426638399997</v>
      </c>
      <c r="FS60" s="172">
        <v>6.0698188299999991</v>
      </c>
      <c r="FT60" s="173">
        <v>1.406586329384</v>
      </c>
      <c r="FU60" s="174">
        <v>1.3306894900000001</v>
      </c>
      <c r="FV60" s="175">
        <f t="shared" si="160"/>
        <v>8.8070946493839983</v>
      </c>
      <c r="FW60" s="172">
        <v>6.8836752000000008</v>
      </c>
      <c r="FX60" s="173">
        <v>1.12372105426</v>
      </c>
      <c r="FY60" s="174">
        <v>1.0903774396000001</v>
      </c>
      <c r="FZ60" s="175">
        <f t="shared" si="161"/>
        <v>9.0977736938600025</v>
      </c>
      <c r="GA60" s="172">
        <v>6.8318525095380007</v>
      </c>
      <c r="GB60" s="173">
        <v>1.24928856921</v>
      </c>
      <c r="GC60" s="174">
        <v>0.88951042020000004</v>
      </c>
      <c r="GD60" s="175">
        <f t="shared" si="162"/>
        <v>8.9706514989480013</v>
      </c>
      <c r="GE60" s="172">
        <v>6.9334935501199988</v>
      </c>
      <c r="GF60" s="173">
        <v>0</v>
      </c>
      <c r="GG60" s="159">
        <v>0</v>
      </c>
      <c r="GH60" s="174">
        <f t="shared" ref="GH60:GH82" si="184">SUM(GE60:GG60)</f>
        <v>6.9334935501199988</v>
      </c>
      <c r="GI60" s="174">
        <f t="shared" si="55"/>
        <v>33.809013392312004</v>
      </c>
      <c r="GJ60" s="221">
        <v>0.14769573999999999</v>
      </c>
      <c r="GK60" s="222">
        <v>0.84341144159000003</v>
      </c>
      <c r="GL60" s="223">
        <v>0.77500000000000002</v>
      </c>
      <c r="GM60" s="175">
        <f t="shared" si="164"/>
        <v>1.76610718159</v>
      </c>
      <c r="GN60" s="221">
        <v>1.78134959E-2</v>
      </c>
      <c r="GO60" s="222">
        <v>0.99587989320388304</v>
      </c>
      <c r="GP60" s="223">
        <v>0.94845652167832173</v>
      </c>
      <c r="GQ60" s="175">
        <f t="shared" si="165"/>
        <v>1.9621499107822049</v>
      </c>
      <c r="GR60" s="245">
        <v>8.8000000000000007</v>
      </c>
      <c r="GS60" s="222">
        <v>0.97338529957240649</v>
      </c>
      <c r="GT60" s="223">
        <v>0.68706650071530795</v>
      </c>
      <c r="GU60" s="175">
        <f t="shared" si="166"/>
        <v>10.460451800287714</v>
      </c>
      <c r="GV60" s="221">
        <v>8.1454497704447597</v>
      </c>
      <c r="GW60" s="222">
        <v>0.2428564433</v>
      </c>
      <c r="GX60" s="223">
        <v>1.0312233357245335</v>
      </c>
      <c r="GY60" s="174">
        <f t="shared" ref="GY60:GY80" si="185">SUM(GV60:GX60)</f>
        <v>9.4195295494692921</v>
      </c>
      <c r="GZ60" s="159">
        <f t="shared" si="110"/>
        <v>23.608238442129213</v>
      </c>
      <c r="HA60" s="254">
        <v>8.6401854505056228</v>
      </c>
      <c r="HB60" s="160">
        <v>0.6202732352941176</v>
      </c>
      <c r="HC60" s="159">
        <v>8.8727079239598208</v>
      </c>
      <c r="HD60" s="273">
        <f t="shared" si="168"/>
        <v>18.133166609759563</v>
      </c>
      <c r="HE60" s="254">
        <v>8.9308132701865084</v>
      </c>
      <c r="HF60" s="160">
        <v>0.27829758969999996</v>
      </c>
      <c r="HG60" s="159">
        <v>0.15720000000000001</v>
      </c>
      <c r="HH60" s="273">
        <f t="shared" si="169"/>
        <v>9.3663108598865072</v>
      </c>
      <c r="HI60" s="279">
        <v>9.3623015998995687</v>
      </c>
      <c r="HJ60" s="160">
        <v>0</v>
      </c>
      <c r="HK60" s="159">
        <v>9.2671575322812005E-2</v>
      </c>
      <c r="HL60" s="273">
        <f t="shared" si="170"/>
        <v>9.4549731752223813</v>
      </c>
      <c r="HM60" s="254">
        <v>9.8178915335893837</v>
      </c>
      <c r="HN60" s="160">
        <v>7.5389999999999999E-2</v>
      </c>
      <c r="HO60" s="159">
        <v>0.42939962296987089</v>
      </c>
      <c r="HP60" s="273">
        <f t="shared" si="171"/>
        <v>10.322681156559256</v>
      </c>
      <c r="HQ60" s="273">
        <f t="shared" si="127"/>
        <v>47.277131801427707</v>
      </c>
      <c r="HR60" s="254">
        <v>10.36296011</v>
      </c>
      <c r="HS60" s="160"/>
      <c r="HT60" s="159">
        <v>0.17499999999999999</v>
      </c>
      <c r="HU60" s="273">
        <f t="shared" si="172"/>
        <v>10.53796011</v>
      </c>
      <c r="HV60" s="254">
        <v>18.240175039999997</v>
      </c>
      <c r="HW60" s="160">
        <v>0.17916216929698706</v>
      </c>
      <c r="HX60" s="159">
        <v>0</v>
      </c>
      <c r="HY60" s="273">
        <f t="shared" si="173"/>
        <v>18.419337209296984</v>
      </c>
      <c r="HZ60" s="280">
        <v>10.89413162</v>
      </c>
      <c r="IA60" s="160">
        <v>2.811174604017217</v>
      </c>
      <c r="IB60" s="159">
        <v>2.4992000000000001</v>
      </c>
      <c r="IC60" s="273">
        <f t="shared" si="174"/>
        <v>16.204506224017216</v>
      </c>
      <c r="ID60" s="254">
        <v>10.961119800000001</v>
      </c>
      <c r="IE60" s="160">
        <v>0.27083875000000002</v>
      </c>
      <c r="IF60" s="159">
        <v>16.602132860000001</v>
      </c>
      <c r="IG60" s="273">
        <f t="shared" si="175"/>
        <v>27.834091409999999</v>
      </c>
      <c r="IH60" s="273">
        <v>72.995894953314206</v>
      </c>
      <c r="II60" s="254">
        <v>11.38178415</v>
      </c>
      <c r="IJ60" s="160"/>
      <c r="IK60" s="159">
        <v>9.7360279100000007</v>
      </c>
      <c r="IL60" s="273">
        <v>21.117812059999999</v>
      </c>
      <c r="IM60" s="254">
        <v>12.310761749999999</v>
      </c>
      <c r="IN60" s="160">
        <v>0.85253576000000009</v>
      </c>
      <c r="IO60" s="160">
        <v>1.87290058</v>
      </c>
      <c r="IP60" s="273">
        <v>15.036198089999999</v>
      </c>
      <c r="IQ60" s="254">
        <v>12.14484343</v>
      </c>
      <c r="IR60" s="160"/>
      <c r="IS60" s="159">
        <v>0</v>
      </c>
      <c r="IT60" s="273">
        <v>12.14484343</v>
      </c>
      <c r="IU60" s="254">
        <v>12.243044030567701</v>
      </c>
      <c r="IV60" s="160">
        <v>3.0366135400000003</v>
      </c>
      <c r="IW60" s="159">
        <v>0.18366754000000002</v>
      </c>
      <c r="IX60" s="273">
        <v>15.4633251105677</v>
      </c>
      <c r="IY60" s="273">
        <v>63.762178690567701</v>
      </c>
      <c r="IZ60" s="254">
        <v>12.8821417</v>
      </c>
      <c r="JA60" s="160">
        <v>9.9684058199999992</v>
      </c>
      <c r="JB60" s="159">
        <v>0.394511</v>
      </c>
      <c r="JC60" s="273">
        <v>23.245058520000001</v>
      </c>
      <c r="JD60" s="254">
        <v>13.91196717</v>
      </c>
      <c r="JE60" s="160">
        <v>0.67718363999999998</v>
      </c>
      <c r="JF60" s="159">
        <v>0.26357271000000004</v>
      </c>
      <c r="JG60" s="273">
        <v>14.85272352</v>
      </c>
      <c r="JH60" s="254">
        <v>14.453035029999999</v>
      </c>
      <c r="JI60" s="160"/>
      <c r="JJ60" s="159">
        <v>0.26549</v>
      </c>
      <c r="JK60" s="273">
        <v>14.718525029999999</v>
      </c>
      <c r="JL60" s="254">
        <v>14.92025407</v>
      </c>
      <c r="JM60" s="160">
        <v>3.0119119329446065</v>
      </c>
      <c r="JN60" s="159">
        <v>0.49805485000000005</v>
      </c>
      <c r="JO60" s="273">
        <v>18.430220852944604</v>
      </c>
      <c r="JP60" s="273">
        <v>71.246527922944594</v>
      </c>
      <c r="JQ60" s="254">
        <v>37.822222019999998</v>
      </c>
      <c r="JR60" s="160">
        <v>0.1125</v>
      </c>
      <c r="JS60" s="159">
        <v>5.0000000000000001E-3</v>
      </c>
      <c r="JT60" s="273">
        <v>37.939722019999998</v>
      </c>
      <c r="JU60" s="254">
        <v>16.22935545</v>
      </c>
      <c r="JV60" s="160">
        <v>41.181676530000004</v>
      </c>
      <c r="JW60" s="159">
        <v>0.36577058999999995</v>
      </c>
      <c r="JX60" s="273">
        <v>57.776802570000001</v>
      </c>
      <c r="JY60" s="254">
        <v>16.481307820000001</v>
      </c>
      <c r="JZ60" s="160">
        <v>0.22009571</v>
      </c>
      <c r="KA60" s="159">
        <v>1.7061713100000002</v>
      </c>
      <c r="KB60" s="273">
        <v>18.407574840000002</v>
      </c>
      <c r="KC60" s="254">
        <v>17.306246830000003</v>
      </c>
      <c r="KD60" s="160">
        <v>0.49572174000000002</v>
      </c>
      <c r="KE60" s="159">
        <v>3.8240040799999999</v>
      </c>
      <c r="KF60" s="273">
        <v>21.625972650000001</v>
      </c>
      <c r="KG60" s="273">
        <v>135.75007208</v>
      </c>
      <c r="KH60" s="221"/>
      <c r="KI60" s="222">
        <v>37.848539729999999</v>
      </c>
      <c r="KJ60" s="223">
        <v>2.3193105099999998</v>
      </c>
      <c r="KK60" s="273">
        <v>40.16785024</v>
      </c>
      <c r="KL60" s="221">
        <v>19.782447380000001</v>
      </c>
      <c r="KM60" s="222">
        <v>0.16205961000000002</v>
      </c>
      <c r="KN60" s="223">
        <v>0.68426069</v>
      </c>
      <c r="KO60" s="273">
        <v>20.628767679999999</v>
      </c>
      <c r="KP60" s="221">
        <v>19.011892350000004</v>
      </c>
      <c r="KQ60" s="222">
        <v>0.34594438999999999</v>
      </c>
      <c r="KR60" s="223">
        <v>0.67221544</v>
      </c>
      <c r="KS60" s="273">
        <v>20.030052180000002</v>
      </c>
      <c r="KT60" s="254">
        <v>19.529124059999997</v>
      </c>
      <c r="KU60" s="160">
        <v>7.7778</v>
      </c>
      <c r="KV60" s="159"/>
      <c r="KW60" s="273">
        <v>27.306924059999997</v>
      </c>
      <c r="KX60" s="273">
        <v>108.13359416</v>
      </c>
      <c r="KY60" s="221">
        <v>37.754382230000004</v>
      </c>
      <c r="KZ60" s="222">
        <v>0</v>
      </c>
      <c r="LA60" s="223">
        <v>4.8807916000000002</v>
      </c>
      <c r="LB60" s="273">
        <v>42.635173830000006</v>
      </c>
      <c r="LC60" s="221">
        <v>22.578937669999998</v>
      </c>
      <c r="LD60" s="222">
        <v>7.7988360000000007E-2</v>
      </c>
      <c r="LE60" s="223">
        <v>0.22362082</v>
      </c>
      <c r="LF60" s="273">
        <v>22.880546849999998</v>
      </c>
      <c r="LG60" s="221">
        <v>0</v>
      </c>
      <c r="LH60" s="222">
        <v>0.13008295</v>
      </c>
      <c r="LI60" s="223">
        <v>6.0915179999999999E-2</v>
      </c>
      <c r="LJ60" s="273">
        <v>0.19099812999999999</v>
      </c>
      <c r="LK60" s="254">
        <v>3.6999999999999998E-2</v>
      </c>
      <c r="LL60" s="160">
        <v>2.3308430000000002E-2</v>
      </c>
      <c r="LM60" s="159">
        <v>0.19661499999999998</v>
      </c>
      <c r="LN60" s="273">
        <v>0.25692342999999995</v>
      </c>
      <c r="LO60" s="273">
        <v>65.963642239999999</v>
      </c>
    </row>
    <row r="61" spans="1:327" ht="17.100000000000001" customHeight="1" x14ac:dyDescent="0.25">
      <c r="A61" s="2" t="s">
        <v>45</v>
      </c>
      <c r="B61" s="24"/>
      <c r="C61" s="5">
        <v>18.8</v>
      </c>
      <c r="D61" s="5">
        <v>2</v>
      </c>
      <c r="E61" s="5">
        <v>0</v>
      </c>
      <c r="F61" s="5">
        <v>0.8</v>
      </c>
      <c r="G61" s="5">
        <v>2.8</v>
      </c>
      <c r="H61" s="5">
        <v>0.5</v>
      </c>
      <c r="I61" s="5">
        <v>0.6</v>
      </c>
      <c r="J61" s="5">
        <v>0.3</v>
      </c>
      <c r="K61" s="5">
        <v>1.4</v>
      </c>
      <c r="L61" s="5">
        <v>1.4</v>
      </c>
      <c r="M61" s="5">
        <v>0.5</v>
      </c>
      <c r="N61" s="5">
        <v>1.8</v>
      </c>
      <c r="O61" s="5">
        <f t="shared" si="0"/>
        <v>3.7</v>
      </c>
      <c r="P61" s="5">
        <v>1</v>
      </c>
      <c r="Q61" s="5">
        <v>1.6</v>
      </c>
      <c r="R61" s="5">
        <v>0.6</v>
      </c>
      <c r="S61" s="5">
        <f t="shared" si="1"/>
        <v>3.2</v>
      </c>
      <c r="T61" s="16">
        <f t="shared" si="7"/>
        <v>11.100000000000001</v>
      </c>
      <c r="U61" s="5">
        <v>1</v>
      </c>
      <c r="V61" s="5">
        <v>1.1000000000000001</v>
      </c>
      <c r="W61" s="5">
        <v>0.8</v>
      </c>
      <c r="X61" s="4">
        <f t="shared" si="177"/>
        <v>2.9000000000000004</v>
      </c>
      <c r="Y61" s="5">
        <v>1.7</v>
      </c>
      <c r="Z61" s="5">
        <v>1.6</v>
      </c>
      <c r="AA61" s="7">
        <v>1.1399999999999999</v>
      </c>
      <c r="AB61" s="5">
        <f t="shared" si="178"/>
        <v>4.4399999999999995</v>
      </c>
      <c r="AC61" s="5">
        <f>4.7+0.04</f>
        <v>4.74</v>
      </c>
      <c r="AD61" s="5">
        <v>1.3</v>
      </c>
      <c r="AE61" s="5">
        <v>2.1</v>
      </c>
      <c r="AF61" s="5">
        <f t="shared" si="179"/>
        <v>8.14</v>
      </c>
      <c r="AG61" s="5">
        <v>0.5</v>
      </c>
      <c r="AH61" s="5">
        <f>0.1+0.04</f>
        <v>0.14000000000000001</v>
      </c>
      <c r="AI61" s="5">
        <v>2.1</v>
      </c>
      <c r="AJ61" s="5">
        <f t="shared" si="128"/>
        <v>2.74</v>
      </c>
      <c r="AK61" s="16">
        <f t="shared" si="129"/>
        <v>18.22</v>
      </c>
      <c r="AL61" s="5">
        <v>3.1</v>
      </c>
      <c r="AM61" s="5">
        <v>1.9</v>
      </c>
      <c r="AN61" s="5">
        <v>1.8</v>
      </c>
      <c r="AO61" s="5">
        <f t="shared" si="181"/>
        <v>6.8</v>
      </c>
      <c r="AP61" s="5">
        <v>2.2999999999999998</v>
      </c>
      <c r="AQ61" s="5">
        <v>2.1</v>
      </c>
      <c r="AR61" s="5">
        <v>2.4</v>
      </c>
      <c r="AS61" s="54">
        <f t="shared" si="12"/>
        <v>6.8000000000000007</v>
      </c>
      <c r="AT61" s="5">
        <v>2.14</v>
      </c>
      <c r="AU61" s="5">
        <v>2.2000000000000002</v>
      </c>
      <c r="AV61" s="5">
        <v>3.94</v>
      </c>
      <c r="AW61" s="54">
        <f t="shared" si="182"/>
        <v>8.2799999999999994</v>
      </c>
      <c r="AX61" s="5">
        <v>0.5</v>
      </c>
      <c r="AY61" s="5">
        <v>1.3</v>
      </c>
      <c r="AZ61" s="5">
        <v>1.8</v>
      </c>
      <c r="BA61" s="54">
        <f t="shared" si="14"/>
        <v>3.6</v>
      </c>
      <c r="BB61" s="54">
        <f t="shared" si="131"/>
        <v>25.480000000000004</v>
      </c>
      <c r="BC61" s="5">
        <v>2.0936431200000003</v>
      </c>
      <c r="BD61" s="66">
        <v>8.4072312999999994</v>
      </c>
      <c r="BE61" s="66">
        <v>6.8118244900000002</v>
      </c>
      <c r="BF61" s="62">
        <f t="shared" ref="BF61:BF68" si="186">SUM(BC61:BE61)</f>
        <v>17.312698909999998</v>
      </c>
      <c r="BG61" s="67">
        <v>1.5701210000000001</v>
      </c>
      <c r="BH61" s="67">
        <v>2.69672</v>
      </c>
      <c r="BI61" s="67">
        <v>1.06945</v>
      </c>
      <c r="BJ61" s="62">
        <f t="shared" si="132"/>
        <v>5.3362910000000001</v>
      </c>
      <c r="BK61" s="67">
        <v>2.7503500000000001</v>
      </c>
      <c r="BL61" s="67">
        <v>2.3378000000000001</v>
      </c>
      <c r="BM61" s="67">
        <v>2.2571059999999998</v>
      </c>
      <c r="BN61" s="62">
        <f t="shared" si="133"/>
        <v>7.3452560000000009</v>
      </c>
      <c r="BO61" s="71">
        <v>4.1183949999999996</v>
      </c>
      <c r="BP61" s="67">
        <v>3.57484</v>
      </c>
      <c r="BQ61" s="67">
        <v>3.56569</v>
      </c>
      <c r="BR61" s="62">
        <f t="shared" si="134"/>
        <v>11.258925</v>
      </c>
      <c r="BS61" s="62">
        <f t="shared" si="135"/>
        <v>41.253170909999994</v>
      </c>
      <c r="BT61" s="67">
        <v>4.4000000000000004</v>
      </c>
      <c r="BU61" s="67">
        <v>3.8</v>
      </c>
      <c r="BV61" s="67">
        <v>2.6</v>
      </c>
      <c r="BW61" s="62">
        <f t="shared" si="136"/>
        <v>10.799999999999999</v>
      </c>
      <c r="BX61" s="67">
        <v>0.3</v>
      </c>
      <c r="BY61" s="67">
        <v>2.8</v>
      </c>
      <c r="BZ61" s="67">
        <v>3.8</v>
      </c>
      <c r="CA61" s="62">
        <f t="shared" si="137"/>
        <v>6.8999999999999995</v>
      </c>
      <c r="CB61" s="67">
        <v>8.1</v>
      </c>
      <c r="CC61" s="67">
        <v>1.1599999999999999</v>
      </c>
      <c r="CD61" s="67">
        <v>2.6</v>
      </c>
      <c r="CE61" s="62">
        <f t="shared" si="138"/>
        <v>11.86</v>
      </c>
      <c r="CF61" s="67">
        <v>1.41</v>
      </c>
      <c r="CG61" s="67">
        <v>1.35</v>
      </c>
      <c r="CH61" s="67">
        <v>0.88</v>
      </c>
      <c r="CI61" s="67">
        <f t="shared" si="139"/>
        <v>3.6399999999999997</v>
      </c>
      <c r="CJ61" s="71">
        <f t="shared" si="112"/>
        <v>33.199999999999996</v>
      </c>
      <c r="CK61" s="71">
        <v>0.5</v>
      </c>
      <c r="CL61" s="67">
        <v>0.4</v>
      </c>
      <c r="CM61" s="67">
        <f>0.4+3</f>
        <v>3.4</v>
      </c>
      <c r="CN61" s="62">
        <f t="shared" si="140"/>
        <v>4.3</v>
      </c>
      <c r="CO61" s="67">
        <v>1.2</v>
      </c>
      <c r="CP61" s="67">
        <v>0.3</v>
      </c>
      <c r="CQ61" s="67">
        <v>0.9</v>
      </c>
      <c r="CR61" s="62">
        <f t="shared" si="141"/>
        <v>2.4</v>
      </c>
      <c r="CS61" s="101">
        <v>1.4</v>
      </c>
      <c r="CT61" s="67">
        <v>1.1000000000000001</v>
      </c>
      <c r="CU61" s="67">
        <v>3.7</v>
      </c>
      <c r="CV61" s="62">
        <f t="shared" si="142"/>
        <v>6.2</v>
      </c>
      <c r="CW61" s="67">
        <v>0.4</v>
      </c>
      <c r="CX61" s="67">
        <v>0.6</v>
      </c>
      <c r="CY61" s="112">
        <v>0.6</v>
      </c>
      <c r="CZ61" s="113">
        <f t="shared" si="143"/>
        <v>1.6</v>
      </c>
      <c r="DA61" s="62">
        <f t="shared" si="125"/>
        <v>14.499999999999998</v>
      </c>
      <c r="DB61" s="71">
        <v>0.3</v>
      </c>
      <c r="DC61" s="67">
        <v>0.7</v>
      </c>
      <c r="DD61" s="67">
        <v>1</v>
      </c>
      <c r="DE61" s="62">
        <f t="shared" si="144"/>
        <v>2</v>
      </c>
      <c r="DF61" s="71">
        <v>1.3</v>
      </c>
      <c r="DG61" s="67">
        <f>1.3+0.1</f>
        <v>1.4000000000000001</v>
      </c>
      <c r="DH61" s="67">
        <f>1+0.1</f>
        <v>1.1000000000000001</v>
      </c>
      <c r="DI61" s="62">
        <f t="shared" si="145"/>
        <v>3.8000000000000003</v>
      </c>
      <c r="DJ61" s="71">
        <v>15.4</v>
      </c>
      <c r="DK61" s="67">
        <v>0.9</v>
      </c>
      <c r="DL61" s="67">
        <v>0.3</v>
      </c>
      <c r="DM61" s="62">
        <f t="shared" si="146"/>
        <v>16.600000000000001</v>
      </c>
      <c r="DN61" s="67">
        <v>1.1000000000000001</v>
      </c>
      <c r="DO61" s="67">
        <v>0.4</v>
      </c>
      <c r="DP61" s="67"/>
      <c r="DQ61" s="113">
        <f t="shared" si="147"/>
        <v>1.5</v>
      </c>
      <c r="DR61" s="140">
        <f t="shared" si="126"/>
        <v>23.900000000000002</v>
      </c>
      <c r="DS61" s="141">
        <v>0.2</v>
      </c>
      <c r="DT61" s="141">
        <v>0.6</v>
      </c>
      <c r="DU61" s="141">
        <f>0.5+0.1</f>
        <v>0.6</v>
      </c>
      <c r="DV61" s="140">
        <f t="shared" si="148"/>
        <v>1.4</v>
      </c>
      <c r="DW61" s="142">
        <v>1.6</v>
      </c>
      <c r="DX61" s="141">
        <v>2.9</v>
      </c>
      <c r="DY61" s="141">
        <v>2</v>
      </c>
      <c r="DZ61" s="140">
        <f t="shared" si="149"/>
        <v>6.5</v>
      </c>
      <c r="EA61" s="142">
        <v>1.5</v>
      </c>
      <c r="EB61" s="141">
        <v>0.7</v>
      </c>
      <c r="EC61" s="141">
        <v>3</v>
      </c>
      <c r="ED61" s="140">
        <f t="shared" si="150"/>
        <v>5.2</v>
      </c>
      <c r="EE61" s="141">
        <v>2.4</v>
      </c>
      <c r="EF61" s="141">
        <v>2.4</v>
      </c>
      <c r="EG61" s="141">
        <f>3.6-0.1</f>
        <v>3.5</v>
      </c>
      <c r="EH61" s="140">
        <f t="shared" si="151"/>
        <v>8.3000000000000007</v>
      </c>
      <c r="EI61" s="140">
        <f t="shared" si="40"/>
        <v>21.400000000000002</v>
      </c>
      <c r="EJ61" s="141">
        <v>0.8</v>
      </c>
      <c r="EK61" s="141">
        <v>1.5</v>
      </c>
      <c r="EL61" s="141">
        <v>3.7</v>
      </c>
      <c r="EM61" s="140">
        <f t="shared" si="152"/>
        <v>6</v>
      </c>
      <c r="EN61" s="141">
        <f>5.6+0.1</f>
        <v>5.6999999999999993</v>
      </c>
      <c r="EO61" s="141">
        <v>3.7</v>
      </c>
      <c r="EP61" s="141">
        <v>7.4</v>
      </c>
      <c r="EQ61" s="140">
        <f t="shared" si="153"/>
        <v>16.799999999999997</v>
      </c>
      <c r="ER61" s="141">
        <v>3.71</v>
      </c>
      <c r="ES61" s="141">
        <v>3.1</v>
      </c>
      <c r="ET61" s="141">
        <v>2.2000000000000002</v>
      </c>
      <c r="EU61" s="140">
        <f t="shared" si="154"/>
        <v>9.0100000000000016</v>
      </c>
      <c r="EV61" s="141">
        <v>1.9</v>
      </c>
      <c r="EW61" s="141">
        <v>2.6</v>
      </c>
      <c r="EX61" s="141">
        <v>1.6196530787999999</v>
      </c>
      <c r="EY61" s="140">
        <f t="shared" si="155"/>
        <v>6.1196530787999999</v>
      </c>
      <c r="EZ61" s="169">
        <f t="shared" si="45"/>
        <v>37.929653078800001</v>
      </c>
      <c r="FA61" s="170"/>
      <c r="FB61" s="169">
        <f>1.9+0.1</f>
        <v>2</v>
      </c>
      <c r="FC61" s="169">
        <v>1.7</v>
      </c>
      <c r="FD61" s="169">
        <v>2.2999999999999998</v>
      </c>
      <c r="FE61" s="171">
        <f t="shared" si="156"/>
        <v>6</v>
      </c>
      <c r="FF61" s="169">
        <v>1.3643203265917998</v>
      </c>
      <c r="FG61" s="169">
        <v>2.2434974139428001</v>
      </c>
      <c r="FH61" s="169">
        <v>2.608467255656</v>
      </c>
      <c r="FI61" s="171">
        <f t="shared" si="157"/>
        <v>6.2162849961906002</v>
      </c>
      <c r="FJ61" s="169">
        <v>7.1597646219156008</v>
      </c>
      <c r="FK61" s="169">
        <v>3.9041885054746999</v>
      </c>
      <c r="FL61" s="169">
        <v>2.3613656387667996</v>
      </c>
      <c r="FM61" s="171">
        <f t="shared" si="158"/>
        <v>13.425318766157101</v>
      </c>
      <c r="FN61" s="172">
        <v>1.4939893983464003</v>
      </c>
      <c r="FO61" s="173">
        <v>4.3081913678786803</v>
      </c>
      <c r="FP61" s="173">
        <v>5.3358981938393004</v>
      </c>
      <c r="FQ61" s="175">
        <f t="shared" si="159"/>
        <v>11.13807896006438</v>
      </c>
      <c r="FR61" s="175">
        <f t="shared" si="50"/>
        <v>36.779682722412076</v>
      </c>
      <c r="FS61" s="172">
        <v>0.35024599000000001</v>
      </c>
      <c r="FT61" s="173">
        <v>1.1044604785538901</v>
      </c>
      <c r="FU61" s="174">
        <v>1.470590480102</v>
      </c>
      <c r="FV61" s="175">
        <f t="shared" si="160"/>
        <v>2.9252969486558902</v>
      </c>
      <c r="FW61" s="172">
        <v>2.7955556387364302</v>
      </c>
      <c r="FX61" s="173">
        <v>3.62944058733936</v>
      </c>
      <c r="FY61" s="174">
        <v>2.350788195617</v>
      </c>
      <c r="FZ61" s="175">
        <f t="shared" si="161"/>
        <v>8.7757844216927907</v>
      </c>
      <c r="GA61" s="172">
        <v>1.7276812051481398</v>
      </c>
      <c r="GB61" s="173">
        <v>1.3393640350084</v>
      </c>
      <c r="GC61" s="174">
        <v>1.10360810016</v>
      </c>
      <c r="GD61" s="175">
        <f t="shared" si="162"/>
        <v>4.17065334031654</v>
      </c>
      <c r="GE61" s="172">
        <v>1.2028793728271001</v>
      </c>
      <c r="GF61" s="173">
        <v>2.1913000711999997</v>
      </c>
      <c r="GG61" s="159">
        <v>1.49710383397198</v>
      </c>
      <c r="GH61" s="174">
        <f t="shared" si="184"/>
        <v>4.8912832779990794</v>
      </c>
      <c r="GI61" s="174">
        <f t="shared" si="55"/>
        <v>20.763017988664302</v>
      </c>
      <c r="GJ61" s="221">
        <v>0.42639617802800001</v>
      </c>
      <c r="GK61" s="222">
        <v>1.0267294472899999</v>
      </c>
      <c r="GL61" s="223">
        <v>2.8313414259707996</v>
      </c>
      <c r="GM61" s="175">
        <f t="shared" si="164"/>
        <v>4.2844670512888001</v>
      </c>
      <c r="GN61" s="221">
        <v>13.16598967965813</v>
      </c>
      <c r="GO61" s="222">
        <v>4.0335128745315014</v>
      </c>
      <c r="GP61" s="223">
        <v>3.8322433347900677</v>
      </c>
      <c r="GQ61" s="175">
        <f t="shared" si="165"/>
        <v>21.0317458889797</v>
      </c>
      <c r="GR61" s="245">
        <v>4.0999999999999996</v>
      </c>
      <c r="GS61" s="222">
        <v>2.2280194977016601</v>
      </c>
      <c r="GT61" s="223">
        <v>2.0534177152264088</v>
      </c>
      <c r="GU61" s="175">
        <f t="shared" si="166"/>
        <v>8.3814372129280681</v>
      </c>
      <c r="GV61" s="221">
        <v>5.5308537984608206</v>
      </c>
      <c r="GW61" s="222">
        <v>3.385518027403156</v>
      </c>
      <c r="GX61" s="223">
        <v>4.7482876671879701</v>
      </c>
      <c r="GY61" s="174">
        <f t="shared" si="185"/>
        <v>13.664659493051946</v>
      </c>
      <c r="GZ61" s="159">
        <f t="shared" si="110"/>
        <v>47.362309646248519</v>
      </c>
      <c r="HA61" s="254">
        <v>1.8154003371496983</v>
      </c>
      <c r="HB61" s="160">
        <v>1.7399319024370845</v>
      </c>
      <c r="HC61" s="159">
        <v>3.8264216137911915</v>
      </c>
      <c r="HD61" s="273">
        <f t="shared" si="168"/>
        <v>7.3817538533779743</v>
      </c>
      <c r="HE61" s="254">
        <v>4.0853436386659423</v>
      </c>
      <c r="HF61" s="160">
        <v>6.1102826226034237</v>
      </c>
      <c r="HG61" s="159">
        <v>3.7927736860683599</v>
      </c>
      <c r="HH61" s="273">
        <f t="shared" si="169"/>
        <v>13.988399947337726</v>
      </c>
      <c r="HI61" s="279">
        <v>8.6147208564566604</v>
      </c>
      <c r="HJ61" s="160">
        <v>9.1981922506675069</v>
      </c>
      <c r="HK61" s="159">
        <v>3.4021914194063565</v>
      </c>
      <c r="HL61" s="273">
        <f t="shared" si="170"/>
        <v>21.215104526530524</v>
      </c>
      <c r="HM61" s="254">
        <v>7.9475674581596571</v>
      </c>
      <c r="HN61" s="160">
        <v>3.5</v>
      </c>
      <c r="HO61" s="159">
        <v>14.1436307273</v>
      </c>
      <c r="HP61" s="273">
        <f t="shared" si="171"/>
        <v>25.591198185459657</v>
      </c>
      <c r="HQ61" s="273">
        <f t="shared" si="127"/>
        <v>68.176456512705883</v>
      </c>
      <c r="HR61" s="254">
        <v>7.440607149756099</v>
      </c>
      <c r="HS61" s="160">
        <v>11.089834548479196</v>
      </c>
      <c r="HT61" s="159">
        <v>29.196683711129999</v>
      </c>
      <c r="HU61" s="273">
        <f t="shared" si="172"/>
        <v>47.727125409365293</v>
      </c>
      <c r="HV61" s="254">
        <v>22.982464106126255</v>
      </c>
      <c r="HW61" s="160">
        <v>10.576516322711575</v>
      </c>
      <c r="HX61" s="159">
        <v>4.9564377375466284</v>
      </c>
      <c r="HY61" s="273">
        <f>SUM(HV61:HX61)</f>
        <v>38.515418166384457</v>
      </c>
      <c r="HZ61" s="280">
        <v>13.489827965853658</v>
      </c>
      <c r="IA61" s="160">
        <v>11.276536503642468</v>
      </c>
      <c r="IB61" s="159">
        <v>9.7191924408889534</v>
      </c>
      <c r="IC61" s="273">
        <f t="shared" si="174"/>
        <v>34.485556910385078</v>
      </c>
      <c r="ID61" s="254">
        <v>3.6498434199999998</v>
      </c>
      <c r="IE61" s="160">
        <v>3.2820234307309999</v>
      </c>
      <c r="IF61" s="159">
        <v>5.7385292233584391</v>
      </c>
      <c r="IG61" s="273">
        <f t="shared" si="175"/>
        <v>12.670396074089439</v>
      </c>
      <c r="IH61" s="273">
        <v>133.39849656022426</v>
      </c>
      <c r="II61" s="254">
        <v>3.4048422999999994</v>
      </c>
      <c r="IJ61" s="160">
        <v>4.0333113799999998</v>
      </c>
      <c r="IK61" s="159">
        <v>4.4638871900000003</v>
      </c>
      <c r="IL61" s="273">
        <v>11.90204087</v>
      </c>
      <c r="IM61" s="254">
        <v>5.050087450580552</v>
      </c>
      <c r="IN61" s="160">
        <v>4.8707219297677797</v>
      </c>
      <c r="IO61" s="160">
        <v>3.77751466</v>
      </c>
      <c r="IP61" s="273">
        <v>5.050087450580552</v>
      </c>
      <c r="IQ61" s="254">
        <v>6.4756346400000009</v>
      </c>
      <c r="IR61" s="160">
        <v>18.08499067</v>
      </c>
      <c r="IS61" s="159">
        <v>27.65557838043668</v>
      </c>
      <c r="IT61" s="273">
        <v>52.216203690436679</v>
      </c>
      <c r="IU61" s="254">
        <v>9.0326730223435234</v>
      </c>
      <c r="IV61" s="160">
        <v>22.044619382215743</v>
      </c>
      <c r="IW61" s="159">
        <v>32.402121629213809</v>
      </c>
      <c r="IX61" s="273">
        <v>63.479414033773075</v>
      </c>
      <c r="IY61" s="273">
        <v>132.6477460447903</v>
      </c>
      <c r="IZ61" s="254">
        <v>6.49695156568513</v>
      </c>
      <c r="JA61" s="160">
        <v>15.322117059999998</v>
      </c>
      <c r="JB61" s="159">
        <v>3.8789331200000001</v>
      </c>
      <c r="JC61" s="273">
        <v>25.698001745685126</v>
      </c>
      <c r="JD61" s="254">
        <v>5.9234397399999992</v>
      </c>
      <c r="JE61" s="160">
        <v>11.04300186</v>
      </c>
      <c r="JF61" s="159">
        <v>57.435155260000009</v>
      </c>
      <c r="JG61" s="273">
        <v>74.401596860000012</v>
      </c>
      <c r="JH61" s="254">
        <v>11.206223349795918</v>
      </c>
      <c r="JI61" s="160">
        <v>16.287850753119535</v>
      </c>
      <c r="JJ61" s="159">
        <v>11.827212079999999</v>
      </c>
      <c r="JK61" s="273">
        <v>39.321286182915458</v>
      </c>
      <c r="JL61" s="254">
        <v>189.32571589973759</v>
      </c>
      <c r="JM61" s="160">
        <v>36.612734840553934</v>
      </c>
      <c r="JN61" s="159">
        <v>51.911790309008744</v>
      </c>
      <c r="JO61" s="273">
        <v>277.85024104930028</v>
      </c>
      <c r="JP61" s="273">
        <v>417.27112583790085</v>
      </c>
      <c r="JQ61" s="254">
        <v>73.110001799000017</v>
      </c>
      <c r="JR61" s="160">
        <v>8.000291579999999</v>
      </c>
      <c r="JS61" s="159">
        <v>20.789773680000003</v>
      </c>
      <c r="JT61" s="273">
        <v>101.90006705900001</v>
      </c>
      <c r="JU61" s="254">
        <v>15.80582663</v>
      </c>
      <c r="JV61" s="160">
        <v>34.0373558</v>
      </c>
      <c r="JW61" s="159">
        <v>31.621409020000002</v>
      </c>
      <c r="JX61" s="273">
        <v>81.46459145</v>
      </c>
      <c r="JY61" s="254">
        <v>28.986684619999998</v>
      </c>
      <c r="JZ61" s="160">
        <v>25.254371589999998</v>
      </c>
      <c r="KA61" s="159">
        <v>19.992968869999999</v>
      </c>
      <c r="KB61" s="273">
        <v>74.234025079999995</v>
      </c>
      <c r="KC61" s="254">
        <v>15.77041882</v>
      </c>
      <c r="KD61" s="160">
        <v>26.579798160000003</v>
      </c>
      <c r="KE61" s="159">
        <v>29.681568589416912</v>
      </c>
      <c r="KF61" s="273">
        <v>72.031785569416911</v>
      </c>
      <c r="KG61" s="273">
        <v>329.63046915841693</v>
      </c>
      <c r="KH61" s="221">
        <v>27.446878349999999</v>
      </c>
      <c r="KI61" s="222">
        <v>22.729636029999998</v>
      </c>
      <c r="KJ61" s="223">
        <v>29.739207980000003</v>
      </c>
      <c r="KK61" s="273">
        <v>79.915722360000004</v>
      </c>
      <c r="KL61" s="221">
        <v>25.590607929999997</v>
      </c>
      <c r="KM61" s="222">
        <v>21.507801269999998</v>
      </c>
      <c r="KN61" s="223">
        <v>27.041291880000003</v>
      </c>
      <c r="KO61" s="273">
        <v>74.139701079999995</v>
      </c>
      <c r="KP61" s="221">
        <v>26.301746990000005</v>
      </c>
      <c r="KQ61" s="222">
        <v>27.839398970000001</v>
      </c>
      <c r="KR61" s="223">
        <v>34.924171350000002</v>
      </c>
      <c r="KS61" s="273">
        <v>89.065317310000012</v>
      </c>
      <c r="KT61" s="254">
        <v>27.733868150000003</v>
      </c>
      <c r="KU61" s="160">
        <v>16.280486279999998</v>
      </c>
      <c r="KV61" s="159">
        <v>35.694577799999998</v>
      </c>
      <c r="KW61" s="273">
        <v>79.708932229999988</v>
      </c>
      <c r="KX61" s="273">
        <v>322.82967298</v>
      </c>
      <c r="KY61" s="221">
        <v>29.918341059999999</v>
      </c>
      <c r="KZ61" s="222">
        <v>32.052090979999996</v>
      </c>
      <c r="LA61" s="223">
        <v>37.24746485</v>
      </c>
      <c r="LB61" s="273">
        <v>99.217896889999992</v>
      </c>
      <c r="LC61" s="221">
        <v>45.49932651000001</v>
      </c>
      <c r="LD61" s="222">
        <v>42.036153829999996</v>
      </c>
      <c r="LE61" s="223">
        <v>55.414316200000002</v>
      </c>
      <c r="LF61" s="273">
        <v>142.94979654000002</v>
      </c>
      <c r="LG61" s="221">
        <v>33.870938929999994</v>
      </c>
      <c r="LH61" s="222">
        <v>32.520941139999998</v>
      </c>
      <c r="LI61" s="223">
        <v>43.368072560001394</v>
      </c>
      <c r="LJ61" s="273">
        <v>109.75995263000138</v>
      </c>
      <c r="LK61" s="254">
        <v>30.514447500000006</v>
      </c>
      <c r="LL61" s="160">
        <v>88.821568960000008</v>
      </c>
      <c r="LM61" s="159">
        <v>46.310889630000005</v>
      </c>
      <c r="LN61" s="273">
        <v>165.64690609000002</v>
      </c>
      <c r="LO61" s="273">
        <v>517.57455215000141</v>
      </c>
    </row>
    <row r="62" spans="1:327" ht="17.100000000000001" customHeight="1" x14ac:dyDescent="0.2">
      <c r="A62" s="2" t="s">
        <v>46</v>
      </c>
      <c r="B62" s="24"/>
      <c r="C62" s="5">
        <v>236.8</v>
      </c>
      <c r="D62" s="5">
        <v>21.9</v>
      </c>
      <c r="E62" s="5">
        <v>19.600000000000001</v>
      </c>
      <c r="F62" s="5">
        <v>44.8</v>
      </c>
      <c r="G62" s="5">
        <v>86.3</v>
      </c>
      <c r="H62" s="5">
        <v>20.2</v>
      </c>
      <c r="I62" s="5">
        <v>21.3</v>
      </c>
      <c r="J62" s="5">
        <v>36.299999999999997</v>
      </c>
      <c r="K62" s="5">
        <v>77.8</v>
      </c>
      <c r="L62" s="5">
        <v>12.3</v>
      </c>
      <c r="M62" s="5">
        <f>M63+M67</f>
        <v>21.299999999999997</v>
      </c>
      <c r="N62" s="5">
        <f>N63+N67</f>
        <v>43.3</v>
      </c>
      <c r="O62" s="5">
        <f t="shared" si="0"/>
        <v>76.899999999999991</v>
      </c>
      <c r="P62" s="5">
        <f>P63+P67</f>
        <v>16.600000000000001</v>
      </c>
      <c r="Q62" s="5">
        <f>Q63+Q67</f>
        <v>21.7</v>
      </c>
      <c r="R62" s="5">
        <f>R63+R67</f>
        <v>27.900000000000002</v>
      </c>
      <c r="S62" s="5">
        <f t="shared" si="1"/>
        <v>66.2</v>
      </c>
      <c r="T62" s="16">
        <f t="shared" si="7"/>
        <v>307.2</v>
      </c>
      <c r="U62" s="5">
        <f>U63+U67</f>
        <v>56.599999999999994</v>
      </c>
      <c r="V62" s="5">
        <f>V63+V67</f>
        <v>13.6</v>
      </c>
      <c r="W62" s="5">
        <f>W63+W67</f>
        <v>43.66</v>
      </c>
      <c r="X62" s="4">
        <f t="shared" si="177"/>
        <v>113.85999999999999</v>
      </c>
      <c r="Y62" s="5">
        <f>Y63+Y67</f>
        <v>18.079999999999998</v>
      </c>
      <c r="Z62" s="5">
        <f>Z63+Z67</f>
        <v>22.520000000000003</v>
      </c>
      <c r="AA62" s="5">
        <f>AA63+AA67</f>
        <v>20.3</v>
      </c>
      <c r="AB62" s="5">
        <f t="shared" si="178"/>
        <v>60.900000000000006</v>
      </c>
      <c r="AC62" s="5">
        <f>AC63+AC67</f>
        <v>17.935223389999997</v>
      </c>
      <c r="AD62" s="5">
        <f>AD63+AD67</f>
        <v>12.2</v>
      </c>
      <c r="AE62" s="5">
        <f>AE63+AE67</f>
        <v>47.2</v>
      </c>
      <c r="AF62" s="5">
        <f t="shared" si="179"/>
        <v>77.335223389999996</v>
      </c>
      <c r="AG62" s="5">
        <f>AG63+AG67</f>
        <v>17.479999999999997</v>
      </c>
      <c r="AH62" s="5">
        <f>AH63+AH67</f>
        <v>20.100000000000001</v>
      </c>
      <c r="AI62" s="5">
        <f>AI63+AI67</f>
        <v>20.5</v>
      </c>
      <c r="AJ62" s="5">
        <f t="shared" si="128"/>
        <v>58.08</v>
      </c>
      <c r="AK62" s="16">
        <f t="shared" si="129"/>
        <v>310.17522338999999</v>
      </c>
      <c r="AL62" s="5">
        <f t="shared" ref="AL62:AT62" si="187">AL63+AL67</f>
        <v>14.399999999999999</v>
      </c>
      <c r="AM62" s="5">
        <f t="shared" si="187"/>
        <v>12.7</v>
      </c>
      <c r="AN62" s="5">
        <f t="shared" si="187"/>
        <v>34.6</v>
      </c>
      <c r="AO62" s="5">
        <f t="shared" si="181"/>
        <v>61.7</v>
      </c>
      <c r="AP62" s="5">
        <f t="shared" si="187"/>
        <v>14.8</v>
      </c>
      <c r="AQ62" s="5">
        <f t="shared" si="187"/>
        <v>18.5</v>
      </c>
      <c r="AR62" s="5">
        <f t="shared" si="187"/>
        <v>5.9</v>
      </c>
      <c r="AS62" s="54">
        <f t="shared" si="12"/>
        <v>39.199999999999996</v>
      </c>
      <c r="AT62" s="5">
        <f t="shared" si="187"/>
        <v>19.8</v>
      </c>
      <c r="AU62" s="5">
        <f>AU63+AU67</f>
        <v>12.7</v>
      </c>
      <c r="AV62" s="5">
        <f>AV63+AV67</f>
        <v>32.1</v>
      </c>
      <c r="AW62" s="54">
        <f t="shared" si="182"/>
        <v>64.599999999999994</v>
      </c>
      <c r="AX62" s="5">
        <f>AX63+AX67</f>
        <v>12.7</v>
      </c>
      <c r="AY62" s="5">
        <f>AY63+AY67</f>
        <v>21</v>
      </c>
      <c r="AZ62" s="5">
        <f>AZ63+AZ67</f>
        <v>8.0571712899999994</v>
      </c>
      <c r="BA62" s="54">
        <f t="shared" si="14"/>
        <v>41.757171290000002</v>
      </c>
      <c r="BB62" s="54">
        <f t="shared" si="131"/>
        <v>207.25717129</v>
      </c>
      <c r="BC62" s="5">
        <f>BC63+BC67</f>
        <v>6.7740707499999999</v>
      </c>
      <c r="BD62" s="66">
        <f>BD63+BD67</f>
        <v>18.414268679999999</v>
      </c>
      <c r="BE62" s="66">
        <f>BE63+BE67</f>
        <v>33.525088960000005</v>
      </c>
      <c r="BF62" s="62">
        <f t="shared" si="186"/>
        <v>58.713428390000004</v>
      </c>
      <c r="BG62" s="67">
        <f>BG63+BG67</f>
        <v>11.962434889999999</v>
      </c>
      <c r="BH62" s="67">
        <f>BH63+BH67</f>
        <v>20.24344</v>
      </c>
      <c r="BI62" s="67">
        <f>BI63+BI67</f>
        <v>15.111820229999999</v>
      </c>
      <c r="BJ62" s="62">
        <f t="shared" si="132"/>
        <v>47.317695119999996</v>
      </c>
      <c r="BK62" s="67">
        <f>BK63+BK67</f>
        <v>12.86476964</v>
      </c>
      <c r="BL62" s="67">
        <f>BL63+BL67</f>
        <v>17.1571</v>
      </c>
      <c r="BM62" s="67">
        <f>BM63+BM67</f>
        <v>29.537977999999999</v>
      </c>
      <c r="BN62" s="62">
        <f t="shared" si="133"/>
        <v>59.559847640000001</v>
      </c>
      <c r="BO62" s="71">
        <f>BO63+BO67</f>
        <v>17.421351399999999</v>
      </c>
      <c r="BP62" s="67">
        <f>BP63+BP67</f>
        <v>25.329870679999999</v>
      </c>
      <c r="BQ62" s="67">
        <f>BQ63+BQ67</f>
        <v>13.634740000000001</v>
      </c>
      <c r="BR62" s="62">
        <f t="shared" si="134"/>
        <v>56.385962079999999</v>
      </c>
      <c r="BS62" s="62">
        <f t="shared" si="135"/>
        <v>221.97693322999999</v>
      </c>
      <c r="BT62" s="67">
        <f>BT63+BT67</f>
        <v>23.8</v>
      </c>
      <c r="BU62" s="67">
        <f>BU63+BU67</f>
        <v>18.100000000000001</v>
      </c>
      <c r="BV62" s="67">
        <f>BV63+BV67</f>
        <v>32.4</v>
      </c>
      <c r="BW62" s="62">
        <f t="shared" si="136"/>
        <v>74.300000000000011</v>
      </c>
      <c r="BX62" s="67">
        <f>BX63+BX67</f>
        <v>17.3</v>
      </c>
      <c r="BY62" s="67">
        <f>BY63+BY67</f>
        <v>20.5</v>
      </c>
      <c r="BZ62" s="67">
        <f>BZ63+BZ67</f>
        <v>21.799999999999997</v>
      </c>
      <c r="CA62" s="62">
        <f t="shared" si="137"/>
        <v>59.599999999999994</v>
      </c>
      <c r="CB62" s="67">
        <f>CB63+CB67</f>
        <v>14.2</v>
      </c>
      <c r="CC62" s="67">
        <f>CC63+CC67</f>
        <v>16.487000000000002</v>
      </c>
      <c r="CD62" s="67">
        <f>CD63+CD67</f>
        <v>25.799999999999997</v>
      </c>
      <c r="CE62" s="62">
        <f t="shared" si="138"/>
        <v>56.486999999999995</v>
      </c>
      <c r="CF62" s="67">
        <f>CF63+CF67</f>
        <v>13.68</v>
      </c>
      <c r="CG62" s="67">
        <f>CG63+CG67</f>
        <v>16.36</v>
      </c>
      <c r="CH62" s="67">
        <f>CH63+CH67</f>
        <v>14.2</v>
      </c>
      <c r="CI62" s="67">
        <f t="shared" si="139"/>
        <v>44.239999999999995</v>
      </c>
      <c r="CJ62" s="71">
        <f t="shared" si="112"/>
        <v>234.62700000000001</v>
      </c>
      <c r="CK62" s="71">
        <f>CK63+CK67</f>
        <v>8.6</v>
      </c>
      <c r="CL62" s="67">
        <f>CL63+CL67</f>
        <v>16</v>
      </c>
      <c r="CM62" s="67">
        <f>CM63+CM67</f>
        <v>21.98</v>
      </c>
      <c r="CN62" s="62">
        <f t="shared" si="140"/>
        <v>46.58</v>
      </c>
      <c r="CO62" s="67">
        <f>CO63+CO67</f>
        <v>14.9</v>
      </c>
      <c r="CP62" s="67">
        <f>CP63+CP67</f>
        <v>17.100000000000001</v>
      </c>
      <c r="CQ62" s="67">
        <f>CQ63+CQ67</f>
        <v>14.099999999999998</v>
      </c>
      <c r="CR62" s="62">
        <f t="shared" si="141"/>
        <v>46.099999999999994</v>
      </c>
      <c r="CS62" s="101">
        <f>CS63+CS67</f>
        <v>9.6999999999999993</v>
      </c>
      <c r="CT62" s="67">
        <f>CT63+CT67</f>
        <v>17.380000000000003</v>
      </c>
      <c r="CU62" s="67">
        <f>CU63+CU67</f>
        <v>25</v>
      </c>
      <c r="CV62" s="62">
        <f t="shared" si="142"/>
        <v>52.08</v>
      </c>
      <c r="CW62" s="67">
        <f>CW63+CW67</f>
        <v>41.4</v>
      </c>
      <c r="CX62" s="67">
        <f>CX63+CX67</f>
        <v>36.9</v>
      </c>
      <c r="CY62" s="112">
        <f>CY63+CY67</f>
        <v>15.3</v>
      </c>
      <c r="CZ62" s="113">
        <f t="shared" si="143"/>
        <v>93.6</v>
      </c>
      <c r="DA62" s="71">
        <f>DA63+DA67</f>
        <v>238.36</v>
      </c>
      <c r="DB62" s="71">
        <f>DB63+DB67</f>
        <v>35.799999999999997</v>
      </c>
      <c r="DC62" s="67">
        <f>DC63+DC67</f>
        <v>16.899999999999999</v>
      </c>
      <c r="DD62" s="67">
        <f>DD63+DD67</f>
        <v>20.8</v>
      </c>
      <c r="DE62" s="62">
        <f t="shared" si="144"/>
        <v>73.5</v>
      </c>
      <c r="DF62" s="71">
        <f>DF63+DF67</f>
        <v>48.3</v>
      </c>
      <c r="DG62" s="67">
        <f>DG63+DG67</f>
        <v>60.5</v>
      </c>
      <c r="DH62" s="67">
        <f>DH63+DH67</f>
        <v>19.7</v>
      </c>
      <c r="DI62" s="62">
        <f t="shared" si="145"/>
        <v>128.5</v>
      </c>
      <c r="DJ62" s="71">
        <f>DJ63+DJ67</f>
        <v>35</v>
      </c>
      <c r="DK62" s="67">
        <f>DK63+DK67</f>
        <v>15</v>
      </c>
      <c r="DL62" s="67">
        <f>DL63+DL67</f>
        <v>22.2</v>
      </c>
      <c r="DM62" s="62">
        <f t="shared" si="146"/>
        <v>72.2</v>
      </c>
      <c r="DN62" s="67">
        <f>DN63+DN67</f>
        <v>16.900000000000002</v>
      </c>
      <c r="DO62" s="67">
        <f>DO63+DO67</f>
        <v>48.8</v>
      </c>
      <c r="DP62" s="67">
        <f>DP63+DP67</f>
        <v>37.799999999999997</v>
      </c>
      <c r="DQ62" s="113">
        <f t="shared" si="147"/>
        <v>103.5</v>
      </c>
      <c r="DR62" s="140">
        <f t="shared" si="126"/>
        <v>377.7</v>
      </c>
      <c r="DS62" s="141">
        <f>DS63+DS67</f>
        <v>37.300000000000004</v>
      </c>
      <c r="DT62" s="141">
        <f>DT63+DT67</f>
        <v>16.3</v>
      </c>
      <c r="DU62" s="141">
        <f>DU63+DU67</f>
        <v>16.299999999999997</v>
      </c>
      <c r="DV62" s="140">
        <f t="shared" si="148"/>
        <v>69.900000000000006</v>
      </c>
      <c r="DW62" s="142">
        <f>DW63+DW67</f>
        <v>49.3</v>
      </c>
      <c r="DX62" s="141">
        <f>DX63+DX67</f>
        <v>15.299999999999999</v>
      </c>
      <c r="DY62" s="141">
        <f>DY63+DY67</f>
        <v>40.700000000000003</v>
      </c>
      <c r="DZ62" s="140">
        <f t="shared" si="149"/>
        <v>105.3</v>
      </c>
      <c r="EA62" s="142">
        <f>EA63+EA67</f>
        <v>37.5</v>
      </c>
      <c r="EB62" s="141">
        <f>EB63+EB67</f>
        <v>18.3</v>
      </c>
      <c r="EC62" s="141">
        <f>EC63+EC67</f>
        <v>22.9</v>
      </c>
      <c r="ED62" s="140">
        <f t="shared" si="150"/>
        <v>78.699999999999989</v>
      </c>
      <c r="EE62" s="141">
        <f>EE63+EE67</f>
        <v>17.100000000000001</v>
      </c>
      <c r="EF62" s="141">
        <f>EF63+EF67</f>
        <v>37.9</v>
      </c>
      <c r="EG62" s="141">
        <f>EG63+EG67</f>
        <v>27.799999999999997</v>
      </c>
      <c r="EH62" s="140">
        <f t="shared" si="151"/>
        <v>82.8</v>
      </c>
      <c r="EI62" s="140">
        <f t="shared" si="40"/>
        <v>336.7</v>
      </c>
      <c r="EJ62" s="141">
        <f>EJ63+EJ67</f>
        <v>13.600000000000001</v>
      </c>
      <c r="EK62" s="141">
        <f>EK63+EK67</f>
        <v>16.5</v>
      </c>
      <c r="EL62" s="141">
        <f>EL63+EL67</f>
        <v>19.599999999999998</v>
      </c>
      <c r="EM62" s="140">
        <f t="shared" si="152"/>
        <v>49.7</v>
      </c>
      <c r="EN62" s="141">
        <f>EN63+EN67</f>
        <v>48</v>
      </c>
      <c r="EO62" s="141">
        <f>EO63+EO67</f>
        <v>35.299999999999997</v>
      </c>
      <c r="EP62" s="141">
        <f>EP63+EP67</f>
        <v>23.200000000000003</v>
      </c>
      <c r="EQ62" s="140">
        <f t="shared" si="153"/>
        <v>106.5</v>
      </c>
      <c r="ER62" s="141">
        <f>ER63+ER67</f>
        <v>46.809999999999995</v>
      </c>
      <c r="ES62" s="141">
        <f>ES63+ES67</f>
        <v>14</v>
      </c>
      <c r="ET62" s="141">
        <f>ET63+ET67</f>
        <v>23.6</v>
      </c>
      <c r="EU62" s="140">
        <f t="shared" si="154"/>
        <v>84.41</v>
      </c>
      <c r="EV62" s="141">
        <f>EV63+EV67</f>
        <v>44.400000000000006</v>
      </c>
      <c r="EW62" s="141">
        <f>EW63+EW67</f>
        <v>39.799999999999997</v>
      </c>
      <c r="EX62" s="141">
        <f>EX63+EX67</f>
        <v>31.635930651629998</v>
      </c>
      <c r="EY62" s="140">
        <f t="shared" si="155"/>
        <v>115.83593065163001</v>
      </c>
      <c r="EZ62" s="169">
        <f t="shared" si="45"/>
        <v>356.44593065162996</v>
      </c>
      <c r="FA62" s="170"/>
      <c r="FB62" s="169">
        <f>FB63+FB67</f>
        <v>20.5</v>
      </c>
      <c r="FC62" s="169">
        <f>FC63+FC67</f>
        <v>9.3000000000000007</v>
      </c>
      <c r="FD62" s="169">
        <f>FD63+FD67</f>
        <v>16.8</v>
      </c>
      <c r="FE62" s="171">
        <f t="shared" si="156"/>
        <v>46.6</v>
      </c>
      <c r="FF62" s="169">
        <f>FF63+FF67</f>
        <v>36.18975325001</v>
      </c>
      <c r="FG62" s="169">
        <f>FG63+FG67</f>
        <v>54.6</v>
      </c>
      <c r="FH62" s="169">
        <f>FH63+FH67</f>
        <v>20.322614637099001</v>
      </c>
      <c r="FI62" s="171">
        <f t="shared" si="157"/>
        <v>111.112367887109</v>
      </c>
      <c r="FJ62" s="169">
        <f>FJ63+FJ67</f>
        <v>17.837809794438499</v>
      </c>
      <c r="FK62" s="169">
        <f>FK63+FK67</f>
        <v>15.035129258129999</v>
      </c>
      <c r="FL62" s="169">
        <f>FL63+FL67</f>
        <v>16.378034919979999</v>
      </c>
      <c r="FM62" s="171">
        <f t="shared" si="158"/>
        <v>49.250973972548493</v>
      </c>
      <c r="FN62" s="173">
        <f>FN63+FN67</f>
        <v>38.257636515158993</v>
      </c>
      <c r="FO62" s="173">
        <f>FO63+FO67</f>
        <v>47.244246678368</v>
      </c>
      <c r="FP62" s="173">
        <f>FP63+FP67</f>
        <v>24.603787885172999</v>
      </c>
      <c r="FQ62" s="175">
        <f t="shared" si="159"/>
        <v>110.1056710787</v>
      </c>
      <c r="FR62" s="175">
        <f t="shared" si="50"/>
        <v>317.06901293835745</v>
      </c>
      <c r="FS62" s="172">
        <f>FS63+FS67</f>
        <v>30.43749064</v>
      </c>
      <c r="FT62" s="173">
        <f>FT63+FT67</f>
        <v>8.0480137391499991</v>
      </c>
      <c r="FU62" s="174">
        <f>FU63+FU67</f>
        <v>12.497840790309999</v>
      </c>
      <c r="FV62" s="175">
        <f t="shared" si="160"/>
        <v>50.983345169460002</v>
      </c>
      <c r="FW62" s="172">
        <f>FW63+FW67</f>
        <v>37.717036908677997</v>
      </c>
      <c r="FX62" s="173">
        <f>FX63+FX67</f>
        <v>49.600514309079401</v>
      </c>
      <c r="FY62" s="173">
        <f>FY63+FY67</f>
        <v>37.897948415968898</v>
      </c>
      <c r="FZ62" s="175">
        <f t="shared" si="161"/>
        <v>125.2154996337263</v>
      </c>
      <c r="GA62" s="172">
        <f>GA63+GA67</f>
        <v>27.927256470789999</v>
      </c>
      <c r="GB62" s="173">
        <f>GB63+GB67</f>
        <v>7.616759899759999</v>
      </c>
      <c r="GC62" s="174">
        <f>GC63+GC67</f>
        <v>11.640260601060501</v>
      </c>
      <c r="GD62" s="175">
        <f t="shared" si="162"/>
        <v>47.184276971610501</v>
      </c>
      <c r="GE62" s="172">
        <f>GE63+GE67</f>
        <v>37.085804298639999</v>
      </c>
      <c r="GF62" s="173">
        <f>GF63+GF67</f>
        <v>20.183031970609996</v>
      </c>
      <c r="GG62" s="159">
        <f>GG63+GG67</f>
        <v>24.801722432216948</v>
      </c>
      <c r="GH62" s="174">
        <f t="shared" si="184"/>
        <v>82.07055870146695</v>
      </c>
      <c r="GI62" s="174">
        <f t="shared" si="55"/>
        <v>305.45368047626374</v>
      </c>
      <c r="GJ62" s="221">
        <f>GJ63+GJ67</f>
        <v>30.845166239900003</v>
      </c>
      <c r="GK62" s="222">
        <f>GK63+GK67</f>
        <v>8.0453097629199988</v>
      </c>
      <c r="GL62" s="223">
        <f>GL63+GL67</f>
        <v>15.375232572096317</v>
      </c>
      <c r="GM62" s="175">
        <f t="shared" si="164"/>
        <v>54.265708574916317</v>
      </c>
      <c r="GN62" s="221">
        <f>GN63+GN67</f>
        <v>36.756646787080001</v>
      </c>
      <c r="GO62" s="222">
        <f>GO63+GO67</f>
        <v>19.967082611206074</v>
      </c>
      <c r="GP62" s="222">
        <f>GP63+GP67</f>
        <v>19.834769093059002</v>
      </c>
      <c r="GQ62" s="175">
        <f t="shared" si="165"/>
        <v>76.558498491345077</v>
      </c>
      <c r="GR62" s="222">
        <f>GR63+GR67</f>
        <v>25.9</v>
      </c>
      <c r="GS62" s="222">
        <f>GS63+GS67</f>
        <v>7.3425900791757339</v>
      </c>
      <c r="GT62" s="222">
        <f>GT63+GT67</f>
        <v>13.072511319188209</v>
      </c>
      <c r="GU62" s="175">
        <f t="shared" si="166"/>
        <v>46.315101398363943</v>
      </c>
      <c r="GV62" s="221">
        <f>GV63+GV67</f>
        <v>31.321444139124825</v>
      </c>
      <c r="GW62" s="222">
        <f>GW63+GW67</f>
        <v>51.223541534275455</v>
      </c>
      <c r="GX62" s="223">
        <f>GX63+GX67</f>
        <v>25.323921062567152</v>
      </c>
      <c r="GY62" s="174">
        <f t="shared" si="185"/>
        <v>107.86890673596743</v>
      </c>
      <c r="GZ62" s="159">
        <f t="shared" si="110"/>
        <v>285.00821520059276</v>
      </c>
      <c r="HA62" s="254">
        <f>HA63+HA67</f>
        <v>12.691886940703011</v>
      </c>
      <c r="HB62" s="160">
        <f>HB63+HB67</f>
        <v>8.295870809070431</v>
      </c>
      <c r="HC62" s="159">
        <f>HC63+HC67</f>
        <v>14.97041578289997</v>
      </c>
      <c r="HD62" s="273">
        <f t="shared" si="168"/>
        <v>35.958173532673413</v>
      </c>
      <c r="HE62" s="254">
        <f>HE63+HE67</f>
        <v>73.796826677602567</v>
      </c>
      <c r="HF62" s="160">
        <f>HF63+HF67</f>
        <v>15.11244888967043</v>
      </c>
      <c r="HG62" s="160">
        <f>HG63+HG67</f>
        <v>21.416393253929584</v>
      </c>
      <c r="HH62" s="273">
        <f t="shared" si="169"/>
        <v>110.32566882120258</v>
      </c>
      <c r="HI62" s="160">
        <f>HI63+HI67</f>
        <v>8.033230931162457</v>
      </c>
      <c r="HJ62" s="160">
        <f>HJ63+HJ67</f>
        <v>9.5220980826100003</v>
      </c>
      <c r="HK62" s="160">
        <f>HK63+HK67</f>
        <v>16.705533842999998</v>
      </c>
      <c r="HL62" s="273">
        <f t="shared" si="170"/>
        <v>34.260862856772455</v>
      </c>
      <c r="HM62" s="254">
        <f>HM63+HM67</f>
        <v>45.919128083737263</v>
      </c>
      <c r="HN62" s="160">
        <f>HN63+HN67</f>
        <v>16.01002137</v>
      </c>
      <c r="HO62" s="159">
        <f>HO63+HO67</f>
        <v>27.165381944066997</v>
      </c>
      <c r="HP62" s="273">
        <f t="shared" ref="HP62:HP74" si="188">SUM(HM62:HO62)</f>
        <v>89.094531397804261</v>
      </c>
      <c r="HQ62" s="273">
        <f t="shared" si="127"/>
        <v>269.63923660845273</v>
      </c>
      <c r="HR62" s="254">
        <f>HR63+HR67</f>
        <v>6.9560350395400006</v>
      </c>
      <c r="HS62" s="160">
        <f>HS63+HS67</f>
        <v>51.946039032295559</v>
      </c>
      <c r="HT62" s="159">
        <f>HT63+HT67</f>
        <v>32.945727821700004</v>
      </c>
      <c r="HU62" s="273">
        <f t="shared" si="172"/>
        <v>91.847801893535561</v>
      </c>
      <c r="HV62" s="254">
        <f>HV63+HV67</f>
        <v>39.227743668738725</v>
      </c>
      <c r="HW62" s="160">
        <f>HW63+HW67</f>
        <v>15.244730458129125</v>
      </c>
      <c r="HX62" s="160">
        <f>HX63+HX67</f>
        <v>26.890510555924102</v>
      </c>
      <c r="HY62" s="273">
        <f t="shared" ref="HY62:HY80" si="189">SUM(HV62:HX62)</f>
        <v>81.362984682791961</v>
      </c>
      <c r="HZ62" s="160">
        <f>HZ63+HZ67</f>
        <v>34.019188531032135</v>
      </c>
      <c r="IA62" s="160">
        <f>IA63+IA67</f>
        <v>42.524434970522798</v>
      </c>
      <c r="IB62" s="160">
        <f>IB63+IB67</f>
        <v>11.334632156334834</v>
      </c>
      <c r="IC62" s="273">
        <f t="shared" si="174"/>
        <v>87.878255657889767</v>
      </c>
      <c r="ID62" s="254">
        <f>ID63+ID67</f>
        <v>80.146870810186513</v>
      </c>
      <c r="IE62" s="160">
        <f>IE63+IE67</f>
        <v>62.458755261459999</v>
      </c>
      <c r="IF62" s="159">
        <f>IF63+IF67</f>
        <v>64.389776594889994</v>
      </c>
      <c r="IG62" s="273">
        <f t="shared" si="175"/>
        <v>206.99540266653651</v>
      </c>
      <c r="IH62" s="273">
        <v>468.08444490075379</v>
      </c>
      <c r="II62" s="254">
        <v>24.528290609999996</v>
      </c>
      <c r="IJ62" s="160">
        <v>24.314723839999999</v>
      </c>
      <c r="IK62" s="159">
        <v>67.726471252104631</v>
      </c>
      <c r="IL62" s="273">
        <v>116.56948570210463</v>
      </c>
      <c r="IM62" s="254">
        <v>29.076484219099999</v>
      </c>
      <c r="IN62" s="160">
        <v>102.86471509417105</v>
      </c>
      <c r="IO62" s="160">
        <v>90.696019775319996</v>
      </c>
      <c r="IP62" s="273">
        <v>222.63721908859105</v>
      </c>
      <c r="IQ62" s="254">
        <v>82.758282587559307</v>
      </c>
      <c r="IR62" s="160">
        <v>23.380872721539998</v>
      </c>
      <c r="IS62" s="159">
        <v>85.479511502919991</v>
      </c>
      <c r="IT62" s="273">
        <v>191.61866681201928</v>
      </c>
      <c r="IU62" s="254">
        <v>73.675070713989811</v>
      </c>
      <c r="IV62" s="160">
        <v>22.321954425552189</v>
      </c>
      <c r="IW62" s="159">
        <v>72.122374026835686</v>
      </c>
      <c r="IX62" s="273">
        <v>168.11939916637769</v>
      </c>
      <c r="IY62" s="273">
        <v>698.94477076909266</v>
      </c>
      <c r="IZ62" s="254">
        <v>32.551705647230328</v>
      </c>
      <c r="JA62" s="160">
        <v>38.563268549999997</v>
      </c>
      <c r="JB62" s="159">
        <v>46.065566438571423</v>
      </c>
      <c r="JC62" s="273">
        <v>117.18054063580175</v>
      </c>
      <c r="JD62" s="254">
        <v>50.596805930612234</v>
      </c>
      <c r="JE62" s="160">
        <v>57.636093708513116</v>
      </c>
      <c r="JF62" s="159">
        <v>65.619182743994173</v>
      </c>
      <c r="JG62" s="273">
        <v>173.85208238311952</v>
      </c>
      <c r="JH62" s="254">
        <v>26.642562998629444</v>
      </c>
      <c r="JI62" s="160">
        <v>24.807498240116622</v>
      </c>
      <c r="JJ62" s="159">
        <v>54.784151439999995</v>
      </c>
      <c r="JK62" s="273">
        <v>106.23421267874606</v>
      </c>
      <c r="JL62" s="254">
        <v>58.370563379475222</v>
      </c>
      <c r="JM62" s="160">
        <v>23.148540130000001</v>
      </c>
      <c r="JN62" s="160">
        <v>35.515334289999998</v>
      </c>
      <c r="JO62" s="273">
        <v>117.03443779947523</v>
      </c>
      <c r="JP62" s="273">
        <v>514.30127349714257</v>
      </c>
      <c r="JQ62" s="254">
        <v>57.650234559999994</v>
      </c>
      <c r="JR62" s="160">
        <v>21.497223790000003</v>
      </c>
      <c r="JS62" s="159">
        <v>24.17254179</v>
      </c>
      <c r="JT62" s="273">
        <v>103.32000013999999</v>
      </c>
      <c r="JU62" s="254">
        <v>37.635075069999999</v>
      </c>
      <c r="JV62" s="160">
        <v>24.049736729999999</v>
      </c>
      <c r="JW62" s="159">
        <v>28.646043929999998</v>
      </c>
      <c r="JX62" s="273">
        <v>90.330855729999996</v>
      </c>
      <c r="JY62" s="254">
        <v>7.7625641699999992</v>
      </c>
      <c r="JZ62" s="160">
        <v>23.298032320000001</v>
      </c>
      <c r="KA62" s="159">
        <v>23.490381550000002</v>
      </c>
      <c r="KB62" s="273">
        <v>54.550978040000004</v>
      </c>
      <c r="KC62" s="254">
        <v>29.841828800000002</v>
      </c>
      <c r="KD62" s="160">
        <v>21.616234270000003</v>
      </c>
      <c r="KE62" s="160">
        <v>29.83063619</v>
      </c>
      <c r="KF62" s="273">
        <v>81.288699260000016</v>
      </c>
      <c r="KG62" s="273">
        <v>329.49053317000005</v>
      </c>
      <c r="KH62" s="221">
        <v>8.2757973000000007</v>
      </c>
      <c r="KI62" s="222">
        <v>37.588360210000005</v>
      </c>
      <c r="KJ62" s="223">
        <v>46.123938869999996</v>
      </c>
      <c r="KK62" s="273">
        <v>91.988096380000002</v>
      </c>
      <c r="KL62" s="221">
        <v>35.766118140000003</v>
      </c>
      <c r="KM62" s="222">
        <v>28.234721440000001</v>
      </c>
      <c r="KN62" s="223">
        <v>33.041572459999998</v>
      </c>
      <c r="KO62" s="273">
        <v>97.042412040000002</v>
      </c>
      <c r="KP62" s="221">
        <v>9.39759411</v>
      </c>
      <c r="KQ62" s="222">
        <v>37.685354370000006</v>
      </c>
      <c r="KR62" s="223">
        <v>29.023620869999998</v>
      </c>
      <c r="KS62" s="273">
        <v>76.106569350000001</v>
      </c>
      <c r="KT62" s="254">
        <v>32.526414000000003</v>
      </c>
      <c r="KU62" s="160">
        <v>31.734296299999997</v>
      </c>
      <c r="KV62" s="159">
        <v>32.835469950000004</v>
      </c>
      <c r="KW62" s="273">
        <v>97.096180250000003</v>
      </c>
      <c r="KX62" s="273">
        <v>362.23325801999999</v>
      </c>
      <c r="KY62" s="221">
        <v>13.00678724</v>
      </c>
      <c r="KZ62" s="222">
        <v>37.398597809999998</v>
      </c>
      <c r="LA62" s="223">
        <v>29.048063930000001</v>
      </c>
      <c r="LB62" s="273">
        <v>79.453448980000005</v>
      </c>
      <c r="LC62" s="221">
        <v>35.217223660000002</v>
      </c>
      <c r="LD62" s="222">
        <v>68.955876600000011</v>
      </c>
      <c r="LE62" s="223">
        <v>44.704628090000007</v>
      </c>
      <c r="LF62" s="273">
        <v>148.87772835000001</v>
      </c>
      <c r="LG62" s="221">
        <v>14.586683829999998</v>
      </c>
      <c r="LH62" s="222">
        <v>39.410561490000006</v>
      </c>
      <c r="LI62" s="223">
        <v>30.952083510000001</v>
      </c>
      <c r="LJ62" s="273">
        <v>84.949328830000013</v>
      </c>
      <c r="LK62" s="254">
        <v>38.359288730000003</v>
      </c>
      <c r="LL62" s="160">
        <v>34.930094430000004</v>
      </c>
      <c r="LM62" s="159">
        <v>47.236999999999995</v>
      </c>
      <c r="LN62" s="273">
        <v>120.52638315999999</v>
      </c>
      <c r="LO62" s="273">
        <v>433.80688931999998</v>
      </c>
    </row>
    <row r="63" spans="1:327" ht="17.100000000000001" customHeight="1" x14ac:dyDescent="0.2">
      <c r="A63" s="2" t="s">
        <v>47</v>
      </c>
      <c r="B63" s="24"/>
      <c r="C63" s="5">
        <v>115.5</v>
      </c>
      <c r="D63" s="5">
        <v>9.9</v>
      </c>
      <c r="E63" s="5">
        <v>12</v>
      </c>
      <c r="F63" s="5">
        <v>17.100000000000001</v>
      </c>
      <c r="G63" s="5">
        <v>39</v>
      </c>
      <c r="H63" s="5">
        <v>12.5</v>
      </c>
      <c r="I63" s="5">
        <v>11.7</v>
      </c>
      <c r="J63" s="5">
        <v>21.6</v>
      </c>
      <c r="K63" s="5">
        <v>45.8</v>
      </c>
      <c r="L63" s="5">
        <v>7.7</v>
      </c>
      <c r="M63" s="5">
        <f>M64</f>
        <v>13.2</v>
      </c>
      <c r="N63" s="5">
        <f>N64</f>
        <v>25.1</v>
      </c>
      <c r="O63" s="5">
        <f t="shared" si="0"/>
        <v>46</v>
      </c>
      <c r="P63" s="5">
        <f>P64</f>
        <v>9.1</v>
      </c>
      <c r="Q63" s="5">
        <f>Q64</f>
        <v>10.6</v>
      </c>
      <c r="R63" s="5">
        <f>R64</f>
        <v>3.6</v>
      </c>
      <c r="S63" s="5">
        <f t="shared" si="1"/>
        <v>23.3</v>
      </c>
      <c r="T63" s="16">
        <f t="shared" si="7"/>
        <v>154.1</v>
      </c>
      <c r="U63" s="5">
        <f>U64</f>
        <v>37.799999999999997</v>
      </c>
      <c r="V63" s="5">
        <f>V64</f>
        <v>7.5</v>
      </c>
      <c r="W63" s="5">
        <f>W64</f>
        <v>26.7</v>
      </c>
      <c r="X63" s="4">
        <f t="shared" si="177"/>
        <v>72</v>
      </c>
      <c r="Y63" s="5">
        <f>Y64</f>
        <v>11.74</v>
      </c>
      <c r="Z63" s="5">
        <f>Z64</f>
        <v>13.06</v>
      </c>
      <c r="AA63" s="5">
        <f>AA64</f>
        <v>11.5</v>
      </c>
      <c r="AB63" s="5">
        <f t="shared" si="178"/>
        <v>36.299999999999997</v>
      </c>
      <c r="AC63" s="5">
        <f>AC64</f>
        <v>5.7952233900000003</v>
      </c>
      <c r="AD63" s="5">
        <f>AD64</f>
        <v>5.9</v>
      </c>
      <c r="AE63" s="5">
        <f>AE64</f>
        <v>29.9</v>
      </c>
      <c r="AF63" s="5">
        <f t="shared" si="179"/>
        <v>41.595223390000001</v>
      </c>
      <c r="AG63" s="5">
        <f>AG64</f>
        <v>11.639999999999999</v>
      </c>
      <c r="AH63" s="5">
        <f>AH64</f>
        <v>9.6999999999999993</v>
      </c>
      <c r="AI63" s="5">
        <f>AI64</f>
        <v>9.8000000000000007</v>
      </c>
      <c r="AJ63" s="5">
        <f t="shared" si="128"/>
        <v>31.139999999999997</v>
      </c>
      <c r="AK63" s="16">
        <f t="shared" si="129"/>
        <v>181.03522339</v>
      </c>
      <c r="AL63" s="5">
        <f>AL64</f>
        <v>7.1</v>
      </c>
      <c r="AM63" s="5">
        <f>AM64</f>
        <v>7.3</v>
      </c>
      <c r="AN63" s="5">
        <f>AN64</f>
        <v>25.3</v>
      </c>
      <c r="AO63" s="5">
        <f t="shared" si="181"/>
        <v>39.700000000000003</v>
      </c>
      <c r="AP63" s="5">
        <f>AP64</f>
        <v>10.4</v>
      </c>
      <c r="AQ63" s="5">
        <f>AQ64</f>
        <v>11</v>
      </c>
      <c r="AR63" s="5">
        <f>AR64</f>
        <v>3.6</v>
      </c>
      <c r="AS63" s="54">
        <f t="shared" si="12"/>
        <v>25</v>
      </c>
      <c r="AT63" s="5">
        <f>AT64</f>
        <v>10.4</v>
      </c>
      <c r="AU63" s="5">
        <f>AU64</f>
        <v>9.6999999999999993</v>
      </c>
      <c r="AV63" s="5">
        <f>AV64</f>
        <v>24.6</v>
      </c>
      <c r="AW63" s="54">
        <f t="shared" si="182"/>
        <v>44.7</v>
      </c>
      <c r="AX63" s="5">
        <f>AX64</f>
        <v>9</v>
      </c>
      <c r="AY63" s="5">
        <f>AY64</f>
        <v>11.7</v>
      </c>
      <c r="AZ63" s="5">
        <f>AZ64</f>
        <v>3.6079457500000003</v>
      </c>
      <c r="BA63" s="54">
        <f t="shared" si="14"/>
        <v>24.307945749999998</v>
      </c>
      <c r="BB63" s="54">
        <f t="shared" si="131"/>
        <v>133.70794574999999</v>
      </c>
      <c r="BC63" s="5">
        <f>BC64</f>
        <v>3.8259447100000004</v>
      </c>
      <c r="BD63" s="66">
        <f>BD64</f>
        <v>11.676023130000001</v>
      </c>
      <c r="BE63" s="66">
        <f>BE64</f>
        <v>25.547630040000001</v>
      </c>
      <c r="BF63" s="62">
        <f t="shared" si="186"/>
        <v>41.04959788</v>
      </c>
      <c r="BG63" s="67">
        <f>BG64</f>
        <v>8.2446678899999988</v>
      </c>
      <c r="BH63" s="67">
        <f>BH64</f>
        <v>12.9739</v>
      </c>
      <c r="BI63" s="67">
        <f>BI64</f>
        <v>10.0817</v>
      </c>
      <c r="BJ63" s="62">
        <f t="shared" si="132"/>
        <v>31.300267890000001</v>
      </c>
      <c r="BK63" s="67">
        <f>BK64</f>
        <v>9.7762196400000008</v>
      </c>
      <c r="BL63" s="67">
        <f>BL64</f>
        <v>11.1556</v>
      </c>
      <c r="BM63" s="67">
        <f>BM64</f>
        <v>21.181833999999998</v>
      </c>
      <c r="BN63" s="62">
        <f t="shared" si="133"/>
        <v>42.113653639999995</v>
      </c>
      <c r="BO63" s="71">
        <f>BO64</f>
        <v>12.6547842</v>
      </c>
      <c r="BP63" s="67">
        <f>BP64</f>
        <v>12.769620679999999</v>
      </c>
      <c r="BQ63" s="67">
        <f>BQ64</f>
        <v>6.9927200000000003</v>
      </c>
      <c r="BR63" s="62">
        <f t="shared" si="134"/>
        <v>32.417124879999996</v>
      </c>
      <c r="BS63" s="62">
        <f t="shared" si="135"/>
        <v>146.88064428999999</v>
      </c>
      <c r="BT63" s="67">
        <f>BT64+BT65+BT66</f>
        <v>10.5</v>
      </c>
      <c r="BU63" s="67">
        <f>BU64+BU65+BU66</f>
        <v>11.5</v>
      </c>
      <c r="BV63" s="67">
        <f>BV64+BV65+BV66</f>
        <v>24</v>
      </c>
      <c r="BW63" s="62">
        <f t="shared" si="136"/>
        <v>46</v>
      </c>
      <c r="BX63" s="67">
        <f>BX64+BX65+BX66</f>
        <v>12.8</v>
      </c>
      <c r="BY63" s="67">
        <f>BY64+BY65+BY66</f>
        <v>14</v>
      </c>
      <c r="BZ63" s="67">
        <f>BZ64+BZ65+BZ66</f>
        <v>13.899999999999999</v>
      </c>
      <c r="CA63" s="62">
        <f t="shared" si="137"/>
        <v>40.700000000000003</v>
      </c>
      <c r="CB63" s="67">
        <f>CB64+CB65+CB66</f>
        <v>8.6999999999999993</v>
      </c>
      <c r="CC63" s="67">
        <f>CC64+CC65+CC66</f>
        <v>11.547000000000001</v>
      </c>
      <c r="CD63" s="67">
        <f>CD64+CD65+CD66</f>
        <v>20.599999999999998</v>
      </c>
      <c r="CE63" s="62">
        <f t="shared" si="138"/>
        <v>40.846999999999994</v>
      </c>
      <c r="CF63" s="67">
        <f>CF64+CF65+CF66</f>
        <v>10.72</v>
      </c>
      <c r="CG63" s="67">
        <f>CG64+CG65+CG66</f>
        <v>11.139999999999999</v>
      </c>
      <c r="CH63" s="67">
        <f>CH64+CH65+CH66</f>
        <v>10.5</v>
      </c>
      <c r="CI63" s="67">
        <f t="shared" si="139"/>
        <v>32.36</v>
      </c>
      <c r="CJ63" s="71">
        <f t="shared" si="112"/>
        <v>159.90699999999998</v>
      </c>
      <c r="CK63" s="71">
        <f t="shared" ref="CK63:FA63" si="190">CK64+CK65+CK66</f>
        <v>6.6</v>
      </c>
      <c r="CL63" s="67">
        <f t="shared" si="190"/>
        <v>11.7</v>
      </c>
      <c r="CM63" s="67">
        <f t="shared" si="190"/>
        <v>16.14</v>
      </c>
      <c r="CN63" s="62">
        <f t="shared" si="190"/>
        <v>34.44</v>
      </c>
      <c r="CO63" s="67">
        <f t="shared" si="190"/>
        <v>11.8</v>
      </c>
      <c r="CP63" s="67">
        <f t="shared" si="190"/>
        <v>11.5</v>
      </c>
      <c r="CQ63" s="67">
        <f t="shared" si="190"/>
        <v>10.899999999999999</v>
      </c>
      <c r="CR63" s="62">
        <f t="shared" si="190"/>
        <v>34.200000000000003</v>
      </c>
      <c r="CS63" s="101">
        <f t="shared" si="190"/>
        <v>7.6</v>
      </c>
      <c r="CT63" s="67">
        <f t="shared" si="190"/>
        <v>13.64</v>
      </c>
      <c r="CU63" s="67">
        <f t="shared" si="190"/>
        <v>18.900000000000002</v>
      </c>
      <c r="CV63" s="62">
        <f t="shared" si="190"/>
        <v>40.14</v>
      </c>
      <c r="CW63" s="67">
        <f t="shared" si="190"/>
        <v>37.5</v>
      </c>
      <c r="CX63" s="67">
        <f t="shared" si="190"/>
        <v>29.5</v>
      </c>
      <c r="CY63" s="112">
        <f t="shared" si="190"/>
        <v>11</v>
      </c>
      <c r="CZ63" s="113">
        <f t="shared" si="190"/>
        <v>78.000000000000014</v>
      </c>
      <c r="DA63" s="62">
        <f t="shared" si="190"/>
        <v>186.78</v>
      </c>
      <c r="DB63" s="71">
        <f t="shared" si="190"/>
        <v>32.799999999999997</v>
      </c>
      <c r="DC63" s="67">
        <f t="shared" si="190"/>
        <v>13.4</v>
      </c>
      <c r="DD63" s="67">
        <f t="shared" si="190"/>
        <v>15.1</v>
      </c>
      <c r="DE63" s="62">
        <f t="shared" si="190"/>
        <v>61.3</v>
      </c>
      <c r="DF63" s="71">
        <f t="shared" si="190"/>
        <v>43.699999999999996</v>
      </c>
      <c r="DG63" s="67">
        <f t="shared" si="190"/>
        <v>52.9</v>
      </c>
      <c r="DH63" s="67">
        <f t="shared" si="190"/>
        <v>15.899999999999999</v>
      </c>
      <c r="DI63" s="62">
        <f t="shared" si="190"/>
        <v>112.5</v>
      </c>
      <c r="DJ63" s="71">
        <f t="shared" si="190"/>
        <v>33</v>
      </c>
      <c r="DK63" s="67">
        <f t="shared" si="190"/>
        <v>10.7</v>
      </c>
      <c r="DL63" s="67">
        <f t="shared" si="190"/>
        <v>16.399999999999999</v>
      </c>
      <c r="DM63" s="62">
        <f t="shared" si="190"/>
        <v>60.1</v>
      </c>
      <c r="DN63" s="67">
        <f t="shared" si="190"/>
        <v>10.600000000000001</v>
      </c>
      <c r="DO63" s="67">
        <f t="shared" si="190"/>
        <v>39</v>
      </c>
      <c r="DP63" s="67">
        <f t="shared" si="190"/>
        <v>32.5</v>
      </c>
      <c r="DQ63" s="113">
        <f t="shared" si="190"/>
        <v>82.1</v>
      </c>
      <c r="DR63" s="140">
        <f t="shared" si="190"/>
        <v>316</v>
      </c>
      <c r="DS63" s="141">
        <f t="shared" si="190"/>
        <v>34.1</v>
      </c>
      <c r="DT63" s="141">
        <f t="shared" si="190"/>
        <v>12.4</v>
      </c>
      <c r="DU63" s="141">
        <f t="shared" si="190"/>
        <v>12.299999999999999</v>
      </c>
      <c r="DV63" s="140">
        <f t="shared" si="148"/>
        <v>58.8</v>
      </c>
      <c r="DW63" s="142">
        <f t="shared" si="190"/>
        <v>40.699999999999996</v>
      </c>
      <c r="DX63" s="141">
        <f t="shared" si="190"/>
        <v>10.299999999999999</v>
      </c>
      <c r="DY63" s="141">
        <f t="shared" si="190"/>
        <v>33.4</v>
      </c>
      <c r="DZ63" s="140">
        <f t="shared" si="149"/>
        <v>84.399999999999991</v>
      </c>
      <c r="EA63" s="142">
        <f t="shared" si="190"/>
        <v>33.4</v>
      </c>
      <c r="EB63" s="141">
        <f>EB64+EB65+EB66</f>
        <v>13.1</v>
      </c>
      <c r="EC63" s="141">
        <f t="shared" si="190"/>
        <v>17.5</v>
      </c>
      <c r="ED63" s="140">
        <f t="shared" si="150"/>
        <v>64</v>
      </c>
      <c r="EE63" s="141">
        <f>EE64+EE65+EE66</f>
        <v>13.1</v>
      </c>
      <c r="EF63" s="141">
        <f>EF64+EF65+EF66</f>
        <v>31.2</v>
      </c>
      <c r="EG63" s="141">
        <f>EG64+EG65+EG66</f>
        <v>20.399999999999999</v>
      </c>
      <c r="EH63" s="140">
        <f t="shared" si="151"/>
        <v>64.699999999999989</v>
      </c>
      <c r="EI63" s="140">
        <f t="shared" si="40"/>
        <v>271.89999999999998</v>
      </c>
      <c r="EJ63" s="141">
        <f>EJ64+EJ65+EJ66</f>
        <v>7.7</v>
      </c>
      <c r="EK63" s="141">
        <f>EK64+EK65+EK66</f>
        <v>12.7</v>
      </c>
      <c r="EL63" s="141">
        <f>EL64+EL65+EL66</f>
        <v>15.7</v>
      </c>
      <c r="EM63" s="140">
        <f t="shared" si="152"/>
        <v>36.099999999999994</v>
      </c>
      <c r="EN63" s="141">
        <f>EN64+EN65+EN66</f>
        <v>33.5</v>
      </c>
      <c r="EO63" s="141">
        <f>EO64+EO65+EO66</f>
        <v>25.9</v>
      </c>
      <c r="EP63" s="141">
        <f>EP64+EP65+EP66</f>
        <v>14.6</v>
      </c>
      <c r="EQ63" s="140">
        <f t="shared" si="153"/>
        <v>74</v>
      </c>
      <c r="ER63" s="141">
        <f>ER64+ER65+ER66</f>
        <v>37.409999999999997</v>
      </c>
      <c r="ES63" s="141">
        <f>ES64+ES65+ES66</f>
        <v>9.1999999999999993</v>
      </c>
      <c r="ET63" s="141">
        <f>ET64+ET65+ET66</f>
        <v>17.5</v>
      </c>
      <c r="EU63" s="140">
        <f t="shared" si="154"/>
        <v>64.11</v>
      </c>
      <c r="EV63" s="141">
        <f>EV64+EV65+EV66</f>
        <v>33.1</v>
      </c>
      <c r="EW63" s="141">
        <f>EW64+EW65+EW66</f>
        <v>28</v>
      </c>
      <c r="EX63" s="141">
        <f>EX64+EX65+EX66</f>
        <v>24.210371241819999</v>
      </c>
      <c r="EY63" s="140">
        <f t="shared" si="155"/>
        <v>85.310371241820008</v>
      </c>
      <c r="EZ63" s="169">
        <f t="shared" si="45"/>
        <v>259.52037124181999</v>
      </c>
      <c r="FA63" s="170">
        <f t="shared" si="190"/>
        <v>0</v>
      </c>
      <c r="FB63" s="169">
        <f>FB64+FB65+FB66</f>
        <v>8.6999999999999993</v>
      </c>
      <c r="FC63" s="169">
        <f>FC64+FC65+FC66</f>
        <v>6</v>
      </c>
      <c r="FD63" s="169">
        <f>FD64+FD65+FD66</f>
        <v>12.9</v>
      </c>
      <c r="FE63" s="171">
        <f t="shared" si="156"/>
        <v>27.6</v>
      </c>
      <c r="FF63" s="169">
        <f>FF64+FF65+FF66</f>
        <v>23.088168281399998</v>
      </c>
      <c r="FG63" s="169">
        <f>FG64+FG65+FG66</f>
        <v>41.7</v>
      </c>
      <c r="FH63" s="169">
        <f>FH64+FH65+FH66</f>
        <v>12.16426351</v>
      </c>
      <c r="FI63" s="171">
        <f t="shared" si="157"/>
        <v>76.952431791400002</v>
      </c>
      <c r="FJ63" s="169">
        <f>FJ64+FJ65+FJ66</f>
        <v>5.3112489121100008</v>
      </c>
      <c r="FK63" s="169">
        <f>FK64+FK65+FK66</f>
        <v>10.5707761</v>
      </c>
      <c r="FL63" s="169">
        <f>FL64+FL65+FL66</f>
        <v>12.363381116189998</v>
      </c>
      <c r="FM63" s="171">
        <f t="shared" si="158"/>
        <v>28.245406128299997</v>
      </c>
      <c r="FN63" s="172">
        <f>FN64+FN65+FN66</f>
        <v>24.965109712109996</v>
      </c>
      <c r="FO63" s="173">
        <f>FO64+FO65+FO66</f>
        <v>34.440122224516998</v>
      </c>
      <c r="FP63" s="173">
        <f>FP64+FP65+FP66</f>
        <v>15.456875105841</v>
      </c>
      <c r="FQ63" s="175">
        <f t="shared" si="159"/>
        <v>74.862107042467983</v>
      </c>
      <c r="FR63" s="175">
        <f t="shared" si="50"/>
        <v>207.659944962168</v>
      </c>
      <c r="FS63" s="172">
        <f>FS64+FS65+FS66</f>
        <v>21.94207471</v>
      </c>
      <c r="FT63" s="173">
        <f>FT64+FT65+FT66</f>
        <v>6.0910464499999994</v>
      </c>
      <c r="FU63" s="174">
        <f>FU64+FU65+FU66</f>
        <v>10.412131359999998</v>
      </c>
      <c r="FV63" s="175">
        <f t="shared" si="160"/>
        <v>38.445252519999997</v>
      </c>
      <c r="FW63" s="172">
        <f>FW64+FW65+FW66</f>
        <v>24.909535643889999</v>
      </c>
      <c r="FX63" s="173">
        <f>FX64+FX65+FX66</f>
        <v>39.389194360000005</v>
      </c>
      <c r="FY63" s="173">
        <f>FY64+FY65+FY66</f>
        <v>28.321135210000001</v>
      </c>
      <c r="FZ63" s="175">
        <f t="shared" si="161"/>
        <v>92.619865213889994</v>
      </c>
      <c r="GA63" s="172">
        <f>GA64+GA65+GA66</f>
        <v>14.97855246</v>
      </c>
      <c r="GB63" s="173">
        <f>GB64+GB65+GB66</f>
        <v>5.6168091869999994</v>
      </c>
      <c r="GC63" s="174">
        <f>GC64+GC65+GC66</f>
        <v>8.9296710400000006</v>
      </c>
      <c r="GD63" s="175">
        <f t="shared" si="162"/>
        <v>29.525032686999999</v>
      </c>
      <c r="GE63" s="172">
        <f>GE64+GE65+GE66</f>
        <v>24.565066246800001</v>
      </c>
      <c r="GF63" s="173">
        <f>GF64+GF65+GF66</f>
        <v>10.527794869999999</v>
      </c>
      <c r="GG63" s="159">
        <f>GG64+GG65+GG66</f>
        <v>15.229673267262749</v>
      </c>
      <c r="GH63" s="174">
        <f t="shared" si="184"/>
        <v>50.322534384062749</v>
      </c>
      <c r="GI63" s="174">
        <f t="shared" si="55"/>
        <v>210.91268480495273</v>
      </c>
      <c r="GJ63" s="221">
        <f>GJ64+GJ65+GJ66</f>
        <v>17.542777360000002</v>
      </c>
      <c r="GK63" s="222">
        <f>GK64+GK65+GK66</f>
        <v>6.098872920999999</v>
      </c>
      <c r="GL63" s="223">
        <f>GL64+GL65+GL66</f>
        <v>10.845626106283998</v>
      </c>
      <c r="GM63" s="175">
        <f t="shared" si="164"/>
        <v>34.487276387283998</v>
      </c>
      <c r="GN63" s="221">
        <f>GN64+GN65+GN66</f>
        <v>25.181665780400003</v>
      </c>
      <c r="GO63" s="222">
        <f>GO64+GO65+GO66</f>
        <v>11.43715033</v>
      </c>
      <c r="GP63" s="222">
        <f>GP64+GP65+GP66</f>
        <v>5.7131223765499994</v>
      </c>
      <c r="GQ63" s="175">
        <f t="shared" si="165"/>
        <v>42.331938486950001</v>
      </c>
      <c r="GR63" s="222">
        <f>GR64+GR65+GR66</f>
        <v>16.3</v>
      </c>
      <c r="GS63" s="222">
        <f>GS64+GS65+GS66</f>
        <v>5.4598029599999993</v>
      </c>
      <c r="GT63" s="222">
        <f>GT64+GT65+GT66</f>
        <v>9.3707019630400019</v>
      </c>
      <c r="GU63" s="175">
        <f t="shared" si="166"/>
        <v>31.130504923040004</v>
      </c>
      <c r="GV63" s="221">
        <f>GV64+GV65+GV66</f>
        <v>23.364799040000005</v>
      </c>
      <c r="GW63" s="222">
        <f>GW64+GW65+GW66</f>
        <v>44.689377579865052</v>
      </c>
      <c r="GX63" s="223">
        <f>GX64+GX65+GX66</f>
        <v>11.54554991087222</v>
      </c>
      <c r="GY63" s="174">
        <f t="shared" si="185"/>
        <v>79.599726530737286</v>
      </c>
      <c r="GZ63" s="159">
        <f t="shared" si="110"/>
        <v>187.5494463280113</v>
      </c>
      <c r="HA63" s="254">
        <f>HA64+HA65+HA66</f>
        <v>9.4257893799999994</v>
      </c>
      <c r="HB63" s="160">
        <f>HB64+HB65+HB66</f>
        <v>4.9601740989700005</v>
      </c>
      <c r="HC63" s="159">
        <f>HC64+HC65+HC66</f>
        <v>10.609997829999999</v>
      </c>
      <c r="HD63" s="273">
        <f t="shared" si="168"/>
        <v>24.995961308969999</v>
      </c>
      <c r="HE63" s="254">
        <f>HE64+HE65+HE66</f>
        <v>64.672688889999989</v>
      </c>
      <c r="HF63" s="160">
        <f>HF64+HF65+HF66</f>
        <v>8.8654878900000007</v>
      </c>
      <c r="HG63" s="160">
        <f>HG64+HG65+HG66</f>
        <v>13.272957959999999</v>
      </c>
      <c r="HH63" s="273">
        <f t="shared" si="169"/>
        <v>86.811134739999986</v>
      </c>
      <c r="HI63" s="160">
        <f>HI64+HI65+HI66</f>
        <v>6.1421123699999995</v>
      </c>
      <c r="HJ63" s="160">
        <f>HJ64+HJ65+HJ66</f>
        <v>4.8178990700000002</v>
      </c>
      <c r="HK63" s="160">
        <f>HK64+HK65+HK66</f>
        <v>12.431262299999998</v>
      </c>
      <c r="HL63" s="273">
        <f t="shared" si="170"/>
        <v>23.391273739999995</v>
      </c>
      <c r="HM63" s="254">
        <f>HM64+HM65+HM66</f>
        <v>40.252484391697379</v>
      </c>
      <c r="HN63" s="160">
        <f>HN64+HN65+HN66</f>
        <v>11.47569333</v>
      </c>
      <c r="HO63" s="159">
        <f>HO64+HO65+HO66</f>
        <v>19.546414789999996</v>
      </c>
      <c r="HP63" s="273">
        <f t="shared" si="188"/>
        <v>71.274592511697378</v>
      </c>
      <c r="HQ63" s="273">
        <f t="shared" si="127"/>
        <v>206.47296230066735</v>
      </c>
      <c r="HR63" s="254">
        <f>HR64+HR65+HR66</f>
        <v>5.9139602400000006</v>
      </c>
      <c r="HS63" s="160">
        <f>HS64+HS65+HS66</f>
        <v>47.729695949219348</v>
      </c>
      <c r="HT63" s="159">
        <f>HT64+HT65+HT66</f>
        <v>27.083501320000003</v>
      </c>
      <c r="HU63" s="273">
        <f t="shared" si="172"/>
        <v>80.727157509219353</v>
      </c>
      <c r="HV63" s="254">
        <f>HV64+HV65+HV66</f>
        <v>35.589339160197099</v>
      </c>
      <c r="HW63" s="160">
        <f>HW64+HW65+HW66</f>
        <v>9.8409571296126259</v>
      </c>
      <c r="HX63" s="160">
        <f>HX64+HX65+HX66</f>
        <v>21.383549463382924</v>
      </c>
      <c r="HY63" s="273">
        <f t="shared" si="189"/>
        <v>66.813845753192652</v>
      </c>
      <c r="HZ63" s="160">
        <f>HZ64+HZ65+HZ66</f>
        <v>31.562433241891249</v>
      </c>
      <c r="IA63" s="160">
        <f>IA64+IA65+IA66</f>
        <v>38.634957949704805</v>
      </c>
      <c r="IB63" s="160">
        <f>IB64+IB65+IB66</f>
        <v>7.6058830853508335</v>
      </c>
      <c r="IC63" s="273">
        <f t="shared" si="174"/>
        <v>77.803274276946894</v>
      </c>
      <c r="ID63" s="254">
        <f>ID64+ID65+ID66</f>
        <v>74.949137019526546</v>
      </c>
      <c r="IE63" s="160">
        <f>IE64+IE65+IE66</f>
        <v>55.700672150059106</v>
      </c>
      <c r="IF63" s="159">
        <f>IF64+IF65+IF66</f>
        <v>54.963115094889993</v>
      </c>
      <c r="IG63" s="273">
        <f t="shared" si="175"/>
        <v>185.61292426447562</v>
      </c>
      <c r="IH63" s="273">
        <v>410.95720180383455</v>
      </c>
      <c r="II63" s="254">
        <v>22.619335759999998</v>
      </c>
      <c r="IJ63" s="160">
        <v>19.855219406306858</v>
      </c>
      <c r="IK63" s="159">
        <v>60.020047199999993</v>
      </c>
      <c r="IL63" s="273">
        <v>102.49460236630685</v>
      </c>
      <c r="IM63" s="254">
        <v>25.14152906</v>
      </c>
      <c r="IN63" s="160">
        <v>91.085561459521045</v>
      </c>
      <c r="IO63" s="160">
        <v>70.220329499601135</v>
      </c>
      <c r="IP63" s="273">
        <v>186.44742001912218</v>
      </c>
      <c r="IQ63" s="254">
        <v>76.573096340697688</v>
      </c>
      <c r="IR63" s="160">
        <v>8.5400893225999983</v>
      </c>
      <c r="IS63" s="159">
        <v>77.253030788999993</v>
      </c>
      <c r="IT63" s="273">
        <v>162.36621645229769</v>
      </c>
      <c r="IU63" s="254">
        <v>67.23607002</v>
      </c>
      <c r="IV63" s="160">
        <v>16.662531860000001</v>
      </c>
      <c r="IW63" s="159">
        <v>63.569689902846008</v>
      </c>
      <c r="IX63" s="273">
        <v>147.46829178284599</v>
      </c>
      <c r="IY63" s="273">
        <v>598.77653062057266</v>
      </c>
      <c r="IZ63" s="254">
        <v>28.111376120000003</v>
      </c>
      <c r="JA63" s="160">
        <v>32.756138669999999</v>
      </c>
      <c r="JB63" s="159">
        <v>39.280502189999993</v>
      </c>
      <c r="JC63" s="273">
        <v>100.14801697999999</v>
      </c>
      <c r="JD63" s="254">
        <v>38.653535669999997</v>
      </c>
      <c r="JE63" s="160">
        <v>48.639047570000002</v>
      </c>
      <c r="JF63" s="159">
        <v>56.390050987504381</v>
      </c>
      <c r="JG63" s="273">
        <v>143.68263422750437</v>
      </c>
      <c r="JH63" s="254">
        <v>20.470777780495624</v>
      </c>
      <c r="JI63" s="160">
        <v>15.643661429912539</v>
      </c>
      <c r="JJ63" s="159">
        <v>46.575467554999996</v>
      </c>
      <c r="JK63" s="273">
        <v>82.689906765408153</v>
      </c>
      <c r="JL63" s="254">
        <v>53.730727610000002</v>
      </c>
      <c r="JM63" s="160">
        <v>15.7950447</v>
      </c>
      <c r="JN63" s="160">
        <v>27.025167320000001</v>
      </c>
      <c r="JO63" s="273">
        <v>96.550939630000016</v>
      </c>
      <c r="JP63" s="273">
        <v>423.07149760291253</v>
      </c>
      <c r="JQ63" s="254">
        <v>52.637953009999997</v>
      </c>
      <c r="JR63" s="160">
        <v>16.922415168380002</v>
      </c>
      <c r="JS63" s="159">
        <v>14.02557726</v>
      </c>
      <c r="JT63" s="273">
        <v>83.585945438380008</v>
      </c>
      <c r="JU63" s="254">
        <v>20.950088630000003</v>
      </c>
      <c r="JV63" s="160">
        <v>16.46016565</v>
      </c>
      <c r="JW63" s="159">
        <v>18.76025585</v>
      </c>
      <c r="JX63" s="273">
        <v>56.170510130000004</v>
      </c>
      <c r="JY63" s="254">
        <v>5.1683674899999996</v>
      </c>
      <c r="JZ63" s="160">
        <v>18.425238320000002</v>
      </c>
      <c r="KA63" s="159">
        <v>13.750856819999999</v>
      </c>
      <c r="KB63" s="273">
        <v>37.344462629999995</v>
      </c>
      <c r="KC63" s="254">
        <v>13.13201437</v>
      </c>
      <c r="KD63" s="160">
        <v>14.036739580000003</v>
      </c>
      <c r="KE63" s="160">
        <v>19.864412489999999</v>
      </c>
      <c r="KF63" s="273">
        <v>47.033166440000002</v>
      </c>
      <c r="KG63" s="273">
        <v>224.13408463837999</v>
      </c>
      <c r="KH63" s="221">
        <v>5.6220631700000006</v>
      </c>
      <c r="KI63" s="222">
        <v>18.63538818</v>
      </c>
      <c r="KJ63" s="223">
        <v>37.715187379999996</v>
      </c>
      <c r="KK63" s="273">
        <v>61.97263873</v>
      </c>
      <c r="KL63" s="221">
        <v>18.85370108</v>
      </c>
      <c r="KM63" s="222">
        <v>18.7633525</v>
      </c>
      <c r="KN63" s="223">
        <v>22.187273119999997</v>
      </c>
      <c r="KO63" s="273">
        <v>59.804326700000004</v>
      </c>
      <c r="KP63" s="221">
        <v>6.4880145599999999</v>
      </c>
      <c r="KQ63" s="222">
        <v>18.13633725</v>
      </c>
      <c r="KR63" s="223">
        <v>19.948755299999998</v>
      </c>
      <c r="KS63" s="273">
        <v>44.573107109999995</v>
      </c>
      <c r="KT63" s="254">
        <v>15.177638250000001</v>
      </c>
      <c r="KU63" s="160">
        <v>21.510036289999999</v>
      </c>
      <c r="KV63" s="159">
        <v>21.830085910000001</v>
      </c>
      <c r="KW63" s="273">
        <v>58.517760450000004</v>
      </c>
      <c r="KX63" s="273">
        <v>224.86783298999998</v>
      </c>
      <c r="KY63" s="221">
        <v>8.3078266200000002</v>
      </c>
      <c r="KZ63" s="222">
        <v>17.831112279999999</v>
      </c>
      <c r="LA63" s="223">
        <v>20.290755970000003</v>
      </c>
      <c r="LB63" s="273">
        <v>46.429694870000006</v>
      </c>
      <c r="LC63" s="221">
        <v>17.259912980000003</v>
      </c>
      <c r="LD63" s="222">
        <v>57.342285360000005</v>
      </c>
      <c r="LE63" s="223">
        <v>33.896324826161639</v>
      </c>
      <c r="LF63" s="273">
        <v>108.49852316616165</v>
      </c>
      <c r="LG63" s="221">
        <v>8.8044274599999994</v>
      </c>
      <c r="LH63" s="222">
        <v>20.12028582558035</v>
      </c>
      <c r="LI63" s="223">
        <v>21.169421140190355</v>
      </c>
      <c r="LJ63" s="273">
        <v>50.094134425770704</v>
      </c>
      <c r="LK63" s="254">
        <v>19.42336117</v>
      </c>
      <c r="LL63" s="160">
        <v>24.134946440000004</v>
      </c>
      <c r="LM63" s="159">
        <v>34.512999999999998</v>
      </c>
      <c r="LN63" s="273">
        <v>78.071307609999991</v>
      </c>
      <c r="LO63" s="273">
        <v>283.09366007193233</v>
      </c>
    </row>
    <row r="64" spans="1:327" ht="17.100000000000001" customHeight="1" x14ac:dyDescent="0.25">
      <c r="A64" s="2" t="s">
        <v>48</v>
      </c>
      <c r="B64" s="24"/>
      <c r="C64" s="5">
        <v>115.5</v>
      </c>
      <c r="D64" s="5">
        <v>9.9</v>
      </c>
      <c r="E64" s="5">
        <v>12</v>
      </c>
      <c r="F64" s="5">
        <v>17.100000000000001</v>
      </c>
      <c r="G64" s="5">
        <v>39</v>
      </c>
      <c r="H64" s="5">
        <v>12.5</v>
      </c>
      <c r="I64" s="5">
        <v>11.7</v>
      </c>
      <c r="J64" s="5">
        <v>21.6</v>
      </c>
      <c r="K64" s="5">
        <v>45.8</v>
      </c>
      <c r="L64" s="5">
        <v>7.7</v>
      </c>
      <c r="M64" s="5">
        <v>13.2</v>
      </c>
      <c r="N64" s="5">
        <v>25.1</v>
      </c>
      <c r="O64" s="5">
        <f t="shared" si="0"/>
        <v>46</v>
      </c>
      <c r="P64" s="5">
        <v>9.1</v>
      </c>
      <c r="Q64" s="5">
        <v>10.6</v>
      </c>
      <c r="R64" s="5">
        <v>3.6</v>
      </c>
      <c r="S64" s="5">
        <f t="shared" si="1"/>
        <v>23.3</v>
      </c>
      <c r="T64" s="16">
        <f t="shared" si="7"/>
        <v>154.1</v>
      </c>
      <c r="U64" s="5">
        <v>37.799999999999997</v>
      </c>
      <c r="V64" s="5">
        <v>7.5</v>
      </c>
      <c r="W64" s="5">
        <v>26.7</v>
      </c>
      <c r="X64" s="4">
        <f t="shared" si="177"/>
        <v>72</v>
      </c>
      <c r="Y64" s="5">
        <v>11.74</v>
      </c>
      <c r="Z64" s="5">
        <f>13.1-0.04</f>
        <v>13.06</v>
      </c>
      <c r="AA64" s="9">
        <f>11.5</f>
        <v>11.5</v>
      </c>
      <c r="AB64" s="5">
        <f t="shared" si="178"/>
        <v>36.299999999999997</v>
      </c>
      <c r="AC64" s="5">
        <f>8.8-3.00477661</f>
        <v>5.7952233900000003</v>
      </c>
      <c r="AD64" s="5">
        <v>5.9</v>
      </c>
      <c r="AE64" s="5">
        <v>29.9</v>
      </c>
      <c r="AF64" s="5">
        <f t="shared" si="179"/>
        <v>41.595223390000001</v>
      </c>
      <c r="AG64" s="5">
        <f>11.6+0.04</f>
        <v>11.639999999999999</v>
      </c>
      <c r="AH64" s="5">
        <v>9.6999999999999993</v>
      </c>
      <c r="AI64" s="5">
        <v>9.8000000000000007</v>
      </c>
      <c r="AJ64" s="5">
        <f t="shared" si="128"/>
        <v>31.139999999999997</v>
      </c>
      <c r="AK64" s="16">
        <f t="shared" si="129"/>
        <v>181.03522339</v>
      </c>
      <c r="AL64" s="5">
        <v>7.1</v>
      </c>
      <c r="AM64" s="5">
        <v>7.3</v>
      </c>
      <c r="AN64" s="5">
        <v>25.3</v>
      </c>
      <c r="AO64" s="5">
        <f t="shared" si="181"/>
        <v>39.700000000000003</v>
      </c>
      <c r="AP64" s="5">
        <v>10.4</v>
      </c>
      <c r="AQ64" s="5">
        <v>11</v>
      </c>
      <c r="AR64" s="5">
        <v>3.6</v>
      </c>
      <c r="AS64" s="54">
        <f t="shared" si="12"/>
        <v>25</v>
      </c>
      <c r="AT64" s="5">
        <v>10.4</v>
      </c>
      <c r="AU64" s="5">
        <v>9.6999999999999993</v>
      </c>
      <c r="AV64" s="5">
        <v>24.6</v>
      </c>
      <c r="AW64" s="54">
        <f t="shared" si="182"/>
        <v>44.7</v>
      </c>
      <c r="AX64" s="5">
        <v>9</v>
      </c>
      <c r="AY64" s="5">
        <v>11.7</v>
      </c>
      <c r="AZ64" s="5">
        <f>7.9-2.14520102-2.14685323</f>
        <v>3.6079457500000003</v>
      </c>
      <c r="BA64" s="54">
        <f t="shared" si="14"/>
        <v>24.307945749999998</v>
      </c>
      <c r="BB64" s="54">
        <f t="shared" si="131"/>
        <v>133.70794574999999</v>
      </c>
      <c r="BC64" s="5">
        <f>5.25356642-1.42762171</f>
        <v>3.8259447100000004</v>
      </c>
      <c r="BD64" s="66">
        <v>11.676023130000001</v>
      </c>
      <c r="BE64" s="66">
        <v>25.547630040000001</v>
      </c>
      <c r="BF64" s="62">
        <f t="shared" si="186"/>
        <v>41.04959788</v>
      </c>
      <c r="BG64" s="67">
        <f>10.348306-1.26102039-0.84261772</f>
        <v>8.2446678899999988</v>
      </c>
      <c r="BH64" s="67">
        <v>12.9739</v>
      </c>
      <c r="BI64" s="67">
        <v>10.0817</v>
      </c>
      <c r="BJ64" s="62">
        <f t="shared" si="132"/>
        <v>31.300267890000001</v>
      </c>
      <c r="BK64" s="67">
        <f>11.87116-2.09494036</f>
        <v>9.7762196400000008</v>
      </c>
      <c r="BL64" s="67">
        <v>11.1556</v>
      </c>
      <c r="BM64" s="67">
        <v>21.181833999999998</v>
      </c>
      <c r="BN64" s="62">
        <f t="shared" si="133"/>
        <v>42.113653639999995</v>
      </c>
      <c r="BO64" s="71">
        <f>14.6744779-BO81</f>
        <v>12.6547842</v>
      </c>
      <c r="BP64" s="67">
        <f>13.99054-BP81</f>
        <v>12.769620679999999</v>
      </c>
      <c r="BQ64" s="67">
        <v>6.9927200000000003</v>
      </c>
      <c r="BR64" s="62">
        <f t="shared" si="134"/>
        <v>32.417124879999996</v>
      </c>
      <c r="BS64" s="62">
        <f t="shared" si="135"/>
        <v>146.88064428999999</v>
      </c>
      <c r="BT64" s="67">
        <v>8.1</v>
      </c>
      <c r="BU64" s="67">
        <v>11.5</v>
      </c>
      <c r="BV64" s="67">
        <f>24-0.67280666-0.94283901</f>
        <v>22.384354330000001</v>
      </c>
      <c r="BW64" s="62">
        <f t="shared" si="136"/>
        <v>41.984354330000002</v>
      </c>
      <c r="BX64" s="67">
        <v>12.8</v>
      </c>
      <c r="BY64" s="67">
        <v>12.4</v>
      </c>
      <c r="BZ64" s="67">
        <v>7.3</v>
      </c>
      <c r="CA64" s="62">
        <f t="shared" si="137"/>
        <v>32.5</v>
      </c>
      <c r="CB64" s="67">
        <v>7.2</v>
      </c>
      <c r="CC64" s="67">
        <v>11.547000000000001</v>
      </c>
      <c r="CD64" s="67">
        <v>19.7</v>
      </c>
      <c r="CE64" s="62">
        <f t="shared" si="138"/>
        <v>38.447000000000003</v>
      </c>
      <c r="CF64" s="67">
        <v>9.56</v>
      </c>
      <c r="CG64" s="67">
        <v>10.199999999999999</v>
      </c>
      <c r="CH64" s="67">
        <v>6.2</v>
      </c>
      <c r="CI64" s="67">
        <f t="shared" si="139"/>
        <v>25.959999999999997</v>
      </c>
      <c r="CJ64" s="71">
        <f t="shared" si="112"/>
        <v>138.89135433000001</v>
      </c>
      <c r="CK64" s="71">
        <v>6.6</v>
      </c>
      <c r="CL64" s="67">
        <v>11.7</v>
      </c>
      <c r="CM64" s="67">
        <v>16.14</v>
      </c>
      <c r="CN64" s="62">
        <f>SUM(CK64:CM64)</f>
        <v>34.44</v>
      </c>
      <c r="CO64" s="67">
        <v>11.3</v>
      </c>
      <c r="CP64" s="67">
        <v>10.3</v>
      </c>
      <c r="CQ64" s="67">
        <v>4.0999999999999996</v>
      </c>
      <c r="CR64" s="62">
        <f>SUM(CO64:CQ64)</f>
        <v>25.700000000000003</v>
      </c>
      <c r="CS64" s="101">
        <v>7.6</v>
      </c>
      <c r="CT64" s="67">
        <v>13.64</v>
      </c>
      <c r="CU64" s="67">
        <v>17.600000000000001</v>
      </c>
      <c r="CV64" s="62">
        <f>SUM(CS64:CU64)</f>
        <v>38.840000000000003</v>
      </c>
      <c r="CW64" s="67">
        <v>10.9</v>
      </c>
      <c r="CX64" s="67">
        <v>28.2</v>
      </c>
      <c r="CY64" s="112">
        <v>6.2</v>
      </c>
      <c r="CZ64" s="113">
        <f>SUM(CW64:CY64)</f>
        <v>45.300000000000004</v>
      </c>
      <c r="DA64" s="62">
        <f>CN64+CR64+CV64+CZ64</f>
        <v>144.28</v>
      </c>
      <c r="DB64" s="71">
        <v>7.8</v>
      </c>
      <c r="DC64" s="67">
        <v>13.4</v>
      </c>
      <c r="DD64" s="67">
        <v>15.1</v>
      </c>
      <c r="DE64" s="62">
        <f>SUM(DB64:DD64)</f>
        <v>36.299999999999997</v>
      </c>
      <c r="DF64" s="71">
        <v>11.4</v>
      </c>
      <c r="DG64" s="67">
        <v>26.5</v>
      </c>
      <c r="DH64" s="67">
        <v>10.6</v>
      </c>
      <c r="DI64" s="62">
        <f>SUM(DF64:DH64)</f>
        <v>48.5</v>
      </c>
      <c r="DJ64" s="71">
        <v>8</v>
      </c>
      <c r="DK64" s="67">
        <v>10.7</v>
      </c>
      <c r="DL64" s="67">
        <v>12.9</v>
      </c>
      <c r="DM64" s="62">
        <f>SUM(DJ64:DL64)</f>
        <v>31.6</v>
      </c>
      <c r="DN64" s="67">
        <v>8.8000000000000007</v>
      </c>
      <c r="DO64" s="67">
        <v>12.6</v>
      </c>
      <c r="DP64" s="67">
        <v>26.9</v>
      </c>
      <c r="DQ64" s="113">
        <f>SUM(DN64:DP64)</f>
        <v>48.3</v>
      </c>
      <c r="DR64" s="140">
        <f>DE64+DI64+DM64+DQ64</f>
        <v>164.7</v>
      </c>
      <c r="DS64" s="141">
        <v>9.1</v>
      </c>
      <c r="DT64" s="141">
        <v>12.4</v>
      </c>
      <c r="DU64" s="141">
        <v>11.7</v>
      </c>
      <c r="DV64" s="140">
        <f t="shared" si="148"/>
        <v>33.200000000000003</v>
      </c>
      <c r="DW64" s="142">
        <v>12.8</v>
      </c>
      <c r="DX64" s="141">
        <v>9.1999999999999993</v>
      </c>
      <c r="DY64" s="141">
        <v>29.1</v>
      </c>
      <c r="DZ64" s="140">
        <f t="shared" si="149"/>
        <v>51.1</v>
      </c>
      <c r="EA64" s="142">
        <v>33.4</v>
      </c>
      <c r="EB64" s="141">
        <v>13.1</v>
      </c>
      <c r="EC64" s="141">
        <v>14.6</v>
      </c>
      <c r="ED64" s="140">
        <f t="shared" si="150"/>
        <v>61.1</v>
      </c>
      <c r="EE64" s="141">
        <v>10.199999999999999</v>
      </c>
      <c r="EF64" s="141">
        <v>31.2</v>
      </c>
      <c r="EG64" s="141">
        <v>14.9</v>
      </c>
      <c r="EH64" s="140">
        <f t="shared" si="151"/>
        <v>56.3</v>
      </c>
      <c r="EI64" s="140">
        <f t="shared" si="40"/>
        <v>201.7</v>
      </c>
      <c r="EJ64" s="141">
        <v>7.7</v>
      </c>
      <c r="EK64" s="141">
        <v>12.7</v>
      </c>
      <c r="EL64" s="141">
        <v>13</v>
      </c>
      <c r="EM64" s="140">
        <f t="shared" si="152"/>
        <v>33.4</v>
      </c>
      <c r="EN64" s="141">
        <v>12</v>
      </c>
      <c r="EO64" s="141">
        <v>25.9</v>
      </c>
      <c r="EP64" s="141">
        <v>10.199999999999999</v>
      </c>
      <c r="EQ64" s="140">
        <f t="shared" si="153"/>
        <v>48.099999999999994</v>
      </c>
      <c r="ER64" s="141">
        <v>5.31</v>
      </c>
      <c r="ES64" s="141">
        <v>7.6</v>
      </c>
      <c r="ET64" s="141">
        <v>14.5</v>
      </c>
      <c r="EU64" s="140">
        <f t="shared" si="154"/>
        <v>27.41</v>
      </c>
      <c r="EV64" s="141">
        <v>20.5</v>
      </c>
      <c r="EW64" s="141">
        <v>28</v>
      </c>
      <c r="EX64" s="141">
        <v>21.329480031819998</v>
      </c>
      <c r="EY64" s="140">
        <f t="shared" si="155"/>
        <v>69.829480031819998</v>
      </c>
      <c r="EZ64" s="169">
        <f t="shared" si="45"/>
        <v>178.73948003181999</v>
      </c>
      <c r="FA64" s="170"/>
      <c r="FB64" s="169">
        <v>8.6999999999999993</v>
      </c>
      <c r="FC64" s="169">
        <v>6</v>
      </c>
      <c r="FD64" s="169">
        <v>12.9</v>
      </c>
      <c r="FE64" s="171">
        <f t="shared" si="156"/>
        <v>27.6</v>
      </c>
      <c r="FF64" s="169">
        <v>23.088168281399998</v>
      </c>
      <c r="FG64" s="169">
        <v>41.7</v>
      </c>
      <c r="FH64" s="169">
        <v>12.16426351</v>
      </c>
      <c r="FI64" s="171">
        <f t="shared" si="157"/>
        <v>76.952431791400002</v>
      </c>
      <c r="FJ64" s="169">
        <v>5.3112489121100008</v>
      </c>
      <c r="FK64" s="169">
        <v>10.5707761</v>
      </c>
      <c r="FL64" s="169">
        <v>12.363381116189998</v>
      </c>
      <c r="FM64" s="171">
        <f t="shared" si="158"/>
        <v>28.245406128299997</v>
      </c>
      <c r="FN64" s="172">
        <v>24.965109712109996</v>
      </c>
      <c r="FO64" s="173">
        <v>34.440122224516998</v>
      </c>
      <c r="FP64" s="173">
        <v>15.456875105841</v>
      </c>
      <c r="FQ64" s="175">
        <f t="shared" si="159"/>
        <v>74.862107042467983</v>
      </c>
      <c r="FR64" s="175">
        <f t="shared" si="50"/>
        <v>207.659944962168</v>
      </c>
      <c r="FS64" s="172">
        <v>21.94207471</v>
      </c>
      <c r="FT64" s="169">
        <v>6.0910464499999994</v>
      </c>
      <c r="FU64" s="174">
        <v>10.412131359999998</v>
      </c>
      <c r="FV64" s="175">
        <f t="shared" si="160"/>
        <v>38.445252519999997</v>
      </c>
      <c r="FW64" s="172">
        <v>24.909535643889999</v>
      </c>
      <c r="FX64" s="173">
        <v>39.389194360000005</v>
      </c>
      <c r="FY64" s="174">
        <v>13.70025641</v>
      </c>
      <c r="FZ64" s="175">
        <f t="shared" si="161"/>
        <v>77.998986413889995</v>
      </c>
      <c r="GA64" s="172">
        <v>14.97855246</v>
      </c>
      <c r="GB64" s="173">
        <v>5.6168091869999994</v>
      </c>
      <c r="GC64" s="174">
        <v>8.9296710400000006</v>
      </c>
      <c r="GD64" s="175">
        <f t="shared" si="162"/>
        <v>29.525032686999999</v>
      </c>
      <c r="GE64" s="172">
        <v>24.565066246800001</v>
      </c>
      <c r="GF64" s="173">
        <v>10.527794869999999</v>
      </c>
      <c r="GG64" s="159">
        <v>15.229673267262749</v>
      </c>
      <c r="GH64" s="174">
        <f t="shared" si="184"/>
        <v>50.322534384062749</v>
      </c>
      <c r="GI64" s="174">
        <f t="shared" si="55"/>
        <v>196.29180600495275</v>
      </c>
      <c r="GJ64" s="221">
        <v>17.542777360000002</v>
      </c>
      <c r="GK64" s="247">
        <v>6.098872920999999</v>
      </c>
      <c r="GL64" s="223">
        <v>10.845626106283998</v>
      </c>
      <c r="GM64" s="175">
        <f t="shared" si="164"/>
        <v>34.487276387283998</v>
      </c>
      <c r="GN64" s="221">
        <v>25.181665780400003</v>
      </c>
      <c r="GO64" s="222">
        <v>11.43715033</v>
      </c>
      <c r="GP64" s="223">
        <v>5.7131223765499994</v>
      </c>
      <c r="GQ64" s="175">
        <f t="shared" si="165"/>
        <v>42.331938486950001</v>
      </c>
      <c r="GR64" s="245">
        <v>16.3</v>
      </c>
      <c r="GS64" s="222">
        <v>5.4598029599999993</v>
      </c>
      <c r="GT64" s="223">
        <v>9.3707019630400019</v>
      </c>
      <c r="GU64" s="175">
        <f t="shared" si="166"/>
        <v>31.130504923040004</v>
      </c>
      <c r="GV64" s="221">
        <v>23.364799040000005</v>
      </c>
      <c r="GW64" s="222">
        <v>44.689377579865052</v>
      </c>
      <c r="GX64" s="223">
        <v>11.54554991087222</v>
      </c>
      <c r="GY64" s="174">
        <f t="shared" si="185"/>
        <v>79.599726530737286</v>
      </c>
      <c r="GZ64" s="159">
        <f t="shared" si="110"/>
        <v>187.5494463280113</v>
      </c>
      <c r="HA64" s="254">
        <v>9.4257893799999994</v>
      </c>
      <c r="HB64" s="141">
        <v>4.9601740989700005</v>
      </c>
      <c r="HC64" s="159">
        <v>10.609997829999999</v>
      </c>
      <c r="HD64" s="273">
        <f t="shared" si="168"/>
        <v>24.995961308969999</v>
      </c>
      <c r="HE64" s="254">
        <v>64.672688889999989</v>
      </c>
      <c r="HF64" s="160">
        <v>8.8654878900000007</v>
      </c>
      <c r="HG64" s="159">
        <v>13.272957959999999</v>
      </c>
      <c r="HH64" s="273">
        <f t="shared" si="169"/>
        <v>86.811134739999986</v>
      </c>
      <c r="HI64" s="279">
        <v>6.1421123699999995</v>
      </c>
      <c r="HJ64" s="160">
        <v>4.8178990700000002</v>
      </c>
      <c r="HK64" s="159">
        <v>12.431262299999998</v>
      </c>
      <c r="HL64" s="273">
        <f t="shared" si="170"/>
        <v>23.391273739999995</v>
      </c>
      <c r="HM64" s="254">
        <v>36.599633560997383</v>
      </c>
      <c r="HN64" s="160">
        <v>11.47569333</v>
      </c>
      <c r="HO64" s="159">
        <v>19.546414789999996</v>
      </c>
      <c r="HP64" s="273">
        <f t="shared" si="188"/>
        <v>67.621741680997374</v>
      </c>
      <c r="HQ64" s="273">
        <f t="shared" si="127"/>
        <v>202.82011146996734</v>
      </c>
      <c r="HR64" s="254">
        <v>5.9139602400000006</v>
      </c>
      <c r="HS64" s="141">
        <v>14.91366999943455</v>
      </c>
      <c r="HT64" s="159">
        <v>16.317670670000002</v>
      </c>
      <c r="HU64" s="273">
        <f t="shared" si="172"/>
        <v>37.145300909434553</v>
      </c>
      <c r="HV64" s="254">
        <v>35.589339160197099</v>
      </c>
      <c r="HW64" s="160">
        <v>9.8409571296126259</v>
      </c>
      <c r="HX64" s="159">
        <v>21.383549463382924</v>
      </c>
      <c r="HY64" s="273">
        <f t="shared" si="189"/>
        <v>66.813845753192652</v>
      </c>
      <c r="HZ64" s="280">
        <v>20.946184051891247</v>
      </c>
      <c r="IA64" s="160">
        <v>10.698516739704802</v>
      </c>
      <c r="IB64" s="159">
        <v>7.6058830853508335</v>
      </c>
      <c r="IC64" s="273">
        <f t="shared" si="174"/>
        <v>39.250583876946884</v>
      </c>
      <c r="ID64" s="254">
        <v>42.172037279526549</v>
      </c>
      <c r="IE64" s="160">
        <v>31.294104480059108</v>
      </c>
      <c r="IF64" s="159">
        <v>19.82434287489</v>
      </c>
      <c r="IG64" s="273">
        <f t="shared" si="175"/>
        <v>93.290484634475661</v>
      </c>
      <c r="IH64" s="273">
        <v>236.50021517404974</v>
      </c>
      <c r="II64" s="254">
        <v>4.8634880799999998</v>
      </c>
      <c r="IJ64" s="160">
        <v>4.9246026863068586</v>
      </c>
      <c r="IK64" s="159">
        <v>9.0887604000000017</v>
      </c>
      <c r="IL64" s="273">
        <v>18.87685116630686</v>
      </c>
      <c r="IM64" s="254">
        <v>25.14152906</v>
      </c>
      <c r="IN64" s="160">
        <v>14.122127549521048</v>
      </c>
      <c r="IO64" s="160">
        <v>32.215179579601134</v>
      </c>
      <c r="IP64" s="273">
        <v>71.478836189122177</v>
      </c>
      <c r="IQ64" s="254">
        <v>4.583892490697675</v>
      </c>
      <c r="IR64" s="160">
        <v>7.5591262225999989</v>
      </c>
      <c r="IS64" s="159">
        <v>21.706196479000003</v>
      </c>
      <c r="IT64" s="273">
        <v>33.849215192297677</v>
      </c>
      <c r="IU64" s="254">
        <v>21.527965439999999</v>
      </c>
      <c r="IV64" s="160">
        <v>14.07090414</v>
      </c>
      <c r="IW64" s="159">
        <v>20.970604472846006</v>
      </c>
      <c r="IX64" s="273">
        <v>56.569474052846004</v>
      </c>
      <c r="IY64" s="273">
        <v>180.77437660057274</v>
      </c>
      <c r="IZ64" s="254">
        <v>5.38539821</v>
      </c>
      <c r="JA64" s="160">
        <v>7.2221186899999985</v>
      </c>
      <c r="JB64" s="159">
        <v>16.899838969999998</v>
      </c>
      <c r="JC64" s="273">
        <v>29.507355869999998</v>
      </c>
      <c r="JD64" s="254">
        <v>15.37225956</v>
      </c>
      <c r="JE64" s="160">
        <v>15.55843819</v>
      </c>
      <c r="JF64" s="159">
        <v>21.892573757358601</v>
      </c>
      <c r="JG64" s="273">
        <v>52.823271507358598</v>
      </c>
      <c r="JH64" s="254">
        <v>5.4922615400000003</v>
      </c>
      <c r="JI64" s="160">
        <v>6.8556700500000005</v>
      </c>
      <c r="JJ64" s="159">
        <v>16.740588724999999</v>
      </c>
      <c r="JK64" s="273">
        <v>29.088520315</v>
      </c>
      <c r="JL64" s="254">
        <v>27.547712360000002</v>
      </c>
      <c r="JM64" s="160">
        <v>15.7950447</v>
      </c>
      <c r="JN64" s="159">
        <v>26.226392690000001</v>
      </c>
      <c r="JO64" s="273">
        <v>69.569149750000008</v>
      </c>
      <c r="JP64" s="273">
        <v>180.9882974423586</v>
      </c>
      <c r="JQ64" s="254">
        <v>4.9816917700000003</v>
      </c>
      <c r="JR64" s="160">
        <v>16.922415168380002</v>
      </c>
      <c r="JS64" s="159">
        <v>14.02557726</v>
      </c>
      <c r="JT64" s="273">
        <v>35.929684198380002</v>
      </c>
      <c r="JU64" s="254">
        <v>20.950088630000003</v>
      </c>
      <c r="JV64" s="160">
        <v>16.46016565</v>
      </c>
      <c r="JW64" s="159">
        <v>18.76025585</v>
      </c>
      <c r="JX64" s="273">
        <v>56.170510130000004</v>
      </c>
      <c r="JY64" s="254">
        <v>5.1683674899999996</v>
      </c>
      <c r="JZ64" s="160">
        <v>18.425238320000002</v>
      </c>
      <c r="KA64" s="159">
        <v>13.750856819999999</v>
      </c>
      <c r="KB64" s="273">
        <v>37.344462629999995</v>
      </c>
      <c r="KC64" s="254">
        <v>13.13201437</v>
      </c>
      <c r="KD64" s="160">
        <v>14.036739580000003</v>
      </c>
      <c r="KE64" s="159">
        <v>19.864412489999999</v>
      </c>
      <c r="KF64" s="273">
        <v>47.033166440000002</v>
      </c>
      <c r="KG64" s="273">
        <v>176.47782339838</v>
      </c>
      <c r="KH64" s="221">
        <v>5.6220631700000006</v>
      </c>
      <c r="KI64" s="222">
        <v>18.63538818</v>
      </c>
      <c r="KJ64" s="223">
        <v>37.715187379999996</v>
      </c>
      <c r="KK64" s="273">
        <v>61.97263873</v>
      </c>
      <c r="KL64" s="221">
        <v>18.85370108</v>
      </c>
      <c r="KM64" s="222">
        <v>18.7633525</v>
      </c>
      <c r="KN64" s="223">
        <v>22.187273119999997</v>
      </c>
      <c r="KO64" s="273">
        <v>59.804326700000004</v>
      </c>
      <c r="KP64" s="221">
        <v>6.4880145599999999</v>
      </c>
      <c r="KQ64" s="222">
        <v>18.13633725</v>
      </c>
      <c r="KR64" s="223">
        <v>19.948755299999998</v>
      </c>
      <c r="KS64" s="273">
        <v>44.573107109999995</v>
      </c>
      <c r="KT64" s="254">
        <v>15.177638250000001</v>
      </c>
      <c r="KU64" s="160">
        <v>21.510036289999999</v>
      </c>
      <c r="KV64" s="159">
        <v>21.830085910000001</v>
      </c>
      <c r="KW64" s="273">
        <v>58.517760450000004</v>
      </c>
      <c r="KX64" s="273">
        <v>224.86783298999998</v>
      </c>
      <c r="KY64" s="221">
        <v>8.3078266200000002</v>
      </c>
      <c r="KZ64" s="222">
        <v>17.831112279999999</v>
      </c>
      <c r="LA64" s="223">
        <v>20.290755970000003</v>
      </c>
      <c r="LB64" s="273">
        <v>46.429694870000006</v>
      </c>
      <c r="LC64" s="221">
        <v>17.259912980000003</v>
      </c>
      <c r="LD64" s="222">
        <v>57.342285360000005</v>
      </c>
      <c r="LE64" s="223">
        <v>33.896324826161639</v>
      </c>
      <c r="LF64" s="273">
        <v>108.49852316616165</v>
      </c>
      <c r="LG64" s="221">
        <v>8.8044274599999994</v>
      </c>
      <c r="LH64" s="222">
        <v>20.12028582558035</v>
      </c>
      <c r="LI64" s="223">
        <v>21.169421140190355</v>
      </c>
      <c r="LJ64" s="273">
        <v>50.094134425770704</v>
      </c>
      <c r="LK64" s="254">
        <v>19.42336117</v>
      </c>
      <c r="LL64" s="160">
        <v>24.134946440000004</v>
      </c>
      <c r="LM64" s="159">
        <v>34.512999999999998</v>
      </c>
      <c r="LN64" s="273">
        <v>78.071307609999991</v>
      </c>
      <c r="LO64" s="273">
        <v>283.09366007193233</v>
      </c>
    </row>
    <row r="65" spans="1:327" ht="17.100000000000001" customHeight="1" x14ac:dyDescent="0.25">
      <c r="A65" s="2" t="s">
        <v>82</v>
      </c>
      <c r="B65" s="2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6"/>
      <c r="U65" s="5"/>
      <c r="V65" s="5"/>
      <c r="W65" s="5"/>
      <c r="X65" s="4"/>
      <c r="Y65" s="5"/>
      <c r="Z65" s="5"/>
      <c r="AA65" s="9"/>
      <c r="AB65" s="5"/>
      <c r="AC65" s="5"/>
      <c r="AD65" s="5"/>
      <c r="AE65" s="5"/>
      <c r="AF65" s="5"/>
      <c r="AG65" s="5"/>
      <c r="AH65" s="5"/>
      <c r="AI65" s="5"/>
      <c r="AJ65" s="5"/>
      <c r="AK65" s="16"/>
      <c r="AL65" s="5"/>
      <c r="AM65" s="5"/>
      <c r="AN65" s="5"/>
      <c r="AO65" s="5"/>
      <c r="AP65" s="5"/>
      <c r="AQ65" s="5"/>
      <c r="AR65" s="5"/>
      <c r="AS65" s="54"/>
      <c r="AT65" s="5"/>
      <c r="AU65" s="5"/>
      <c r="AV65" s="5"/>
      <c r="AW65" s="54"/>
      <c r="AX65" s="5"/>
      <c r="AY65" s="5"/>
      <c r="AZ65" s="5"/>
      <c r="BA65" s="54"/>
      <c r="BB65" s="54"/>
      <c r="BC65" s="5"/>
      <c r="BD65" s="66"/>
      <c r="BE65" s="66"/>
      <c r="BF65" s="62"/>
      <c r="BG65" s="67"/>
      <c r="BH65" s="67"/>
      <c r="BI65" s="67"/>
      <c r="BJ65" s="62"/>
      <c r="BK65" s="67"/>
      <c r="BL65" s="67"/>
      <c r="BM65" s="67"/>
      <c r="BN65" s="62"/>
      <c r="BO65" s="71"/>
      <c r="BP65" s="67"/>
      <c r="BQ65" s="67"/>
      <c r="BR65" s="62"/>
      <c r="BS65" s="62"/>
      <c r="BT65" s="67"/>
      <c r="BU65" s="67"/>
      <c r="BV65" s="67"/>
      <c r="BW65" s="62"/>
      <c r="BX65" s="67"/>
      <c r="BY65" s="67"/>
      <c r="BZ65" s="67"/>
      <c r="CA65" s="62"/>
      <c r="CB65" s="67"/>
      <c r="CC65" s="67"/>
      <c r="CD65" s="67"/>
      <c r="CE65" s="62"/>
      <c r="CF65" s="67"/>
      <c r="CG65" s="67"/>
      <c r="CH65" s="67"/>
      <c r="CI65" s="67"/>
      <c r="CJ65" s="71"/>
      <c r="CK65" s="71"/>
      <c r="CL65" s="67"/>
      <c r="CM65" s="67"/>
      <c r="CN65" s="62"/>
      <c r="CO65" s="67"/>
      <c r="CP65" s="67"/>
      <c r="CQ65" s="67"/>
      <c r="CR65" s="62"/>
      <c r="CS65" s="101"/>
      <c r="CT65" s="67"/>
      <c r="CU65" s="67"/>
      <c r="CV65" s="62"/>
      <c r="CW65" s="67">
        <v>25</v>
      </c>
      <c r="CX65" s="67"/>
      <c r="CY65" s="112"/>
      <c r="CZ65" s="113">
        <f>SUM(CW65:CY65)</f>
        <v>25</v>
      </c>
      <c r="DA65" s="62">
        <f>CN65+CR65+CV65+CZ65</f>
        <v>25</v>
      </c>
      <c r="DB65" s="71">
        <v>25</v>
      </c>
      <c r="DC65" s="67"/>
      <c r="DD65" s="67"/>
      <c r="DE65" s="62">
        <f>SUM(DB65:DD65)</f>
        <v>25</v>
      </c>
      <c r="DF65" s="71">
        <v>31</v>
      </c>
      <c r="DG65" s="67">
        <v>25</v>
      </c>
      <c r="DH65" s="67">
        <v>0</v>
      </c>
      <c r="DI65" s="62">
        <f>SUM(DF65:DH65)</f>
        <v>56</v>
      </c>
      <c r="DJ65" s="71">
        <v>25</v>
      </c>
      <c r="DK65" s="67">
        <v>0</v>
      </c>
      <c r="DL65" s="67">
        <v>0</v>
      </c>
      <c r="DM65" s="62">
        <f>SUM(DJ65:DL65)</f>
        <v>25</v>
      </c>
      <c r="DN65" s="67">
        <v>0</v>
      </c>
      <c r="DO65" s="67">
        <v>25</v>
      </c>
      <c r="DP65" s="67">
        <v>0</v>
      </c>
      <c r="DQ65" s="62">
        <f>SUM(DN65:DP65)</f>
        <v>25</v>
      </c>
      <c r="DR65" s="140">
        <f>DE65+DI65+DM65+DQ65</f>
        <v>131</v>
      </c>
      <c r="DS65" s="141">
        <v>25</v>
      </c>
      <c r="DT65" s="141">
        <v>0</v>
      </c>
      <c r="DU65" s="141"/>
      <c r="DV65" s="140">
        <f t="shared" si="148"/>
        <v>25</v>
      </c>
      <c r="DW65" s="142">
        <v>25</v>
      </c>
      <c r="DX65" s="141"/>
      <c r="DY65" s="141"/>
      <c r="DZ65" s="140">
        <f t="shared" si="149"/>
        <v>25</v>
      </c>
      <c r="EA65" s="142">
        <v>0</v>
      </c>
      <c r="EB65" s="141"/>
      <c r="EC65" s="141"/>
      <c r="ED65" s="140">
        <f t="shared" si="150"/>
        <v>0</v>
      </c>
      <c r="EE65" s="141"/>
      <c r="EF65" s="141"/>
      <c r="EG65" s="141">
        <v>0</v>
      </c>
      <c r="EH65" s="140">
        <f t="shared" si="151"/>
        <v>0</v>
      </c>
      <c r="EI65" s="140">
        <f t="shared" si="40"/>
        <v>50</v>
      </c>
      <c r="EJ65" s="141"/>
      <c r="EK65" s="141">
        <v>0</v>
      </c>
      <c r="EL65" s="141"/>
      <c r="EM65" s="140">
        <f t="shared" si="152"/>
        <v>0</v>
      </c>
      <c r="EN65" s="141">
        <v>20</v>
      </c>
      <c r="EO65" s="141"/>
      <c r="EP65" s="141"/>
      <c r="EQ65" s="140">
        <f t="shared" si="153"/>
        <v>20</v>
      </c>
      <c r="ER65" s="141">
        <v>24.4</v>
      </c>
      <c r="ES65" s="141">
        <v>0</v>
      </c>
      <c r="ET65" s="141"/>
      <c r="EU65" s="140">
        <f t="shared" si="154"/>
        <v>24.4</v>
      </c>
      <c r="EV65" s="141"/>
      <c r="EW65" s="141"/>
      <c r="EX65" s="141"/>
      <c r="EY65" s="140">
        <f t="shared" si="155"/>
        <v>0</v>
      </c>
      <c r="EZ65" s="169">
        <f t="shared" si="45"/>
        <v>44.4</v>
      </c>
      <c r="FA65" s="170"/>
      <c r="FB65" s="169"/>
      <c r="FC65" s="169"/>
      <c r="FD65" s="169"/>
      <c r="FE65" s="171">
        <f t="shared" si="156"/>
        <v>0</v>
      </c>
      <c r="FF65" s="169"/>
      <c r="FG65" s="169"/>
      <c r="FH65" s="169"/>
      <c r="FI65" s="171">
        <f t="shared" si="157"/>
        <v>0</v>
      </c>
      <c r="FJ65" s="169"/>
      <c r="FK65" s="169"/>
      <c r="FL65" s="169"/>
      <c r="FM65" s="171">
        <f t="shared" si="158"/>
        <v>0</v>
      </c>
      <c r="FN65" s="172"/>
      <c r="FO65" s="173"/>
      <c r="FP65" s="173"/>
      <c r="FQ65" s="175">
        <f t="shared" si="159"/>
        <v>0</v>
      </c>
      <c r="FR65" s="175">
        <f t="shared" si="50"/>
        <v>0</v>
      </c>
      <c r="FS65" s="172"/>
      <c r="FT65" s="173"/>
      <c r="FU65" s="174"/>
      <c r="FV65" s="175">
        <f t="shared" si="160"/>
        <v>0</v>
      </c>
      <c r="FW65" s="172">
        <v>0</v>
      </c>
      <c r="FX65" s="173"/>
      <c r="FY65" s="174"/>
      <c r="FZ65" s="175">
        <f t="shared" si="161"/>
        <v>0</v>
      </c>
      <c r="GA65" s="172"/>
      <c r="GB65" s="173"/>
      <c r="GC65" s="174"/>
      <c r="GD65" s="175">
        <f t="shared" si="162"/>
        <v>0</v>
      </c>
      <c r="GE65" s="172"/>
      <c r="GF65" s="173"/>
      <c r="GG65" s="159"/>
      <c r="GH65" s="174">
        <f t="shared" si="184"/>
        <v>0</v>
      </c>
      <c r="GI65" s="174">
        <f t="shared" si="55"/>
        <v>0</v>
      </c>
      <c r="GJ65" s="221"/>
      <c r="GK65" s="222"/>
      <c r="GL65" s="223"/>
      <c r="GM65" s="175">
        <f t="shared" si="164"/>
        <v>0</v>
      </c>
      <c r="GN65" s="221">
        <v>0</v>
      </c>
      <c r="GO65" s="222"/>
      <c r="GP65" s="223"/>
      <c r="GQ65" s="175">
        <f t="shared" si="165"/>
        <v>0</v>
      </c>
      <c r="GR65" s="245"/>
      <c r="GS65" s="222"/>
      <c r="GT65" s="223"/>
      <c r="GU65" s="175">
        <f t="shared" si="166"/>
        <v>0</v>
      </c>
      <c r="GV65" s="221"/>
      <c r="GW65" s="222"/>
      <c r="GX65" s="223"/>
      <c r="GY65" s="174">
        <f t="shared" si="185"/>
        <v>0</v>
      </c>
      <c r="GZ65" s="159">
        <f t="shared" si="110"/>
        <v>0</v>
      </c>
      <c r="HA65" s="254"/>
      <c r="HB65" s="160"/>
      <c r="HC65" s="159"/>
      <c r="HD65" s="273">
        <f t="shared" si="168"/>
        <v>0</v>
      </c>
      <c r="HE65" s="254">
        <v>0</v>
      </c>
      <c r="HF65" s="160"/>
      <c r="HG65" s="159"/>
      <c r="HH65" s="273">
        <f t="shared" si="169"/>
        <v>0</v>
      </c>
      <c r="HI65" s="279"/>
      <c r="HJ65" s="160"/>
      <c r="HK65" s="159"/>
      <c r="HL65" s="273">
        <f t="shared" si="170"/>
        <v>0</v>
      </c>
      <c r="HM65" s="254">
        <v>3.6528508306999998</v>
      </c>
      <c r="HN65" s="160"/>
      <c r="HO65" s="159"/>
      <c r="HP65" s="273">
        <f t="shared" si="188"/>
        <v>3.6528508306999998</v>
      </c>
      <c r="HQ65" s="273">
        <f t="shared" si="127"/>
        <v>3.6528508306999998</v>
      </c>
      <c r="HR65" s="254"/>
      <c r="HS65" s="160">
        <v>32.816025949784795</v>
      </c>
      <c r="HT65" s="159">
        <v>10.76583065</v>
      </c>
      <c r="HU65" s="273">
        <f t="shared" si="172"/>
        <v>43.581856599784793</v>
      </c>
      <c r="HV65" s="254"/>
      <c r="HW65" s="160"/>
      <c r="HX65" s="159"/>
      <c r="HY65" s="273">
        <f t="shared" si="189"/>
        <v>0</v>
      </c>
      <c r="HZ65" s="280">
        <v>10.616249190000001</v>
      </c>
      <c r="IA65" s="160">
        <v>27.936441210000002</v>
      </c>
      <c r="IB65" s="159"/>
      <c r="IC65" s="273">
        <f t="shared" si="174"/>
        <v>38.552690400000003</v>
      </c>
      <c r="ID65" s="254">
        <v>32.777099739999997</v>
      </c>
      <c r="IE65" s="160">
        <v>24.406567669999998</v>
      </c>
      <c r="IF65" s="159">
        <v>35.138772219999993</v>
      </c>
      <c r="IG65" s="273">
        <f t="shared" si="175"/>
        <v>92.322439629999991</v>
      </c>
      <c r="IH65" s="273">
        <v>174.45698662978478</v>
      </c>
      <c r="II65" s="254">
        <v>17.755847679999999</v>
      </c>
      <c r="IJ65" s="160">
        <v>14.930616720000002</v>
      </c>
      <c r="IK65" s="159">
        <v>50.931286799999988</v>
      </c>
      <c r="IL65" s="273">
        <v>83.617751199999987</v>
      </c>
      <c r="IM65" s="254">
        <v>0</v>
      </c>
      <c r="IN65" s="160">
        <v>76.963433909999992</v>
      </c>
      <c r="IO65" s="160">
        <v>38.005149920000001</v>
      </c>
      <c r="IP65" s="273">
        <v>114.96858383</v>
      </c>
      <c r="IQ65" s="254">
        <v>71.98920385000001</v>
      </c>
      <c r="IR65" s="160">
        <v>0.98096310000000009</v>
      </c>
      <c r="IS65" s="159">
        <v>55.546834309999994</v>
      </c>
      <c r="IT65" s="273">
        <v>128.51700126</v>
      </c>
      <c r="IU65" s="254">
        <v>45.708104580000004</v>
      </c>
      <c r="IV65" s="160">
        <v>2.59162772</v>
      </c>
      <c r="IW65" s="159">
        <v>42.599085430000002</v>
      </c>
      <c r="IX65" s="273">
        <v>90.898817730000005</v>
      </c>
      <c r="IY65" s="273">
        <v>418.00215402000003</v>
      </c>
      <c r="IZ65" s="254">
        <v>22.725977910000001</v>
      </c>
      <c r="JA65" s="160">
        <v>25.53401998</v>
      </c>
      <c r="JB65" s="159">
        <v>22.380663219999999</v>
      </c>
      <c r="JC65" s="273">
        <v>70.640661109999996</v>
      </c>
      <c r="JD65" s="254">
        <v>23.28127611</v>
      </c>
      <c r="JE65" s="160">
        <v>33.080609379999999</v>
      </c>
      <c r="JF65" s="159">
        <v>34.497477230145776</v>
      </c>
      <c r="JG65" s="273">
        <v>90.859362720145782</v>
      </c>
      <c r="JH65" s="254">
        <v>14.978516240495622</v>
      </c>
      <c r="JI65" s="160">
        <v>8.7879913799125386</v>
      </c>
      <c r="JJ65" s="159">
        <v>29.834878829999997</v>
      </c>
      <c r="JK65" s="273">
        <v>53.601386450408157</v>
      </c>
      <c r="JL65" s="254">
        <v>26.18301525</v>
      </c>
      <c r="JM65" s="160">
        <v>0</v>
      </c>
      <c r="JN65" s="159">
        <v>0.79877463000000004</v>
      </c>
      <c r="JO65" s="273">
        <v>26.981789880000001</v>
      </c>
      <c r="JP65" s="273">
        <v>242.08320016055393</v>
      </c>
      <c r="JQ65" s="254">
        <v>47.656261239999999</v>
      </c>
      <c r="JR65" s="160"/>
      <c r="JS65" s="159"/>
      <c r="JT65" s="273">
        <v>47.656261239999999</v>
      </c>
      <c r="JU65" s="254">
        <v>0</v>
      </c>
      <c r="JV65" s="160"/>
      <c r="JW65" s="159"/>
      <c r="JX65" s="273">
        <v>0</v>
      </c>
      <c r="JY65" s="254"/>
      <c r="JZ65" s="160"/>
      <c r="KA65" s="159"/>
      <c r="KB65" s="273">
        <v>0</v>
      </c>
      <c r="KC65" s="254"/>
      <c r="KD65" s="160"/>
      <c r="KE65" s="159"/>
      <c r="KF65" s="273">
        <v>0</v>
      </c>
      <c r="KG65" s="273">
        <v>47.656261239999999</v>
      </c>
      <c r="KH65" s="221"/>
      <c r="KI65" s="222"/>
      <c r="KJ65" s="223"/>
      <c r="KK65" s="273">
        <v>0</v>
      </c>
      <c r="KL65" s="221"/>
      <c r="KM65" s="222"/>
      <c r="KN65" s="223"/>
      <c r="KO65" s="273">
        <v>0</v>
      </c>
      <c r="KP65" s="221"/>
      <c r="KQ65" s="222"/>
      <c r="KR65" s="223"/>
      <c r="KS65" s="273">
        <v>0</v>
      </c>
      <c r="KT65" s="254"/>
      <c r="KU65" s="160"/>
      <c r="KV65" s="159"/>
      <c r="KW65" s="273">
        <v>0</v>
      </c>
      <c r="KX65" s="273">
        <v>0</v>
      </c>
      <c r="KY65" s="221">
        <v>0</v>
      </c>
      <c r="KZ65" s="222">
        <v>0</v>
      </c>
      <c r="LA65" s="223">
        <v>0</v>
      </c>
      <c r="LB65" s="273">
        <v>0</v>
      </c>
      <c r="LC65" s="221">
        <v>0</v>
      </c>
      <c r="LD65" s="222">
        <v>0</v>
      </c>
      <c r="LE65" s="223">
        <v>0</v>
      </c>
      <c r="LF65" s="273">
        <v>0</v>
      </c>
      <c r="LG65" s="221">
        <v>0</v>
      </c>
      <c r="LH65" s="222">
        <v>0</v>
      </c>
      <c r="LI65" s="223">
        <v>0</v>
      </c>
      <c r="LJ65" s="273">
        <v>0</v>
      </c>
      <c r="LK65" s="254"/>
      <c r="LL65" s="160"/>
      <c r="LM65" s="159"/>
      <c r="LN65" s="273">
        <v>0</v>
      </c>
      <c r="LO65" s="273">
        <v>0</v>
      </c>
    </row>
    <row r="66" spans="1:327" ht="17.100000000000001" hidden="1" customHeight="1" outlineLevel="1" x14ac:dyDescent="0.25">
      <c r="A66" s="2" t="s">
        <v>84</v>
      </c>
      <c r="B66" s="2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6"/>
      <c r="U66" s="5"/>
      <c r="V66" s="5"/>
      <c r="W66" s="5"/>
      <c r="X66" s="4"/>
      <c r="Y66" s="5"/>
      <c r="Z66" s="5"/>
      <c r="AA66" s="9"/>
      <c r="AB66" s="5"/>
      <c r="AC66" s="5"/>
      <c r="AD66" s="5"/>
      <c r="AE66" s="5"/>
      <c r="AF66" s="5"/>
      <c r="AG66" s="5"/>
      <c r="AH66" s="5"/>
      <c r="AI66" s="5"/>
      <c r="AJ66" s="5"/>
      <c r="AK66" s="16"/>
      <c r="AL66" s="5"/>
      <c r="AM66" s="5"/>
      <c r="AN66" s="5"/>
      <c r="AO66" s="5"/>
      <c r="AP66" s="5"/>
      <c r="AQ66" s="5"/>
      <c r="AR66" s="5"/>
      <c r="AS66" s="54"/>
      <c r="AT66" s="5"/>
      <c r="AU66" s="5"/>
      <c r="AV66" s="5"/>
      <c r="AW66" s="54"/>
      <c r="AX66" s="5"/>
      <c r="AY66" s="5"/>
      <c r="AZ66" s="5"/>
      <c r="BA66" s="54"/>
      <c r="BB66" s="54"/>
      <c r="BC66" s="5"/>
      <c r="BD66" s="66"/>
      <c r="BE66" s="66"/>
      <c r="BF66" s="62"/>
      <c r="BG66" s="67"/>
      <c r="BH66" s="67"/>
      <c r="BI66" s="67"/>
      <c r="BJ66" s="62"/>
      <c r="BK66" s="67"/>
      <c r="BL66" s="67"/>
      <c r="BM66" s="67"/>
      <c r="BN66" s="62"/>
      <c r="BO66" s="71"/>
      <c r="BP66" s="67"/>
      <c r="BQ66" s="67"/>
      <c r="BR66" s="62"/>
      <c r="BS66" s="62"/>
      <c r="BT66" s="67">
        <v>2.4</v>
      </c>
      <c r="BU66" s="67"/>
      <c r="BV66" s="67">
        <f>0.67280666+0.94283901</f>
        <v>1.6156456700000001</v>
      </c>
      <c r="BW66" s="62">
        <f t="shared" ref="BW66:BW75" si="191">SUM(BT66:BV66)</f>
        <v>4.0156456699999996</v>
      </c>
      <c r="BX66" s="67"/>
      <c r="BY66" s="67">
        <v>1.6</v>
      </c>
      <c r="BZ66" s="67">
        <v>6.6</v>
      </c>
      <c r="CA66" s="62">
        <f t="shared" ref="CA66:CA75" si="192">SUM(BX66:BZ66)</f>
        <v>8.1999999999999993</v>
      </c>
      <c r="CB66" s="67">
        <v>1.5</v>
      </c>
      <c r="CC66" s="67"/>
      <c r="CD66" s="67">
        <v>0.9</v>
      </c>
      <c r="CE66" s="62">
        <f t="shared" ref="CE66:CE72" si="193">SUM(CB66:CD66)</f>
        <v>2.4</v>
      </c>
      <c r="CF66" s="67">
        <v>1.1599999999999999</v>
      </c>
      <c r="CG66" s="67">
        <v>0.94</v>
      </c>
      <c r="CH66" s="67">
        <v>4.3</v>
      </c>
      <c r="CI66" s="67">
        <f t="shared" ref="CI66:CI75" si="194">SUM(CF66:CH66)</f>
        <v>6.3999999999999995</v>
      </c>
      <c r="CJ66" s="71">
        <f t="shared" ref="CJ66:CJ75" si="195">BW66+CA66+CE66+CI66</f>
        <v>21.015645669999998</v>
      </c>
      <c r="CK66" s="71"/>
      <c r="CL66" s="67"/>
      <c r="CM66" s="67"/>
      <c r="CN66" s="62">
        <f>SUM(CK66:CM66)</f>
        <v>0</v>
      </c>
      <c r="CO66" s="67">
        <v>0.5</v>
      </c>
      <c r="CP66" s="67">
        <v>1.2</v>
      </c>
      <c r="CQ66" s="67">
        <v>6.8</v>
      </c>
      <c r="CR66" s="62">
        <f>SUM(CO66:CQ66)</f>
        <v>8.5</v>
      </c>
      <c r="CS66" s="101"/>
      <c r="CT66" s="67"/>
      <c r="CU66" s="67">
        <v>1.3</v>
      </c>
      <c r="CV66" s="62">
        <f>SUM(CS66:CU66)</f>
        <v>1.3</v>
      </c>
      <c r="CW66" s="67">
        <v>1.6</v>
      </c>
      <c r="CX66" s="67">
        <v>1.3</v>
      </c>
      <c r="CY66" s="112">
        <v>4.8</v>
      </c>
      <c r="CZ66" s="114">
        <f>SUM(CW66:CY66)</f>
        <v>7.7</v>
      </c>
      <c r="DA66" s="62">
        <f>CN66+CR66+CV66+CZ66</f>
        <v>17.5</v>
      </c>
      <c r="DB66" s="71"/>
      <c r="DC66" s="67">
        <v>0</v>
      </c>
      <c r="DD66" s="67"/>
      <c r="DE66" s="62">
        <f>SUM(DB66:DD66)</f>
        <v>0</v>
      </c>
      <c r="DF66" s="71">
        <v>1.3</v>
      </c>
      <c r="DG66" s="67">
        <v>1.4</v>
      </c>
      <c r="DH66" s="67">
        <v>5.3</v>
      </c>
      <c r="DI66" s="62">
        <f>SUM(DF66:DH66)</f>
        <v>8</v>
      </c>
      <c r="DJ66" s="71"/>
      <c r="DK66" s="67"/>
      <c r="DL66" s="67">
        <v>3.5</v>
      </c>
      <c r="DM66" s="62">
        <f>SUM(DJ66:DL66)</f>
        <v>3.5</v>
      </c>
      <c r="DN66" s="67">
        <v>1.8</v>
      </c>
      <c r="DO66" s="67">
        <v>1.4</v>
      </c>
      <c r="DP66" s="67">
        <v>5.6</v>
      </c>
      <c r="DQ66" s="113">
        <f>SUM(DN66:DP66)</f>
        <v>8.8000000000000007</v>
      </c>
      <c r="DR66" s="140">
        <f>DE66+DI66+DM66+DQ66</f>
        <v>20.3</v>
      </c>
      <c r="DS66" s="141"/>
      <c r="DT66" s="141"/>
      <c r="DU66" s="141">
        <v>0.6</v>
      </c>
      <c r="DV66" s="140">
        <f t="shared" si="148"/>
        <v>0.6</v>
      </c>
      <c r="DW66" s="142">
        <v>2.9</v>
      </c>
      <c r="DX66" s="141">
        <v>1.1000000000000001</v>
      </c>
      <c r="DY66" s="141">
        <v>4.3</v>
      </c>
      <c r="DZ66" s="140">
        <f t="shared" si="149"/>
        <v>8.3000000000000007</v>
      </c>
      <c r="EA66" s="142"/>
      <c r="EB66" s="141"/>
      <c r="EC66" s="141">
        <v>2.9</v>
      </c>
      <c r="ED66" s="140">
        <f t="shared" si="150"/>
        <v>2.9</v>
      </c>
      <c r="EE66" s="141">
        <v>2.9</v>
      </c>
      <c r="EF66" s="141"/>
      <c r="EG66" s="141">
        <v>5.5</v>
      </c>
      <c r="EH66" s="140">
        <f t="shared" si="151"/>
        <v>8.4</v>
      </c>
      <c r="EI66" s="140">
        <f t="shared" si="40"/>
        <v>20.200000000000003</v>
      </c>
      <c r="EJ66" s="141"/>
      <c r="EK66" s="141"/>
      <c r="EL66" s="141">
        <v>2.7</v>
      </c>
      <c r="EM66" s="140">
        <f t="shared" si="152"/>
        <v>2.7</v>
      </c>
      <c r="EN66" s="141">
        <v>1.5</v>
      </c>
      <c r="EO66" s="141"/>
      <c r="EP66" s="141">
        <v>4.4000000000000004</v>
      </c>
      <c r="EQ66" s="140">
        <f t="shared" si="153"/>
        <v>5.9</v>
      </c>
      <c r="ER66" s="141">
        <v>7.7</v>
      </c>
      <c r="ES66" s="141">
        <v>1.6</v>
      </c>
      <c r="ET66" s="141">
        <v>3</v>
      </c>
      <c r="EU66" s="140">
        <f t="shared" si="154"/>
        <v>12.3</v>
      </c>
      <c r="EV66" s="141">
        <v>12.6</v>
      </c>
      <c r="EW66" s="141">
        <v>0</v>
      </c>
      <c r="EX66" s="141">
        <v>2.8808912099999997</v>
      </c>
      <c r="EY66" s="140">
        <f t="shared" si="155"/>
        <v>15.480891209999999</v>
      </c>
      <c r="EZ66" s="169">
        <f t="shared" si="45"/>
        <v>36.380891210000001</v>
      </c>
      <c r="FA66" s="170"/>
      <c r="FB66" s="169"/>
      <c r="FC66" s="169"/>
      <c r="FD66" s="169"/>
      <c r="FE66" s="171">
        <f t="shared" si="156"/>
        <v>0</v>
      </c>
      <c r="FF66" s="169"/>
      <c r="FG66" s="169"/>
      <c r="FH66" s="169"/>
      <c r="FI66" s="171">
        <f t="shared" si="157"/>
        <v>0</v>
      </c>
      <c r="FJ66" s="169"/>
      <c r="FK66" s="169"/>
      <c r="FL66" s="169"/>
      <c r="FM66" s="171">
        <f t="shared" si="158"/>
        <v>0</v>
      </c>
      <c r="FN66" s="172"/>
      <c r="FO66" s="173"/>
      <c r="FP66" s="173"/>
      <c r="FQ66" s="175">
        <f t="shared" si="159"/>
        <v>0</v>
      </c>
      <c r="FR66" s="175">
        <f t="shared" si="50"/>
        <v>0</v>
      </c>
      <c r="FS66" s="172"/>
      <c r="FT66" s="173"/>
      <c r="FU66" s="174"/>
      <c r="FV66" s="175">
        <f t="shared" si="160"/>
        <v>0</v>
      </c>
      <c r="FW66" s="172"/>
      <c r="FX66" s="173"/>
      <c r="FY66" s="174">
        <v>14.6208788</v>
      </c>
      <c r="FZ66" s="175">
        <f t="shared" si="161"/>
        <v>14.6208788</v>
      </c>
      <c r="GA66" s="172"/>
      <c r="GB66" s="173"/>
      <c r="GC66" s="174"/>
      <c r="GD66" s="175">
        <f t="shared" si="162"/>
        <v>0</v>
      </c>
      <c r="GE66" s="172"/>
      <c r="GF66" s="173"/>
      <c r="GG66" s="159"/>
      <c r="GH66" s="174">
        <f t="shared" si="184"/>
        <v>0</v>
      </c>
      <c r="GI66" s="174">
        <f t="shared" si="55"/>
        <v>14.6208788</v>
      </c>
      <c r="GJ66" s="221"/>
      <c r="GK66" s="222"/>
      <c r="GL66" s="223"/>
      <c r="GM66" s="175">
        <f t="shared" si="164"/>
        <v>0</v>
      </c>
      <c r="GN66" s="221"/>
      <c r="GO66" s="222"/>
      <c r="GP66" s="223"/>
      <c r="GQ66" s="175">
        <f t="shared" si="165"/>
        <v>0</v>
      </c>
      <c r="GR66" s="245">
        <v>0</v>
      </c>
      <c r="GS66" s="222"/>
      <c r="GT66" s="223"/>
      <c r="GU66" s="175">
        <f t="shared" si="166"/>
        <v>0</v>
      </c>
      <c r="GV66" s="221"/>
      <c r="GW66" s="222"/>
      <c r="GX66" s="223"/>
      <c r="GY66" s="174">
        <f t="shared" si="185"/>
        <v>0</v>
      </c>
      <c r="GZ66" s="159">
        <f t="shared" si="110"/>
        <v>0</v>
      </c>
      <c r="HA66" s="254"/>
      <c r="HB66" s="160"/>
      <c r="HC66" s="159"/>
      <c r="HD66" s="273">
        <f t="shared" si="168"/>
        <v>0</v>
      </c>
      <c r="HE66" s="254"/>
      <c r="HF66" s="160"/>
      <c r="HG66" s="159"/>
      <c r="HH66" s="273">
        <f t="shared" si="169"/>
        <v>0</v>
      </c>
      <c r="HI66" s="279">
        <v>0</v>
      </c>
      <c r="HJ66" s="160"/>
      <c r="HK66" s="159"/>
      <c r="HL66" s="273">
        <f t="shared" si="170"/>
        <v>0</v>
      </c>
      <c r="HM66" s="254"/>
      <c r="HN66" s="160"/>
      <c r="HO66" s="159"/>
      <c r="HP66" s="273">
        <f t="shared" si="188"/>
        <v>0</v>
      </c>
      <c r="HQ66" s="273">
        <f t="shared" si="127"/>
        <v>0</v>
      </c>
      <c r="HR66" s="254"/>
      <c r="HS66" s="160"/>
      <c r="HT66" s="159"/>
      <c r="HU66" s="273">
        <f t="shared" si="172"/>
        <v>0</v>
      </c>
      <c r="HV66" s="254"/>
      <c r="HW66" s="160"/>
      <c r="HX66" s="159"/>
      <c r="HY66" s="273">
        <f t="shared" si="189"/>
        <v>0</v>
      </c>
      <c r="HZ66" s="280"/>
      <c r="IA66" s="160"/>
      <c r="IB66" s="159"/>
      <c r="IC66" s="273">
        <f t="shared" si="174"/>
        <v>0</v>
      </c>
      <c r="ID66" s="254"/>
      <c r="IE66" s="160"/>
      <c r="IF66" s="159"/>
      <c r="IG66" s="273">
        <f t="shared" si="175"/>
        <v>0</v>
      </c>
      <c r="IH66" s="273">
        <v>0</v>
      </c>
      <c r="II66" s="254"/>
      <c r="IJ66" s="160"/>
      <c r="IK66" s="159"/>
      <c r="IL66" s="273">
        <v>0</v>
      </c>
      <c r="IM66" s="254"/>
      <c r="IN66" s="160"/>
      <c r="IO66" s="160"/>
      <c r="IP66" s="273">
        <v>0</v>
      </c>
      <c r="IQ66" s="254"/>
      <c r="IR66" s="160"/>
      <c r="IS66" s="159"/>
      <c r="IT66" s="273">
        <v>0</v>
      </c>
      <c r="IU66" s="254"/>
      <c r="IV66" s="160"/>
      <c r="IW66" s="159"/>
      <c r="IX66" s="273">
        <v>0</v>
      </c>
      <c r="IY66" s="273">
        <v>0</v>
      </c>
      <c r="IZ66" s="254"/>
      <c r="JA66" s="160"/>
      <c r="JB66" s="159"/>
      <c r="JC66" s="273">
        <v>0</v>
      </c>
      <c r="JD66" s="254"/>
      <c r="JE66" s="160"/>
      <c r="JF66" s="159"/>
      <c r="JG66" s="273">
        <v>0</v>
      </c>
      <c r="JH66" s="254"/>
      <c r="JI66" s="160"/>
      <c r="JJ66" s="159"/>
      <c r="JK66" s="273">
        <v>0</v>
      </c>
      <c r="JL66" s="254"/>
      <c r="JM66" s="160"/>
      <c r="JN66" s="159"/>
      <c r="JO66" s="273">
        <v>0</v>
      </c>
      <c r="JP66" s="273">
        <v>0</v>
      </c>
      <c r="JQ66" s="254"/>
      <c r="JR66" s="160"/>
      <c r="JS66" s="159"/>
      <c r="JT66" s="273">
        <v>0</v>
      </c>
      <c r="JU66" s="254"/>
      <c r="JV66" s="160"/>
      <c r="JW66" s="159"/>
      <c r="JX66" s="273">
        <v>0</v>
      </c>
      <c r="JY66" s="254"/>
      <c r="JZ66" s="160"/>
      <c r="KA66" s="159"/>
      <c r="KB66" s="273">
        <v>0</v>
      </c>
      <c r="KC66" s="254"/>
      <c r="KD66" s="160"/>
      <c r="KE66" s="159"/>
      <c r="KF66" s="273">
        <v>0</v>
      </c>
      <c r="KG66" s="273">
        <v>0</v>
      </c>
      <c r="KH66" s="221"/>
      <c r="KI66" s="222"/>
      <c r="KJ66" s="223"/>
      <c r="KK66" s="273">
        <v>0</v>
      </c>
      <c r="KL66" s="221"/>
      <c r="KM66" s="222"/>
      <c r="KN66" s="223"/>
      <c r="KO66" s="273">
        <v>0</v>
      </c>
      <c r="KP66" s="221"/>
      <c r="KQ66" s="222"/>
      <c r="KR66" s="223"/>
      <c r="KS66" s="273">
        <v>0</v>
      </c>
      <c r="KT66" s="254"/>
      <c r="KU66" s="160"/>
      <c r="KV66" s="159"/>
      <c r="KW66" s="273">
        <v>0</v>
      </c>
      <c r="KX66" s="273">
        <v>0</v>
      </c>
      <c r="KY66" s="221">
        <v>0</v>
      </c>
      <c r="KZ66" s="222">
        <v>0</v>
      </c>
      <c r="LA66" s="223">
        <v>0</v>
      </c>
      <c r="LB66" s="273">
        <v>0</v>
      </c>
      <c r="LC66" s="221">
        <v>0</v>
      </c>
      <c r="LD66" s="222">
        <v>0</v>
      </c>
      <c r="LE66" s="223">
        <v>0</v>
      </c>
      <c r="LF66" s="273">
        <v>0</v>
      </c>
      <c r="LG66" s="221">
        <v>0</v>
      </c>
      <c r="LH66" s="222">
        <v>0</v>
      </c>
      <c r="LI66" s="223">
        <v>0</v>
      </c>
      <c r="LJ66" s="273">
        <v>0</v>
      </c>
      <c r="LK66" s="254"/>
      <c r="LL66" s="160"/>
      <c r="LM66" s="159"/>
      <c r="LN66" s="273">
        <v>0</v>
      </c>
      <c r="LO66" s="273">
        <v>0</v>
      </c>
    </row>
    <row r="67" spans="1:327" ht="17.100000000000001" customHeight="1" collapsed="1" x14ac:dyDescent="0.2">
      <c r="A67" s="2" t="s">
        <v>49</v>
      </c>
      <c r="B67" s="24"/>
      <c r="C67" s="5">
        <v>121.3</v>
      </c>
      <c r="D67" s="5">
        <v>12</v>
      </c>
      <c r="E67" s="5">
        <v>7.6</v>
      </c>
      <c r="F67" s="5">
        <v>27.7</v>
      </c>
      <c r="G67" s="5">
        <v>47.3</v>
      </c>
      <c r="H67" s="5">
        <v>7.7</v>
      </c>
      <c r="I67" s="5">
        <v>9.6</v>
      </c>
      <c r="J67" s="5">
        <v>14.7</v>
      </c>
      <c r="K67" s="5">
        <v>32</v>
      </c>
      <c r="L67" s="5">
        <v>4.5999999999999996</v>
      </c>
      <c r="M67" s="5">
        <f>M68+M69</f>
        <v>8.1</v>
      </c>
      <c r="N67" s="5">
        <f>N68+N69</f>
        <v>18.2</v>
      </c>
      <c r="O67" s="5">
        <f t="shared" si="0"/>
        <v>30.9</v>
      </c>
      <c r="P67" s="5">
        <f>P68+P69</f>
        <v>7.5</v>
      </c>
      <c r="Q67" s="5">
        <f>Q68+Q69</f>
        <v>11.1</v>
      </c>
      <c r="R67" s="5">
        <f>R68+R69</f>
        <v>24.3</v>
      </c>
      <c r="S67" s="5">
        <f t="shared" si="1"/>
        <v>42.900000000000006</v>
      </c>
      <c r="T67" s="16">
        <f t="shared" si="7"/>
        <v>153.10000000000002</v>
      </c>
      <c r="U67" s="5">
        <f>U68+U69</f>
        <v>18.8</v>
      </c>
      <c r="V67" s="5">
        <f>V68+V69</f>
        <v>6.1</v>
      </c>
      <c r="W67" s="5">
        <f>W68+W69</f>
        <v>16.96</v>
      </c>
      <c r="X67" s="4">
        <f t="shared" ref="X67:X81" si="196">U67+V67+W67</f>
        <v>41.86</v>
      </c>
      <c r="Y67" s="5">
        <f>Y68+Y69</f>
        <v>6.34</v>
      </c>
      <c r="Z67" s="5">
        <f>Z68+Z69</f>
        <v>9.4600000000000009</v>
      </c>
      <c r="AA67" s="5">
        <f>AA68+AA69</f>
        <v>8.8000000000000007</v>
      </c>
      <c r="AB67" s="5">
        <f t="shared" ref="AB67:AB79" si="197">Y67+Z67+AA67</f>
        <v>24.6</v>
      </c>
      <c r="AC67" s="5">
        <f>AC68+AC69</f>
        <v>12.139999999999999</v>
      </c>
      <c r="AD67" s="5">
        <f>AD68+AD69</f>
        <v>6.3</v>
      </c>
      <c r="AE67" s="5">
        <f>AE68+AE69</f>
        <v>17.3</v>
      </c>
      <c r="AF67" s="5">
        <f t="shared" ref="AF67:AF79" si="198">AC67+AD67+AE67</f>
        <v>35.739999999999995</v>
      </c>
      <c r="AG67" s="5">
        <f>AG68+AG69</f>
        <v>5.84</v>
      </c>
      <c r="AH67" s="5">
        <f>AH68+AH69</f>
        <v>10.4</v>
      </c>
      <c r="AI67" s="5">
        <f>AI68+AI69</f>
        <v>10.7</v>
      </c>
      <c r="AJ67" s="5">
        <f t="shared" si="128"/>
        <v>26.94</v>
      </c>
      <c r="AK67" s="16">
        <f t="shared" si="129"/>
        <v>129.14000000000001</v>
      </c>
      <c r="AL67" s="5">
        <f t="shared" ref="AL67:AT67" si="199">AL68+AL69</f>
        <v>7.3</v>
      </c>
      <c r="AM67" s="5">
        <f t="shared" si="199"/>
        <v>5.4</v>
      </c>
      <c r="AN67" s="5">
        <f t="shared" si="199"/>
        <v>9.3000000000000007</v>
      </c>
      <c r="AO67" s="5">
        <f t="shared" si="181"/>
        <v>22</v>
      </c>
      <c r="AP67" s="5">
        <f t="shared" si="199"/>
        <v>4.4000000000000004</v>
      </c>
      <c r="AQ67" s="5">
        <f t="shared" si="199"/>
        <v>7.5</v>
      </c>
      <c r="AR67" s="5">
        <f t="shared" si="199"/>
        <v>2.2999999999999998</v>
      </c>
      <c r="AS67" s="54">
        <f t="shared" si="12"/>
        <v>14.2</v>
      </c>
      <c r="AT67" s="5">
        <f t="shared" si="199"/>
        <v>9.4</v>
      </c>
      <c r="AU67" s="5">
        <f>AU68+AU69</f>
        <v>3</v>
      </c>
      <c r="AV67" s="5">
        <f>AV68+AV69</f>
        <v>7.5</v>
      </c>
      <c r="AW67" s="54">
        <f t="shared" si="182"/>
        <v>19.899999999999999</v>
      </c>
      <c r="AX67" s="5">
        <f>AX68+AX69</f>
        <v>3.7</v>
      </c>
      <c r="AY67" s="5">
        <f>AY68+AY69</f>
        <v>9.3000000000000007</v>
      </c>
      <c r="AZ67" s="5">
        <f>AZ68+AZ69</f>
        <v>4.4492255399999996</v>
      </c>
      <c r="BA67" s="54">
        <f t="shared" si="14"/>
        <v>17.44922554</v>
      </c>
      <c r="BB67" s="54">
        <f t="shared" si="131"/>
        <v>73.549225540000009</v>
      </c>
      <c r="BC67" s="5">
        <f>BC68+BC69</f>
        <v>2.94812604</v>
      </c>
      <c r="BD67" s="66">
        <f>BD68+BD69</f>
        <v>6.7382455500000003</v>
      </c>
      <c r="BE67" s="66">
        <f>BE68+BE69</f>
        <v>7.9774589200000001</v>
      </c>
      <c r="BF67" s="62">
        <f t="shared" si="186"/>
        <v>17.66383051</v>
      </c>
      <c r="BG67" s="67">
        <f>BG68+BG69</f>
        <v>3.7177669999999998</v>
      </c>
      <c r="BH67" s="67">
        <f>BH68+BH69</f>
        <v>7.2695400000000001</v>
      </c>
      <c r="BI67" s="67">
        <f>BI68+BI69</f>
        <v>5.0301202299999996</v>
      </c>
      <c r="BJ67" s="62">
        <f t="shared" si="132"/>
        <v>16.017427229999999</v>
      </c>
      <c r="BK67" s="67">
        <f>BK68+BK69</f>
        <v>3.0885500000000001</v>
      </c>
      <c r="BL67" s="67">
        <f>BL68+BL69</f>
        <v>6.0015000000000001</v>
      </c>
      <c r="BM67" s="67">
        <f>BM68+BM69</f>
        <v>8.3561440000000005</v>
      </c>
      <c r="BN67" s="62">
        <f t="shared" si="133"/>
        <v>17.446193999999998</v>
      </c>
      <c r="BO67" s="71">
        <f>BO68+BO69</f>
        <v>4.7665671999999999</v>
      </c>
      <c r="BP67" s="67">
        <f>BP68+BP69</f>
        <v>12.56025</v>
      </c>
      <c r="BQ67" s="67">
        <f>BQ68+BQ69</f>
        <v>6.6420199999999996</v>
      </c>
      <c r="BR67" s="62">
        <f t="shared" si="134"/>
        <v>23.968837199999999</v>
      </c>
      <c r="BS67" s="62">
        <f t="shared" si="135"/>
        <v>75.096288939999994</v>
      </c>
      <c r="BT67" s="67">
        <f>BT68+BT69+BT70</f>
        <v>13.3</v>
      </c>
      <c r="BU67" s="67">
        <f>BU68+BU69+BU70</f>
        <v>6.6</v>
      </c>
      <c r="BV67" s="67">
        <f>BV68+BV69+BV70</f>
        <v>8.4</v>
      </c>
      <c r="BW67" s="62">
        <f t="shared" si="191"/>
        <v>28.299999999999997</v>
      </c>
      <c r="BX67" s="67">
        <f>BX68+BX69+BX70</f>
        <v>4.5</v>
      </c>
      <c r="BY67" s="67">
        <f>BY68+BY69+BY70</f>
        <v>6.5</v>
      </c>
      <c r="BZ67" s="67">
        <f>BZ68+BZ69+BZ70</f>
        <v>7.9</v>
      </c>
      <c r="CA67" s="62">
        <f t="shared" si="192"/>
        <v>18.899999999999999</v>
      </c>
      <c r="CB67" s="67">
        <f>CB68+CB69+CB70</f>
        <v>5.5</v>
      </c>
      <c r="CC67" s="67">
        <f>CC68+CC69+CC70</f>
        <v>4.9400000000000004</v>
      </c>
      <c r="CD67" s="67">
        <f>CD68+CD69+CD70</f>
        <v>5.2</v>
      </c>
      <c r="CE67" s="62">
        <f t="shared" si="193"/>
        <v>15.64</v>
      </c>
      <c r="CF67" s="67">
        <f>CF68+CF69+CF70</f>
        <v>2.96</v>
      </c>
      <c r="CG67" s="67">
        <f>CG68+CG69+CG70</f>
        <v>5.22</v>
      </c>
      <c r="CH67" s="67">
        <f>CH68+CH69+CH70</f>
        <v>3.7</v>
      </c>
      <c r="CI67" s="67">
        <f t="shared" si="194"/>
        <v>11.879999999999999</v>
      </c>
      <c r="CJ67" s="71">
        <f t="shared" si="195"/>
        <v>74.72</v>
      </c>
      <c r="CK67" s="71">
        <f t="shared" ref="CK67:DU67" si="200">CK68+CK69+CK70</f>
        <v>2</v>
      </c>
      <c r="CL67" s="67">
        <f t="shared" si="200"/>
        <v>4.3</v>
      </c>
      <c r="CM67" s="67">
        <f t="shared" si="200"/>
        <v>5.84</v>
      </c>
      <c r="CN67" s="62">
        <f t="shared" si="200"/>
        <v>12.14</v>
      </c>
      <c r="CO67" s="67">
        <f t="shared" si="200"/>
        <v>3.1</v>
      </c>
      <c r="CP67" s="67">
        <f t="shared" si="200"/>
        <v>5.6</v>
      </c>
      <c r="CQ67" s="67">
        <f t="shared" si="200"/>
        <v>3.2</v>
      </c>
      <c r="CR67" s="62">
        <f t="shared" si="200"/>
        <v>11.899999999999999</v>
      </c>
      <c r="CS67" s="101">
        <f t="shared" si="200"/>
        <v>2.1</v>
      </c>
      <c r="CT67" s="67">
        <f t="shared" si="200"/>
        <v>3.74</v>
      </c>
      <c r="CU67" s="67">
        <f t="shared" si="200"/>
        <v>6.1</v>
      </c>
      <c r="CV67" s="62">
        <f t="shared" si="200"/>
        <v>11.94</v>
      </c>
      <c r="CW67" s="67">
        <f t="shared" si="200"/>
        <v>3.9</v>
      </c>
      <c r="CX67" s="67">
        <f t="shared" si="200"/>
        <v>7.4</v>
      </c>
      <c r="CY67" s="112">
        <f t="shared" si="200"/>
        <v>4.3</v>
      </c>
      <c r="CZ67" s="113">
        <f t="shared" si="200"/>
        <v>15.6</v>
      </c>
      <c r="DA67" s="62">
        <f t="shared" si="200"/>
        <v>51.58</v>
      </c>
      <c r="DB67" s="71">
        <f t="shared" si="200"/>
        <v>3</v>
      </c>
      <c r="DC67" s="67">
        <f t="shared" si="200"/>
        <v>3.5</v>
      </c>
      <c r="DD67" s="67">
        <f t="shared" si="200"/>
        <v>5.7</v>
      </c>
      <c r="DE67" s="62">
        <f t="shared" si="200"/>
        <v>12.2</v>
      </c>
      <c r="DF67" s="71">
        <f t="shared" si="200"/>
        <v>4.5999999999999996</v>
      </c>
      <c r="DG67" s="67">
        <f t="shared" si="200"/>
        <v>7.6</v>
      </c>
      <c r="DH67" s="67">
        <f t="shared" si="200"/>
        <v>3.8</v>
      </c>
      <c r="DI67" s="62">
        <f t="shared" si="200"/>
        <v>16</v>
      </c>
      <c r="DJ67" s="71">
        <f t="shared" si="200"/>
        <v>2</v>
      </c>
      <c r="DK67" s="67">
        <f t="shared" si="200"/>
        <v>4.3</v>
      </c>
      <c r="DL67" s="67">
        <f t="shared" si="200"/>
        <v>5.8</v>
      </c>
      <c r="DM67" s="62">
        <f t="shared" si="200"/>
        <v>12.1</v>
      </c>
      <c r="DN67" s="67">
        <f t="shared" si="200"/>
        <v>6.3</v>
      </c>
      <c r="DO67" s="67">
        <f t="shared" si="200"/>
        <v>9.7999999999999989</v>
      </c>
      <c r="DP67" s="67">
        <f t="shared" si="200"/>
        <v>5.3000000000000007</v>
      </c>
      <c r="DQ67" s="113">
        <f t="shared" si="200"/>
        <v>21.399999999999995</v>
      </c>
      <c r="DR67" s="140">
        <f t="shared" si="200"/>
        <v>61.699999999999996</v>
      </c>
      <c r="DS67" s="141">
        <f t="shared" si="200"/>
        <v>3.2</v>
      </c>
      <c r="DT67" s="141">
        <f t="shared" si="200"/>
        <v>3.9</v>
      </c>
      <c r="DU67" s="141">
        <f t="shared" si="200"/>
        <v>4</v>
      </c>
      <c r="DV67" s="140">
        <f t="shared" si="148"/>
        <v>11.1</v>
      </c>
      <c r="DW67" s="142">
        <f>DW68+DW69+DW70</f>
        <v>8.6</v>
      </c>
      <c r="DX67" s="141">
        <f>DX68+DX69+DX70</f>
        <v>5</v>
      </c>
      <c r="DY67" s="141">
        <f>DY68+DY69+DY70</f>
        <v>7.3000000000000007</v>
      </c>
      <c r="DZ67" s="140">
        <f t="shared" si="149"/>
        <v>20.9</v>
      </c>
      <c r="EA67" s="142">
        <f>EA68+EA69+EA70</f>
        <v>4.0999999999999996</v>
      </c>
      <c r="EB67" s="141">
        <f>EB68+EB69+EB70</f>
        <v>5.2</v>
      </c>
      <c r="EC67" s="141">
        <f>EC68+EC69+EC70</f>
        <v>5.4</v>
      </c>
      <c r="ED67" s="140">
        <f t="shared" si="150"/>
        <v>14.700000000000001</v>
      </c>
      <c r="EE67" s="141">
        <f>EE68+EE69+EE70</f>
        <v>4</v>
      </c>
      <c r="EF67" s="141">
        <f>EF68+EF69+EF70</f>
        <v>6.7</v>
      </c>
      <c r="EG67" s="141">
        <f>EG68+EG69+EG70</f>
        <v>7.4</v>
      </c>
      <c r="EH67" s="140">
        <f t="shared" si="151"/>
        <v>18.100000000000001</v>
      </c>
      <c r="EI67" s="140">
        <f t="shared" si="40"/>
        <v>64.800000000000011</v>
      </c>
      <c r="EJ67" s="141">
        <f>EJ68+EJ69+EJ70</f>
        <v>5.9</v>
      </c>
      <c r="EK67" s="141">
        <f>EK68+EK69+EK70</f>
        <v>3.8</v>
      </c>
      <c r="EL67" s="141">
        <f>EL68+EL69+EL70</f>
        <v>3.9</v>
      </c>
      <c r="EM67" s="140">
        <f t="shared" si="152"/>
        <v>13.6</v>
      </c>
      <c r="EN67" s="141">
        <f>EN68+EN69+EN70</f>
        <v>14.5</v>
      </c>
      <c r="EO67" s="141">
        <f>EO68+EO69+EO70</f>
        <v>9.4</v>
      </c>
      <c r="EP67" s="141">
        <f>EP68+EP69+EP70</f>
        <v>8.6000000000000014</v>
      </c>
      <c r="EQ67" s="140">
        <f t="shared" si="153"/>
        <v>32.5</v>
      </c>
      <c r="ER67" s="141">
        <f>ER68+ER69+ER70</f>
        <v>9.4</v>
      </c>
      <c r="ES67" s="141">
        <f>ES68+ES69+ES70</f>
        <v>4.8</v>
      </c>
      <c r="ET67" s="141">
        <f>ET68+ET69+ET70</f>
        <v>6.1</v>
      </c>
      <c r="EU67" s="140">
        <f t="shared" si="154"/>
        <v>20.299999999999997</v>
      </c>
      <c r="EV67" s="141">
        <f>EV68+EV69+EV70</f>
        <v>11.3</v>
      </c>
      <c r="EW67" s="141">
        <f>EW68+EW69+EW70</f>
        <v>11.8</v>
      </c>
      <c r="EX67" s="141">
        <f>EX68+EX69+EX70</f>
        <v>7.4255594098100008</v>
      </c>
      <c r="EY67" s="140">
        <f t="shared" si="155"/>
        <v>30.52555940981</v>
      </c>
      <c r="EZ67" s="169">
        <f t="shared" si="45"/>
        <v>96.925559409810006</v>
      </c>
      <c r="FA67" s="170">
        <f>FA68+FA69+FA70</f>
        <v>0</v>
      </c>
      <c r="FB67" s="169">
        <f>FB68+FB69+FB70</f>
        <v>11.8</v>
      </c>
      <c r="FC67" s="169">
        <f>FC68+FC69+FC70</f>
        <v>3.3</v>
      </c>
      <c r="FD67" s="169">
        <f>FD68+FD69+FD70</f>
        <v>3.9</v>
      </c>
      <c r="FE67" s="171">
        <f t="shared" si="156"/>
        <v>19</v>
      </c>
      <c r="FF67" s="169">
        <f>FF68+FF69+FF70</f>
        <v>13.10158496861</v>
      </c>
      <c r="FG67" s="169">
        <f>FG68+FG69+FG70</f>
        <v>12.9</v>
      </c>
      <c r="FH67" s="169">
        <f>FH68+FH69+FH70</f>
        <v>8.1583511270989995</v>
      </c>
      <c r="FI67" s="171">
        <f t="shared" si="157"/>
        <v>34.159936095709</v>
      </c>
      <c r="FJ67" s="169">
        <f>FJ68+FJ69+FJ70</f>
        <v>12.5265608823285</v>
      </c>
      <c r="FK67" s="169">
        <f>FK68+FK69+FK70</f>
        <v>4.4643531581299998</v>
      </c>
      <c r="FL67" s="169">
        <f>FL68+FL69+FL70</f>
        <v>4.0146538037899999</v>
      </c>
      <c r="FM67" s="171">
        <f t="shared" si="158"/>
        <v>21.0055678442485</v>
      </c>
      <c r="FN67" s="172">
        <f>FN68+FN69+FN70</f>
        <v>13.292526803049</v>
      </c>
      <c r="FO67" s="173">
        <f>FO68+FO69+FO70</f>
        <v>12.804124453850999</v>
      </c>
      <c r="FP67" s="173">
        <f>FP68+FP69+FP70</f>
        <v>9.1469127793320002</v>
      </c>
      <c r="FQ67" s="175">
        <f t="shared" si="159"/>
        <v>35.243564036232002</v>
      </c>
      <c r="FR67" s="175">
        <f t="shared" si="50"/>
        <v>109.4090679761895</v>
      </c>
      <c r="FS67" s="172">
        <f>FS68+FS69+FS70</f>
        <v>8.4954159300000001</v>
      </c>
      <c r="FT67" s="173">
        <f>FT68+FT69+FT70</f>
        <v>1.9569672891499998</v>
      </c>
      <c r="FU67" s="174">
        <f>FU68+FU69+FU70</f>
        <v>2.0857094303100001</v>
      </c>
      <c r="FV67" s="175">
        <f t="shared" si="160"/>
        <v>12.538092649460001</v>
      </c>
      <c r="FW67" s="172">
        <f>FW68+FW69+FW70</f>
        <v>12.807501264788</v>
      </c>
      <c r="FX67" s="173">
        <f>FX68+FX69+FX70</f>
        <v>10.2113199490794</v>
      </c>
      <c r="FY67" s="173">
        <f>FY68+FY69+FY70</f>
        <v>9.5768132059689002</v>
      </c>
      <c r="FZ67" s="175">
        <f t="shared" si="161"/>
        <v>32.595634419836301</v>
      </c>
      <c r="GA67" s="172">
        <f>GA68+GA69+GA70</f>
        <v>12.948704010790001</v>
      </c>
      <c r="GB67" s="173">
        <f>GB68+GB69+GB70</f>
        <v>1.9999507127599998</v>
      </c>
      <c r="GC67" s="174">
        <f>GC68+GC69+GC70</f>
        <v>2.7105895610605</v>
      </c>
      <c r="GD67" s="175">
        <f t="shared" si="162"/>
        <v>17.659244284610502</v>
      </c>
      <c r="GE67" s="172">
        <f>GE68+GE69+GE70</f>
        <v>12.52073805184</v>
      </c>
      <c r="GF67" s="173">
        <f>GF68+GF69+GF70</f>
        <v>9.6552371006099982</v>
      </c>
      <c r="GG67" s="159">
        <f>GG68+GG69+GG70</f>
        <v>9.5720491649541994</v>
      </c>
      <c r="GH67" s="174">
        <f t="shared" si="184"/>
        <v>31.748024317404202</v>
      </c>
      <c r="GI67" s="174">
        <f t="shared" si="55"/>
        <v>94.540995671311009</v>
      </c>
      <c r="GJ67" s="221">
        <f>GJ68+GJ69+GJ70</f>
        <v>13.302388879900001</v>
      </c>
      <c r="GK67" s="222">
        <f>GK68+GK69+GK70</f>
        <v>1.9464368419200002</v>
      </c>
      <c r="GL67" s="223">
        <f>GL68+GL69+GL70</f>
        <v>4.5296064658123196</v>
      </c>
      <c r="GM67" s="175">
        <f t="shared" si="164"/>
        <v>19.778432187632319</v>
      </c>
      <c r="GN67" s="221">
        <f>GN68+GN69+GN70</f>
        <v>11.574981006679998</v>
      </c>
      <c r="GO67" s="222">
        <f>GO68+GO69+GO70</f>
        <v>8.5299322812060758</v>
      </c>
      <c r="GP67" s="222">
        <f>GP68+GP69+GP70</f>
        <v>14.121646716509002</v>
      </c>
      <c r="GQ67" s="175">
        <f t="shared" si="165"/>
        <v>34.226560004395076</v>
      </c>
      <c r="GR67" s="222">
        <f>GR68+GR69+GR70</f>
        <v>9.6</v>
      </c>
      <c r="GS67" s="222">
        <f>GS68+GS69+GS70</f>
        <v>1.8827871191757344</v>
      </c>
      <c r="GT67" s="222">
        <f>GT68+GT69+GT70</f>
        <v>3.7018093561482059</v>
      </c>
      <c r="GU67" s="175">
        <f t="shared" si="166"/>
        <v>15.184596475323939</v>
      </c>
      <c r="GV67" s="221">
        <f>GV68+GV69+GV70</f>
        <v>7.9566450991248203</v>
      </c>
      <c r="GW67" s="222">
        <f>GW68+GW69+GW70</f>
        <v>6.5341639544104062</v>
      </c>
      <c r="GX67" s="223">
        <f>GX68+GX69+GX70</f>
        <v>13.778371151694934</v>
      </c>
      <c r="GY67" s="174">
        <f t="shared" si="185"/>
        <v>28.26918020523016</v>
      </c>
      <c r="GZ67" s="159">
        <f t="shared" si="110"/>
        <v>97.458768872581487</v>
      </c>
      <c r="HA67" s="254">
        <f>HA68+HA69+HA70</f>
        <v>3.2660975607030123</v>
      </c>
      <c r="HB67" s="160">
        <f>HB68+HB69+HB70</f>
        <v>3.33569671010043</v>
      </c>
      <c r="HC67" s="159">
        <f>HC68+HC69+HC70</f>
        <v>4.3604179528999714</v>
      </c>
      <c r="HD67" s="273">
        <f t="shared" si="168"/>
        <v>10.962212223703414</v>
      </c>
      <c r="HE67" s="254">
        <f>HE68+HE69+HE70</f>
        <v>9.1241377876025815</v>
      </c>
      <c r="HF67" s="160">
        <f>HF68+HF69+HF70</f>
        <v>6.2469609996704296</v>
      </c>
      <c r="HG67" s="160">
        <f>HG68+HG69+HG70</f>
        <v>8.1434352939295849</v>
      </c>
      <c r="HH67" s="273">
        <f t="shared" si="169"/>
        <v>23.514534081202598</v>
      </c>
      <c r="HI67" s="160">
        <f>HI68+HI69+HI70</f>
        <v>1.8911185611624579</v>
      </c>
      <c r="HJ67" s="160">
        <f>HJ68+HJ69+HJ70</f>
        <v>4.7041990126099993</v>
      </c>
      <c r="HK67" s="160">
        <f>HK68+HK69+HK70</f>
        <v>4.2742715430000002</v>
      </c>
      <c r="HL67" s="273">
        <f t="shared" si="170"/>
        <v>10.869589116772456</v>
      </c>
      <c r="HM67" s="254">
        <f>HM68+HM69+HM70</f>
        <v>5.6666436920398828</v>
      </c>
      <c r="HN67" s="160">
        <f>HN68+HN69+HN70</f>
        <v>4.5343280400000001</v>
      </c>
      <c r="HO67" s="159">
        <f>HO68+HO69+HO70</f>
        <v>7.6189671540669996</v>
      </c>
      <c r="HP67" s="273">
        <f t="shared" si="188"/>
        <v>17.819938886106883</v>
      </c>
      <c r="HQ67" s="273">
        <f t="shared" si="127"/>
        <v>63.166274307785358</v>
      </c>
      <c r="HR67" s="254">
        <f>HR68+HR69+HR70</f>
        <v>1.0420747995399999</v>
      </c>
      <c r="HS67" s="160">
        <f>HS68+HS69+HS70</f>
        <v>4.2163430830762074</v>
      </c>
      <c r="HT67" s="159">
        <f>HT68+HT69+HT70</f>
        <v>5.8622265016999995</v>
      </c>
      <c r="HU67" s="273">
        <f t="shared" si="172"/>
        <v>11.120644384316208</v>
      </c>
      <c r="HV67" s="254">
        <f>HV68+HV69+HV70</f>
        <v>3.6384045085416274</v>
      </c>
      <c r="HW67" s="160">
        <f>HW68+HW69+HW70</f>
        <v>5.4037733285164986</v>
      </c>
      <c r="HX67" s="160">
        <f>HX68+HX69+HX70</f>
        <v>5.5069610925411769</v>
      </c>
      <c r="HY67" s="273">
        <f t="shared" si="189"/>
        <v>14.549138929599303</v>
      </c>
      <c r="HZ67" s="160">
        <f>HZ68+HZ69+HZ70</f>
        <v>2.4567552891408897</v>
      </c>
      <c r="IA67" s="160">
        <f>IA68+IA69+IA70</f>
        <v>3.8894770208179912</v>
      </c>
      <c r="IB67" s="160">
        <f>IB68+IB69+IB70</f>
        <v>3.7287490709840001</v>
      </c>
      <c r="IC67" s="273">
        <f t="shared" si="174"/>
        <v>10.07498138094288</v>
      </c>
      <c r="ID67" s="254">
        <f>ID68+ID69+ID70</f>
        <v>5.1977337906599717</v>
      </c>
      <c r="IE67" s="160">
        <f>IE68+IE69+IE70</f>
        <v>6.7580831114008895</v>
      </c>
      <c r="IF67" s="159">
        <f>IF68+IF69+IF70</f>
        <v>9.4266615000000016</v>
      </c>
      <c r="IG67" s="273">
        <f t="shared" si="175"/>
        <v>21.382478402060862</v>
      </c>
      <c r="IH67" s="273">
        <v>57.127243096919251</v>
      </c>
      <c r="II67" s="254">
        <v>1.9089548499999982</v>
      </c>
      <c r="IJ67" s="160">
        <v>4.4595044336931391</v>
      </c>
      <c r="IK67" s="159">
        <v>7.7064240521046381</v>
      </c>
      <c r="IL67" s="273">
        <v>14.074883335797775</v>
      </c>
      <c r="IM67" s="254">
        <v>3.9349551591000003</v>
      </c>
      <c r="IN67" s="160">
        <v>11.779153634649999</v>
      </c>
      <c r="IO67" s="160">
        <v>20.475690275718865</v>
      </c>
      <c r="IP67" s="273">
        <v>36.189799069468862</v>
      </c>
      <c r="IQ67" s="254">
        <v>6.1851862468616252</v>
      </c>
      <c r="IR67" s="160">
        <v>14.840783398939999</v>
      </c>
      <c r="IS67" s="159">
        <v>8.2264807139200009</v>
      </c>
      <c r="IT67" s="273">
        <v>29.252450359721625</v>
      </c>
      <c r="IU67" s="254">
        <v>6.4390006939898097</v>
      </c>
      <c r="IV67" s="160">
        <v>5.6594225655521866</v>
      </c>
      <c r="IW67" s="159">
        <v>8.5526841239896783</v>
      </c>
      <c r="IX67" s="273">
        <v>20.651107383531674</v>
      </c>
      <c r="IY67" s="273">
        <v>100.16824014851994</v>
      </c>
      <c r="IZ67" s="254">
        <v>4.4403295272303236</v>
      </c>
      <c r="JA67" s="160">
        <v>5.8071298799999997</v>
      </c>
      <c r="JB67" s="159">
        <v>6.7850642485714294</v>
      </c>
      <c r="JC67" s="273">
        <v>17.032523655801754</v>
      </c>
      <c r="JD67" s="254">
        <v>11.943270260612241</v>
      </c>
      <c r="JE67" s="160">
        <v>8.9970461385131131</v>
      </c>
      <c r="JF67" s="159">
        <v>9.2291317564897906</v>
      </c>
      <c r="JG67" s="273">
        <v>30.169448155615143</v>
      </c>
      <c r="JH67" s="254">
        <v>6.171785218133822</v>
      </c>
      <c r="JI67" s="160">
        <v>9.163836810204085</v>
      </c>
      <c r="JJ67" s="159">
        <v>8.208683885000001</v>
      </c>
      <c r="JK67" s="273">
        <v>23.544305913337908</v>
      </c>
      <c r="JL67" s="254">
        <v>4.6398357694752184</v>
      </c>
      <c r="JM67" s="160">
        <v>7.3534954299999997</v>
      </c>
      <c r="JN67" s="160">
        <v>8.4901669700000006</v>
      </c>
      <c r="JO67" s="273">
        <v>20.483498169475219</v>
      </c>
      <c r="JP67" s="273">
        <v>91.229775894230016</v>
      </c>
      <c r="JQ67" s="254">
        <v>5.01228155</v>
      </c>
      <c r="JR67" s="160">
        <v>4.5748086216199999</v>
      </c>
      <c r="JS67" s="159">
        <v>10.14696453</v>
      </c>
      <c r="JT67" s="273">
        <v>19.73405470162</v>
      </c>
      <c r="JU67" s="254">
        <v>16.684986439999999</v>
      </c>
      <c r="JV67" s="160">
        <v>7.5895710800000007</v>
      </c>
      <c r="JW67" s="159">
        <v>9.8857880799999993</v>
      </c>
      <c r="JX67" s="273">
        <v>34.160345599999999</v>
      </c>
      <c r="JY67" s="254">
        <v>2.59419668</v>
      </c>
      <c r="JZ67" s="160">
        <v>4.8727939999999998</v>
      </c>
      <c r="KA67" s="159">
        <v>9.7395247300000012</v>
      </c>
      <c r="KB67" s="273">
        <v>17.206515410000002</v>
      </c>
      <c r="KC67" s="254">
        <v>16.709814430000002</v>
      </c>
      <c r="KD67" s="160">
        <v>7.5794946899999998</v>
      </c>
      <c r="KE67" s="160">
        <v>9.9662237000000005</v>
      </c>
      <c r="KF67" s="273">
        <v>34.255532819999999</v>
      </c>
      <c r="KG67" s="273">
        <v>105.35644853161999</v>
      </c>
      <c r="KH67" s="221">
        <v>2.6537341300000001</v>
      </c>
      <c r="KI67" s="222">
        <v>18.952972030000002</v>
      </c>
      <c r="KJ67" s="223">
        <v>8.4087514900000002</v>
      </c>
      <c r="KK67" s="273">
        <v>30.015457650000002</v>
      </c>
      <c r="KL67" s="221">
        <v>16.912417060000003</v>
      </c>
      <c r="KM67" s="222">
        <v>9.4713689400000014</v>
      </c>
      <c r="KN67" s="223">
        <v>10.854299339999999</v>
      </c>
      <c r="KO67" s="273">
        <v>37.238085340000005</v>
      </c>
      <c r="KP67" s="221">
        <v>2.9095795500000001</v>
      </c>
      <c r="KQ67" s="222">
        <v>19.549017120000006</v>
      </c>
      <c r="KR67" s="223">
        <v>9.07486557</v>
      </c>
      <c r="KS67" s="273">
        <v>31.533462240000006</v>
      </c>
      <c r="KT67" s="254">
        <v>17.348775750000001</v>
      </c>
      <c r="KU67" s="160">
        <v>10.224260009999998</v>
      </c>
      <c r="KV67" s="159">
        <v>11.005384040000001</v>
      </c>
      <c r="KW67" s="273">
        <v>38.578419799999999</v>
      </c>
      <c r="KX67" s="273">
        <v>137.36542503000001</v>
      </c>
      <c r="KY67" s="221">
        <v>4.6989606199999994</v>
      </c>
      <c r="KZ67" s="222">
        <v>19.567485530000003</v>
      </c>
      <c r="LA67" s="223">
        <v>8.7573079599999986</v>
      </c>
      <c r="LB67" s="273">
        <v>33.023754109999999</v>
      </c>
      <c r="LC67" s="221">
        <v>17.957310679999999</v>
      </c>
      <c r="LD67" s="222">
        <v>11.613591239999998</v>
      </c>
      <c r="LE67" s="223">
        <v>10.808303263838367</v>
      </c>
      <c r="LF67" s="273">
        <v>40.379205183838366</v>
      </c>
      <c r="LG67" s="221">
        <v>5.7822563699999998</v>
      </c>
      <c r="LH67" s="222">
        <v>19.290275664419653</v>
      </c>
      <c r="LI67" s="223">
        <v>9.7826623698096462</v>
      </c>
      <c r="LJ67" s="273">
        <v>34.855194404229294</v>
      </c>
      <c r="LK67" s="254">
        <v>18.93592756</v>
      </c>
      <c r="LL67" s="160">
        <v>10.79514799</v>
      </c>
      <c r="LM67" s="159">
        <v>12.724</v>
      </c>
      <c r="LN67" s="273">
        <v>42.455075550000004</v>
      </c>
      <c r="LO67" s="273">
        <v>150.71322924806765</v>
      </c>
    </row>
    <row r="68" spans="1:327" ht="17.100000000000001" customHeight="1" x14ac:dyDescent="0.25">
      <c r="A68" s="2" t="s">
        <v>48</v>
      </c>
      <c r="B68" s="24"/>
      <c r="C68" s="5">
        <v>120.6</v>
      </c>
      <c r="D68" s="5">
        <v>12</v>
      </c>
      <c r="E68" s="5">
        <v>7.6</v>
      </c>
      <c r="F68" s="5">
        <v>27.7</v>
      </c>
      <c r="G68" s="5">
        <v>47.3</v>
      </c>
      <c r="H68" s="5">
        <v>7.7</v>
      </c>
      <c r="I68" s="5">
        <v>9.6</v>
      </c>
      <c r="J68" s="5">
        <v>14.7</v>
      </c>
      <c r="K68" s="5">
        <v>32</v>
      </c>
      <c r="L68" s="5">
        <v>4.5999999999999996</v>
      </c>
      <c r="M68" s="5">
        <f>7.6+0.5</f>
        <v>8.1</v>
      </c>
      <c r="N68" s="5">
        <v>18.2</v>
      </c>
      <c r="O68" s="5">
        <f t="shared" si="0"/>
        <v>30.9</v>
      </c>
      <c r="P68" s="5">
        <v>7.5</v>
      </c>
      <c r="Q68" s="5">
        <v>11.1</v>
      </c>
      <c r="R68" s="5">
        <v>24.3</v>
      </c>
      <c r="S68" s="5">
        <f t="shared" si="1"/>
        <v>42.900000000000006</v>
      </c>
      <c r="T68" s="16">
        <f t="shared" si="7"/>
        <v>153.10000000000002</v>
      </c>
      <c r="U68" s="5">
        <v>18.8</v>
      </c>
      <c r="V68" s="5">
        <v>6.1</v>
      </c>
      <c r="W68" s="5">
        <f>17-0.04</f>
        <v>16.96</v>
      </c>
      <c r="X68" s="4">
        <f t="shared" si="196"/>
        <v>41.86</v>
      </c>
      <c r="Y68" s="5">
        <f>6.34</f>
        <v>6.34</v>
      </c>
      <c r="Z68" s="5">
        <f>9.5-0.04</f>
        <v>9.4600000000000009</v>
      </c>
      <c r="AA68" s="9">
        <f>8.8</f>
        <v>8.8000000000000007</v>
      </c>
      <c r="AB68" s="5">
        <f t="shared" si="197"/>
        <v>24.6</v>
      </c>
      <c r="AC68" s="5">
        <f>12.1+0.04</f>
        <v>12.139999999999999</v>
      </c>
      <c r="AD68" s="5">
        <v>6.3</v>
      </c>
      <c r="AE68" s="5">
        <v>17.3</v>
      </c>
      <c r="AF68" s="5">
        <f t="shared" si="198"/>
        <v>35.739999999999995</v>
      </c>
      <c r="AG68" s="5">
        <f>5.8+0.04</f>
        <v>5.84</v>
      </c>
      <c r="AH68" s="5">
        <v>10.4</v>
      </c>
      <c r="AI68" s="5">
        <v>10.7</v>
      </c>
      <c r="AJ68" s="5">
        <f t="shared" si="128"/>
        <v>26.94</v>
      </c>
      <c r="AK68" s="16">
        <f t="shared" si="129"/>
        <v>129.14000000000001</v>
      </c>
      <c r="AL68" s="5">
        <v>7.3</v>
      </c>
      <c r="AM68" s="5">
        <v>5.4</v>
      </c>
      <c r="AN68" s="5">
        <v>9.3000000000000007</v>
      </c>
      <c r="AO68" s="5">
        <f t="shared" ref="AO68:AO86" si="201">AL68+AM68+AN68</f>
        <v>22</v>
      </c>
      <c r="AP68" s="5">
        <v>4.4000000000000004</v>
      </c>
      <c r="AQ68" s="5">
        <v>7.5</v>
      </c>
      <c r="AR68" s="5">
        <v>2.2999999999999998</v>
      </c>
      <c r="AS68" s="54">
        <f t="shared" si="12"/>
        <v>14.2</v>
      </c>
      <c r="AT68" s="5">
        <v>9.4</v>
      </c>
      <c r="AU68" s="5">
        <v>3</v>
      </c>
      <c r="AV68" s="5">
        <v>7.5</v>
      </c>
      <c r="AW68" s="54">
        <f t="shared" ref="AW68:AW81" si="202">+SUM(AT68:AV68)</f>
        <v>19.899999999999999</v>
      </c>
      <c r="AX68" s="5">
        <v>3.7</v>
      </c>
      <c r="AY68" s="5">
        <v>9.3000000000000007</v>
      </c>
      <c r="AZ68" s="5">
        <f>5.1-0.65077446</f>
        <v>4.4492255399999996</v>
      </c>
      <c r="BA68" s="54">
        <f t="shared" si="14"/>
        <v>17.44922554</v>
      </c>
      <c r="BB68" s="54">
        <f t="shared" si="131"/>
        <v>73.549225540000009</v>
      </c>
      <c r="BC68" s="5">
        <v>2.94812604</v>
      </c>
      <c r="BD68" s="66">
        <v>6.7382455500000003</v>
      </c>
      <c r="BE68" s="66">
        <v>7.9774589200000001</v>
      </c>
      <c r="BF68" s="62">
        <f t="shared" si="186"/>
        <v>17.66383051</v>
      </c>
      <c r="BG68" s="67">
        <v>3.7177669999999998</v>
      </c>
      <c r="BH68" s="67">
        <v>7.2695400000000001</v>
      </c>
      <c r="BI68" s="67">
        <f>5.63973-0.60960977</f>
        <v>5.0301202299999996</v>
      </c>
      <c r="BJ68" s="62">
        <f t="shared" si="132"/>
        <v>16.017427229999999</v>
      </c>
      <c r="BK68" s="67">
        <v>3.0885500000000001</v>
      </c>
      <c r="BL68" s="67">
        <v>6.0015000000000001</v>
      </c>
      <c r="BM68" s="67">
        <v>8.3561440000000005</v>
      </c>
      <c r="BN68" s="62">
        <f t="shared" si="133"/>
        <v>17.446193999999998</v>
      </c>
      <c r="BO68" s="71">
        <v>4.7665671999999999</v>
      </c>
      <c r="BP68" s="67">
        <f>12.56025-BP69</f>
        <v>12.40768231</v>
      </c>
      <c r="BQ68" s="67">
        <f>6.64202-BQ69</f>
        <v>6.6420199999999996</v>
      </c>
      <c r="BR68" s="62">
        <f t="shared" si="134"/>
        <v>23.816269509999998</v>
      </c>
      <c r="BS68" s="62">
        <f t="shared" si="135"/>
        <v>74.943721249999996</v>
      </c>
      <c r="BT68" s="67">
        <f>13.3-BT69</f>
        <v>13.3</v>
      </c>
      <c r="BU68" s="67">
        <v>6.6</v>
      </c>
      <c r="BV68" s="67">
        <v>8.4</v>
      </c>
      <c r="BW68" s="62">
        <f t="shared" si="191"/>
        <v>28.299999999999997</v>
      </c>
      <c r="BX68" s="67">
        <v>4.5</v>
      </c>
      <c r="BY68" s="67">
        <v>6.5</v>
      </c>
      <c r="BZ68" s="67">
        <v>7.4</v>
      </c>
      <c r="CA68" s="62">
        <f t="shared" si="192"/>
        <v>18.399999999999999</v>
      </c>
      <c r="CB68" s="67">
        <v>5.5</v>
      </c>
      <c r="CC68" s="67">
        <v>4.9400000000000004</v>
      </c>
      <c r="CD68" s="67">
        <v>5.2</v>
      </c>
      <c r="CE68" s="62">
        <f t="shared" si="193"/>
        <v>15.64</v>
      </c>
      <c r="CF68" s="67">
        <v>2.96</v>
      </c>
      <c r="CG68" s="67">
        <v>5.22</v>
      </c>
      <c r="CH68" s="67">
        <v>3.7</v>
      </c>
      <c r="CI68" s="67">
        <f t="shared" si="194"/>
        <v>11.879999999999999</v>
      </c>
      <c r="CJ68" s="71">
        <f t="shared" si="195"/>
        <v>74.22</v>
      </c>
      <c r="CK68" s="71">
        <v>2</v>
      </c>
      <c r="CL68" s="67">
        <v>4.3</v>
      </c>
      <c r="CM68" s="67">
        <v>5.84</v>
      </c>
      <c r="CN68" s="62">
        <f>SUM(CK68:CM68)</f>
        <v>12.14</v>
      </c>
      <c r="CO68" s="67">
        <v>3.1</v>
      </c>
      <c r="CP68" s="67">
        <v>5.6</v>
      </c>
      <c r="CQ68" s="67">
        <v>2.7</v>
      </c>
      <c r="CR68" s="62">
        <f t="shared" ref="CR68:CR76" si="203">SUM(CO68:CQ68)</f>
        <v>11.399999999999999</v>
      </c>
      <c r="CS68" s="101">
        <v>2.1</v>
      </c>
      <c r="CT68" s="67">
        <v>3.74</v>
      </c>
      <c r="CU68" s="67">
        <v>6.1</v>
      </c>
      <c r="CV68" s="62">
        <f>SUM(CS68:CU68)</f>
        <v>11.94</v>
      </c>
      <c r="CW68" s="67">
        <v>3.8</v>
      </c>
      <c r="CX68" s="67">
        <v>7.4</v>
      </c>
      <c r="CY68" s="112">
        <v>3.8</v>
      </c>
      <c r="CZ68" s="113">
        <f t="shared" ref="CZ68:CZ76" si="204">SUM(CW68:CY68)</f>
        <v>15</v>
      </c>
      <c r="DA68" s="62">
        <f t="shared" ref="DA68:DA76" si="205">CN68+CR68+CV68+CZ68</f>
        <v>50.48</v>
      </c>
      <c r="DB68" s="71">
        <v>2.8</v>
      </c>
      <c r="DC68" s="67">
        <v>3.5</v>
      </c>
      <c r="DD68" s="67">
        <v>5.7</v>
      </c>
      <c r="DE68" s="62">
        <f>SUM(DB68:DD68)</f>
        <v>12</v>
      </c>
      <c r="DF68" s="71">
        <v>4.3</v>
      </c>
      <c r="DG68" s="67">
        <v>7.5</v>
      </c>
      <c r="DH68" s="67">
        <v>3.8</v>
      </c>
      <c r="DI68" s="62">
        <f>SUM(DF68:DH68)</f>
        <v>15.600000000000001</v>
      </c>
      <c r="DJ68" s="71">
        <v>1.9</v>
      </c>
      <c r="DK68" s="67">
        <v>4.3</v>
      </c>
      <c r="DL68" s="67">
        <v>5.8</v>
      </c>
      <c r="DM68" s="62">
        <f>SUM(DJ68:DL68)</f>
        <v>12</v>
      </c>
      <c r="DN68" s="67">
        <v>6.3</v>
      </c>
      <c r="DO68" s="67">
        <v>9.6</v>
      </c>
      <c r="DP68" s="67">
        <v>4.9000000000000004</v>
      </c>
      <c r="DQ68" s="113">
        <f t="shared" ref="DQ68:DQ75" si="206">SUM(DN68:DP68)</f>
        <v>20.799999999999997</v>
      </c>
      <c r="DR68" s="140">
        <f t="shared" ref="DR68:DR76" si="207">DE68+DI68+DM68+DQ68</f>
        <v>60.4</v>
      </c>
      <c r="DS68" s="141">
        <v>3.1</v>
      </c>
      <c r="DT68" s="141">
        <v>3.9</v>
      </c>
      <c r="DU68" s="141">
        <v>4</v>
      </c>
      <c r="DV68" s="140">
        <f t="shared" si="148"/>
        <v>11</v>
      </c>
      <c r="DW68" s="142">
        <v>8.5</v>
      </c>
      <c r="DX68" s="141">
        <v>5</v>
      </c>
      <c r="DY68" s="141">
        <v>6.9</v>
      </c>
      <c r="DZ68" s="140">
        <f t="shared" si="149"/>
        <v>20.399999999999999</v>
      </c>
      <c r="EA68" s="142">
        <v>4.0999999999999996</v>
      </c>
      <c r="EB68" s="141">
        <v>5.2</v>
      </c>
      <c r="EC68" s="141">
        <v>5.4</v>
      </c>
      <c r="ED68" s="140">
        <f t="shared" si="150"/>
        <v>14.700000000000001</v>
      </c>
      <c r="EE68" s="141">
        <v>4</v>
      </c>
      <c r="EF68" s="141">
        <v>6.7</v>
      </c>
      <c r="EG68" s="141">
        <v>6.4</v>
      </c>
      <c r="EH68" s="140">
        <f t="shared" si="151"/>
        <v>17.100000000000001</v>
      </c>
      <c r="EI68" s="140">
        <f t="shared" si="40"/>
        <v>63.2</v>
      </c>
      <c r="EJ68" s="141">
        <v>5.9</v>
      </c>
      <c r="EK68" s="141">
        <v>3.8</v>
      </c>
      <c r="EL68" s="141">
        <v>3.9</v>
      </c>
      <c r="EM68" s="140">
        <f t="shared" si="152"/>
        <v>13.6</v>
      </c>
      <c r="EN68" s="141">
        <v>9.4</v>
      </c>
      <c r="EO68" s="141">
        <v>9.4</v>
      </c>
      <c r="EP68" s="141">
        <v>8.3000000000000007</v>
      </c>
      <c r="EQ68" s="140">
        <f t="shared" si="153"/>
        <v>27.1</v>
      </c>
      <c r="ER68" s="141">
        <v>9.3000000000000007</v>
      </c>
      <c r="ES68" s="141">
        <v>4.8</v>
      </c>
      <c r="ET68" s="141">
        <v>6.1</v>
      </c>
      <c r="EU68" s="140">
        <f t="shared" si="154"/>
        <v>20.200000000000003</v>
      </c>
      <c r="EV68" s="141">
        <v>11.3</v>
      </c>
      <c r="EW68" s="141">
        <v>11.8</v>
      </c>
      <c r="EX68" s="141">
        <v>7.4255594098100008</v>
      </c>
      <c r="EY68" s="140">
        <f t="shared" si="155"/>
        <v>30.52555940981</v>
      </c>
      <c r="EZ68" s="169">
        <f t="shared" si="45"/>
        <v>91.425559409810006</v>
      </c>
      <c r="FA68" s="170"/>
      <c r="FB68" s="169">
        <v>11.8</v>
      </c>
      <c r="FC68" s="169">
        <v>3.3</v>
      </c>
      <c r="FD68" s="169">
        <v>3.9</v>
      </c>
      <c r="FE68" s="171">
        <f t="shared" si="156"/>
        <v>19</v>
      </c>
      <c r="FF68" s="169">
        <v>13.10158496861</v>
      </c>
      <c r="FG68" s="169">
        <v>12.9</v>
      </c>
      <c r="FH68" s="169">
        <v>8.1583511270989995</v>
      </c>
      <c r="FI68" s="171">
        <f t="shared" si="157"/>
        <v>34.159936095709</v>
      </c>
      <c r="FJ68" s="169">
        <v>12.5265608823285</v>
      </c>
      <c r="FK68" s="169">
        <v>4.4643531581299998</v>
      </c>
      <c r="FL68" s="169">
        <v>4.0146538037899999</v>
      </c>
      <c r="FM68" s="171">
        <f t="shared" si="158"/>
        <v>21.0055678442485</v>
      </c>
      <c r="FN68" s="172">
        <v>13.292526803049</v>
      </c>
      <c r="FO68" s="173">
        <v>12.804124453850999</v>
      </c>
      <c r="FP68" s="173">
        <v>9.1469127793320002</v>
      </c>
      <c r="FQ68" s="175">
        <f t="shared" si="159"/>
        <v>35.243564036232002</v>
      </c>
      <c r="FR68" s="175">
        <f t="shared" si="50"/>
        <v>109.4090679761895</v>
      </c>
      <c r="FS68" s="172">
        <v>8.4954159300000001</v>
      </c>
      <c r="FT68" s="173">
        <v>1.9569672891499998</v>
      </c>
      <c r="FU68" s="174">
        <v>2.0857094303100001</v>
      </c>
      <c r="FV68" s="175">
        <f t="shared" si="160"/>
        <v>12.538092649460001</v>
      </c>
      <c r="FW68" s="172">
        <v>12.807501264788</v>
      </c>
      <c r="FX68" s="173">
        <v>10.2113199490794</v>
      </c>
      <c r="FY68" s="174">
        <v>9.5768132059689002</v>
      </c>
      <c r="FZ68" s="175">
        <f t="shared" si="161"/>
        <v>32.595634419836301</v>
      </c>
      <c r="GA68" s="172">
        <v>12.948704010790001</v>
      </c>
      <c r="GB68" s="173">
        <v>1.9999507127599998</v>
      </c>
      <c r="GC68" s="174">
        <v>2.7105895610605</v>
      </c>
      <c r="GD68" s="175">
        <f t="shared" si="162"/>
        <v>17.659244284610502</v>
      </c>
      <c r="GE68" s="172">
        <v>12.52073805184</v>
      </c>
      <c r="GF68" s="173">
        <v>9.6552371006099982</v>
      </c>
      <c r="GG68" s="159">
        <v>9.5720491649541994</v>
      </c>
      <c r="GH68" s="174">
        <f t="shared" si="184"/>
        <v>31.748024317404202</v>
      </c>
      <c r="GI68" s="174">
        <f t="shared" si="55"/>
        <v>94.540995671311009</v>
      </c>
      <c r="GJ68" s="221">
        <v>13.302388879900001</v>
      </c>
      <c r="GK68" s="222">
        <v>1.9464368419200002</v>
      </c>
      <c r="GL68" s="223">
        <v>4.5296064658123196</v>
      </c>
      <c r="GM68" s="175">
        <f t="shared" si="164"/>
        <v>19.778432187632319</v>
      </c>
      <c r="GN68" s="221">
        <v>11.574981006679998</v>
      </c>
      <c r="GO68" s="222">
        <v>8.5299322812060758</v>
      </c>
      <c r="GP68" s="223">
        <v>14.121646716509002</v>
      </c>
      <c r="GQ68" s="175">
        <f t="shared" si="165"/>
        <v>34.226560004395076</v>
      </c>
      <c r="GR68" s="245">
        <v>9.6</v>
      </c>
      <c r="GS68" s="222">
        <v>1.8827871191757344</v>
      </c>
      <c r="GT68" s="223">
        <v>3.7018093561482059</v>
      </c>
      <c r="GU68" s="175">
        <f>SUM(GR68:GT68)</f>
        <v>15.184596475323939</v>
      </c>
      <c r="GV68" s="221">
        <v>7.3749039998421804</v>
      </c>
      <c r="GW68" s="222">
        <v>6.5341639544104062</v>
      </c>
      <c r="GX68" s="223">
        <v>13.778371151694934</v>
      </c>
      <c r="GY68" s="174">
        <f t="shared" si="185"/>
        <v>27.687439105947519</v>
      </c>
      <c r="GZ68" s="159">
        <f t="shared" si="110"/>
        <v>96.877027773298849</v>
      </c>
      <c r="HA68" s="254">
        <v>3.2660975607030123</v>
      </c>
      <c r="HB68" s="160">
        <v>3.33569671010043</v>
      </c>
      <c r="HC68" s="159">
        <v>4.3604179528999714</v>
      </c>
      <c r="HD68" s="273">
        <f t="shared" si="168"/>
        <v>10.962212223703414</v>
      </c>
      <c r="HE68" s="254">
        <v>9.1241377876025815</v>
      </c>
      <c r="HF68" s="160">
        <v>6.2469609996704296</v>
      </c>
      <c r="HG68" s="159">
        <v>8.1434352939295849</v>
      </c>
      <c r="HH68" s="273">
        <f t="shared" si="169"/>
        <v>23.514534081202598</v>
      </c>
      <c r="HI68" s="279">
        <v>1.8911185611624579</v>
      </c>
      <c r="HJ68" s="160">
        <v>4.7041990126099993</v>
      </c>
      <c r="HK68" s="159">
        <v>4.2742715430000002</v>
      </c>
      <c r="HL68" s="273">
        <f t="shared" si="170"/>
        <v>10.869589116772456</v>
      </c>
      <c r="HM68" s="254">
        <v>5.6666436920398828</v>
      </c>
      <c r="HN68" s="160">
        <v>4.5343280400000001</v>
      </c>
      <c r="HO68" s="159">
        <v>7.6189671540669996</v>
      </c>
      <c r="HP68" s="273">
        <f t="shared" si="188"/>
        <v>17.819938886106883</v>
      </c>
      <c r="HQ68" s="273">
        <f t="shared" si="127"/>
        <v>63.166274307785358</v>
      </c>
      <c r="HR68" s="254">
        <v>1.0420747995399999</v>
      </c>
      <c r="HS68" s="160">
        <v>4.2163430830762074</v>
      </c>
      <c r="HT68" s="159">
        <v>4.4280737316999996</v>
      </c>
      <c r="HU68" s="273">
        <f t="shared" si="172"/>
        <v>9.686491614316207</v>
      </c>
      <c r="HV68" s="254">
        <v>3.6384045085416274</v>
      </c>
      <c r="HW68" s="160">
        <v>5.4037733285164986</v>
      </c>
      <c r="HX68" s="159">
        <v>5.5069610925411769</v>
      </c>
      <c r="HY68" s="273">
        <f t="shared" si="189"/>
        <v>14.549138929599303</v>
      </c>
      <c r="HZ68" s="280">
        <v>1.1283763891408896</v>
      </c>
      <c r="IA68" s="160">
        <v>3.3307482208179913</v>
      </c>
      <c r="IB68" s="159">
        <v>3.7287490709840001</v>
      </c>
      <c r="IC68" s="273">
        <f t="shared" si="174"/>
        <v>8.1878736809428805</v>
      </c>
      <c r="ID68" s="254">
        <v>4.5421923206599715</v>
      </c>
      <c r="IE68" s="160">
        <v>6.3692980310008895</v>
      </c>
      <c r="IF68" s="159">
        <v>6.6003510799999976</v>
      </c>
      <c r="IG68" s="273">
        <f t="shared" si="175"/>
        <v>17.511841431660859</v>
      </c>
      <c r="IH68" s="273">
        <v>49.935345656519246</v>
      </c>
      <c r="II68" s="254">
        <v>1.5527972799999996</v>
      </c>
      <c r="IJ68" s="160">
        <v>3.2861696336931412</v>
      </c>
      <c r="IK68" s="159">
        <v>4.3255020621046381</v>
      </c>
      <c r="IL68" s="273">
        <v>9.164468975797778</v>
      </c>
      <c r="IM68" s="254">
        <v>3.9349551591000003</v>
      </c>
      <c r="IN68" s="160">
        <v>7.4409400746499994</v>
      </c>
      <c r="IO68" s="160">
        <v>6.0581628347188667</v>
      </c>
      <c r="IP68" s="273">
        <v>17.434058068468868</v>
      </c>
      <c r="IQ68" s="254">
        <v>1.6550530068616258</v>
      </c>
      <c r="IR68" s="160">
        <v>7.5059006889399997</v>
      </c>
      <c r="IS68" s="159">
        <v>4.9405362639200003</v>
      </c>
      <c r="IT68" s="273">
        <v>14.101489959721626</v>
      </c>
      <c r="IU68" s="254">
        <v>3.5578846839898093</v>
      </c>
      <c r="IV68" s="160">
        <v>5.6075900055521863</v>
      </c>
      <c r="IW68" s="159">
        <v>5.6269409738147491</v>
      </c>
      <c r="IX68" s="273">
        <v>14.792415663356744</v>
      </c>
      <c r="IY68" s="273">
        <v>55.492432667345014</v>
      </c>
      <c r="IZ68" s="254">
        <v>2.9282526981632655</v>
      </c>
      <c r="JA68" s="160">
        <v>4.0043872399999998</v>
      </c>
      <c r="JB68" s="159">
        <v>5.2529283388338195</v>
      </c>
      <c r="JC68" s="273">
        <v>12.185568276997085</v>
      </c>
      <c r="JD68" s="254">
        <v>10.356206940583091</v>
      </c>
      <c r="JE68" s="160">
        <v>6.8115130782798836</v>
      </c>
      <c r="JF68" s="159">
        <v>8.1499586761399403</v>
      </c>
      <c r="JG68" s="273">
        <v>25.317678695002911</v>
      </c>
      <c r="JH68" s="254">
        <v>4.8751109778422714</v>
      </c>
      <c r="JI68" s="160">
        <v>6.9645205504081638</v>
      </c>
      <c r="JJ68" s="159">
        <v>5.7746015550000003</v>
      </c>
      <c r="JK68" s="273">
        <v>17.614233083250436</v>
      </c>
      <c r="JL68" s="254">
        <v>4.6398357694752184</v>
      </c>
      <c r="JM68" s="160">
        <v>7.3534954299999997</v>
      </c>
      <c r="JN68" s="159">
        <v>8.3751434200000006</v>
      </c>
      <c r="JO68" s="273">
        <v>20.368474619475219</v>
      </c>
      <c r="JP68" s="273">
        <v>75.485954674725662</v>
      </c>
      <c r="JQ68" s="254">
        <v>2.6324527799999999</v>
      </c>
      <c r="JR68" s="160">
        <v>4.5748086216199999</v>
      </c>
      <c r="JS68" s="159">
        <v>10.14696453</v>
      </c>
      <c r="JT68" s="273">
        <v>17.35422593162</v>
      </c>
      <c r="JU68" s="254">
        <v>16.684986439999999</v>
      </c>
      <c r="JV68" s="160">
        <v>7.5895710800000007</v>
      </c>
      <c r="JW68" s="159">
        <v>9.8857880799999993</v>
      </c>
      <c r="JX68" s="273">
        <v>34.160345599999999</v>
      </c>
      <c r="JY68" s="254">
        <v>2.59419668</v>
      </c>
      <c r="JZ68" s="160">
        <v>4.8727939999999998</v>
      </c>
      <c r="KA68" s="159">
        <v>9.7395247300000012</v>
      </c>
      <c r="KB68" s="273">
        <v>17.206515410000002</v>
      </c>
      <c r="KC68" s="254">
        <v>16.709814430000002</v>
      </c>
      <c r="KD68" s="160">
        <v>7.5794946899999998</v>
      </c>
      <c r="KE68" s="159">
        <v>9.9662237000000005</v>
      </c>
      <c r="KF68" s="273">
        <v>34.255532819999999</v>
      </c>
      <c r="KG68" s="273">
        <v>102.97661976162</v>
      </c>
      <c r="KH68" s="221">
        <v>2.6537341300000001</v>
      </c>
      <c r="KI68" s="222">
        <v>18.952972030000002</v>
      </c>
      <c r="KJ68" s="223">
        <v>8.4087514900000002</v>
      </c>
      <c r="KK68" s="273">
        <v>30.015457650000002</v>
      </c>
      <c r="KL68" s="221">
        <v>16.912417060000003</v>
      </c>
      <c r="KM68" s="222">
        <v>9.4713689400000014</v>
      </c>
      <c r="KN68" s="223">
        <v>10.854299339999999</v>
      </c>
      <c r="KO68" s="273">
        <v>37.238085340000005</v>
      </c>
      <c r="KP68" s="221">
        <v>2.9095795500000001</v>
      </c>
      <c r="KQ68" s="222">
        <v>19.549017120000006</v>
      </c>
      <c r="KR68" s="223">
        <v>9.07486557</v>
      </c>
      <c r="KS68" s="273">
        <v>31.533462240000006</v>
      </c>
      <c r="KT68" s="254">
        <v>17.348775750000001</v>
      </c>
      <c r="KU68" s="160">
        <v>10.224260009999998</v>
      </c>
      <c r="KV68" s="159">
        <v>11.005384040000001</v>
      </c>
      <c r="KW68" s="273">
        <v>38.578419799999999</v>
      </c>
      <c r="KX68" s="273">
        <v>137.36542503000001</v>
      </c>
      <c r="KY68" s="221">
        <v>4.6989606199999994</v>
      </c>
      <c r="KZ68" s="222">
        <v>19.567485530000003</v>
      </c>
      <c r="LA68" s="223">
        <v>8.7573079599999986</v>
      </c>
      <c r="LB68" s="273">
        <v>33.023754109999999</v>
      </c>
      <c r="LC68" s="221">
        <v>17.957310679999999</v>
      </c>
      <c r="LD68" s="222">
        <v>11.613591239999998</v>
      </c>
      <c r="LE68" s="223">
        <v>10.808303263838367</v>
      </c>
      <c r="LF68" s="273">
        <v>40.379205183838366</v>
      </c>
      <c r="LG68" s="221">
        <v>5.7822563699999998</v>
      </c>
      <c r="LH68" s="222">
        <v>19.290275664419653</v>
      </c>
      <c r="LI68" s="223">
        <v>9.7826623698096462</v>
      </c>
      <c r="LJ68" s="273">
        <v>34.855194404229294</v>
      </c>
      <c r="LK68" s="254">
        <v>18.93592756</v>
      </c>
      <c r="LL68" s="160">
        <v>10.79514799</v>
      </c>
      <c r="LM68" s="159">
        <v>12.724</v>
      </c>
      <c r="LN68" s="273">
        <v>42.455075550000004</v>
      </c>
      <c r="LO68" s="273">
        <v>150.71322924806765</v>
      </c>
    </row>
    <row r="69" spans="1:327" ht="17.100000000000001" customHeight="1" x14ac:dyDescent="0.25">
      <c r="A69" s="2" t="s">
        <v>82</v>
      </c>
      <c r="B69" s="24"/>
      <c r="C69" s="5">
        <v>0.7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f t="shared" si="0"/>
        <v>0</v>
      </c>
      <c r="P69" s="5">
        <v>0</v>
      </c>
      <c r="Q69" s="5">
        <v>0</v>
      </c>
      <c r="R69" s="5">
        <v>0</v>
      </c>
      <c r="S69" s="5">
        <f t="shared" si="1"/>
        <v>0</v>
      </c>
      <c r="T69" s="16">
        <f t="shared" si="7"/>
        <v>0</v>
      </c>
      <c r="U69" s="5">
        <v>0</v>
      </c>
      <c r="V69" s="5">
        <v>0</v>
      </c>
      <c r="W69" s="5">
        <v>0</v>
      </c>
      <c r="X69" s="4">
        <f t="shared" si="196"/>
        <v>0</v>
      </c>
      <c r="Y69" s="5">
        <v>0</v>
      </c>
      <c r="Z69" s="5">
        <v>0</v>
      </c>
      <c r="AA69" s="8"/>
      <c r="AB69" s="5">
        <f t="shared" si="197"/>
        <v>0</v>
      </c>
      <c r="AC69" s="5">
        <v>0</v>
      </c>
      <c r="AD69" s="5">
        <v>0</v>
      </c>
      <c r="AE69" s="5">
        <v>0</v>
      </c>
      <c r="AF69" s="5">
        <f t="shared" si="198"/>
        <v>0</v>
      </c>
      <c r="AG69" s="5">
        <v>0</v>
      </c>
      <c r="AH69" s="5">
        <v>0</v>
      </c>
      <c r="AI69" s="5">
        <v>0</v>
      </c>
      <c r="AJ69" s="5">
        <f t="shared" si="128"/>
        <v>0</v>
      </c>
      <c r="AK69" s="16">
        <f t="shared" si="129"/>
        <v>0</v>
      </c>
      <c r="AL69" s="5">
        <v>0</v>
      </c>
      <c r="AM69" s="5">
        <v>0</v>
      </c>
      <c r="AN69" s="5">
        <v>0</v>
      </c>
      <c r="AO69" s="5">
        <f t="shared" si="201"/>
        <v>0</v>
      </c>
      <c r="AP69" s="5">
        <v>0</v>
      </c>
      <c r="AQ69" s="5">
        <v>0</v>
      </c>
      <c r="AR69" s="5">
        <v>0</v>
      </c>
      <c r="AS69" s="54">
        <f t="shared" si="12"/>
        <v>0</v>
      </c>
      <c r="AT69" s="5">
        <v>0</v>
      </c>
      <c r="AU69" s="5">
        <v>0</v>
      </c>
      <c r="AV69" s="5">
        <v>0</v>
      </c>
      <c r="AW69" s="54">
        <f t="shared" si="202"/>
        <v>0</v>
      </c>
      <c r="AX69" s="5">
        <v>0</v>
      </c>
      <c r="AY69" s="5">
        <v>0</v>
      </c>
      <c r="AZ69" s="5">
        <v>0</v>
      </c>
      <c r="BA69" s="54">
        <f t="shared" si="14"/>
        <v>0</v>
      </c>
      <c r="BB69" s="54">
        <f t="shared" si="131"/>
        <v>0</v>
      </c>
      <c r="BC69" s="5">
        <v>0</v>
      </c>
      <c r="BD69" s="66"/>
      <c r="BE69" s="66"/>
      <c r="BF69" s="62">
        <f>SUM(BB69:BD69)</f>
        <v>0</v>
      </c>
      <c r="BG69" s="67"/>
      <c r="BH69" s="67"/>
      <c r="BI69" s="67"/>
      <c r="BJ69" s="62">
        <f t="shared" si="132"/>
        <v>0</v>
      </c>
      <c r="BK69" s="67"/>
      <c r="BL69" s="67"/>
      <c r="BM69" s="67"/>
      <c r="BN69" s="62">
        <f t="shared" si="133"/>
        <v>0</v>
      </c>
      <c r="BO69" s="71"/>
      <c r="BP69" s="67">
        <v>0.15256769000000001</v>
      </c>
      <c r="BQ69" s="67"/>
      <c r="BR69" s="62">
        <f t="shared" si="134"/>
        <v>0.15256769000000001</v>
      </c>
      <c r="BS69" s="62">
        <f t="shared" si="135"/>
        <v>0.15256769000000001</v>
      </c>
      <c r="BT69" s="67"/>
      <c r="BU69" s="67"/>
      <c r="BV69" s="67"/>
      <c r="BW69" s="62">
        <f t="shared" si="191"/>
        <v>0</v>
      </c>
      <c r="BX69" s="67"/>
      <c r="BY69" s="67"/>
      <c r="BZ69" s="67"/>
      <c r="CA69" s="62">
        <f t="shared" si="192"/>
        <v>0</v>
      </c>
      <c r="CB69" s="67"/>
      <c r="CC69" s="67"/>
      <c r="CD69" s="67"/>
      <c r="CE69" s="62">
        <f t="shared" si="193"/>
        <v>0</v>
      </c>
      <c r="CF69" s="67"/>
      <c r="CG69" s="67"/>
      <c r="CH69" s="67"/>
      <c r="CI69" s="67">
        <f t="shared" si="194"/>
        <v>0</v>
      </c>
      <c r="CJ69" s="71">
        <f t="shared" si="195"/>
        <v>0</v>
      </c>
      <c r="CK69" s="71"/>
      <c r="CL69" s="67"/>
      <c r="CM69" s="67"/>
      <c r="CN69" s="62">
        <f>SUM(CK69:CM69)</f>
        <v>0</v>
      </c>
      <c r="CO69" s="67"/>
      <c r="CP69" s="67"/>
      <c r="CQ69" s="67"/>
      <c r="CR69" s="62">
        <f t="shared" si="203"/>
        <v>0</v>
      </c>
      <c r="CS69" s="101"/>
      <c r="CT69" s="67"/>
      <c r="CU69" s="67"/>
      <c r="CV69" s="62">
        <f>SUM(CS69:CU69)</f>
        <v>0</v>
      </c>
      <c r="CW69" s="67">
        <v>0.1</v>
      </c>
      <c r="CX69" s="67"/>
      <c r="CY69" s="112"/>
      <c r="CZ69" s="113">
        <f t="shared" si="204"/>
        <v>0.1</v>
      </c>
      <c r="DA69" s="62">
        <f t="shared" si="205"/>
        <v>0.1</v>
      </c>
      <c r="DB69" s="71">
        <v>0.2</v>
      </c>
      <c r="DC69" s="67"/>
      <c r="DD69" s="67"/>
      <c r="DE69" s="62">
        <f>SUM(DB69:DD69)</f>
        <v>0.2</v>
      </c>
      <c r="DF69" s="71">
        <v>0.3</v>
      </c>
      <c r="DG69" s="67">
        <v>0.1</v>
      </c>
      <c r="DH69" s="67">
        <v>0</v>
      </c>
      <c r="DI69" s="62">
        <f>SUM(DF69:DH69)</f>
        <v>0.4</v>
      </c>
      <c r="DJ69" s="71">
        <v>0.1</v>
      </c>
      <c r="DK69" s="67">
        <v>0</v>
      </c>
      <c r="DL69" s="67">
        <v>0</v>
      </c>
      <c r="DM69" s="62">
        <f>SUM(DJ69:DL69)</f>
        <v>0.1</v>
      </c>
      <c r="DN69" s="67">
        <v>0</v>
      </c>
      <c r="DO69" s="67">
        <v>0.2</v>
      </c>
      <c r="DP69" s="67">
        <v>0</v>
      </c>
      <c r="DQ69" s="113">
        <f t="shared" si="206"/>
        <v>0.2</v>
      </c>
      <c r="DR69" s="140">
        <f t="shared" si="207"/>
        <v>0.90000000000000013</v>
      </c>
      <c r="DS69" s="141">
        <v>0.1</v>
      </c>
      <c r="DT69" s="141">
        <v>0</v>
      </c>
      <c r="DU69" s="141"/>
      <c r="DV69" s="140">
        <f t="shared" si="148"/>
        <v>0.1</v>
      </c>
      <c r="DW69" s="142">
        <v>0.1</v>
      </c>
      <c r="DX69" s="141"/>
      <c r="DY69" s="141"/>
      <c r="DZ69" s="140">
        <f t="shared" si="149"/>
        <v>0.1</v>
      </c>
      <c r="EA69" s="142"/>
      <c r="EB69" s="141"/>
      <c r="EC69" s="141"/>
      <c r="ED69" s="140">
        <f t="shared" si="150"/>
        <v>0</v>
      </c>
      <c r="EE69" s="141"/>
      <c r="EF69" s="141"/>
      <c r="EG69" s="141">
        <v>0</v>
      </c>
      <c r="EH69" s="140">
        <f t="shared" si="151"/>
        <v>0</v>
      </c>
      <c r="EI69" s="140">
        <f t="shared" si="40"/>
        <v>0.2</v>
      </c>
      <c r="EJ69" s="141"/>
      <c r="EK69" s="141">
        <v>0</v>
      </c>
      <c r="EL69" s="141"/>
      <c r="EM69" s="140">
        <f t="shared" si="152"/>
        <v>0</v>
      </c>
      <c r="EN69" s="141">
        <v>5.0999999999999996</v>
      </c>
      <c r="EO69" s="141"/>
      <c r="EP69" s="141"/>
      <c r="EQ69" s="140">
        <f t="shared" si="153"/>
        <v>5.0999999999999996</v>
      </c>
      <c r="ER69" s="141">
        <v>0.1</v>
      </c>
      <c r="ES69" s="141">
        <v>0</v>
      </c>
      <c r="ET69" s="141"/>
      <c r="EU69" s="140">
        <f t="shared" si="154"/>
        <v>0.1</v>
      </c>
      <c r="EV69" s="141"/>
      <c r="EW69" s="141"/>
      <c r="EX69" s="141"/>
      <c r="EY69" s="140">
        <f t="shared" si="155"/>
        <v>0</v>
      </c>
      <c r="EZ69" s="169">
        <f t="shared" si="45"/>
        <v>5.1999999999999993</v>
      </c>
      <c r="FA69" s="170"/>
      <c r="FB69" s="169"/>
      <c r="FC69" s="169"/>
      <c r="FD69" s="169"/>
      <c r="FE69" s="171">
        <f t="shared" si="156"/>
        <v>0</v>
      </c>
      <c r="FF69" s="169"/>
      <c r="FG69" s="169"/>
      <c r="FH69" s="169"/>
      <c r="FI69" s="171">
        <f t="shared" si="157"/>
        <v>0</v>
      </c>
      <c r="FJ69" s="169"/>
      <c r="FK69" s="169"/>
      <c r="FL69" s="169"/>
      <c r="FM69" s="171">
        <f t="shared" si="158"/>
        <v>0</v>
      </c>
      <c r="FN69" s="172"/>
      <c r="FO69" s="173"/>
      <c r="FP69" s="173"/>
      <c r="FQ69" s="175">
        <f t="shared" si="159"/>
        <v>0</v>
      </c>
      <c r="FR69" s="175">
        <f t="shared" si="50"/>
        <v>0</v>
      </c>
      <c r="FS69" s="172"/>
      <c r="FT69" s="173"/>
      <c r="FU69" s="174"/>
      <c r="FV69" s="175">
        <f t="shared" si="160"/>
        <v>0</v>
      </c>
      <c r="FW69" s="172"/>
      <c r="FX69" s="173"/>
      <c r="FY69" s="174">
        <v>0</v>
      </c>
      <c r="FZ69" s="175">
        <f t="shared" si="161"/>
        <v>0</v>
      </c>
      <c r="GA69" s="172"/>
      <c r="GB69" s="173"/>
      <c r="GC69" s="174"/>
      <c r="GD69" s="175">
        <f t="shared" si="162"/>
        <v>0</v>
      </c>
      <c r="GE69" s="172"/>
      <c r="GF69" s="173"/>
      <c r="GG69" s="159"/>
      <c r="GH69" s="174">
        <f t="shared" si="184"/>
        <v>0</v>
      </c>
      <c r="GI69" s="174">
        <f t="shared" si="55"/>
        <v>0</v>
      </c>
      <c r="GJ69" s="221"/>
      <c r="GK69" s="222"/>
      <c r="GL69" s="223"/>
      <c r="GM69" s="175">
        <f t="shared" si="164"/>
        <v>0</v>
      </c>
      <c r="GN69" s="221"/>
      <c r="GO69" s="222"/>
      <c r="GP69" s="223">
        <v>0</v>
      </c>
      <c r="GQ69" s="175">
        <f t="shared" si="165"/>
        <v>0</v>
      </c>
      <c r="GR69" s="245"/>
      <c r="GS69" s="222"/>
      <c r="GT69" s="223"/>
      <c r="GU69" s="175">
        <f t="shared" si="166"/>
        <v>0</v>
      </c>
      <c r="GV69" s="221">
        <v>0.58174109928263995</v>
      </c>
      <c r="GW69" s="222">
        <v>0</v>
      </c>
      <c r="GX69" s="223"/>
      <c r="GY69" s="174">
        <f t="shared" si="185"/>
        <v>0.58174109928263995</v>
      </c>
      <c r="GZ69" s="159">
        <f t="shared" si="110"/>
        <v>0.58174109928263995</v>
      </c>
      <c r="HA69" s="254"/>
      <c r="HB69" s="160"/>
      <c r="HC69" s="159"/>
      <c r="HD69" s="273">
        <f t="shared" si="168"/>
        <v>0</v>
      </c>
      <c r="HE69" s="254"/>
      <c r="HF69" s="160"/>
      <c r="HG69" s="159">
        <v>0</v>
      </c>
      <c r="HH69" s="273">
        <f t="shared" si="169"/>
        <v>0</v>
      </c>
      <c r="HI69" s="279"/>
      <c r="HJ69" s="160"/>
      <c r="HK69" s="159"/>
      <c r="HL69" s="273">
        <f t="shared" si="170"/>
        <v>0</v>
      </c>
      <c r="HM69" s="254"/>
      <c r="HN69" s="160"/>
      <c r="HO69" s="159"/>
      <c r="HP69" s="273">
        <f t="shared" si="188"/>
        <v>0</v>
      </c>
      <c r="HQ69" s="273">
        <f t="shared" si="127"/>
        <v>0</v>
      </c>
      <c r="HR69" s="254"/>
      <c r="HS69" s="160">
        <v>0</v>
      </c>
      <c r="HT69" s="159">
        <v>1.4341527700000001</v>
      </c>
      <c r="HU69" s="273">
        <f t="shared" si="172"/>
        <v>1.4341527700000001</v>
      </c>
      <c r="HV69" s="254"/>
      <c r="HW69" s="160"/>
      <c r="HX69" s="159"/>
      <c r="HY69" s="273">
        <f t="shared" si="189"/>
        <v>0</v>
      </c>
      <c r="HZ69" s="280">
        <v>1.3283789000000001</v>
      </c>
      <c r="IA69" s="160">
        <v>0.55872880000000003</v>
      </c>
      <c r="IB69" s="159"/>
      <c r="IC69" s="273">
        <f t="shared" si="174"/>
        <v>1.8871077000000001</v>
      </c>
      <c r="ID69" s="254">
        <v>0.65554146999999996</v>
      </c>
      <c r="IE69" s="160">
        <v>0.38878508039999998</v>
      </c>
      <c r="IF69" s="159">
        <v>2.8263104200000049</v>
      </c>
      <c r="IG69" s="273">
        <f t="shared" si="175"/>
        <v>3.870636970400005</v>
      </c>
      <c r="IH69" s="273">
        <v>7.1918974404000053</v>
      </c>
      <c r="II69" s="254">
        <v>0.35615756999999859</v>
      </c>
      <c r="IJ69" s="160">
        <v>1.1733347999999975</v>
      </c>
      <c r="IK69" s="159">
        <v>3.38092199</v>
      </c>
      <c r="IL69" s="273">
        <v>4.9104143599999963</v>
      </c>
      <c r="IM69" s="254">
        <v>0</v>
      </c>
      <c r="IN69" s="160">
        <v>4.3382135599999998</v>
      </c>
      <c r="IO69" s="160">
        <v>14.417527440999997</v>
      </c>
      <c r="IP69" s="273">
        <v>18.755741000999997</v>
      </c>
      <c r="IQ69" s="254">
        <v>4.5301332399999996</v>
      </c>
      <c r="IR69" s="160">
        <v>7.3348827099999996</v>
      </c>
      <c r="IS69" s="159">
        <v>3.2859444499999997</v>
      </c>
      <c r="IT69" s="273">
        <v>15.150960399999999</v>
      </c>
      <c r="IU69" s="254">
        <v>2.8811160099999999</v>
      </c>
      <c r="IV69" s="160">
        <v>5.183256E-2</v>
      </c>
      <c r="IW69" s="159">
        <v>2.92574315017493</v>
      </c>
      <c r="IX69" s="273">
        <v>5.8586917201749298</v>
      </c>
      <c r="IY69" s="273">
        <v>44.675807481174928</v>
      </c>
      <c r="IZ69" s="254">
        <v>1.5120768290670585</v>
      </c>
      <c r="JA69" s="160">
        <v>1.8027426400000002</v>
      </c>
      <c r="JB69" s="159">
        <v>1.5321359097376099</v>
      </c>
      <c r="JC69" s="273">
        <v>4.8469553788046689</v>
      </c>
      <c r="JD69" s="254">
        <v>1.58706332002915</v>
      </c>
      <c r="JE69" s="160">
        <v>2.185533060233229</v>
      </c>
      <c r="JF69" s="159">
        <v>1.07917308034985</v>
      </c>
      <c r="JG69" s="273">
        <v>4.8517694606122292</v>
      </c>
      <c r="JH69" s="254">
        <v>1.2966742402915501</v>
      </c>
      <c r="JI69" s="160">
        <v>2.1993162597959208</v>
      </c>
      <c r="JJ69" s="159">
        <v>2.4340823300000003</v>
      </c>
      <c r="JK69" s="273">
        <v>5.9300728300874717</v>
      </c>
      <c r="JL69" s="254">
        <v>0</v>
      </c>
      <c r="JM69" s="160">
        <v>0</v>
      </c>
      <c r="JN69" s="159">
        <v>0.11502355</v>
      </c>
      <c r="JO69" s="273">
        <v>0.11502355</v>
      </c>
      <c r="JP69" s="273">
        <v>15.743821219504369</v>
      </c>
      <c r="JQ69" s="254">
        <v>2.37982877</v>
      </c>
      <c r="JR69" s="160"/>
      <c r="JS69" s="159"/>
      <c r="JT69" s="273">
        <v>2.37982877</v>
      </c>
      <c r="JU69" s="254">
        <v>0</v>
      </c>
      <c r="JV69" s="160"/>
      <c r="JW69" s="159"/>
      <c r="JX69" s="273">
        <v>0</v>
      </c>
      <c r="JY69" s="254"/>
      <c r="JZ69" s="160"/>
      <c r="KA69" s="159"/>
      <c r="KB69" s="273">
        <v>0</v>
      </c>
      <c r="KC69" s="254"/>
      <c r="KD69" s="160"/>
      <c r="KE69" s="159"/>
      <c r="KF69" s="273">
        <v>0</v>
      </c>
      <c r="KG69" s="273">
        <v>2.37982877</v>
      </c>
      <c r="KH69" s="221"/>
      <c r="KI69" s="222"/>
      <c r="KJ69" s="223"/>
      <c r="KK69" s="273">
        <v>0</v>
      </c>
      <c r="KL69" s="221"/>
      <c r="KM69" s="222"/>
      <c r="KN69" s="223"/>
      <c r="KO69" s="273">
        <v>0</v>
      </c>
      <c r="KP69" s="221"/>
      <c r="KQ69" s="222"/>
      <c r="KR69" s="223"/>
      <c r="KS69" s="273">
        <v>0</v>
      </c>
      <c r="KT69" s="254"/>
      <c r="KU69" s="160"/>
      <c r="KV69" s="159"/>
      <c r="KW69" s="273">
        <v>0</v>
      </c>
      <c r="KX69" s="273">
        <v>0</v>
      </c>
      <c r="KY69" s="221">
        <v>0</v>
      </c>
      <c r="KZ69" s="222">
        <v>0</v>
      </c>
      <c r="LA69" s="223">
        <v>0</v>
      </c>
      <c r="LB69" s="273">
        <v>0</v>
      </c>
      <c r="LC69" s="221">
        <v>0</v>
      </c>
      <c r="LD69" s="222">
        <v>0</v>
      </c>
      <c r="LE69" s="223">
        <v>0</v>
      </c>
      <c r="LF69" s="273">
        <v>0</v>
      </c>
      <c r="LG69" s="221">
        <v>0</v>
      </c>
      <c r="LH69" s="222">
        <v>0</v>
      </c>
      <c r="LI69" s="223">
        <v>0</v>
      </c>
      <c r="LJ69" s="273">
        <v>0</v>
      </c>
      <c r="LK69" s="254"/>
      <c r="LL69" s="160"/>
      <c r="LM69" s="159"/>
      <c r="LN69" s="273">
        <v>0</v>
      </c>
      <c r="LO69" s="273">
        <v>0</v>
      </c>
    </row>
    <row r="70" spans="1:327" ht="17.100000000000001" hidden="1" customHeight="1" outlineLevel="1" x14ac:dyDescent="0.25">
      <c r="A70" s="2" t="s">
        <v>84</v>
      </c>
      <c r="B70" s="2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6"/>
      <c r="U70" s="5"/>
      <c r="V70" s="5"/>
      <c r="W70" s="5"/>
      <c r="X70" s="4"/>
      <c r="Y70" s="5"/>
      <c r="Z70" s="5"/>
      <c r="AA70" s="8"/>
      <c r="AB70" s="5"/>
      <c r="AC70" s="5"/>
      <c r="AD70" s="5"/>
      <c r="AE70" s="5"/>
      <c r="AF70" s="5"/>
      <c r="AG70" s="5"/>
      <c r="AH70" s="5"/>
      <c r="AI70" s="5"/>
      <c r="AJ70" s="5"/>
      <c r="AK70" s="16"/>
      <c r="AL70" s="5"/>
      <c r="AM70" s="5"/>
      <c r="AN70" s="5"/>
      <c r="AO70" s="5"/>
      <c r="AP70" s="5"/>
      <c r="AQ70" s="5"/>
      <c r="AR70" s="5"/>
      <c r="AS70" s="54"/>
      <c r="AT70" s="5"/>
      <c r="AU70" s="5"/>
      <c r="AV70" s="5"/>
      <c r="AW70" s="54"/>
      <c r="AX70" s="5"/>
      <c r="AY70" s="5"/>
      <c r="AZ70" s="5"/>
      <c r="BA70" s="54"/>
      <c r="BB70" s="54"/>
      <c r="BC70" s="5"/>
      <c r="BD70" s="66"/>
      <c r="BE70" s="66"/>
      <c r="BF70" s="62"/>
      <c r="BG70" s="67"/>
      <c r="BH70" s="67"/>
      <c r="BI70" s="67"/>
      <c r="BJ70" s="62"/>
      <c r="BK70" s="67"/>
      <c r="BL70" s="67"/>
      <c r="BM70" s="67"/>
      <c r="BN70" s="62"/>
      <c r="BO70" s="71"/>
      <c r="BP70" s="67"/>
      <c r="BQ70" s="67"/>
      <c r="BR70" s="62"/>
      <c r="BS70" s="62"/>
      <c r="BT70" s="67"/>
      <c r="BU70" s="67"/>
      <c r="BV70" s="67"/>
      <c r="BW70" s="62">
        <f t="shared" si="191"/>
        <v>0</v>
      </c>
      <c r="BX70" s="67"/>
      <c r="BY70" s="67"/>
      <c r="BZ70" s="67">
        <v>0.5</v>
      </c>
      <c r="CA70" s="62">
        <f t="shared" si="192"/>
        <v>0.5</v>
      </c>
      <c r="CB70" s="67"/>
      <c r="CC70" s="67"/>
      <c r="CD70" s="67"/>
      <c r="CE70" s="62">
        <f t="shared" si="193"/>
        <v>0</v>
      </c>
      <c r="CF70" s="67"/>
      <c r="CG70" s="67"/>
      <c r="CH70" s="67"/>
      <c r="CI70" s="67">
        <f t="shared" si="194"/>
        <v>0</v>
      </c>
      <c r="CJ70" s="71">
        <f t="shared" si="195"/>
        <v>0.5</v>
      </c>
      <c r="CK70" s="71"/>
      <c r="CL70" s="67"/>
      <c r="CM70" s="67"/>
      <c r="CN70" s="62"/>
      <c r="CO70" s="67"/>
      <c r="CP70" s="67"/>
      <c r="CQ70" s="67">
        <v>0.5</v>
      </c>
      <c r="CR70" s="62">
        <f t="shared" si="203"/>
        <v>0.5</v>
      </c>
      <c r="CS70" s="101"/>
      <c r="CT70" s="67"/>
      <c r="CU70" s="67"/>
      <c r="CV70" s="62"/>
      <c r="CW70" s="67"/>
      <c r="CX70" s="67"/>
      <c r="CY70" s="112">
        <v>0.5</v>
      </c>
      <c r="CZ70" s="113">
        <f t="shared" si="204"/>
        <v>0.5</v>
      </c>
      <c r="DA70" s="62">
        <f t="shared" si="205"/>
        <v>1</v>
      </c>
      <c r="DB70" s="71"/>
      <c r="DC70" s="67"/>
      <c r="DD70" s="67"/>
      <c r="DE70" s="62"/>
      <c r="DF70" s="71"/>
      <c r="DG70" s="67"/>
      <c r="DH70" s="67"/>
      <c r="DI70" s="62"/>
      <c r="DJ70" s="71"/>
      <c r="DK70" s="67"/>
      <c r="DL70" s="67"/>
      <c r="DM70" s="62"/>
      <c r="DN70" s="67"/>
      <c r="DO70" s="67"/>
      <c r="DP70" s="67">
        <v>0.4</v>
      </c>
      <c r="DQ70" s="113">
        <f t="shared" si="206"/>
        <v>0.4</v>
      </c>
      <c r="DR70" s="140">
        <f t="shared" si="207"/>
        <v>0.4</v>
      </c>
      <c r="DS70" s="141"/>
      <c r="DT70" s="141"/>
      <c r="DU70" s="141"/>
      <c r="DV70" s="140">
        <f t="shared" si="148"/>
        <v>0</v>
      </c>
      <c r="DW70" s="142"/>
      <c r="DX70" s="141"/>
      <c r="DY70" s="141">
        <v>0.4</v>
      </c>
      <c r="DZ70" s="140">
        <f t="shared" si="149"/>
        <v>0.4</v>
      </c>
      <c r="EA70" s="142"/>
      <c r="EB70" s="141"/>
      <c r="EC70" s="141"/>
      <c r="ED70" s="140">
        <f t="shared" si="150"/>
        <v>0</v>
      </c>
      <c r="EE70" s="141"/>
      <c r="EF70" s="141"/>
      <c r="EG70" s="141">
        <v>1</v>
      </c>
      <c r="EH70" s="140">
        <f t="shared" si="151"/>
        <v>1</v>
      </c>
      <c r="EI70" s="140">
        <f t="shared" si="40"/>
        <v>1.4</v>
      </c>
      <c r="EJ70" s="141"/>
      <c r="EK70" s="141"/>
      <c r="EL70" s="141"/>
      <c r="EM70" s="140">
        <f t="shared" si="152"/>
        <v>0</v>
      </c>
      <c r="EN70" s="141"/>
      <c r="EO70" s="141"/>
      <c r="EP70" s="141">
        <v>0.3</v>
      </c>
      <c r="EQ70" s="140">
        <f t="shared" si="153"/>
        <v>0.3</v>
      </c>
      <c r="ER70" s="141"/>
      <c r="ES70" s="141"/>
      <c r="ET70" s="141"/>
      <c r="EU70" s="140">
        <f t="shared" si="154"/>
        <v>0</v>
      </c>
      <c r="EV70" s="141"/>
      <c r="EW70" s="141">
        <v>0</v>
      </c>
      <c r="EX70" s="141"/>
      <c r="EY70" s="140">
        <f t="shared" si="155"/>
        <v>0</v>
      </c>
      <c r="EZ70" s="169">
        <f t="shared" si="45"/>
        <v>0.3</v>
      </c>
      <c r="FA70" s="170"/>
      <c r="FB70" s="169"/>
      <c r="FC70" s="169"/>
      <c r="FD70" s="169"/>
      <c r="FE70" s="171">
        <f t="shared" si="156"/>
        <v>0</v>
      </c>
      <c r="FF70" s="169"/>
      <c r="FG70" s="169"/>
      <c r="FH70" s="169"/>
      <c r="FI70" s="171">
        <f t="shared" si="157"/>
        <v>0</v>
      </c>
      <c r="FJ70" s="169"/>
      <c r="FK70" s="169"/>
      <c r="FL70" s="169"/>
      <c r="FM70" s="171">
        <f t="shared" si="158"/>
        <v>0</v>
      </c>
      <c r="FN70" s="172"/>
      <c r="FO70" s="173"/>
      <c r="FP70" s="173"/>
      <c r="FQ70" s="175">
        <f t="shared" si="159"/>
        <v>0</v>
      </c>
      <c r="FR70" s="175">
        <f t="shared" si="50"/>
        <v>0</v>
      </c>
      <c r="FS70" s="172"/>
      <c r="FT70" s="173"/>
      <c r="FU70" s="174"/>
      <c r="FV70" s="175">
        <f t="shared" si="160"/>
        <v>0</v>
      </c>
      <c r="FW70" s="172"/>
      <c r="FX70" s="173"/>
      <c r="FY70" s="174"/>
      <c r="FZ70" s="175">
        <f t="shared" si="161"/>
        <v>0</v>
      </c>
      <c r="GA70" s="172"/>
      <c r="GB70" s="173"/>
      <c r="GC70" s="174"/>
      <c r="GD70" s="175">
        <f t="shared" si="162"/>
        <v>0</v>
      </c>
      <c r="GE70" s="172"/>
      <c r="GF70" s="173"/>
      <c r="GG70" s="159"/>
      <c r="GH70" s="174">
        <f t="shared" si="184"/>
        <v>0</v>
      </c>
      <c r="GI70" s="174">
        <f t="shared" si="55"/>
        <v>0</v>
      </c>
      <c r="GJ70" s="221"/>
      <c r="GK70" s="222"/>
      <c r="GL70" s="223"/>
      <c r="GM70" s="175">
        <f t="shared" si="164"/>
        <v>0</v>
      </c>
      <c r="GN70" s="221"/>
      <c r="GO70" s="222"/>
      <c r="GP70" s="223"/>
      <c r="GQ70" s="175">
        <f t="shared" si="165"/>
        <v>0</v>
      </c>
      <c r="GR70" s="245"/>
      <c r="GS70" s="222"/>
      <c r="GT70" s="223"/>
      <c r="GU70" s="175">
        <f t="shared" si="166"/>
        <v>0</v>
      </c>
      <c r="GV70" s="221"/>
      <c r="GW70" s="222"/>
      <c r="GX70" s="223"/>
      <c r="GY70" s="174">
        <f t="shared" si="185"/>
        <v>0</v>
      </c>
      <c r="GZ70" s="159">
        <f t="shared" si="110"/>
        <v>0</v>
      </c>
      <c r="HA70" s="254"/>
      <c r="HB70" s="160"/>
      <c r="HC70" s="159"/>
      <c r="HD70" s="273">
        <f t="shared" si="168"/>
        <v>0</v>
      </c>
      <c r="HE70" s="254"/>
      <c r="HF70" s="160"/>
      <c r="HG70" s="159"/>
      <c r="HH70" s="273">
        <f t="shared" si="169"/>
        <v>0</v>
      </c>
      <c r="HI70" s="279"/>
      <c r="HJ70" s="160"/>
      <c r="HK70" s="159"/>
      <c r="HL70" s="273">
        <f t="shared" si="170"/>
        <v>0</v>
      </c>
      <c r="HM70" s="254"/>
      <c r="HN70" s="160"/>
      <c r="HO70" s="159"/>
      <c r="HP70" s="273">
        <f t="shared" si="188"/>
        <v>0</v>
      </c>
      <c r="HQ70" s="273">
        <f t="shared" si="127"/>
        <v>0</v>
      </c>
      <c r="HR70" s="254"/>
      <c r="HS70" s="160"/>
      <c r="HT70" s="159"/>
      <c r="HU70" s="273">
        <f t="shared" si="172"/>
        <v>0</v>
      </c>
      <c r="HV70" s="254"/>
      <c r="HW70" s="160"/>
      <c r="HX70" s="159"/>
      <c r="HY70" s="273">
        <f t="shared" si="189"/>
        <v>0</v>
      </c>
      <c r="HZ70" s="280"/>
      <c r="IA70" s="160"/>
      <c r="IB70" s="159"/>
      <c r="IC70" s="273">
        <f t="shared" si="174"/>
        <v>0</v>
      </c>
      <c r="ID70" s="254"/>
      <c r="IE70" s="160"/>
      <c r="IF70" s="159"/>
      <c r="IG70" s="273">
        <f t="shared" si="175"/>
        <v>0</v>
      </c>
      <c r="IH70" s="273">
        <v>0</v>
      </c>
      <c r="II70" s="254"/>
      <c r="IJ70" s="160"/>
      <c r="IK70" s="159"/>
      <c r="IL70" s="273">
        <v>0</v>
      </c>
      <c r="IM70" s="254"/>
      <c r="IN70" s="160"/>
      <c r="IO70" s="160"/>
      <c r="IP70" s="273">
        <v>0</v>
      </c>
      <c r="IQ70" s="254"/>
      <c r="IR70" s="160"/>
      <c r="IS70" s="159"/>
      <c r="IT70" s="273">
        <v>0</v>
      </c>
      <c r="IU70" s="254"/>
      <c r="IV70" s="160"/>
      <c r="IW70" s="159"/>
      <c r="IX70" s="273">
        <v>0</v>
      </c>
      <c r="IY70" s="273">
        <v>0</v>
      </c>
      <c r="IZ70" s="254"/>
      <c r="JA70" s="160"/>
      <c r="JB70" s="159"/>
      <c r="JC70" s="273">
        <v>0</v>
      </c>
      <c r="JD70" s="254"/>
      <c r="JE70" s="160"/>
      <c r="JF70" s="159"/>
      <c r="JG70" s="273">
        <v>0</v>
      </c>
      <c r="JH70" s="254"/>
      <c r="JI70" s="160"/>
      <c r="JJ70" s="159"/>
      <c r="JK70" s="273">
        <v>0</v>
      </c>
      <c r="JL70" s="254"/>
      <c r="JM70" s="160"/>
      <c r="JN70" s="159"/>
      <c r="JO70" s="273">
        <v>0</v>
      </c>
      <c r="JP70" s="273">
        <v>0</v>
      </c>
      <c r="JQ70" s="254"/>
      <c r="JR70" s="160"/>
      <c r="JS70" s="159"/>
      <c r="JT70" s="273">
        <v>0</v>
      </c>
      <c r="JU70" s="254"/>
      <c r="JV70" s="160"/>
      <c r="JW70" s="159"/>
      <c r="JX70" s="273">
        <v>0</v>
      </c>
      <c r="JY70" s="254"/>
      <c r="JZ70" s="160"/>
      <c r="KA70" s="159"/>
      <c r="KB70" s="273">
        <v>0</v>
      </c>
      <c r="KC70" s="254"/>
      <c r="KD70" s="160"/>
      <c r="KE70" s="159"/>
      <c r="KF70" s="273">
        <v>0</v>
      </c>
      <c r="KG70" s="273">
        <v>0</v>
      </c>
      <c r="KH70" s="221"/>
      <c r="KI70" s="222"/>
      <c r="KJ70" s="223"/>
      <c r="KK70" s="273">
        <v>0</v>
      </c>
      <c r="KL70" s="221"/>
      <c r="KM70" s="222"/>
      <c r="KN70" s="223"/>
      <c r="KO70" s="273">
        <v>0</v>
      </c>
      <c r="KP70" s="221"/>
      <c r="KQ70" s="222"/>
      <c r="KR70" s="223"/>
      <c r="KS70" s="273">
        <v>0</v>
      </c>
      <c r="KT70" s="254"/>
      <c r="KU70" s="160"/>
      <c r="KV70" s="159"/>
      <c r="KW70" s="273">
        <v>0</v>
      </c>
      <c r="KX70" s="273">
        <v>0</v>
      </c>
      <c r="KY70" s="221">
        <v>0</v>
      </c>
      <c r="KZ70" s="222">
        <v>0</v>
      </c>
      <c r="LA70" s="223">
        <v>0</v>
      </c>
      <c r="LB70" s="273">
        <v>0</v>
      </c>
      <c r="LC70" s="221">
        <v>0</v>
      </c>
      <c r="LD70" s="222">
        <v>0</v>
      </c>
      <c r="LE70" s="223">
        <v>0</v>
      </c>
      <c r="LF70" s="273">
        <v>0</v>
      </c>
      <c r="LG70" s="221">
        <v>0</v>
      </c>
      <c r="LH70" s="222">
        <v>0</v>
      </c>
      <c r="LI70" s="223">
        <v>0</v>
      </c>
      <c r="LJ70" s="273">
        <v>0</v>
      </c>
      <c r="LK70" s="254"/>
      <c r="LL70" s="160"/>
      <c r="LM70" s="159"/>
      <c r="LN70" s="273">
        <v>0</v>
      </c>
      <c r="LO70" s="273">
        <v>0</v>
      </c>
    </row>
    <row r="71" spans="1:327" ht="17.100000000000001" customHeight="1" collapsed="1" x14ac:dyDescent="0.2">
      <c r="A71" s="2" t="s">
        <v>105</v>
      </c>
      <c r="B71" s="24"/>
      <c r="C71" s="5">
        <v>1848.6</v>
      </c>
      <c r="D71" s="5">
        <v>280.10000000000002</v>
      </c>
      <c r="E71" s="5">
        <v>256.5</v>
      </c>
      <c r="F71" s="5">
        <v>254.1</v>
      </c>
      <c r="G71" s="5">
        <v>790.7</v>
      </c>
      <c r="H71" s="5">
        <v>295.10000000000002</v>
      </c>
      <c r="I71" s="5">
        <v>299.10000000000002</v>
      </c>
      <c r="J71" s="5">
        <v>294.10000000000002</v>
      </c>
      <c r="K71" s="5">
        <v>888.3</v>
      </c>
      <c r="L71" s="5">
        <v>287.10000000000002</v>
      </c>
      <c r="M71" s="5">
        <f>M72+M73</f>
        <v>324.7</v>
      </c>
      <c r="N71" s="5">
        <f>N72+N73</f>
        <v>289.3</v>
      </c>
      <c r="O71" s="5">
        <f t="shared" si="0"/>
        <v>901.09999999999991</v>
      </c>
      <c r="P71" s="5">
        <f>P72+P73</f>
        <v>366.8</v>
      </c>
      <c r="Q71" s="5">
        <f>Q72+Q73</f>
        <v>314.5</v>
      </c>
      <c r="R71" s="5">
        <f>R72+R73</f>
        <v>383.5</v>
      </c>
      <c r="S71" s="5">
        <f t="shared" si="1"/>
        <v>1064.8</v>
      </c>
      <c r="T71" s="16">
        <f t="shared" si="7"/>
        <v>3644.8999999999996</v>
      </c>
      <c r="U71" s="5">
        <f>U72+U73</f>
        <v>360.80000000000007</v>
      </c>
      <c r="V71" s="5">
        <f>V72+V73</f>
        <v>366.06</v>
      </c>
      <c r="W71" s="5">
        <f>W72+W73</f>
        <v>438.91999999999996</v>
      </c>
      <c r="X71" s="4">
        <f t="shared" si="196"/>
        <v>1165.7800000000002</v>
      </c>
      <c r="Y71" s="5">
        <f>Y72+Y73</f>
        <v>277.06</v>
      </c>
      <c r="Z71" s="5">
        <f>Z72+Z73</f>
        <v>279.82</v>
      </c>
      <c r="AA71" s="5">
        <f>AA72+AA73</f>
        <v>94.90000000000002</v>
      </c>
      <c r="AB71" s="5">
        <f t="shared" si="197"/>
        <v>651.78</v>
      </c>
      <c r="AC71" s="5">
        <f>AC72+AC73</f>
        <v>182.64</v>
      </c>
      <c r="AD71" s="5">
        <f>AD72+AD73</f>
        <v>82.3</v>
      </c>
      <c r="AE71" s="5">
        <f>AE72+AE73</f>
        <v>126.52</v>
      </c>
      <c r="AF71" s="5">
        <f t="shared" si="198"/>
        <v>391.46</v>
      </c>
      <c r="AG71" s="5">
        <f>AG72+AG73</f>
        <v>119.63499999999999</v>
      </c>
      <c r="AH71" s="5">
        <f>AH72+AH73</f>
        <v>96.059999999999988</v>
      </c>
      <c r="AI71" s="5">
        <f>AI72+AI73</f>
        <v>89.647999999999996</v>
      </c>
      <c r="AJ71" s="5">
        <f t="shared" si="128"/>
        <v>305.34299999999996</v>
      </c>
      <c r="AK71" s="16">
        <f t="shared" si="129"/>
        <v>2514.3629999999998</v>
      </c>
      <c r="AL71" s="5">
        <f t="shared" ref="AL71:AU71" si="208">AL72+AL73</f>
        <v>64.617454940000002</v>
      </c>
      <c r="AM71" s="5">
        <f t="shared" si="208"/>
        <v>86.227000000000004</v>
      </c>
      <c r="AN71" s="5">
        <f t="shared" si="208"/>
        <v>87.723413620000002</v>
      </c>
      <c r="AO71" s="5">
        <f t="shared" si="201"/>
        <v>238.56786855999999</v>
      </c>
      <c r="AP71" s="5">
        <f t="shared" si="208"/>
        <v>87.344000000000023</v>
      </c>
      <c r="AQ71" s="5">
        <f t="shared" si="208"/>
        <v>118.26500000000001</v>
      </c>
      <c r="AR71" s="5">
        <f t="shared" si="208"/>
        <v>95.023986000000008</v>
      </c>
      <c r="AS71" s="54">
        <f t="shared" si="12"/>
        <v>300.63298600000007</v>
      </c>
      <c r="AT71" s="5">
        <f t="shared" si="208"/>
        <v>92.35499999999999</v>
      </c>
      <c r="AU71" s="5">
        <f t="shared" si="208"/>
        <v>63.825886980000007</v>
      </c>
      <c r="AV71" s="5">
        <f>AV72+AV73</f>
        <v>40.524770680000003</v>
      </c>
      <c r="AW71" s="54">
        <f t="shared" si="202"/>
        <v>196.70565765999999</v>
      </c>
      <c r="AX71" s="5">
        <f>AX72+AX73</f>
        <v>63.574707679999996</v>
      </c>
      <c r="AY71" s="5">
        <f>AY72+AY73</f>
        <v>57.573</v>
      </c>
      <c r="AZ71" s="5">
        <f>AZ72+AZ73</f>
        <v>64.210000000000008</v>
      </c>
      <c r="BA71" s="54">
        <f t="shared" si="14"/>
        <v>185.35770768</v>
      </c>
      <c r="BB71" s="54">
        <f t="shared" si="131"/>
        <v>921.26421989999994</v>
      </c>
      <c r="BC71" s="5">
        <f>BC72+BC73</f>
        <v>133.89875744</v>
      </c>
      <c r="BD71" s="66">
        <f>BD72+BD73</f>
        <v>131.89461865999999</v>
      </c>
      <c r="BE71" s="66">
        <f>BE72+BE73</f>
        <v>97.042361839999998</v>
      </c>
      <c r="BF71" s="62">
        <f t="shared" ref="BF71:BF77" si="209">SUM(BC71:BE71)</f>
        <v>362.83573794</v>
      </c>
      <c r="BG71" s="67">
        <f>BG72+BG73</f>
        <v>41.318519999999999</v>
      </c>
      <c r="BH71" s="67">
        <f>BH72+BH73</f>
        <v>58.119060000000005</v>
      </c>
      <c r="BI71" s="67">
        <f>BI72+BI73</f>
        <v>70.389539999999997</v>
      </c>
      <c r="BJ71" s="62">
        <f t="shared" si="132"/>
        <v>169.82711999999998</v>
      </c>
      <c r="BK71" s="67">
        <f>BK72+BK73</f>
        <v>66.486790000000013</v>
      </c>
      <c r="BL71" s="67">
        <f>BL72+BL73</f>
        <v>53.730600000000003</v>
      </c>
      <c r="BM71" s="67">
        <f>BM72+BM73</f>
        <v>66.026150000000001</v>
      </c>
      <c r="BN71" s="62">
        <f t="shared" si="133"/>
        <v>186.24354000000002</v>
      </c>
      <c r="BO71" s="71">
        <f>BO72+BO73</f>
        <v>55.353178800000002</v>
      </c>
      <c r="BP71" s="67">
        <f>BP72+BP73</f>
        <v>42.182159999999996</v>
      </c>
      <c r="BQ71" s="67">
        <f>BQ72+BQ73</f>
        <v>44.729070000000007</v>
      </c>
      <c r="BR71" s="62">
        <f t="shared" si="134"/>
        <v>142.26440880000001</v>
      </c>
      <c r="BS71" s="62">
        <f t="shared" si="135"/>
        <v>861.17080673999999</v>
      </c>
      <c r="BT71" s="67">
        <f>BT72+BT73</f>
        <v>76.01100000000001</v>
      </c>
      <c r="BU71" s="67">
        <f>BU72+BU73</f>
        <v>50.099999999999994</v>
      </c>
      <c r="BV71" s="67">
        <f>BV72+BV73</f>
        <v>53.600000000000009</v>
      </c>
      <c r="BW71" s="62">
        <f t="shared" si="191"/>
        <v>179.71100000000001</v>
      </c>
      <c r="BX71" s="67">
        <f>BX72+BX73</f>
        <v>75.640000000000015</v>
      </c>
      <c r="BY71" s="67">
        <f>BY72+BY73</f>
        <v>50.799000000000007</v>
      </c>
      <c r="BZ71" s="67">
        <f>BZ72+BZ73</f>
        <v>25.651999999999997</v>
      </c>
      <c r="CA71" s="62">
        <f t="shared" si="192"/>
        <v>152.09100000000001</v>
      </c>
      <c r="CB71" s="67">
        <f>CB72+CB73</f>
        <v>18.498999999999999</v>
      </c>
      <c r="CC71" s="67">
        <f>CC72+CC73</f>
        <v>0.14000000000000057</v>
      </c>
      <c r="CD71" s="67">
        <f>CD72+CD73</f>
        <v>10.199999999999998</v>
      </c>
      <c r="CE71" s="62">
        <f t="shared" si="193"/>
        <v>28.838999999999999</v>
      </c>
      <c r="CF71" s="67">
        <f>CF72+CF73</f>
        <v>49.938999999999993</v>
      </c>
      <c r="CG71" s="67">
        <f>CG72+CG73</f>
        <v>14.399000000000004</v>
      </c>
      <c r="CH71" s="67">
        <f>CH72+CH73</f>
        <v>27.699999999999992</v>
      </c>
      <c r="CI71" s="67">
        <f t="shared" si="194"/>
        <v>92.037999999999982</v>
      </c>
      <c r="CJ71" s="71">
        <f t="shared" si="195"/>
        <v>452.67899999999997</v>
      </c>
      <c r="CK71" s="71">
        <f>CK72+CK73</f>
        <v>4.1970000000000081</v>
      </c>
      <c r="CL71" s="67">
        <f>CL72+CL73</f>
        <v>37.247</v>
      </c>
      <c r="CM71" s="67">
        <f>CM72+CM73</f>
        <v>41.893999999999998</v>
      </c>
      <c r="CN71" s="62">
        <f>SUM(CK71:CM71)</f>
        <v>83.338000000000008</v>
      </c>
      <c r="CO71" s="67">
        <f>CO72+CO73</f>
        <v>25.5</v>
      </c>
      <c r="CP71" s="67">
        <f>CP72+CP73</f>
        <v>30.000000000000004</v>
      </c>
      <c r="CQ71" s="67">
        <f>CQ72+CQ73</f>
        <v>97.647999999999996</v>
      </c>
      <c r="CR71" s="62">
        <f t="shared" si="203"/>
        <v>153.148</v>
      </c>
      <c r="CS71" s="101">
        <f>CS72+CS73</f>
        <v>447.87099999999998</v>
      </c>
      <c r="CT71" s="67">
        <f>CT72+CT73</f>
        <v>5.5390000000000068</v>
      </c>
      <c r="CU71" s="67">
        <f>CU72+CU73</f>
        <v>92.4</v>
      </c>
      <c r="CV71" s="62">
        <f>SUM(CS71:CU71)</f>
        <v>545.80999999999995</v>
      </c>
      <c r="CW71" s="67">
        <f>CW72+CW73</f>
        <v>57.069000000000003</v>
      </c>
      <c r="CX71" s="67">
        <f>CX72+CX73</f>
        <v>36.863999999999997</v>
      </c>
      <c r="CY71" s="112">
        <f>CY72+CY73</f>
        <v>89.399999999999991</v>
      </c>
      <c r="CZ71" s="113">
        <f t="shared" si="204"/>
        <v>183.33299999999997</v>
      </c>
      <c r="DA71" s="62">
        <f t="shared" si="205"/>
        <v>965.62899999999991</v>
      </c>
      <c r="DB71" s="71">
        <f>DB72+DB73</f>
        <v>6.7999999999999972</v>
      </c>
      <c r="DC71" s="67">
        <f>DC72+DC73</f>
        <v>190.80200000000002</v>
      </c>
      <c r="DD71" s="67">
        <f>DD72+DD73</f>
        <v>4.8</v>
      </c>
      <c r="DE71" s="62">
        <f t="shared" ref="DE71:DE80" si="210">SUM(DB71:DD71)</f>
        <v>202.40200000000004</v>
      </c>
      <c r="DF71" s="71">
        <f>DF72+DF73</f>
        <v>17.600000000000001</v>
      </c>
      <c r="DG71" s="67">
        <f>DG72+DG73</f>
        <v>39.549999999999997</v>
      </c>
      <c r="DH71" s="67">
        <f>DH72+DH73</f>
        <v>12.099000000000004</v>
      </c>
      <c r="DI71" s="62">
        <f t="shared" ref="DI71:DI80" si="211">SUM(DF71:DH71)</f>
        <v>69.248999999999995</v>
      </c>
      <c r="DJ71" s="71">
        <f>DJ72+DJ73</f>
        <v>9.3010000000000055</v>
      </c>
      <c r="DK71" s="67">
        <f>DK72+DK73</f>
        <v>11.7</v>
      </c>
      <c r="DL71" s="67">
        <f>DL72+DL73</f>
        <v>10.900000000000002</v>
      </c>
      <c r="DM71" s="62">
        <f>SUM(DJ71:DL71)</f>
        <v>31.901000000000007</v>
      </c>
      <c r="DN71" s="67">
        <f>DN72+DN73</f>
        <v>158.00700000000001</v>
      </c>
      <c r="DO71" s="67">
        <f>DO72+DO73</f>
        <v>118.801</v>
      </c>
      <c r="DP71" s="67">
        <f>DP72+DP73</f>
        <v>76.449999999999989</v>
      </c>
      <c r="DQ71" s="113">
        <f t="shared" si="206"/>
        <v>353.25799999999998</v>
      </c>
      <c r="DR71" s="140">
        <f t="shared" si="207"/>
        <v>656.81000000000006</v>
      </c>
      <c r="DS71" s="141">
        <f>DS72+DS73</f>
        <v>5.400000000000003</v>
      </c>
      <c r="DT71" s="141">
        <f>DT72+DT73</f>
        <v>37.9</v>
      </c>
      <c r="DU71" s="141">
        <f>DU72+DU73</f>
        <v>37.950000000000003</v>
      </c>
      <c r="DV71" s="140">
        <f t="shared" si="148"/>
        <v>81.25</v>
      </c>
      <c r="DW71" s="142">
        <f>DW72+DW73</f>
        <v>77.878</v>
      </c>
      <c r="DX71" s="141">
        <f>DX72+DX73</f>
        <v>39.9</v>
      </c>
      <c r="DY71" s="141">
        <f>DY72+DY73</f>
        <v>104.5</v>
      </c>
      <c r="DZ71" s="140">
        <f t="shared" si="149"/>
        <v>222.27799999999999</v>
      </c>
      <c r="EA71" s="142">
        <f>EA72+EA73</f>
        <v>86.399999999999991</v>
      </c>
      <c r="EB71" s="141">
        <f>EB72+EB73</f>
        <v>42.1</v>
      </c>
      <c r="EC71" s="141">
        <f>EC72+EC73</f>
        <v>41.8</v>
      </c>
      <c r="ED71" s="140">
        <f t="shared" si="150"/>
        <v>170.3</v>
      </c>
      <c r="EE71" s="141">
        <f>EE72+EE73</f>
        <v>50.3</v>
      </c>
      <c r="EF71" s="141">
        <f>EF72+EF73</f>
        <v>34.5</v>
      </c>
      <c r="EG71" s="141">
        <f>EG72+EG73</f>
        <v>43.949999999999996</v>
      </c>
      <c r="EH71" s="140">
        <f t="shared" si="151"/>
        <v>128.75</v>
      </c>
      <c r="EI71" s="140">
        <f t="shared" si="40"/>
        <v>602.57799999999997</v>
      </c>
      <c r="EJ71" s="141">
        <f>EJ72+EJ73</f>
        <v>2.9599999999999969</v>
      </c>
      <c r="EK71" s="141">
        <f>EK72+EK73</f>
        <v>2.0499999999999989</v>
      </c>
      <c r="EL71" s="141">
        <f>EL72+EL73</f>
        <v>56</v>
      </c>
      <c r="EM71" s="140">
        <f t="shared" si="152"/>
        <v>61.01</v>
      </c>
      <c r="EN71" s="141">
        <f>EN72+EN73</f>
        <v>38.1</v>
      </c>
      <c r="EO71" s="141">
        <f>EO72+EO73</f>
        <v>170.602</v>
      </c>
      <c r="EP71" s="141">
        <f>EP72+EP73</f>
        <v>128.94500000000002</v>
      </c>
      <c r="EQ71" s="140">
        <f t="shared" si="153"/>
        <v>337.64700000000005</v>
      </c>
      <c r="ER71" s="141">
        <f>ER72+ER73</f>
        <v>15.349</v>
      </c>
      <c r="ES71" s="141">
        <f>ES72+ES73</f>
        <v>11.2</v>
      </c>
      <c r="ET71" s="141">
        <f>ET72+ET73</f>
        <v>24.906999999999996</v>
      </c>
      <c r="EU71" s="140">
        <f t="shared" si="154"/>
        <v>51.455999999999996</v>
      </c>
      <c r="EV71" s="141">
        <f>EV72+EV73</f>
        <v>40</v>
      </c>
      <c r="EW71" s="141">
        <f>EW72+EW73</f>
        <v>53.798000000000002</v>
      </c>
      <c r="EX71" s="141">
        <f>EX72+EX73</f>
        <v>207.99343000000002</v>
      </c>
      <c r="EY71" s="140">
        <f t="shared" si="155"/>
        <v>301.79142999999999</v>
      </c>
      <c r="EZ71" s="169">
        <f t="shared" si="45"/>
        <v>751.90443000000005</v>
      </c>
      <c r="FA71" s="170"/>
      <c r="FB71" s="169">
        <f>FB72+FB73</f>
        <v>135.00199999999998</v>
      </c>
      <c r="FC71" s="169">
        <f>FC72+FC73</f>
        <v>62.099000000000004</v>
      </c>
      <c r="FD71" s="169">
        <f>FD72+FD73</f>
        <v>47.460999999999999</v>
      </c>
      <c r="FE71" s="171">
        <f t="shared" si="156"/>
        <v>244.56200000000001</v>
      </c>
      <c r="FF71" s="169">
        <f>FF72+FF73</f>
        <v>45.911184999999996</v>
      </c>
      <c r="FG71" s="169">
        <f>FG72+FG73</f>
        <v>124.638378</v>
      </c>
      <c r="FH71" s="169">
        <f>FH72+FH73</f>
        <v>77.649973000000003</v>
      </c>
      <c r="FI71" s="171">
        <f t="shared" si="157"/>
        <v>248.19953600000002</v>
      </c>
      <c r="FJ71" s="169">
        <f>FJ72+FJ73</f>
        <v>50.377096999999999</v>
      </c>
      <c r="FK71" s="169">
        <f>FK72+FK73</f>
        <v>55.586765</v>
      </c>
      <c r="FL71" s="169">
        <f>FL72+FL73</f>
        <v>35.650244000000001</v>
      </c>
      <c r="FM71" s="171">
        <f t="shared" si="158"/>
        <v>141.61410599999999</v>
      </c>
      <c r="FN71" s="172">
        <f>FN72+FN73</f>
        <v>49.090688</v>
      </c>
      <c r="FO71" s="173">
        <f>FO72+FO73</f>
        <v>64.345667000000006</v>
      </c>
      <c r="FP71" s="173">
        <f>FP72+FP73</f>
        <v>135.27769000000001</v>
      </c>
      <c r="FQ71" s="175">
        <f t="shared" si="159"/>
        <v>248.714045</v>
      </c>
      <c r="FR71" s="175">
        <f t="shared" si="50"/>
        <v>883.08968699999991</v>
      </c>
      <c r="FS71" s="172">
        <f>FS72+FS73</f>
        <v>71.865638000000004</v>
      </c>
      <c r="FT71" s="173">
        <f>FT72+FT73</f>
        <v>29.451754999999999</v>
      </c>
      <c r="FU71" s="174">
        <f>FU72+FU73</f>
        <v>16.949959</v>
      </c>
      <c r="FV71" s="175">
        <f t="shared" si="160"/>
        <v>118.26735200000002</v>
      </c>
      <c r="FW71" s="172">
        <f>FW72+FW73</f>
        <v>33.428654000000002</v>
      </c>
      <c r="FX71" s="173">
        <f>FX72+FX73</f>
        <v>52.171368000000001</v>
      </c>
      <c r="FY71" s="173">
        <f>FY72+FY73</f>
        <v>50.284877999999999</v>
      </c>
      <c r="FZ71" s="175">
        <f t="shared" si="161"/>
        <v>135.88489999999999</v>
      </c>
      <c r="GA71" s="172">
        <f>GA72+GA73</f>
        <v>52.58463900000001</v>
      </c>
      <c r="GB71" s="173">
        <f>GB72+GB73</f>
        <v>15.764581000000002</v>
      </c>
      <c r="GC71" s="174">
        <f>GC72+GC73</f>
        <v>20.607268999999999</v>
      </c>
      <c r="GD71" s="175">
        <f t="shared" si="162"/>
        <v>88.956489000000019</v>
      </c>
      <c r="GE71" s="172">
        <f>GE72+GE73</f>
        <v>38.1</v>
      </c>
      <c r="GF71" s="173">
        <f>GF72+GF73</f>
        <v>68.236391999999995</v>
      </c>
      <c r="GG71" s="159">
        <f>GG72+GG73</f>
        <v>87.948954669999992</v>
      </c>
      <c r="GH71" s="174">
        <f t="shared" si="184"/>
        <v>194.28534666999997</v>
      </c>
      <c r="GI71" s="174">
        <f t="shared" si="55"/>
        <v>537.39408766999998</v>
      </c>
      <c r="GJ71" s="221">
        <f>GJ72+GJ73</f>
        <v>23.054404599999998</v>
      </c>
      <c r="GK71" s="222">
        <f>GK72+GK73</f>
        <v>20.438583000000001</v>
      </c>
      <c r="GL71" s="223">
        <f>GL72+GL73</f>
        <v>65.679280000000006</v>
      </c>
      <c r="GM71" s="175">
        <f t="shared" si="164"/>
        <v>109.1722676</v>
      </c>
      <c r="GN71" s="221">
        <f>GN72+GN73</f>
        <v>61.140660819999994</v>
      </c>
      <c r="GO71" s="222">
        <f>GO72+GO73</f>
        <v>9.2671255695281989</v>
      </c>
      <c r="GP71" s="222">
        <f>GP72+GP73</f>
        <v>17.57456141054092</v>
      </c>
      <c r="GQ71" s="175">
        <f t="shared" si="165"/>
        <v>87.982347800069121</v>
      </c>
      <c r="GR71" s="222">
        <f>GR72+GR73</f>
        <v>68.641999999999996</v>
      </c>
      <c r="GS71" s="222">
        <f>GS72+GS73</f>
        <v>69.359471999999997</v>
      </c>
      <c r="GT71" s="222">
        <f>GT72+GT73</f>
        <v>227.69989899999999</v>
      </c>
      <c r="GU71" s="175">
        <f t="shared" si="166"/>
        <v>365.70137099999999</v>
      </c>
      <c r="GV71" s="221">
        <f>GV72+GV73</f>
        <v>50.857689000000008</v>
      </c>
      <c r="GW71" s="222">
        <f>GW72+GW73</f>
        <v>34.590381000000001</v>
      </c>
      <c r="GX71" s="223">
        <f>GX72+GX73</f>
        <v>59.766239090387018</v>
      </c>
      <c r="GY71" s="174">
        <f t="shared" si="185"/>
        <v>145.21430909038702</v>
      </c>
      <c r="GZ71" s="159">
        <v>696.24519549045613</v>
      </c>
      <c r="HA71" s="254">
        <f>HA72+HA73</f>
        <v>34.554021000000034</v>
      </c>
      <c r="HB71" s="160">
        <f>HB72+HB73</f>
        <v>252.50005900000002</v>
      </c>
      <c r="HC71" s="159">
        <f>HC72+HC73</f>
        <v>57.579240919655696</v>
      </c>
      <c r="HD71" s="273">
        <f t="shared" si="168"/>
        <v>344.63332091965577</v>
      </c>
      <c r="HE71" s="254">
        <f>HE72+HE73</f>
        <v>78.301645999999991</v>
      </c>
      <c r="HF71" s="160">
        <f>HF72+HF73</f>
        <v>68.065075999999991</v>
      </c>
      <c r="HG71" s="160">
        <f>HG72+HG73</f>
        <v>56.055557226685004</v>
      </c>
      <c r="HH71" s="273">
        <f t="shared" si="169"/>
        <v>202.42227922668499</v>
      </c>
      <c r="HI71" s="160">
        <f>HI72+HI73</f>
        <v>44.457968999999999</v>
      </c>
      <c r="HJ71" s="160">
        <f>HJ72+HJ73</f>
        <v>84.057674999999989</v>
      </c>
      <c r="HK71" s="160">
        <f>HK72+HK73</f>
        <v>39.29956</v>
      </c>
      <c r="HL71" s="273">
        <f t="shared" si="170"/>
        <v>167.81520399999999</v>
      </c>
      <c r="HM71" s="254">
        <f>HM72+HM73</f>
        <v>17.32617299999999</v>
      </c>
      <c r="HN71" s="160">
        <f>HN72+HN73</f>
        <v>21.228218999999996</v>
      </c>
      <c r="HO71" s="159">
        <f>HO72+HO73</f>
        <v>81.603757000000002</v>
      </c>
      <c r="HP71" s="273">
        <f t="shared" si="188"/>
        <v>120.15814899999998</v>
      </c>
      <c r="HQ71" s="273">
        <f t="shared" si="127"/>
        <v>835.02895314634077</v>
      </c>
      <c r="HR71" s="254">
        <f>HR72+HR73</f>
        <v>-0.63200000000001633</v>
      </c>
      <c r="HS71" s="160">
        <f>HS72+HS73</f>
        <v>8.6394390000000119</v>
      </c>
      <c r="HT71" s="159">
        <f>HT72+HT73</f>
        <v>19.174309000000004</v>
      </c>
      <c r="HU71" s="273">
        <f t="shared" si="172"/>
        <v>27.181747999999999</v>
      </c>
      <c r="HV71" s="254">
        <f>HV72+HV73</f>
        <v>53.832785000000001</v>
      </c>
      <c r="HW71" s="160">
        <f>HW72+HW73</f>
        <v>45.665999999999997</v>
      </c>
      <c r="HX71" s="160">
        <f>HX72+HX73</f>
        <v>52.888601999999992</v>
      </c>
      <c r="HY71" s="273">
        <f t="shared" si="189"/>
        <v>152.38738699999999</v>
      </c>
      <c r="HZ71" s="160">
        <f>HZ72+HZ73</f>
        <v>31.850051999999994</v>
      </c>
      <c r="IA71" s="160">
        <f>IA72+IA73</f>
        <v>40.568190999999999</v>
      </c>
      <c r="IB71" s="160">
        <f>IB72+IB73</f>
        <v>37.183951</v>
      </c>
      <c r="IC71" s="273">
        <f t="shared" si="174"/>
        <v>109.602194</v>
      </c>
      <c r="ID71" s="254">
        <f>ID72+ID73</f>
        <v>45.554148519999998</v>
      </c>
      <c r="IE71" s="160">
        <f>IE72+IE73</f>
        <v>60.829496289999994</v>
      </c>
      <c r="IF71" s="159">
        <f>IF72+IF73</f>
        <v>331.59641891000001</v>
      </c>
      <c r="IG71" s="273">
        <f t="shared" si="175"/>
        <v>437.98006371999998</v>
      </c>
      <c r="IH71" s="273">
        <v>727.15139271999999</v>
      </c>
      <c r="II71" s="254">
        <v>30.015752000000006</v>
      </c>
      <c r="IJ71" s="160">
        <v>49.600658999999993</v>
      </c>
      <c r="IK71" s="159">
        <v>44.515960999999997</v>
      </c>
      <c r="IL71" s="273">
        <v>124.132372</v>
      </c>
      <c r="IM71" s="254">
        <v>72.37152900000001</v>
      </c>
      <c r="IN71" s="160">
        <v>97.612912500000007</v>
      </c>
      <c r="IO71" s="160">
        <v>73.092775000000003</v>
      </c>
      <c r="IP71" s="273">
        <v>243.07721650000002</v>
      </c>
      <c r="IQ71" s="254">
        <v>78.549781999999993</v>
      </c>
      <c r="IR71" s="160">
        <v>4.3620000000000001</v>
      </c>
      <c r="IS71" s="159">
        <v>2.0773619999999999</v>
      </c>
      <c r="IT71" s="273">
        <v>84.989143999999982</v>
      </c>
      <c r="IU71" s="254">
        <v>18.55</v>
      </c>
      <c r="IV71" s="160">
        <v>27.012808</v>
      </c>
      <c r="IW71" s="159">
        <v>79.368404999999996</v>
      </c>
      <c r="IX71" s="273">
        <v>124.931213</v>
      </c>
      <c r="IY71" s="273">
        <v>577.12994549999996</v>
      </c>
      <c r="IZ71" s="254">
        <v>18.813839999999999</v>
      </c>
      <c r="JA71" s="160">
        <v>68.193600000000004</v>
      </c>
      <c r="JB71" s="159">
        <v>3.4851369999999995</v>
      </c>
      <c r="JC71" s="273">
        <v>90.492576999999997</v>
      </c>
      <c r="JD71" s="254">
        <v>238.887957</v>
      </c>
      <c r="JE71" s="160">
        <v>89.402227999999994</v>
      </c>
      <c r="JF71" s="159">
        <v>96.229497000000009</v>
      </c>
      <c r="JG71" s="273">
        <v>424.51968199999999</v>
      </c>
      <c r="JH71" s="254">
        <v>43.499999999999993</v>
      </c>
      <c r="JI71" s="160">
        <v>159.178989</v>
      </c>
      <c r="JJ71" s="159">
        <v>60.164760999999999</v>
      </c>
      <c r="JK71" s="273">
        <v>262.84375</v>
      </c>
      <c r="JL71" s="254">
        <v>77.012986000000012</v>
      </c>
      <c r="JM71" s="160">
        <v>9.8999999999999773</v>
      </c>
      <c r="JN71" s="160">
        <v>172.69523999999998</v>
      </c>
      <c r="JO71" s="273">
        <v>259.60822599999995</v>
      </c>
      <c r="JP71" s="273">
        <v>1037.4642349999999</v>
      </c>
      <c r="JQ71" s="254">
        <v>40.117168000000021</v>
      </c>
      <c r="JR71" s="160">
        <v>21.084336</v>
      </c>
      <c r="JS71" s="159">
        <v>104.94044</v>
      </c>
      <c r="JT71" s="273">
        <v>166.14194400000002</v>
      </c>
      <c r="JU71" s="254">
        <v>37.498957999999988</v>
      </c>
      <c r="JV71" s="160">
        <v>57.741315</v>
      </c>
      <c r="JW71" s="159">
        <v>24.133831999999998</v>
      </c>
      <c r="JX71" s="273">
        <v>119.37410499999999</v>
      </c>
      <c r="JY71" s="254">
        <v>35.211882000000003</v>
      </c>
      <c r="JZ71" s="160">
        <v>133.878942</v>
      </c>
      <c r="KA71" s="159">
        <v>35.185985000000002</v>
      </c>
      <c r="KB71" s="273">
        <v>204.27680900000001</v>
      </c>
      <c r="KC71" s="254">
        <v>13.575668999999994</v>
      </c>
      <c r="KD71" s="160">
        <v>19.642379000000023</v>
      </c>
      <c r="KE71" s="160">
        <v>114.14388384999998</v>
      </c>
      <c r="KF71" s="273">
        <v>147.36193184999999</v>
      </c>
      <c r="KG71" s="273">
        <v>637.15478985000004</v>
      </c>
      <c r="KH71" s="221">
        <v>42.192670000000014</v>
      </c>
      <c r="KI71" s="222">
        <v>88.53530699999996</v>
      </c>
      <c r="KJ71" s="223">
        <v>160.20410700000002</v>
      </c>
      <c r="KK71" s="273">
        <v>290.93208400000003</v>
      </c>
      <c r="KL71" s="221">
        <v>48.207630999999978</v>
      </c>
      <c r="KM71" s="222">
        <v>88.62152500000002</v>
      </c>
      <c r="KN71" s="223">
        <v>31.041710000000013</v>
      </c>
      <c r="KO71" s="273">
        <v>167.87086600000004</v>
      </c>
      <c r="KP71" s="221">
        <v>89.159999999999982</v>
      </c>
      <c r="KQ71" s="222">
        <v>134.17161099999998</v>
      </c>
      <c r="KR71" s="223">
        <v>67.812580000000011</v>
      </c>
      <c r="KS71" s="273">
        <v>291.14419099999998</v>
      </c>
      <c r="KT71" s="254">
        <v>15.749709999999995</v>
      </c>
      <c r="KU71" s="160">
        <v>36.157753999999997</v>
      </c>
      <c r="KV71" s="159">
        <v>133.40007499000001</v>
      </c>
      <c r="KW71" s="273">
        <v>185.30753899000001</v>
      </c>
      <c r="KX71" s="273">
        <v>935.25467999000011</v>
      </c>
      <c r="KY71" s="221">
        <v>18.854348000000002</v>
      </c>
      <c r="KZ71" s="222">
        <v>14.447702</v>
      </c>
      <c r="LA71" s="223">
        <v>47.507632000000015</v>
      </c>
      <c r="LB71" s="273">
        <v>80.809682000000009</v>
      </c>
      <c r="LC71" s="221">
        <v>135.39321099999998</v>
      </c>
      <c r="LD71" s="222">
        <v>48.040832999999992</v>
      </c>
      <c r="LE71" s="223">
        <v>11.513349999999999</v>
      </c>
      <c r="LF71" s="273">
        <v>194.94739399999997</v>
      </c>
      <c r="LG71" s="221">
        <v>5.096742000000007</v>
      </c>
      <c r="LH71" s="222">
        <v>146.76796442</v>
      </c>
      <c r="LI71" s="223">
        <v>4.4408240000000117</v>
      </c>
      <c r="LJ71" s="273">
        <v>156.30553042000003</v>
      </c>
      <c r="LK71" s="254">
        <v>83.109849999999966</v>
      </c>
      <c r="LL71" s="160">
        <v>5.1324640000000112</v>
      </c>
      <c r="LM71" s="159">
        <v>159.67993299999998</v>
      </c>
      <c r="LN71" s="273">
        <v>247.92224699999997</v>
      </c>
      <c r="LO71" s="273">
        <v>679.98485342000004</v>
      </c>
    </row>
    <row r="72" spans="1:327" ht="17.100000000000001" customHeight="1" x14ac:dyDescent="0.2">
      <c r="A72" s="2" t="s">
        <v>103</v>
      </c>
      <c r="B72" s="24"/>
      <c r="C72" s="5">
        <v>1701.2</v>
      </c>
      <c r="D72" s="5">
        <v>269.10000000000002</v>
      </c>
      <c r="E72" s="5">
        <v>234.8</v>
      </c>
      <c r="F72" s="5">
        <v>222.5</v>
      </c>
      <c r="G72" s="5">
        <v>726.4</v>
      </c>
      <c r="H72" s="5">
        <v>230.6</v>
      </c>
      <c r="I72" s="5">
        <v>253.7</v>
      </c>
      <c r="J72" s="5">
        <v>268.3</v>
      </c>
      <c r="K72" s="5">
        <v>752.6</v>
      </c>
      <c r="L72" s="5">
        <v>238.2</v>
      </c>
      <c r="M72" s="5">
        <v>292.2</v>
      </c>
      <c r="N72" s="5">
        <v>285.7</v>
      </c>
      <c r="O72" s="5">
        <f t="shared" si="0"/>
        <v>816.09999999999991</v>
      </c>
      <c r="P72" s="5">
        <v>321.8</v>
      </c>
      <c r="Q72" s="5">
        <v>269.39999999999998</v>
      </c>
      <c r="R72" s="5">
        <f>355.7-25.1</f>
        <v>330.59999999999997</v>
      </c>
      <c r="S72" s="5">
        <f t="shared" si="1"/>
        <v>921.8</v>
      </c>
      <c r="T72" s="16">
        <f t="shared" si="7"/>
        <v>3216.9</v>
      </c>
      <c r="U72" s="5">
        <f>372.8-87.1</f>
        <v>285.70000000000005</v>
      </c>
      <c r="V72" s="5">
        <v>250</v>
      </c>
      <c r="W72" s="5">
        <f>345.2-0.04</f>
        <v>345.15999999999997</v>
      </c>
      <c r="X72" s="4">
        <f t="shared" si="196"/>
        <v>880.86</v>
      </c>
      <c r="Y72" s="5">
        <v>213.2</v>
      </c>
      <c r="Z72" s="5">
        <f>31.2+171.8-0.04</f>
        <v>202.96</v>
      </c>
      <c r="AA72" s="5">
        <f>0.8+21.4</f>
        <v>22.2</v>
      </c>
      <c r="AB72" s="5">
        <f t="shared" si="197"/>
        <v>438.35999999999996</v>
      </c>
      <c r="AC72" s="5">
        <f>26.5+35.5</f>
        <v>62</v>
      </c>
      <c r="AD72" s="5">
        <f>25.5+24.4</f>
        <v>49.9</v>
      </c>
      <c r="AE72" s="5">
        <f>32.5+41</f>
        <v>73.5</v>
      </c>
      <c r="AF72" s="5">
        <f t="shared" si="198"/>
        <v>185.4</v>
      </c>
      <c r="AG72" s="5">
        <f>23.7+44.4</f>
        <v>68.099999999999994</v>
      </c>
      <c r="AH72" s="5">
        <f>18+11.2</f>
        <v>29.2</v>
      </c>
      <c r="AI72" s="5">
        <f>45.3+16.5</f>
        <v>61.8</v>
      </c>
      <c r="AJ72" s="5">
        <f t="shared" si="128"/>
        <v>159.1</v>
      </c>
      <c r="AK72" s="16">
        <f t="shared" si="129"/>
        <v>1663.72</v>
      </c>
      <c r="AL72" s="5">
        <f>30.1+10.1</f>
        <v>40.200000000000003</v>
      </c>
      <c r="AM72" s="5">
        <f>37.1+6.7</f>
        <v>43.800000000000004</v>
      </c>
      <c r="AN72" s="5">
        <f>26.5+10.3+0.04</f>
        <v>36.839999999999996</v>
      </c>
      <c r="AO72" s="5">
        <f t="shared" si="201"/>
        <v>120.84</v>
      </c>
      <c r="AP72" s="5">
        <f>17.5+3.1</f>
        <v>20.6</v>
      </c>
      <c r="AQ72" s="5">
        <f>27.7+4</f>
        <v>31.7</v>
      </c>
      <c r="AR72" s="5">
        <f>28.1+2.64</f>
        <v>30.740000000000002</v>
      </c>
      <c r="AS72" s="54">
        <f t="shared" si="12"/>
        <v>83.039999999999992</v>
      </c>
      <c r="AT72" s="5">
        <f>24.9+11.6</f>
        <v>36.5</v>
      </c>
      <c r="AU72" s="5">
        <f>18.7+17</f>
        <v>35.700000000000003</v>
      </c>
      <c r="AV72" s="5">
        <f>19.9+3.7</f>
        <v>23.599999999999998</v>
      </c>
      <c r="AW72" s="54">
        <f t="shared" si="202"/>
        <v>95.8</v>
      </c>
      <c r="AX72" s="5">
        <f>23.8+4.7</f>
        <v>28.5</v>
      </c>
      <c r="AY72" s="5">
        <f>15.4+4</f>
        <v>19.399999999999999</v>
      </c>
      <c r="AZ72" s="5">
        <f>27.3+6.4+1.1</f>
        <v>34.800000000000004</v>
      </c>
      <c r="BA72" s="54">
        <f t="shared" si="14"/>
        <v>82.7</v>
      </c>
      <c r="BB72" s="54">
        <f t="shared" si="131"/>
        <v>382.38</v>
      </c>
      <c r="BC72" s="5">
        <v>75.341757439999995</v>
      </c>
      <c r="BD72" s="66">
        <f>32.880003+1.92180247</f>
        <v>34.801805470000005</v>
      </c>
      <c r="BE72" s="66">
        <f>38.488+2.56818127</f>
        <v>41.056181269999996</v>
      </c>
      <c r="BF72" s="62">
        <f t="shared" si="209"/>
        <v>151.19974417999998</v>
      </c>
      <c r="BG72" s="67">
        <f>29.911+5.925374</f>
        <v>35.836373999999999</v>
      </c>
      <c r="BH72" s="67">
        <f>23.39+4.10746</f>
        <v>27.49746</v>
      </c>
      <c r="BI72" s="67">
        <f>25.529+1.8868</f>
        <v>27.415800000000001</v>
      </c>
      <c r="BJ72" s="62">
        <f t="shared" si="132"/>
        <v>90.749634</v>
      </c>
      <c r="BK72" s="67">
        <f>32.922+0.41415</f>
        <v>33.336149999999996</v>
      </c>
      <c r="BL72" s="67">
        <f>33.499+7.9954</f>
        <v>41.494399999999999</v>
      </c>
      <c r="BM72" s="67">
        <f>43.276666+0.929803</f>
        <v>44.206468999999998</v>
      </c>
      <c r="BN72" s="62">
        <f t="shared" si="133"/>
        <v>119.03701899999999</v>
      </c>
      <c r="BO72" s="71">
        <f>33.434+0</f>
        <v>33.433999999999997</v>
      </c>
      <c r="BP72" s="67">
        <f>21.353+3.51477</f>
        <v>24.86777</v>
      </c>
      <c r="BQ72" s="67">
        <f>24.06724+4.15473</f>
        <v>28.221970000000002</v>
      </c>
      <c r="BR72" s="62">
        <f t="shared" si="134"/>
        <v>86.523740000000004</v>
      </c>
      <c r="BS72" s="62">
        <f t="shared" si="135"/>
        <v>447.51013718000002</v>
      </c>
      <c r="BT72" s="67">
        <f>31.6+7.5</f>
        <v>39.1</v>
      </c>
      <c r="BU72" s="67">
        <f>26.4+16.5-1.2</f>
        <v>41.699999999999996</v>
      </c>
      <c r="BV72" s="67">
        <f>43.2+5.2-5.8</f>
        <v>42.600000000000009</v>
      </c>
      <c r="BW72" s="62">
        <f t="shared" si="191"/>
        <v>123.4</v>
      </c>
      <c r="BX72" s="67">
        <f>35.6+5.6</f>
        <v>41.2</v>
      </c>
      <c r="BY72" s="67">
        <f>25.9+9.6+3.6</f>
        <v>39.1</v>
      </c>
      <c r="BZ72" s="67">
        <f>25.4-3.658</f>
        <v>21.741999999999997</v>
      </c>
      <c r="CA72" s="62">
        <f t="shared" si="192"/>
        <v>102.042</v>
      </c>
      <c r="CB72" s="67">
        <f>15.1+7.2-2.3-1.501</f>
        <v>18.498999999999999</v>
      </c>
      <c r="CC72" s="67">
        <f>14.14+3.3-14.3-3</f>
        <v>0.14000000000000057</v>
      </c>
      <c r="CD72" s="67">
        <f>38.3+1-17.7-11.4</f>
        <v>10.199999999999998</v>
      </c>
      <c r="CE72" s="62">
        <f t="shared" si="193"/>
        <v>28.838999999999999</v>
      </c>
      <c r="CF72" s="67">
        <f>20.14+4.08</f>
        <v>24.22</v>
      </c>
      <c r="CG72" s="67">
        <v>4.8</v>
      </c>
      <c r="CH72" s="67">
        <v>4.2</v>
      </c>
      <c r="CI72" s="67">
        <f t="shared" si="194"/>
        <v>33.22</v>
      </c>
      <c r="CJ72" s="71">
        <f t="shared" si="195"/>
        <v>287.50099999999998</v>
      </c>
      <c r="CK72" s="71">
        <v>4.0999999999999996</v>
      </c>
      <c r="CL72" s="67">
        <v>11.6</v>
      </c>
      <c r="CM72" s="67">
        <v>1.6</v>
      </c>
      <c r="CN72" s="62">
        <f>SUM(CK72:CM72)</f>
        <v>17.3</v>
      </c>
      <c r="CO72" s="67">
        <v>6.6</v>
      </c>
      <c r="CP72" s="67">
        <v>3.3</v>
      </c>
      <c r="CQ72" s="67">
        <v>0</v>
      </c>
      <c r="CR72" s="62">
        <f t="shared" si="203"/>
        <v>9.8999999999999986</v>
      </c>
      <c r="CS72" s="101">
        <v>3.5</v>
      </c>
      <c r="CT72" s="67">
        <v>3.9</v>
      </c>
      <c r="CU72" s="67">
        <v>88.9</v>
      </c>
      <c r="CV72" s="62">
        <f>SUM(CS72:CU72)</f>
        <v>96.300000000000011</v>
      </c>
      <c r="CW72" s="67">
        <v>51.5</v>
      </c>
      <c r="CX72" s="67">
        <v>6.7</v>
      </c>
      <c r="CY72" s="112">
        <v>52.8</v>
      </c>
      <c r="CZ72" s="113">
        <f t="shared" si="204"/>
        <v>111</v>
      </c>
      <c r="DA72" s="62">
        <f t="shared" si="205"/>
        <v>234.5</v>
      </c>
      <c r="DB72" s="71">
        <v>4.2</v>
      </c>
      <c r="DC72" s="67">
        <v>2.4</v>
      </c>
      <c r="DD72" s="67">
        <v>3.3</v>
      </c>
      <c r="DE72" s="62">
        <f t="shared" si="210"/>
        <v>9.8999999999999986</v>
      </c>
      <c r="DF72" s="71">
        <v>10.5</v>
      </c>
      <c r="DG72" s="67">
        <v>8.9</v>
      </c>
      <c r="DH72" s="67">
        <v>7.9</v>
      </c>
      <c r="DI72" s="62">
        <f t="shared" si="211"/>
        <v>27.299999999999997</v>
      </c>
      <c r="DJ72" s="71">
        <v>8.9</v>
      </c>
      <c r="DK72" s="67">
        <v>4.2</v>
      </c>
      <c r="DL72" s="67">
        <v>4.3</v>
      </c>
      <c r="DM72" s="62">
        <f>SUM(DJ72:DL72)</f>
        <v>17.400000000000002</v>
      </c>
      <c r="DN72" s="67">
        <v>45.8</v>
      </c>
      <c r="DO72" s="67">
        <v>105.8</v>
      </c>
      <c r="DP72" s="67">
        <v>56.3</v>
      </c>
      <c r="DQ72" s="113">
        <f t="shared" si="206"/>
        <v>207.89999999999998</v>
      </c>
      <c r="DR72" s="140">
        <f t="shared" si="207"/>
        <v>262.5</v>
      </c>
      <c r="DS72" s="141">
        <v>5.4</v>
      </c>
      <c r="DT72" s="141">
        <v>0</v>
      </c>
      <c r="DU72" s="141">
        <v>5.2</v>
      </c>
      <c r="DV72" s="140">
        <f t="shared" si="148"/>
        <v>10.600000000000001</v>
      </c>
      <c r="DW72" s="142">
        <v>3.1</v>
      </c>
      <c r="DX72" s="141">
        <v>10.1</v>
      </c>
      <c r="DY72" s="141">
        <v>5.4</v>
      </c>
      <c r="DZ72" s="140">
        <f t="shared" si="149"/>
        <v>18.600000000000001</v>
      </c>
      <c r="EA72" s="142">
        <v>2.8</v>
      </c>
      <c r="EB72" s="141">
        <v>7.1</v>
      </c>
      <c r="EC72" s="141">
        <v>4.4000000000000004</v>
      </c>
      <c r="ED72" s="140">
        <f t="shared" si="150"/>
        <v>14.299999999999999</v>
      </c>
      <c r="EE72" s="141">
        <v>0.7</v>
      </c>
      <c r="EF72" s="141">
        <v>4.9000000000000004</v>
      </c>
      <c r="EG72" s="141">
        <v>4.5999999999999996</v>
      </c>
      <c r="EH72" s="140">
        <f t="shared" si="151"/>
        <v>10.199999999999999</v>
      </c>
      <c r="EI72" s="140">
        <f t="shared" si="40"/>
        <v>53.7</v>
      </c>
      <c r="EJ72" s="141">
        <v>2.9</v>
      </c>
      <c r="EK72" s="141">
        <v>2</v>
      </c>
      <c r="EL72" s="141">
        <v>4.5999999999999996</v>
      </c>
      <c r="EM72" s="140">
        <f t="shared" si="152"/>
        <v>9.5</v>
      </c>
      <c r="EN72" s="141">
        <v>9.4</v>
      </c>
      <c r="EO72" s="141">
        <v>79.599999999999994</v>
      </c>
      <c r="EP72" s="141">
        <v>14.3</v>
      </c>
      <c r="EQ72" s="140">
        <f t="shared" si="153"/>
        <v>103.3</v>
      </c>
      <c r="ER72" s="141">
        <v>5.81</v>
      </c>
      <c r="ES72" s="141">
        <v>11.2</v>
      </c>
      <c r="ET72" s="141">
        <v>24.9</v>
      </c>
      <c r="EU72" s="140">
        <f t="shared" si="154"/>
        <v>41.91</v>
      </c>
      <c r="EV72" s="141">
        <v>4.9000000000000004</v>
      </c>
      <c r="EW72" s="141">
        <v>21.3</v>
      </c>
      <c r="EX72" s="141">
        <v>15.68093</v>
      </c>
      <c r="EY72" s="140">
        <f t="shared" si="155"/>
        <v>41.880930000000006</v>
      </c>
      <c r="EZ72" s="169">
        <f t="shared" si="45"/>
        <v>196.59092999999999</v>
      </c>
      <c r="FA72" s="170"/>
      <c r="FB72" s="169">
        <v>8.8000000000000007</v>
      </c>
      <c r="FC72" s="169">
        <v>10.6</v>
      </c>
      <c r="FD72" s="169">
        <v>24.6</v>
      </c>
      <c r="FE72" s="171">
        <f t="shared" si="156"/>
        <v>44</v>
      </c>
      <c r="FF72" s="169">
        <v>13.914185000000002</v>
      </c>
      <c r="FG72" s="169">
        <v>3.895378</v>
      </c>
      <c r="FH72" s="169">
        <v>0.850773</v>
      </c>
      <c r="FI72" s="171">
        <f t="shared" si="157"/>
        <v>18.660336000000001</v>
      </c>
      <c r="FJ72" s="169">
        <v>9.4870970000000003</v>
      </c>
      <c r="FK72" s="169">
        <v>7.5517649999999996</v>
      </c>
      <c r="FL72" s="169">
        <v>7.5362439999999999</v>
      </c>
      <c r="FM72" s="171">
        <f t="shared" si="158"/>
        <v>24.575106000000002</v>
      </c>
      <c r="FN72" s="172">
        <v>4.8306880000000003</v>
      </c>
      <c r="FO72" s="173">
        <v>3.556667</v>
      </c>
      <c r="FP72" s="173">
        <v>6.1566900000000002</v>
      </c>
      <c r="FQ72" s="175">
        <f t="shared" si="159"/>
        <v>14.544045000000001</v>
      </c>
      <c r="FR72" s="175">
        <f t="shared" si="50"/>
        <v>101.779487</v>
      </c>
      <c r="FS72" s="172">
        <v>21.345638000000001</v>
      </c>
      <c r="FT72" s="173">
        <v>12.451755</v>
      </c>
      <c r="FU72" s="174">
        <v>14.572959000000001</v>
      </c>
      <c r="FV72" s="175">
        <f t="shared" si="160"/>
        <v>48.370351999999997</v>
      </c>
      <c r="FW72" s="172">
        <v>5.7896539999999996</v>
      </c>
      <c r="FX72" s="173">
        <v>10.476368000000001</v>
      </c>
      <c r="FY72" s="174">
        <v>13.992877999999997</v>
      </c>
      <c r="FZ72" s="175">
        <f t="shared" si="161"/>
        <v>30.258899999999997</v>
      </c>
      <c r="GA72" s="172">
        <v>22.801639000000002</v>
      </c>
      <c r="GB72" s="173">
        <v>13.830581</v>
      </c>
      <c r="GC72" s="174">
        <v>6.0492689999999998</v>
      </c>
      <c r="GD72" s="175">
        <f t="shared" si="162"/>
        <v>42.681489000000006</v>
      </c>
      <c r="GE72" s="172">
        <v>0</v>
      </c>
      <c r="GF72" s="173">
        <v>7.1673920000000004</v>
      </c>
      <c r="GG72" s="159">
        <v>7.3065629999999997</v>
      </c>
      <c r="GH72" s="174">
        <f t="shared" si="184"/>
        <v>14.473955</v>
      </c>
      <c r="GI72" s="174">
        <f t="shared" si="55"/>
        <v>135.784696</v>
      </c>
      <c r="GJ72" s="221">
        <v>4.5544045999999998</v>
      </c>
      <c r="GK72" s="222">
        <v>16.338583</v>
      </c>
      <c r="GL72" s="223">
        <v>38.879280000000001</v>
      </c>
      <c r="GM72" s="175">
        <f t="shared" si="164"/>
        <v>59.772267599999999</v>
      </c>
      <c r="GN72" s="221">
        <v>15.986660820000001</v>
      </c>
      <c r="GO72" s="222">
        <v>9.7871255695281985</v>
      </c>
      <c r="GP72" s="223">
        <v>9.2745614105409189</v>
      </c>
      <c r="GQ72" s="175">
        <f t="shared" si="165"/>
        <v>35.048347800069116</v>
      </c>
      <c r="GR72" s="231">
        <v>32.5</v>
      </c>
      <c r="GS72" s="222">
        <v>9.826471999999999</v>
      </c>
      <c r="GT72" s="223">
        <v>15.651492999999999</v>
      </c>
      <c r="GU72" s="175">
        <f t="shared" si="166"/>
        <v>57.977964999999998</v>
      </c>
      <c r="GV72" s="221">
        <v>9.3076889999999999</v>
      </c>
      <c r="GW72" s="222">
        <v>33.940380999999995</v>
      </c>
      <c r="GX72" s="223">
        <v>59.318571000000006</v>
      </c>
      <c r="GY72" s="174">
        <f t="shared" si="185"/>
        <v>102.566641</v>
      </c>
      <c r="GZ72" s="159">
        <v>255.36522140006912</v>
      </c>
      <c r="HA72" s="254">
        <v>34.377020999999999</v>
      </c>
      <c r="HB72" s="160">
        <v>251.72005899999999</v>
      </c>
      <c r="HC72" s="159">
        <v>54.789240919655697</v>
      </c>
      <c r="HD72" s="273">
        <f t="shared" si="168"/>
        <v>340.8863209196557</v>
      </c>
      <c r="HE72" s="254">
        <v>58.699645999999994</v>
      </c>
      <c r="HF72" s="160">
        <v>15.215076</v>
      </c>
      <c r="HG72" s="159">
        <v>47.376125000000002</v>
      </c>
      <c r="HH72" s="273">
        <f t="shared" si="169"/>
        <v>121.290847</v>
      </c>
      <c r="HI72" s="256">
        <v>28.377969</v>
      </c>
      <c r="HJ72" s="160">
        <v>66.064674999999994</v>
      </c>
      <c r="HK72" s="159">
        <v>37.371560000000002</v>
      </c>
      <c r="HL72" s="273">
        <f t="shared" si="170"/>
        <v>131.81420400000002</v>
      </c>
      <c r="HM72" s="254">
        <v>16.097422999999999</v>
      </c>
      <c r="HN72" s="160">
        <v>2.5112190000000001</v>
      </c>
      <c r="HO72" s="159">
        <v>14.483757000000001</v>
      </c>
      <c r="HP72" s="273">
        <f t="shared" si="188"/>
        <v>33.092399</v>
      </c>
      <c r="HQ72" s="273">
        <f t="shared" si="127"/>
        <v>627.08377091965565</v>
      </c>
      <c r="HR72" s="254"/>
      <c r="HS72" s="160">
        <v>5.5654389999999996</v>
      </c>
      <c r="HT72" s="159">
        <v>18.744308999999998</v>
      </c>
      <c r="HU72" s="273">
        <f t="shared" si="172"/>
        <v>24.309747999999999</v>
      </c>
      <c r="HV72" s="254">
        <v>24.532784999999997</v>
      </c>
      <c r="HW72" s="160"/>
      <c r="HX72" s="159">
        <v>0.888602</v>
      </c>
      <c r="HY72" s="273">
        <f t="shared" si="189"/>
        <v>25.421386999999996</v>
      </c>
      <c r="HZ72" s="256">
        <v>11.050051999999997</v>
      </c>
      <c r="IA72" s="160">
        <v>2.8181909999999997</v>
      </c>
      <c r="IB72" s="159">
        <v>8.3950999999999998E-2</v>
      </c>
      <c r="IC72" s="273">
        <f t="shared" si="174"/>
        <v>13.952193999999997</v>
      </c>
      <c r="ID72" s="254">
        <v>12.936487</v>
      </c>
      <c r="IE72" s="160">
        <v>19.636081000000001</v>
      </c>
      <c r="IF72" s="159">
        <v>77.924531999999999</v>
      </c>
      <c r="IG72" s="273">
        <f t="shared" si="175"/>
        <v>110.4971</v>
      </c>
      <c r="IH72" s="273">
        <v>174.180429</v>
      </c>
      <c r="II72" s="254">
        <v>16.615752000000001</v>
      </c>
      <c r="IJ72" s="160">
        <v>5.0006589999999997</v>
      </c>
      <c r="IK72" s="159">
        <v>26.643760999999998</v>
      </c>
      <c r="IL72" s="273">
        <v>48.260171999999997</v>
      </c>
      <c r="IM72" s="254">
        <v>9.7215290000000003</v>
      </c>
      <c r="IN72" s="160">
        <v>18.632912000000001</v>
      </c>
      <c r="IO72" s="160">
        <v>13.152775</v>
      </c>
      <c r="IP72" s="273">
        <v>41.507216</v>
      </c>
      <c r="IQ72" s="254">
        <v>26.029781999999997</v>
      </c>
      <c r="IR72" s="160"/>
      <c r="IS72" s="159"/>
      <c r="IT72" s="273">
        <v>26.029781999999997</v>
      </c>
      <c r="IU72" s="254"/>
      <c r="IV72" s="160">
        <v>10.512808</v>
      </c>
      <c r="IW72" s="159">
        <v>19.953904999999999</v>
      </c>
      <c r="IX72" s="273">
        <v>30.466712999999999</v>
      </c>
      <c r="IY72" s="273">
        <v>146.26388299999999</v>
      </c>
      <c r="IZ72" s="254">
        <v>12.11384</v>
      </c>
      <c r="JA72" s="160">
        <v>16.556339999999999</v>
      </c>
      <c r="JB72" s="159">
        <v>2.7851370000000002</v>
      </c>
      <c r="JC72" s="273">
        <v>31.455316999999997</v>
      </c>
      <c r="JD72" s="254">
        <v>202.48795699999999</v>
      </c>
      <c r="JE72" s="160">
        <v>3.6022280000000002</v>
      </c>
      <c r="JF72" s="159">
        <v>2.929497</v>
      </c>
      <c r="JG72" s="273">
        <v>209.01968199999999</v>
      </c>
      <c r="JH72" s="254"/>
      <c r="JI72" s="160">
        <v>83.728988999999999</v>
      </c>
      <c r="JJ72" s="159">
        <v>5.3647610000000006</v>
      </c>
      <c r="JK72" s="273">
        <v>89.09375</v>
      </c>
      <c r="JL72" s="254">
        <v>76.612986000000006</v>
      </c>
      <c r="JM72" s="160">
        <v>0</v>
      </c>
      <c r="JN72" s="159">
        <v>118.49524</v>
      </c>
      <c r="JO72" s="273">
        <v>195.108226</v>
      </c>
      <c r="JP72" s="273">
        <v>524.67697500000008</v>
      </c>
      <c r="JQ72" s="254">
        <v>32.006968000000001</v>
      </c>
      <c r="JR72" s="160">
        <v>21.084336</v>
      </c>
      <c r="JS72" s="159">
        <v>99.840440000000001</v>
      </c>
      <c r="JT72" s="273">
        <v>152.93174400000001</v>
      </c>
      <c r="JU72" s="254">
        <v>17.982958</v>
      </c>
      <c r="JV72" s="160">
        <v>30.541314999999997</v>
      </c>
      <c r="JW72" s="159">
        <v>17.633831999999998</v>
      </c>
      <c r="JX72" s="273">
        <v>66.158104999999992</v>
      </c>
      <c r="JY72" s="254">
        <v>17.211881999999999</v>
      </c>
      <c r="JZ72" s="160">
        <v>106.878942</v>
      </c>
      <c r="KA72" s="159">
        <v>30.628044000000003</v>
      </c>
      <c r="KB72" s="273">
        <v>154.71886799999999</v>
      </c>
      <c r="KC72" s="254">
        <v>12.975669</v>
      </c>
      <c r="KD72" s="160">
        <v>19.042379</v>
      </c>
      <c r="KE72" s="159">
        <v>113.157298</v>
      </c>
      <c r="KF72" s="273">
        <v>145.17534599999999</v>
      </c>
      <c r="KG72" s="273">
        <v>518.98406299999999</v>
      </c>
      <c r="KH72" s="221">
        <v>42.142670000000003</v>
      </c>
      <c r="KI72" s="222">
        <v>3.1507010000000002</v>
      </c>
      <c r="KJ72" s="223">
        <v>130.05410700000002</v>
      </c>
      <c r="KK72" s="273">
        <v>175.34747800000002</v>
      </c>
      <c r="KL72" s="221">
        <v>9.4166309999999989</v>
      </c>
      <c r="KM72" s="222">
        <v>34.221525</v>
      </c>
      <c r="KN72" s="223">
        <v>4.7417100000000003</v>
      </c>
      <c r="KO72" s="273">
        <v>48.379865999999993</v>
      </c>
      <c r="KP72" s="221"/>
      <c r="KQ72" s="222">
        <v>111.371611</v>
      </c>
      <c r="KR72" s="223">
        <v>2.5725799999999999</v>
      </c>
      <c r="KS72" s="273">
        <v>113.944191</v>
      </c>
      <c r="KT72" s="254">
        <v>15.149710000000001</v>
      </c>
      <c r="KU72" s="160">
        <v>36.157753999999997</v>
      </c>
      <c r="KV72" s="159">
        <v>133.709025</v>
      </c>
      <c r="KW72" s="273">
        <v>185.01648899999998</v>
      </c>
      <c r="KX72" s="273">
        <v>522.68802400000004</v>
      </c>
      <c r="KY72" s="221">
        <v>18.854348000000002</v>
      </c>
      <c r="KZ72" s="222">
        <v>14.447702</v>
      </c>
      <c r="LA72" s="223">
        <v>41.114311000000001</v>
      </c>
      <c r="LB72" s="273">
        <v>74.416360999999995</v>
      </c>
      <c r="LC72" s="221">
        <v>135.19321099999999</v>
      </c>
      <c r="LD72" s="222">
        <v>47.940832999999998</v>
      </c>
      <c r="LE72" s="223">
        <v>11.388349999999999</v>
      </c>
      <c r="LF72" s="273">
        <v>194.52239399999999</v>
      </c>
      <c r="LG72" s="221">
        <v>4.9167420000000002</v>
      </c>
      <c r="LH72" s="222">
        <v>124.308103</v>
      </c>
      <c r="LI72" s="223">
        <v>4.1408240000000003</v>
      </c>
      <c r="LJ72" s="273">
        <v>133.36566900000003</v>
      </c>
      <c r="LK72" s="254">
        <v>9.0098500000000001</v>
      </c>
      <c r="LL72" s="160">
        <v>4.3324639999999999</v>
      </c>
      <c r="LM72" s="159">
        <v>158.779933</v>
      </c>
      <c r="LN72" s="273">
        <v>172.12224699999999</v>
      </c>
      <c r="LO72" s="273">
        <v>574.42667100000006</v>
      </c>
    </row>
    <row r="73" spans="1:327" ht="17.100000000000001" customHeight="1" x14ac:dyDescent="0.2">
      <c r="A73" s="2" t="s">
        <v>104</v>
      </c>
      <c r="B73" s="24"/>
      <c r="C73" s="5">
        <v>147.4</v>
      </c>
      <c r="D73" s="5">
        <v>11</v>
      </c>
      <c r="E73" s="5">
        <v>21.7</v>
      </c>
      <c r="F73" s="5">
        <v>31.6</v>
      </c>
      <c r="G73" s="5">
        <v>64.3</v>
      </c>
      <c r="H73" s="5">
        <v>64.5</v>
      </c>
      <c r="I73" s="5">
        <v>45.4</v>
      </c>
      <c r="J73" s="5">
        <v>25.8</v>
      </c>
      <c r="K73" s="5">
        <v>135.69999999999999</v>
      </c>
      <c r="L73" s="5">
        <v>48.9</v>
      </c>
      <c r="M73" s="5">
        <f>90.8-1-4.4-52.9</f>
        <v>32.499999999999993</v>
      </c>
      <c r="N73" s="5">
        <f>63.7-14-46.1</f>
        <v>3.6000000000000014</v>
      </c>
      <c r="O73" s="5">
        <f t="shared" si="0"/>
        <v>85</v>
      </c>
      <c r="P73" s="5">
        <f>100.6-46.4-9.2</f>
        <v>45</v>
      </c>
      <c r="Q73" s="5">
        <f>84.7-10.3-29.3</f>
        <v>45.100000000000009</v>
      </c>
      <c r="R73" s="5">
        <f>143.9-76.2-14.8</f>
        <v>52.900000000000006</v>
      </c>
      <c r="S73" s="5">
        <f t="shared" si="1"/>
        <v>143</v>
      </c>
      <c r="T73" s="16">
        <f t="shared" si="7"/>
        <v>428</v>
      </c>
      <c r="U73" s="5">
        <f>101.2-5.1-14.1-6.9</f>
        <v>75.100000000000009</v>
      </c>
      <c r="V73" s="5">
        <f>114.4-2.6+4.3-0.04</f>
        <v>116.06</v>
      </c>
      <c r="W73" s="5">
        <f>28.3+66.3-0.8-0.04</f>
        <v>93.759999999999991</v>
      </c>
      <c r="X73" s="4">
        <f t="shared" si="196"/>
        <v>284.92</v>
      </c>
      <c r="Y73" s="5">
        <f>44.7+36-3.1-13.7-0.04</f>
        <v>63.860000000000007</v>
      </c>
      <c r="Z73" s="5">
        <f>84.3-7.4-0.04</f>
        <v>76.859999999999985</v>
      </c>
      <c r="AA73" s="9">
        <f>117.9-27.91-11.83-5.5+0.04</f>
        <v>72.700000000000017</v>
      </c>
      <c r="AB73" s="5">
        <f t="shared" si="197"/>
        <v>213.42000000000002</v>
      </c>
      <c r="AC73" s="5">
        <f>138.5-7.86-10</f>
        <v>120.63999999999999</v>
      </c>
      <c r="AD73" s="5">
        <f>45.9-14+0.5</f>
        <v>32.4</v>
      </c>
      <c r="AE73" s="5">
        <f>99.6-24.2-0.1-17.3-4.98</f>
        <v>53.019999999999996</v>
      </c>
      <c r="AF73" s="5">
        <f t="shared" si="198"/>
        <v>206.06</v>
      </c>
      <c r="AG73" s="5">
        <f>123.6-49.305-3.2+0.04-19.6</f>
        <v>51.534999999999989</v>
      </c>
      <c r="AH73" s="5">
        <f>79.3-0.04-12.4</f>
        <v>66.859999999999985</v>
      </c>
      <c r="AI73" s="5">
        <f>98.5-51.96-AI75-1.9-0.2-6.4</f>
        <v>27.847999999999999</v>
      </c>
      <c r="AJ73" s="5">
        <f t="shared" si="128"/>
        <v>146.24299999999999</v>
      </c>
      <c r="AK73" s="16">
        <f t="shared" si="129"/>
        <v>850.64300000000003</v>
      </c>
      <c r="AL73" s="5">
        <f>91.5-14.555-49.3-0.04-AL81</f>
        <v>24.417454939999995</v>
      </c>
      <c r="AM73" s="5">
        <f>68.8-0.185-26.188</f>
        <v>42.426999999999992</v>
      </c>
      <c r="AN73" s="5">
        <f>90.3-33.515-AN80-AN81+0.1-2.6</f>
        <v>50.883413619999999</v>
      </c>
      <c r="AO73" s="5">
        <f t="shared" si="201"/>
        <v>117.72786855999999</v>
      </c>
      <c r="AP73" s="5">
        <f>97.2-21.59-2.1+0.04-6.806</f>
        <v>66.744000000000014</v>
      </c>
      <c r="AQ73" s="5">
        <f>91.4-4.835</f>
        <v>86.565000000000012</v>
      </c>
      <c r="AR73" s="5">
        <f>126.3-0.101014-61.915</f>
        <v>64.283985999999999</v>
      </c>
      <c r="AS73" s="54">
        <f t="shared" si="12"/>
        <v>217.59298600000002</v>
      </c>
      <c r="AT73" s="5">
        <f>96.1-24.43-(41.015-25.2)</f>
        <v>55.85499999999999</v>
      </c>
      <c r="AU73" s="5">
        <f>47.4-19.27-AU81</f>
        <v>28.125886980000001</v>
      </c>
      <c r="AV73" s="5">
        <f>41.7-AV53-AV81</f>
        <v>16.924770680000002</v>
      </c>
      <c r="AW73" s="54">
        <f t="shared" si="202"/>
        <v>100.90565766</v>
      </c>
      <c r="AX73" s="5">
        <f>96.3-AX81-22.79-36.27</f>
        <v>35.074707679999996</v>
      </c>
      <c r="AY73" s="5">
        <f>62.7-4.428-20.099</f>
        <v>38.173000000000002</v>
      </c>
      <c r="AZ73" s="5">
        <f>72.7-43.29</f>
        <v>29.410000000000004</v>
      </c>
      <c r="BA73" s="54">
        <f t="shared" si="14"/>
        <v>102.65770767999999</v>
      </c>
      <c r="BB73" s="54">
        <f t="shared" si="131"/>
        <v>538.88421990000006</v>
      </c>
      <c r="BC73" s="5">
        <f>63.341-BC74</f>
        <v>58.557000000000002</v>
      </c>
      <c r="BD73" s="66">
        <f>121.12281319-4.845-BD75-BD74</f>
        <v>97.092813190000001</v>
      </c>
      <c r="BE73" s="66">
        <f>89.07918057-24.135-BE75-BE74</f>
        <v>55.986180570000002</v>
      </c>
      <c r="BF73" s="62">
        <f t="shared" si="209"/>
        <v>211.63599376000002</v>
      </c>
      <c r="BG73" s="67">
        <f>56.320146-BG80-BG75-BG53-BG74</f>
        <v>5.4821460000000011</v>
      </c>
      <c r="BH73" s="67">
        <f>51.2256-BH80-BH75-BH53-BH74</f>
        <v>30.621600000000001</v>
      </c>
      <c r="BI73" s="67">
        <f>70.95474-BI80-BI75-BI53-BI74</f>
        <v>42.973739999999999</v>
      </c>
      <c r="BJ73" s="62">
        <f t="shared" si="132"/>
        <v>79.077485999999993</v>
      </c>
      <c r="BK73" s="67">
        <f>85.31664-BK80-BK75-BK53-BK74</f>
        <v>33.150640000000017</v>
      </c>
      <c r="BL73" s="67">
        <f>69.3862-BL80-BL75-BL53-BL74</f>
        <v>12.236200000000004</v>
      </c>
      <c r="BM73" s="67">
        <f>51.844681-BM80-BM75-BM53-BM74</f>
        <v>21.819680999999999</v>
      </c>
      <c r="BN73" s="62">
        <f t="shared" si="133"/>
        <v>67.206521000000023</v>
      </c>
      <c r="BO73" s="71">
        <f>59.1391788-BO80-BO75-BO53-BO74</f>
        <v>21.919178800000005</v>
      </c>
      <c r="BP73" s="67">
        <f>50.28939-BP80-BP75-BP53-BP74</f>
        <v>17.31439</v>
      </c>
      <c r="BQ73" s="67">
        <f>70.3071-BQ80-BQ75-BQ53-BQ74</f>
        <v>16.507100000000008</v>
      </c>
      <c r="BR73" s="62">
        <f t="shared" si="134"/>
        <v>55.740668800000009</v>
      </c>
      <c r="BS73" s="62">
        <f t="shared" si="135"/>
        <v>413.66066956000009</v>
      </c>
      <c r="BT73" s="67">
        <f>165.3-BT80-BT75-BT53-BT74</f>
        <v>36.911000000000008</v>
      </c>
      <c r="BU73" s="67">
        <f>16.7-BU80-BU75-BU53-BU74+1.2+8.1</f>
        <v>8.3999999999999968</v>
      </c>
      <c r="BV73" s="67">
        <f>50.9-BV80-BV75-BV53-BV74+5.8+11</f>
        <v>10.999999999999996</v>
      </c>
      <c r="BW73" s="62">
        <f t="shared" si="191"/>
        <v>56.311000000000007</v>
      </c>
      <c r="BX73" s="67">
        <f>60.34-BX80-BX75-BX53-BX74</f>
        <v>34.440000000000005</v>
      </c>
      <c r="BY73" s="67">
        <f>54.2-BY80-BY75-BY53-BY74</f>
        <v>11.699000000000003</v>
      </c>
      <c r="BZ73" s="67">
        <f>0+3.91</f>
        <v>3.91</v>
      </c>
      <c r="CA73" s="62">
        <f t="shared" si="192"/>
        <v>50.049000000000007</v>
      </c>
      <c r="CB73" s="67"/>
      <c r="CC73" s="67">
        <f>35.9-CC80-CC53-CC74+14.3</f>
        <v>0</v>
      </c>
      <c r="CD73" s="67">
        <f>30.4-CD80-CD75-CD53-CD74+17.7+11.4</f>
        <v>0</v>
      </c>
      <c r="CE73" s="62">
        <f>SUM(CB73+CC73+CD73)</f>
        <v>0</v>
      </c>
      <c r="CF73" s="67">
        <f>51.16-CF80-CF75-CF53-CF74</f>
        <v>25.718999999999998</v>
      </c>
      <c r="CG73" s="67">
        <f>77.2-CG80-CG75-CG53-CG74</f>
        <v>9.5990000000000038</v>
      </c>
      <c r="CH73" s="67">
        <f>102.1-CH80-CH75-CH53-CH74</f>
        <v>23.499999999999993</v>
      </c>
      <c r="CI73" s="67">
        <f t="shared" si="194"/>
        <v>58.817999999999991</v>
      </c>
      <c r="CJ73" s="71">
        <f t="shared" si="195"/>
        <v>165.178</v>
      </c>
      <c r="CK73" s="71">
        <f>132.4-CK53-CK75-CK76-CK74+20.5</f>
        <v>9.7000000000008413E-2</v>
      </c>
      <c r="CL73" s="67">
        <f>77.84-CL53-CL75-CL76-CL74</f>
        <v>25.646999999999998</v>
      </c>
      <c r="CM73" s="67">
        <f>91.7-CM53-CM75-CM76-CM74</f>
        <v>40.293999999999997</v>
      </c>
      <c r="CN73" s="62">
        <f>SUM(CK73:CM73)</f>
        <v>66.038000000000011</v>
      </c>
      <c r="CO73" s="67">
        <f>61.1-CO53-CO75-CO76-CO74</f>
        <v>18.900000000000002</v>
      </c>
      <c r="CP73" s="67">
        <f>46.2-CP53-CP75-CP76-CP74</f>
        <v>26.700000000000003</v>
      </c>
      <c r="CQ73" s="67">
        <f>167.3-CQ53-CQ75-CQ76-CQ74</f>
        <v>97.647999999999996</v>
      </c>
      <c r="CR73" s="62">
        <f t="shared" si="203"/>
        <v>143.24799999999999</v>
      </c>
      <c r="CS73" s="101">
        <f>562.72-CS53-CS75-CS76-CS74</f>
        <v>444.37099999999998</v>
      </c>
      <c r="CT73" s="67">
        <f>111.5-CT53-CT75-CT76-CT74</f>
        <v>1.6390000000000065</v>
      </c>
      <c r="CU73" s="67">
        <f>60.1-CU53-CU75-CU76-CU74</f>
        <v>3.5</v>
      </c>
      <c r="CV73" s="62">
        <f>SUM(CS73+CT73+CU73)</f>
        <v>449.51</v>
      </c>
      <c r="CW73" s="67">
        <f>54.9-CW53-CW75-CW76-CW74</f>
        <v>5.5689999999999991</v>
      </c>
      <c r="CX73" s="67">
        <f>69.8-CX53-CX75-CX76-CX74</f>
        <v>30.163999999999994</v>
      </c>
      <c r="CY73" s="112">
        <f>114.6-CY53-CY75-CY76-CY74</f>
        <v>36.599999999999994</v>
      </c>
      <c r="CZ73" s="113">
        <f t="shared" si="204"/>
        <v>72.332999999999984</v>
      </c>
      <c r="DA73" s="62">
        <f t="shared" si="205"/>
        <v>731.12900000000002</v>
      </c>
      <c r="DB73" s="71">
        <f>34.8+80-DB53-DB75-DB76-DB74</f>
        <v>2.599999999999997</v>
      </c>
      <c r="DC73" s="67">
        <f>233.3-DC53-DC75-DC76-DC74</f>
        <v>188.40200000000002</v>
      </c>
      <c r="DD73" s="77">
        <f>42.2+10-DD53-DD75-DD76-DD74</f>
        <v>1.5</v>
      </c>
      <c r="DE73" s="62">
        <f t="shared" si="210"/>
        <v>192.50200000000001</v>
      </c>
      <c r="DF73" s="71">
        <f>34.6-DF53-DF75-DF76-DF74</f>
        <v>7.1000000000000014</v>
      </c>
      <c r="DG73" s="67">
        <f>41-DG53-DG75-DG76-DG74</f>
        <v>30.65</v>
      </c>
      <c r="DH73" s="77">
        <f>31.1-DH53-DH75-DH76-DH74</f>
        <v>4.1990000000000034</v>
      </c>
      <c r="DI73" s="62">
        <f t="shared" si="211"/>
        <v>41.949000000000005</v>
      </c>
      <c r="DJ73" s="71">
        <f>47.2+2.5-DJ53-DJ75-DJ76-DJ74</f>
        <v>0.40100000000000513</v>
      </c>
      <c r="DK73" s="67">
        <f>49-DK53-DK75-DK76-DK74</f>
        <v>7.5</v>
      </c>
      <c r="DL73" s="77">
        <f>47.7-DL53-DL75-DL76-DL74</f>
        <v>6.6000000000000014</v>
      </c>
      <c r="DM73" s="62">
        <f>SUM(DJ73+DK73+DL73)</f>
        <v>14.501000000000007</v>
      </c>
      <c r="DN73" s="67">
        <f>195.1-DN53-DN75-DN76-DN74</f>
        <v>112.20699999999999</v>
      </c>
      <c r="DO73" s="67">
        <f>51.7-DO53-DO74-DO75-DO76</f>
        <v>13.000999999999999</v>
      </c>
      <c r="DP73" s="77">
        <f>111.6-DP53-DP74-DP75-DP76</f>
        <v>20.149999999999991</v>
      </c>
      <c r="DQ73" s="113">
        <f t="shared" si="206"/>
        <v>145.358</v>
      </c>
      <c r="DR73" s="140">
        <f t="shared" si="207"/>
        <v>394.31000000000006</v>
      </c>
      <c r="DS73" s="141">
        <f>126-DS75-DS53-DS74-DS76+1.4</f>
        <v>2.6645352591003757E-15</v>
      </c>
      <c r="DT73" s="141">
        <f>69.8-DT53-DT74-DT75-DT76</f>
        <v>37.9</v>
      </c>
      <c r="DU73" s="141">
        <f>78-DU53-DU74-DU75-DU76</f>
        <v>32.75</v>
      </c>
      <c r="DV73" s="140">
        <f t="shared" si="148"/>
        <v>70.650000000000006</v>
      </c>
      <c r="DW73" s="141">
        <f>106.8-DW74-DW75-DW76</f>
        <v>74.778000000000006</v>
      </c>
      <c r="DX73" s="141">
        <f>58.9-DX53-DX74-DX75-DX76</f>
        <v>29.799999999999997</v>
      </c>
      <c r="DY73" s="141">
        <f>114-DY53-DY74-DY75-DY76</f>
        <v>99.1</v>
      </c>
      <c r="DZ73" s="140">
        <f t="shared" si="149"/>
        <v>203.678</v>
      </c>
      <c r="EA73" s="141">
        <f>89.1-EA53-EA74-EA75-EA76</f>
        <v>83.6</v>
      </c>
      <c r="EB73" s="141">
        <f>35-EB53-EB74-EB75-EB76</f>
        <v>35</v>
      </c>
      <c r="EC73" s="141">
        <f>37.5-EC53-EC74-EC75-EC76</f>
        <v>37.4</v>
      </c>
      <c r="ED73" s="140">
        <f t="shared" si="150"/>
        <v>156</v>
      </c>
      <c r="EE73" s="141">
        <f>60.3-EE53-EE74-EE75-EE76</f>
        <v>49.599999999999994</v>
      </c>
      <c r="EF73" s="141">
        <f>53.9-EF53-EF74-EF75-EF76</f>
        <v>29.599999999999998</v>
      </c>
      <c r="EG73" s="141">
        <f>106.1-EG53-EG74-EG75-EG76</f>
        <v>39.349999999999994</v>
      </c>
      <c r="EH73" s="140">
        <f t="shared" si="151"/>
        <v>118.54999999999998</v>
      </c>
      <c r="EI73" s="140">
        <f t="shared" si="40"/>
        <v>548.87799999999993</v>
      </c>
      <c r="EJ73" s="141">
        <f>89.1-EJ53-EJ74-EJ75-EJ76+8.5</f>
        <v>5.9999999999996945E-2</v>
      </c>
      <c r="EK73" s="141">
        <f>10.6-EK75-EK53-EK74-EK76+4</f>
        <v>4.9999999999998934E-2</v>
      </c>
      <c r="EL73" s="141">
        <f>62.4-EL53-EL74-EL75-EL76</f>
        <v>51.4</v>
      </c>
      <c r="EM73" s="140">
        <f t="shared" si="152"/>
        <v>51.509999999999991</v>
      </c>
      <c r="EN73" s="141">
        <f>28.7-EN53-EN74-EN75-EN76</f>
        <v>28.7</v>
      </c>
      <c r="EO73" s="141">
        <f>98.7-EO53-EO74-EO75-EO76</f>
        <v>91.00200000000001</v>
      </c>
      <c r="EP73" s="141">
        <f>135.8-EP53-EP74-EP75-EP76</f>
        <v>114.64500000000001</v>
      </c>
      <c r="EQ73" s="140">
        <f t="shared" si="153"/>
        <v>234.34700000000004</v>
      </c>
      <c r="ER73" s="141">
        <f>29.7-ER53-ER74-ER75-ER76</f>
        <v>9.5390000000000015</v>
      </c>
      <c r="ES73" s="141">
        <f>18+22.354-ES53-ES74-ES75-ES76</f>
        <v>0</v>
      </c>
      <c r="ET73" s="141">
        <f>30.9+20.7-ET53-ET74-ET75-ET76</f>
        <v>6.9999999999961204E-3</v>
      </c>
      <c r="EU73" s="140">
        <f t="shared" si="154"/>
        <v>9.5459999999999976</v>
      </c>
      <c r="EV73" s="141">
        <f>47.2-EV53-EV74-EV75-EV76</f>
        <v>35.1</v>
      </c>
      <c r="EW73" s="141">
        <f>53.1-EW53-EW74-EW75-EW76</f>
        <v>32.498000000000005</v>
      </c>
      <c r="EX73" s="141">
        <f>209.2255-EX53-EX74-EX75-EX76</f>
        <v>192.31250000000003</v>
      </c>
      <c r="EY73" s="140">
        <f t="shared" si="155"/>
        <v>259.91050000000007</v>
      </c>
      <c r="EZ73" s="169">
        <f t="shared" si="45"/>
        <v>555.31350000000009</v>
      </c>
      <c r="FA73" s="170"/>
      <c r="FB73" s="169">
        <f>112.8+24.8+4.7-FB53-FB74-FB75-FB76</f>
        <v>126.20199999999998</v>
      </c>
      <c r="FC73" s="169">
        <f>27.3+40.7-FC53-FC74-FC75-FC76</f>
        <v>51.499000000000002</v>
      </c>
      <c r="FD73" s="169">
        <f>26.8-FD53-FD74-FD75-FD76</f>
        <v>22.861000000000001</v>
      </c>
      <c r="FE73" s="171">
        <f t="shared" si="156"/>
        <v>200.56199999999998</v>
      </c>
      <c r="FF73" s="169">
        <f>34.3-FF53-FF74-FF75-FF76</f>
        <v>31.996999999999996</v>
      </c>
      <c r="FG73" s="169">
        <f>123.62-FG53-FG74-FG75-FG76</f>
        <v>120.74300000000001</v>
      </c>
      <c r="FH73" s="169">
        <f>81.6472-FH53-FH74-FH75-FH76</f>
        <v>76.799199999999999</v>
      </c>
      <c r="FI73" s="171">
        <f t="shared" si="157"/>
        <v>229.53919999999999</v>
      </c>
      <c r="FJ73" s="169">
        <f>45.2-FJ53-FJ74-FJ75-FJ76</f>
        <v>40.89</v>
      </c>
      <c r="FK73" s="169">
        <f>60.45-FK53-FK74-FK75-FK76</f>
        <v>48.035000000000004</v>
      </c>
      <c r="FL73" s="169">
        <f>59.878-FL53-FL74-FL75-FL76</f>
        <v>28.114000000000001</v>
      </c>
      <c r="FM73" s="171">
        <f t="shared" si="158"/>
        <v>117.03900000000002</v>
      </c>
      <c r="FN73" s="172">
        <f>63.76-FN53-FN74-FN75-FN76</f>
        <v>44.26</v>
      </c>
      <c r="FO73" s="173">
        <f>67.159-FO53-FO74-FO75-FO76</f>
        <v>60.789000000000009</v>
      </c>
      <c r="FP73" s="173">
        <f>133.47-FP53-FP74-FP75-FP76</f>
        <v>129.12100000000001</v>
      </c>
      <c r="FQ73" s="175">
        <f t="shared" si="159"/>
        <v>234.17000000000002</v>
      </c>
      <c r="FR73" s="175">
        <f t="shared" si="50"/>
        <v>781.3101999999999</v>
      </c>
      <c r="FS73" s="172">
        <f>53.42-FS53-FS74-FS75-FS76</f>
        <v>50.52</v>
      </c>
      <c r="FT73" s="173">
        <f>30.2-FT53-FT74-FT75-FT76</f>
        <v>17</v>
      </c>
      <c r="FU73" s="174">
        <f>17.677-FU53-FU74-FU75-FU76</f>
        <v>2.3769999999999989</v>
      </c>
      <c r="FV73" s="175">
        <f t="shared" si="160"/>
        <v>69.897000000000006</v>
      </c>
      <c r="FW73" s="172">
        <f>33.75-FW53-FW74-FW75-FW76</f>
        <v>27.639000000000003</v>
      </c>
      <c r="FX73" s="173">
        <f>45.5-FX53-FX74-FX75-FX76</f>
        <v>41.695</v>
      </c>
      <c r="FY73" s="173">
        <f>47.1-FY53-FY74-FY75-FY76</f>
        <v>36.292000000000002</v>
      </c>
      <c r="FZ73" s="175">
        <f t="shared" si="161"/>
        <v>105.626</v>
      </c>
      <c r="GA73" s="172">
        <f>39.764-GA53-GA74-GA75-GA76</f>
        <v>29.783000000000005</v>
      </c>
      <c r="GB73" s="173">
        <f>17.762-GB53-GB74-GB75-GB76</f>
        <v>1.9340000000000011</v>
      </c>
      <c r="GC73" s="174">
        <f>25.873-GC53-GC74-GC75-GC76</f>
        <v>14.558</v>
      </c>
      <c r="GD73" s="175">
        <f t="shared" si="162"/>
        <v>46.275000000000006</v>
      </c>
      <c r="GE73" s="172">
        <f>46.1-GE53-GE74-GE75-GE76</f>
        <v>38.1</v>
      </c>
      <c r="GF73" s="173">
        <f>65.294-GF53-GF74-GF75-GF76</f>
        <v>61.068999999999996</v>
      </c>
      <c r="GG73" s="159">
        <f>80.64239167-GG53-GG74-GG75-GG76</f>
        <v>80.642391669999995</v>
      </c>
      <c r="GH73" s="174">
        <f t="shared" si="184"/>
        <v>179.81139166999998</v>
      </c>
      <c r="GI73" s="174">
        <f t="shared" si="55"/>
        <v>401.60939167000004</v>
      </c>
      <c r="GJ73" s="221">
        <f>18.5-GJ53-GJ74-GJ75-GJ76</f>
        <v>18.5</v>
      </c>
      <c r="GK73" s="222">
        <f>8.4-GK53-GK74-GK75-GK76</f>
        <v>4.1000000000000005</v>
      </c>
      <c r="GL73" s="223">
        <f>26.8-GL53-GL74-GL75-GL76</f>
        <v>26.8</v>
      </c>
      <c r="GM73" s="175">
        <f t="shared" si="164"/>
        <v>49.400000000000006</v>
      </c>
      <c r="GN73" s="221">
        <f>49.15-GN53-GN74-GN75-GN76</f>
        <v>45.153999999999996</v>
      </c>
      <c r="GO73" s="222">
        <f>6.4-GO53-GO74-GO75-GO76</f>
        <v>-0.51999999999999957</v>
      </c>
      <c r="GP73" s="222">
        <f>14.3-GP53-GP74-GP75-GP76</f>
        <v>8.3000000000000007</v>
      </c>
      <c r="GQ73" s="175">
        <f t="shared" si="165"/>
        <v>52.933999999999997</v>
      </c>
      <c r="GR73" s="221">
        <f>40.4-GR53-GR74-GR75-GR76</f>
        <v>36.142000000000003</v>
      </c>
      <c r="GS73" s="222">
        <f>59.533-GS53-GS74-GS75-GS76</f>
        <v>59.533000000000001</v>
      </c>
      <c r="GT73" s="222">
        <f>212.048406-GT53-GT74-GT75-GT76</f>
        <v>212.048406</v>
      </c>
      <c r="GU73" s="175">
        <f t="shared" si="166"/>
        <v>307.72340600000001</v>
      </c>
      <c r="GV73" s="221">
        <f>314.85-GV53-GV74-GV75-GV76</f>
        <v>41.550000000000011</v>
      </c>
      <c r="GW73" s="222">
        <f>50+152.35-GW53-GW74-GW75-GW76</f>
        <v>0.65000000000000568</v>
      </c>
      <c r="GX73" s="223">
        <f>20+216.950668090387-GX53-GX74-GX75-GX76</f>
        <v>0.44766809038701205</v>
      </c>
      <c r="GY73" s="174">
        <f t="shared" si="185"/>
        <v>42.647668090387029</v>
      </c>
      <c r="GZ73" s="159">
        <v>440.87997409038701</v>
      </c>
      <c r="HA73" s="254">
        <f>61+3.3+175.877-HA53-HA74-HA75-HA76</f>
        <v>0.17700000000003246</v>
      </c>
      <c r="HB73" s="160">
        <f>123.98+22-HB53-HB74-HB75-HB76</f>
        <v>0.78000000000002956</v>
      </c>
      <c r="HC73" s="159">
        <f>78.49-HC53-HC74-HC75-HC76</f>
        <v>2.7899999999999974</v>
      </c>
      <c r="HD73" s="273">
        <f t="shared" si="168"/>
        <v>3.7470000000000594</v>
      </c>
      <c r="HE73" s="254">
        <f>79.195-HE53-HE74-HE75-HE76</f>
        <v>19.601999999999993</v>
      </c>
      <c r="HF73" s="160">
        <f>66.45-HF53-HF74-HF75-HF76</f>
        <v>52.849999999999994</v>
      </c>
      <c r="HG73" s="160">
        <f>47.871432226685-HG53-HG74-HG75-HG76</f>
        <v>8.6794322266850017</v>
      </c>
      <c r="HH73" s="273">
        <f t="shared" si="169"/>
        <v>81.131432226684979</v>
      </c>
      <c r="HI73" s="254">
        <f>42.28-HI53-HI74-HI75-HI76</f>
        <v>16.079999999999998</v>
      </c>
      <c r="HJ73" s="160">
        <f>37.74-HJ53-HJ74-HJ75-HJ76</f>
        <v>17.993000000000002</v>
      </c>
      <c r="HK73" s="160">
        <f>57.928+3-HK53-HK74-HK75-HK76</f>
        <v>1.9279999999999973</v>
      </c>
      <c r="HL73" s="273">
        <f t="shared" si="170"/>
        <v>36.000999999999998</v>
      </c>
      <c r="HM73" s="254">
        <f>63.72875+7-HM53-HM74-HM75-HM76</f>
        <v>1.2287499999999909</v>
      </c>
      <c r="HN73" s="160">
        <f>125.717-HN53-HN74-HN75-HN76</f>
        <v>18.716999999999995</v>
      </c>
      <c r="HO73" s="159">
        <f>210.12-HO53-HO74-HO75-HO76</f>
        <v>67.12</v>
      </c>
      <c r="HP73" s="273">
        <f t="shared" si="188"/>
        <v>87.065749999999994</v>
      </c>
      <c r="HQ73" s="273">
        <f t="shared" si="127"/>
        <v>207.94518222668501</v>
      </c>
      <c r="HR73" s="254">
        <f>88.568+41-HR53-HR74-HR75-HR76</f>
        <v>-0.63200000000001633</v>
      </c>
      <c r="HS73" s="160">
        <f>70+147.974-HS53-HS74-HS75-HS76</f>
        <v>3.0740000000000123</v>
      </c>
      <c r="HT73" s="159">
        <f>8+173.13-HT53-HT74-HT75-HT76</f>
        <v>0.43000000000000682</v>
      </c>
      <c r="HU73" s="273">
        <f t="shared" si="172"/>
        <v>2.8720000000000026</v>
      </c>
      <c r="HV73" s="254">
        <f>86.4-HV53-HV74-HV75-HV76</f>
        <v>29.300000000000004</v>
      </c>
      <c r="HW73" s="160">
        <f>58.466-HW53-HW74-HW75-HW76</f>
        <v>45.665999999999997</v>
      </c>
      <c r="HX73" s="160">
        <f>106.6-HX53-HX74-HX75-HX76</f>
        <v>51.999999999999993</v>
      </c>
      <c r="HY73" s="273">
        <f t="shared" si="189"/>
        <v>126.96600000000001</v>
      </c>
      <c r="HZ73" s="254">
        <f>49-HZ53-HZ74-HZ75-HZ76</f>
        <v>20.799999999999997</v>
      </c>
      <c r="IA73" s="160">
        <f>55.85-IA53-IA74-IA75-IA76</f>
        <v>37.75</v>
      </c>
      <c r="IB73" s="160">
        <f>69.7-IB53-IB74-IB75-IB76</f>
        <v>37.1</v>
      </c>
      <c r="IC73" s="273">
        <f t="shared" si="174"/>
        <v>95.65</v>
      </c>
      <c r="ID73" s="254">
        <f>56.71766152-ID53-ID74-ID75-ID76</f>
        <v>32.617661519999999</v>
      </c>
      <c r="IE73" s="160">
        <f>48.29341529-IE53-IE74-IE75-IE76</f>
        <v>41.193415289999997</v>
      </c>
      <c r="IF73" s="159">
        <f>257.67188691-IF53-IF74-IF75-IF76</f>
        <v>253.67188691000001</v>
      </c>
      <c r="IG73" s="273">
        <f t="shared" si="175"/>
        <v>327.48296372000004</v>
      </c>
      <c r="IH73" s="273">
        <v>552.9709637200001</v>
      </c>
      <c r="II73" s="254">
        <v>13.400000000000006</v>
      </c>
      <c r="IJ73" s="160">
        <v>44.599999999999994</v>
      </c>
      <c r="IK73" s="159">
        <v>17.872199999999999</v>
      </c>
      <c r="IL73" s="273">
        <v>75.872199999999992</v>
      </c>
      <c r="IM73" s="254">
        <v>62.650000000000006</v>
      </c>
      <c r="IN73" s="160">
        <v>78.980000500000003</v>
      </c>
      <c r="IO73" s="254">
        <v>59.94</v>
      </c>
      <c r="IP73" s="273">
        <v>201.57000049999999</v>
      </c>
      <c r="IQ73" s="254">
        <v>52.52</v>
      </c>
      <c r="IR73" s="160">
        <v>4.3620000000000001</v>
      </c>
      <c r="IS73" s="159">
        <v>2.0773619999999999</v>
      </c>
      <c r="IT73" s="273">
        <v>58.959362000000006</v>
      </c>
      <c r="IU73" s="254">
        <v>18.55</v>
      </c>
      <c r="IV73" s="160">
        <v>16.5</v>
      </c>
      <c r="IW73" s="159">
        <v>59.414499999999997</v>
      </c>
      <c r="IX73" s="273">
        <v>94.464499999999987</v>
      </c>
      <c r="IY73" s="273">
        <v>430.8660625</v>
      </c>
      <c r="IZ73" s="254">
        <v>6.6999999999999993</v>
      </c>
      <c r="JA73" s="160">
        <v>51.637259999999998</v>
      </c>
      <c r="JB73" s="159">
        <v>0.69999999999999929</v>
      </c>
      <c r="JC73" s="273">
        <v>59.037260000000003</v>
      </c>
      <c r="JD73" s="254">
        <v>36.400000000000006</v>
      </c>
      <c r="JE73" s="160">
        <v>85.8</v>
      </c>
      <c r="JF73" s="159">
        <v>93.300000000000011</v>
      </c>
      <c r="JG73" s="273">
        <v>215.5</v>
      </c>
      <c r="JH73" s="254">
        <v>43.499999999999993</v>
      </c>
      <c r="JI73" s="160">
        <v>75.449999999999989</v>
      </c>
      <c r="JJ73" s="159">
        <v>54.8</v>
      </c>
      <c r="JK73" s="273">
        <v>173.75</v>
      </c>
      <c r="JL73" s="254">
        <v>0.40000000000000568</v>
      </c>
      <c r="JM73" s="160">
        <v>9.8999999999999773</v>
      </c>
      <c r="JN73" s="159">
        <v>54.199999999999989</v>
      </c>
      <c r="JO73" s="273">
        <v>64.499999999999972</v>
      </c>
      <c r="JP73" s="273">
        <v>512.78725999999995</v>
      </c>
      <c r="JQ73" s="254">
        <v>8.1102000000000203</v>
      </c>
      <c r="JR73" s="160">
        <v>0</v>
      </c>
      <c r="JS73" s="159">
        <v>5.0999999999999943</v>
      </c>
      <c r="JT73" s="273">
        <v>13.210200000000015</v>
      </c>
      <c r="JU73" s="254">
        <v>19.515999999999991</v>
      </c>
      <c r="JV73" s="160">
        <v>27.200000000000003</v>
      </c>
      <c r="JW73" s="159">
        <v>6.5</v>
      </c>
      <c r="JX73" s="273">
        <v>53.215999999999994</v>
      </c>
      <c r="JY73" s="254">
        <v>18</v>
      </c>
      <c r="JZ73" s="160">
        <v>27</v>
      </c>
      <c r="KA73" s="159">
        <v>4.5579410000000031</v>
      </c>
      <c r="KB73" s="273">
        <v>49.557941</v>
      </c>
      <c r="KC73" s="254">
        <v>0.59999999999999432</v>
      </c>
      <c r="KD73" s="160">
        <v>0.60000000000002274</v>
      </c>
      <c r="KE73" s="160">
        <v>0.98658584999998311</v>
      </c>
      <c r="KF73" s="273">
        <v>2.1865858500000002</v>
      </c>
      <c r="KG73" s="273">
        <v>118.17072685000001</v>
      </c>
      <c r="KH73" s="221">
        <v>5.0000000000011369E-2</v>
      </c>
      <c r="KI73" s="222">
        <v>85.384605999999962</v>
      </c>
      <c r="KJ73" s="223">
        <v>30.150000000000006</v>
      </c>
      <c r="KK73" s="273">
        <v>115.58460599999998</v>
      </c>
      <c r="KL73" s="221">
        <v>38.790999999999983</v>
      </c>
      <c r="KM73" s="222">
        <v>54.40000000000002</v>
      </c>
      <c r="KN73" s="223">
        <v>26.300000000000011</v>
      </c>
      <c r="KO73" s="273">
        <v>119.49100000000001</v>
      </c>
      <c r="KP73" s="221">
        <v>89.159999999999982</v>
      </c>
      <c r="KQ73" s="222">
        <v>22.799999999999997</v>
      </c>
      <c r="KR73" s="223">
        <v>65.240000000000009</v>
      </c>
      <c r="KS73" s="273">
        <v>177.2</v>
      </c>
      <c r="KT73" s="254">
        <v>0.59999999999999432</v>
      </c>
      <c r="KU73" s="160">
        <v>0</v>
      </c>
      <c r="KV73" s="159">
        <v>-0.30895000999998956</v>
      </c>
      <c r="KW73" s="273">
        <v>0.29104999000000475</v>
      </c>
      <c r="KX73" s="273">
        <v>412.56665598999996</v>
      </c>
      <c r="KY73" s="221">
        <v>0</v>
      </c>
      <c r="KZ73" s="222">
        <v>0</v>
      </c>
      <c r="LA73" s="223">
        <v>6.3933210000000145</v>
      </c>
      <c r="LB73" s="273">
        <v>6.3933210000000145</v>
      </c>
      <c r="LC73" s="221">
        <v>0.19999999999998863</v>
      </c>
      <c r="LD73" s="222">
        <v>9.9999999999994316E-2</v>
      </c>
      <c r="LE73" s="223">
        <v>0.125</v>
      </c>
      <c r="LF73" s="273">
        <v>0.42499999999998295</v>
      </c>
      <c r="LG73" s="221">
        <v>0.18000000000000682</v>
      </c>
      <c r="LH73" s="222">
        <v>22.459861419999982</v>
      </c>
      <c r="LI73" s="223">
        <v>0.30000000000001137</v>
      </c>
      <c r="LJ73" s="273">
        <v>22.93986142</v>
      </c>
      <c r="LK73" s="254">
        <v>74.099999999999966</v>
      </c>
      <c r="LL73" s="160">
        <v>0.80000000000001137</v>
      </c>
      <c r="LM73" s="159">
        <v>0.89999999999997726</v>
      </c>
      <c r="LN73" s="273">
        <v>75.799999999999955</v>
      </c>
      <c r="LO73" s="273">
        <v>105.55818241999995</v>
      </c>
    </row>
    <row r="74" spans="1:327" ht="17.100000000000001" customHeight="1" x14ac:dyDescent="0.2">
      <c r="A74" s="2" t="s">
        <v>59</v>
      </c>
      <c r="B74" s="24"/>
      <c r="C74" s="5">
        <v>200.92</v>
      </c>
      <c r="D74" s="5">
        <v>0.3</v>
      </c>
      <c r="E74" s="5">
        <v>0.6</v>
      </c>
      <c r="F74" s="5">
        <v>3.4</v>
      </c>
      <c r="G74" s="5">
        <v>4.3</v>
      </c>
      <c r="H74" s="5">
        <v>0.5</v>
      </c>
      <c r="I74" s="5">
        <v>0.5</v>
      </c>
      <c r="J74" s="5">
        <v>9</v>
      </c>
      <c r="K74" s="5">
        <v>10</v>
      </c>
      <c r="L74" s="5">
        <v>0.1</v>
      </c>
      <c r="M74" s="5">
        <v>1</v>
      </c>
      <c r="N74" s="5">
        <v>0</v>
      </c>
      <c r="O74" s="5">
        <f t="shared" si="0"/>
        <v>1.1000000000000001</v>
      </c>
      <c r="P74" s="5">
        <v>0</v>
      </c>
      <c r="Q74" s="5">
        <v>0</v>
      </c>
      <c r="R74" s="5">
        <v>0</v>
      </c>
      <c r="S74" s="5">
        <f t="shared" si="1"/>
        <v>0</v>
      </c>
      <c r="T74" s="16">
        <f t="shared" si="7"/>
        <v>15.399999999999999</v>
      </c>
      <c r="U74" s="5"/>
      <c r="V74" s="5"/>
      <c r="W74" s="5"/>
      <c r="X74" s="4">
        <f t="shared" si="196"/>
        <v>0</v>
      </c>
      <c r="Y74" s="5"/>
      <c r="Z74" s="5"/>
      <c r="AA74" s="8"/>
      <c r="AB74" s="5">
        <f t="shared" si="197"/>
        <v>0</v>
      </c>
      <c r="AC74" s="5"/>
      <c r="AD74" s="5"/>
      <c r="AE74" s="5">
        <v>0.1</v>
      </c>
      <c r="AF74" s="5">
        <f t="shared" si="198"/>
        <v>0.1</v>
      </c>
      <c r="AG74" s="5"/>
      <c r="AH74" s="5"/>
      <c r="AI74" s="5"/>
      <c r="AJ74" s="5">
        <f t="shared" si="128"/>
        <v>0</v>
      </c>
      <c r="AK74" s="16">
        <f t="shared" si="129"/>
        <v>0.1</v>
      </c>
      <c r="AL74" s="5"/>
      <c r="AM74" s="5"/>
      <c r="AN74" s="5"/>
      <c r="AO74" s="5">
        <f t="shared" si="201"/>
        <v>0</v>
      </c>
      <c r="AP74" s="5"/>
      <c r="AQ74" s="5"/>
      <c r="AR74" s="5"/>
      <c r="AS74" s="54">
        <f t="shared" si="12"/>
        <v>0</v>
      </c>
      <c r="AT74" s="5"/>
      <c r="AU74" s="5"/>
      <c r="AV74" s="5"/>
      <c r="AW74" s="54">
        <f t="shared" si="202"/>
        <v>0</v>
      </c>
      <c r="AX74" s="5"/>
      <c r="AY74" s="5"/>
      <c r="AZ74" s="5"/>
      <c r="BA74" s="54">
        <f t="shared" si="14"/>
        <v>0</v>
      </c>
      <c r="BB74" s="54">
        <f t="shared" si="131"/>
        <v>0</v>
      </c>
      <c r="BC74" s="5">
        <v>4.7839999999999998</v>
      </c>
      <c r="BD74" s="66">
        <v>3.9649999999999999</v>
      </c>
      <c r="BE74" s="66">
        <v>8.9580000000000002</v>
      </c>
      <c r="BF74" s="62">
        <f t="shared" si="209"/>
        <v>17.707000000000001</v>
      </c>
      <c r="BG74" s="67">
        <v>6.3E-2</v>
      </c>
      <c r="BH74" s="67">
        <v>4.6740000000000004</v>
      </c>
      <c r="BI74" s="67">
        <v>4.5609999999999999</v>
      </c>
      <c r="BJ74" s="62">
        <f t="shared" si="132"/>
        <v>9.298</v>
      </c>
      <c r="BK74" s="67">
        <v>2.8109999999999999</v>
      </c>
      <c r="BL74" s="67"/>
      <c r="BM74" s="67"/>
      <c r="BN74" s="62">
        <f t="shared" si="133"/>
        <v>2.8109999999999999</v>
      </c>
      <c r="BO74" s="71"/>
      <c r="BP74" s="67"/>
      <c r="BQ74" s="67"/>
      <c r="BR74" s="62">
        <f t="shared" si="134"/>
        <v>0</v>
      </c>
      <c r="BS74" s="62">
        <f t="shared" si="135"/>
        <v>29.816000000000003</v>
      </c>
      <c r="BT74" s="67">
        <v>0.38900000000000001</v>
      </c>
      <c r="BU74" s="67"/>
      <c r="BV74" s="67"/>
      <c r="BW74" s="62">
        <f t="shared" si="191"/>
        <v>0.38900000000000001</v>
      </c>
      <c r="BX74" s="67"/>
      <c r="BY74" s="67"/>
      <c r="BZ74" s="67"/>
      <c r="CA74" s="62">
        <f t="shared" si="192"/>
        <v>0</v>
      </c>
      <c r="CB74" s="67"/>
      <c r="CC74" s="67"/>
      <c r="CD74" s="67"/>
      <c r="CE74" s="62">
        <f>SUM(CB74:CD74)</f>
        <v>0</v>
      </c>
      <c r="CF74" s="67"/>
      <c r="CG74" s="67"/>
      <c r="CH74" s="67"/>
      <c r="CI74" s="67">
        <f t="shared" si="194"/>
        <v>0</v>
      </c>
      <c r="CJ74" s="71">
        <f t="shared" si="195"/>
        <v>0.38900000000000001</v>
      </c>
      <c r="CK74" s="71"/>
      <c r="CL74" s="67"/>
      <c r="CM74" s="67"/>
      <c r="CN74" s="62">
        <f>SUM(CK74:CM74)</f>
        <v>0</v>
      </c>
      <c r="CO74" s="67"/>
      <c r="CP74" s="67"/>
      <c r="CQ74" s="67"/>
      <c r="CR74" s="62">
        <f t="shared" si="203"/>
        <v>0</v>
      </c>
      <c r="CS74" s="101"/>
      <c r="CT74" s="67"/>
      <c r="CU74" s="67"/>
      <c r="CV74" s="62">
        <f t="shared" ref="CV74:CV80" si="212">SUM(CS74:CU74)</f>
        <v>0</v>
      </c>
      <c r="CW74" s="67"/>
      <c r="CX74" s="67"/>
      <c r="CY74" s="112"/>
      <c r="CZ74" s="113">
        <f t="shared" si="204"/>
        <v>0</v>
      </c>
      <c r="DA74" s="62">
        <f t="shared" si="205"/>
        <v>0</v>
      </c>
      <c r="DB74" s="71"/>
      <c r="DC74" s="67"/>
      <c r="DD74" s="67"/>
      <c r="DE74" s="62">
        <f t="shared" si="210"/>
        <v>0</v>
      </c>
      <c r="DF74" s="71"/>
      <c r="DG74" s="67"/>
      <c r="DH74" s="67"/>
      <c r="DI74" s="62">
        <f t="shared" si="211"/>
        <v>0</v>
      </c>
      <c r="DJ74" s="71"/>
      <c r="DK74" s="67"/>
      <c r="DL74" s="67"/>
      <c r="DM74" s="62">
        <f t="shared" ref="DM74:DM80" si="213">SUM(DJ74:DL74)</f>
        <v>0</v>
      </c>
      <c r="DN74" s="67"/>
      <c r="DO74" s="67"/>
      <c r="DP74" s="67"/>
      <c r="DQ74" s="113">
        <f t="shared" si="206"/>
        <v>0</v>
      </c>
      <c r="DR74" s="140">
        <f t="shared" si="207"/>
        <v>0</v>
      </c>
      <c r="DS74" s="141"/>
      <c r="DT74" s="141"/>
      <c r="DU74" s="141"/>
      <c r="DV74" s="140">
        <f t="shared" si="148"/>
        <v>0</v>
      </c>
      <c r="DW74" s="142"/>
      <c r="DX74" s="141"/>
      <c r="DY74" s="141"/>
      <c r="DZ74" s="140">
        <f t="shared" si="149"/>
        <v>0</v>
      </c>
      <c r="EA74" s="142"/>
      <c r="EB74" s="141"/>
      <c r="EC74" s="141"/>
      <c r="ED74" s="140">
        <f t="shared" si="150"/>
        <v>0</v>
      </c>
      <c r="EE74" s="141"/>
      <c r="EF74" s="141"/>
      <c r="EG74" s="141"/>
      <c r="EH74" s="140">
        <f t="shared" si="151"/>
        <v>0</v>
      </c>
      <c r="EI74" s="140">
        <f t="shared" si="40"/>
        <v>0</v>
      </c>
      <c r="EJ74" s="141"/>
      <c r="EK74" s="141"/>
      <c r="EL74" s="141"/>
      <c r="EM74" s="140">
        <f t="shared" si="152"/>
        <v>0</v>
      </c>
      <c r="EN74" s="141"/>
      <c r="EO74" s="141"/>
      <c r="EP74" s="141"/>
      <c r="EQ74" s="140">
        <f t="shared" si="153"/>
        <v>0</v>
      </c>
      <c r="ER74" s="141"/>
      <c r="ES74" s="143"/>
      <c r="ET74" s="141"/>
      <c r="EU74" s="140">
        <f t="shared" si="154"/>
        <v>0</v>
      </c>
      <c r="EV74" s="141"/>
      <c r="EW74" s="141"/>
      <c r="EX74" s="141"/>
      <c r="EY74" s="140">
        <f t="shared" si="155"/>
        <v>0</v>
      </c>
      <c r="EZ74" s="169">
        <f t="shared" si="45"/>
        <v>0</v>
      </c>
      <c r="FA74" s="170"/>
      <c r="FB74" s="169"/>
      <c r="FC74" s="169"/>
      <c r="FD74" s="169"/>
      <c r="FE74" s="171">
        <f t="shared" si="156"/>
        <v>0</v>
      </c>
      <c r="FF74" s="169"/>
      <c r="FG74" s="169"/>
      <c r="FH74" s="169"/>
      <c r="FI74" s="171">
        <f t="shared" si="157"/>
        <v>0</v>
      </c>
      <c r="FJ74" s="169"/>
      <c r="FK74" s="169"/>
      <c r="FL74" s="169"/>
      <c r="FM74" s="171">
        <f t="shared" si="158"/>
        <v>0</v>
      </c>
      <c r="FN74" s="172"/>
      <c r="FO74" s="173"/>
      <c r="FP74" s="173"/>
      <c r="FQ74" s="175">
        <f t="shared" si="159"/>
        <v>0</v>
      </c>
      <c r="FR74" s="175">
        <f t="shared" si="50"/>
        <v>0</v>
      </c>
      <c r="FS74" s="172"/>
      <c r="FT74" s="173"/>
      <c r="FU74" s="174"/>
      <c r="FV74" s="175">
        <f t="shared" si="160"/>
        <v>0</v>
      </c>
      <c r="FW74" s="172"/>
      <c r="FX74" s="173"/>
      <c r="FY74" s="174"/>
      <c r="FZ74" s="175">
        <f t="shared" si="161"/>
        <v>0</v>
      </c>
      <c r="GA74" s="172"/>
      <c r="GB74" s="173"/>
      <c r="GC74" s="174">
        <v>1.5149999999999999</v>
      </c>
      <c r="GD74" s="175">
        <f t="shared" si="162"/>
        <v>1.5149999999999999</v>
      </c>
      <c r="GE74" s="172"/>
      <c r="GF74" s="173"/>
      <c r="GG74" s="159"/>
      <c r="GH74" s="174">
        <f t="shared" si="184"/>
        <v>0</v>
      </c>
      <c r="GI74" s="174">
        <f t="shared" si="55"/>
        <v>1.5149999999999999</v>
      </c>
      <c r="GJ74" s="221"/>
      <c r="GK74" s="222"/>
      <c r="GL74" s="223"/>
      <c r="GM74" s="175">
        <f t="shared" si="164"/>
        <v>0</v>
      </c>
      <c r="GN74" s="221"/>
      <c r="GO74" s="222"/>
      <c r="GP74" s="223"/>
      <c r="GQ74" s="175">
        <f t="shared" si="165"/>
        <v>0</v>
      </c>
      <c r="GR74" s="231"/>
      <c r="GS74" s="222"/>
      <c r="GT74" s="223"/>
      <c r="GU74" s="175">
        <f t="shared" si="166"/>
        <v>0</v>
      </c>
      <c r="GV74" s="221"/>
      <c r="GW74" s="222"/>
      <c r="GX74" s="223"/>
      <c r="GY74" s="174">
        <f t="shared" si="185"/>
        <v>0</v>
      </c>
      <c r="GZ74" s="159">
        <f t="shared" si="110"/>
        <v>0</v>
      </c>
      <c r="HA74" s="254"/>
      <c r="HB74" s="160"/>
      <c r="HC74" s="159"/>
      <c r="HD74" s="273">
        <f t="shared" si="168"/>
        <v>0</v>
      </c>
      <c r="HE74" s="254"/>
      <c r="HF74" s="160"/>
      <c r="HG74" s="159"/>
      <c r="HH74" s="273">
        <f t="shared" si="169"/>
        <v>0</v>
      </c>
      <c r="HI74" s="256"/>
      <c r="HJ74" s="160"/>
      <c r="HK74" s="159"/>
      <c r="HL74" s="273">
        <f t="shared" si="170"/>
        <v>0</v>
      </c>
      <c r="HM74" s="254"/>
      <c r="HN74" s="160"/>
      <c r="HO74" s="159"/>
      <c r="HP74" s="273">
        <f t="shared" si="188"/>
        <v>0</v>
      </c>
      <c r="HQ74" s="273">
        <f t="shared" si="127"/>
        <v>0</v>
      </c>
      <c r="HR74" s="254"/>
      <c r="HS74" s="160"/>
      <c r="HT74" s="159"/>
      <c r="HU74" s="273">
        <f t="shared" si="172"/>
        <v>0</v>
      </c>
      <c r="HV74" s="254"/>
      <c r="HW74" s="160"/>
      <c r="HX74" s="159"/>
      <c r="HY74" s="273">
        <f t="shared" si="189"/>
        <v>0</v>
      </c>
      <c r="HZ74" s="256"/>
      <c r="IA74" s="160"/>
      <c r="IB74" s="159"/>
      <c r="IC74" s="273">
        <f t="shared" si="174"/>
        <v>0</v>
      </c>
      <c r="ID74" s="254"/>
      <c r="IE74" s="160"/>
      <c r="IF74" s="159"/>
      <c r="IG74" s="273">
        <f t="shared" si="175"/>
        <v>0</v>
      </c>
      <c r="IH74" s="273">
        <v>0</v>
      </c>
      <c r="II74" s="254"/>
      <c r="IJ74" s="160"/>
      <c r="IK74" s="159"/>
      <c r="IL74" s="273">
        <v>0</v>
      </c>
      <c r="IM74" s="254"/>
      <c r="IN74" s="160"/>
      <c r="IO74" s="160"/>
      <c r="IP74" s="273">
        <v>0</v>
      </c>
      <c r="IQ74" s="254"/>
      <c r="IR74" s="160">
        <v>0.2</v>
      </c>
      <c r="IS74" s="159"/>
      <c r="IT74" s="273">
        <v>0.2</v>
      </c>
      <c r="IU74" s="254"/>
      <c r="IV74" s="160"/>
      <c r="IW74" s="159"/>
      <c r="IX74" s="273">
        <v>0</v>
      </c>
      <c r="IY74" s="273">
        <v>0.2</v>
      </c>
      <c r="IZ74" s="254"/>
      <c r="JA74" s="160"/>
      <c r="JB74" s="159"/>
      <c r="JC74" s="273">
        <v>0</v>
      </c>
      <c r="JD74" s="254"/>
      <c r="JE74" s="160"/>
      <c r="JF74" s="159"/>
      <c r="JG74" s="273">
        <v>0</v>
      </c>
      <c r="JH74" s="254"/>
      <c r="JI74" s="160"/>
      <c r="JJ74" s="159"/>
      <c r="JK74" s="273">
        <v>0</v>
      </c>
      <c r="JL74" s="254"/>
      <c r="JM74" s="160"/>
      <c r="JN74" s="159"/>
      <c r="JO74" s="273">
        <v>0</v>
      </c>
      <c r="JP74" s="273">
        <v>0</v>
      </c>
      <c r="JQ74" s="254"/>
      <c r="JR74" s="160"/>
      <c r="JS74" s="159"/>
      <c r="JT74" s="273">
        <v>0</v>
      </c>
      <c r="JU74" s="254"/>
      <c r="JV74" s="160"/>
      <c r="JW74" s="159"/>
      <c r="JX74" s="273">
        <v>0</v>
      </c>
      <c r="JY74" s="254"/>
      <c r="JZ74" s="160"/>
      <c r="KA74" s="159"/>
      <c r="KB74" s="273">
        <v>0</v>
      </c>
      <c r="KC74" s="254"/>
      <c r="KD74" s="160"/>
      <c r="KE74" s="159"/>
      <c r="KF74" s="273">
        <v>0</v>
      </c>
      <c r="KG74" s="273">
        <v>0</v>
      </c>
      <c r="KH74" s="221"/>
      <c r="KI74" s="222"/>
      <c r="KJ74" s="223"/>
      <c r="KK74" s="273">
        <v>0</v>
      </c>
      <c r="KL74" s="221"/>
      <c r="KM74" s="222"/>
      <c r="KN74" s="223"/>
      <c r="KO74" s="273">
        <v>0</v>
      </c>
      <c r="KP74" s="221"/>
      <c r="KQ74" s="222"/>
      <c r="KR74" s="223"/>
      <c r="KS74" s="273">
        <v>0</v>
      </c>
      <c r="KT74" s="254"/>
      <c r="KU74" s="160"/>
      <c r="KV74" s="159"/>
      <c r="KW74" s="273">
        <v>0</v>
      </c>
      <c r="KX74" s="273">
        <v>0</v>
      </c>
      <c r="KY74" s="221">
        <v>0</v>
      </c>
      <c r="KZ74" s="222">
        <v>0</v>
      </c>
      <c r="LA74" s="223">
        <v>0</v>
      </c>
      <c r="LB74" s="273">
        <v>0</v>
      </c>
      <c r="LC74" s="221">
        <v>0</v>
      </c>
      <c r="LD74" s="222">
        <v>0</v>
      </c>
      <c r="LE74" s="223">
        <v>0</v>
      </c>
      <c r="LF74" s="273">
        <v>0</v>
      </c>
      <c r="LG74" s="221">
        <v>0</v>
      </c>
      <c r="LH74" s="222">
        <v>0</v>
      </c>
      <c r="LI74" s="223">
        <v>0</v>
      </c>
      <c r="LJ74" s="273">
        <v>0</v>
      </c>
      <c r="LK74" s="254"/>
      <c r="LL74" s="160"/>
      <c r="LM74" s="159"/>
      <c r="LN74" s="273">
        <v>0</v>
      </c>
      <c r="LO74" s="273">
        <v>0</v>
      </c>
    </row>
    <row r="75" spans="1:327" ht="17.100000000000001" customHeight="1" x14ac:dyDescent="0.2">
      <c r="A75" s="2" t="s">
        <v>114</v>
      </c>
      <c r="B75" s="24"/>
      <c r="C75" s="5">
        <v>149.30000000000001</v>
      </c>
      <c r="D75" s="5">
        <v>11.3</v>
      </c>
      <c r="E75" s="5">
        <v>13.1</v>
      </c>
      <c r="F75" s="5">
        <v>20.5</v>
      </c>
      <c r="G75" s="5">
        <v>44.9</v>
      </c>
      <c r="H75" s="5">
        <v>18.600000000000001</v>
      </c>
      <c r="I75" s="5">
        <v>15.1</v>
      </c>
      <c r="J75" s="5">
        <v>10</v>
      </c>
      <c r="K75" s="5">
        <v>43.7</v>
      </c>
      <c r="L75" s="5">
        <v>13.4</v>
      </c>
      <c r="M75" s="5">
        <v>4.4000000000000004</v>
      </c>
      <c r="N75" s="5">
        <v>14</v>
      </c>
      <c r="O75" s="5">
        <f t="shared" si="0"/>
        <v>31.8</v>
      </c>
      <c r="P75" s="5">
        <v>9.1999999999999993</v>
      </c>
      <c r="Q75" s="5">
        <v>10.3</v>
      </c>
      <c r="R75" s="5">
        <v>14.8</v>
      </c>
      <c r="S75" s="5">
        <f t="shared" si="1"/>
        <v>34.299999999999997</v>
      </c>
      <c r="T75" s="16">
        <f t="shared" si="7"/>
        <v>154.69999999999999</v>
      </c>
      <c r="U75" s="5">
        <v>5.0999999999999996</v>
      </c>
      <c r="V75" s="5">
        <f>2.6-0.04</f>
        <v>2.56</v>
      </c>
      <c r="W75" s="5">
        <v>0</v>
      </c>
      <c r="X75" s="4">
        <f t="shared" si="196"/>
        <v>7.66</v>
      </c>
      <c r="Y75" s="5">
        <f>13.7</f>
        <v>13.7</v>
      </c>
      <c r="Z75" s="5">
        <v>0</v>
      </c>
      <c r="AA75" s="9">
        <f>11.83</f>
        <v>11.83</v>
      </c>
      <c r="AB75" s="5">
        <f t="shared" si="197"/>
        <v>25.53</v>
      </c>
      <c r="AC75" s="5">
        <f>7.86+0.04</f>
        <v>7.9</v>
      </c>
      <c r="AD75" s="5"/>
      <c r="AE75" s="5">
        <v>17.3</v>
      </c>
      <c r="AF75" s="5">
        <f t="shared" si="198"/>
        <v>25.200000000000003</v>
      </c>
      <c r="AG75" s="5">
        <v>19.600000000000001</v>
      </c>
      <c r="AH75" s="5">
        <v>0</v>
      </c>
      <c r="AI75" s="5">
        <v>10.192</v>
      </c>
      <c r="AJ75" s="5">
        <f t="shared" si="128"/>
        <v>29.792000000000002</v>
      </c>
      <c r="AK75" s="16">
        <f t="shared" si="129"/>
        <v>88.182000000000002</v>
      </c>
      <c r="AL75" s="5">
        <v>14.555</v>
      </c>
      <c r="AM75" s="5">
        <v>26.187999999999999</v>
      </c>
      <c r="AN75" s="5">
        <v>2.6</v>
      </c>
      <c r="AO75" s="5">
        <f t="shared" si="201"/>
        <v>43.342999999999996</v>
      </c>
      <c r="AP75" s="5">
        <v>6.806</v>
      </c>
      <c r="AQ75" s="5"/>
      <c r="AR75" s="5"/>
      <c r="AS75" s="54">
        <f t="shared" si="12"/>
        <v>6.806</v>
      </c>
      <c r="AT75" s="5">
        <v>41.015000000000001</v>
      </c>
      <c r="AU75" s="5">
        <v>0</v>
      </c>
      <c r="AV75" s="5">
        <v>0</v>
      </c>
      <c r="AW75" s="54">
        <f t="shared" si="202"/>
        <v>41.015000000000001</v>
      </c>
      <c r="AX75" s="5">
        <v>36.270000000000003</v>
      </c>
      <c r="AY75" s="5">
        <v>20.099</v>
      </c>
      <c r="AZ75" s="5"/>
      <c r="BA75" s="54">
        <f t="shared" si="14"/>
        <v>56.369</v>
      </c>
      <c r="BB75" s="54">
        <f t="shared" si="131"/>
        <v>147.53299999999999</v>
      </c>
      <c r="BC75" s="5">
        <v>0</v>
      </c>
      <c r="BD75" s="66">
        <v>15.22</v>
      </c>
      <c r="BE75" s="66"/>
      <c r="BF75" s="62">
        <f t="shared" si="209"/>
        <v>15.22</v>
      </c>
      <c r="BG75" s="67">
        <v>35</v>
      </c>
      <c r="BH75" s="67">
        <v>7.1</v>
      </c>
      <c r="BI75" s="67">
        <v>13</v>
      </c>
      <c r="BJ75" s="62">
        <f t="shared" si="132"/>
        <v>55.1</v>
      </c>
      <c r="BK75" s="67">
        <v>17.475000000000001</v>
      </c>
      <c r="BL75" s="67">
        <v>35.5</v>
      </c>
      <c r="BM75" s="67">
        <v>8.7799999999999994</v>
      </c>
      <c r="BN75" s="62">
        <f t="shared" si="133"/>
        <v>61.755000000000003</v>
      </c>
      <c r="BO75" s="71"/>
      <c r="BP75" s="67">
        <v>5.72</v>
      </c>
      <c r="BQ75" s="67">
        <v>7</v>
      </c>
      <c r="BR75" s="62">
        <f t="shared" si="134"/>
        <v>12.719999999999999</v>
      </c>
      <c r="BS75" s="62">
        <f t="shared" si="135"/>
        <v>144.79500000000002</v>
      </c>
      <c r="BT75" s="67"/>
      <c r="BU75" s="67"/>
      <c r="BV75" s="67"/>
      <c r="BW75" s="62">
        <f t="shared" si="191"/>
        <v>0</v>
      </c>
      <c r="BX75" s="67"/>
      <c r="BY75" s="67">
        <v>27.901</v>
      </c>
      <c r="BZ75" s="67">
        <v>3.758</v>
      </c>
      <c r="CA75" s="62">
        <f t="shared" si="192"/>
        <v>31.658999999999999</v>
      </c>
      <c r="CB75" s="67">
        <f>1.501</f>
        <v>1.5009999999999999</v>
      </c>
      <c r="CC75" s="67">
        <v>7.1989999999999998</v>
      </c>
      <c r="CD75" s="67">
        <v>11.4</v>
      </c>
      <c r="CE75" s="62">
        <f>SUM(CB75:CD75)</f>
        <v>20.100000000000001</v>
      </c>
      <c r="CF75" s="67">
        <v>3.2410000000000001</v>
      </c>
      <c r="CG75" s="67">
        <v>5.3010000000000002</v>
      </c>
      <c r="CH75" s="67">
        <v>31</v>
      </c>
      <c r="CI75" s="67">
        <f t="shared" si="194"/>
        <v>39.542000000000002</v>
      </c>
      <c r="CJ75" s="71">
        <f t="shared" si="195"/>
        <v>91.301000000000002</v>
      </c>
      <c r="CK75" s="71">
        <v>29.003</v>
      </c>
      <c r="CL75" s="67">
        <v>34.993000000000002</v>
      </c>
      <c r="CM75" s="67">
        <v>8.7059999999999995</v>
      </c>
      <c r="CN75" s="62">
        <f>SUM(CK75:CM75)</f>
        <v>72.701999999999998</v>
      </c>
      <c r="CO75" s="67"/>
      <c r="CP75" s="67"/>
      <c r="CQ75" s="67">
        <f>9.352</f>
        <v>9.3520000000000003</v>
      </c>
      <c r="CR75" s="62">
        <f t="shared" si="203"/>
        <v>9.3520000000000003</v>
      </c>
      <c r="CS75" s="101">
        <f>27.749</f>
        <v>27.748999999999999</v>
      </c>
      <c r="CT75" s="67">
        <f>25.761</f>
        <v>25.760999999999999</v>
      </c>
      <c r="CU75" s="67"/>
      <c r="CV75" s="62">
        <f t="shared" si="212"/>
        <v>53.51</v>
      </c>
      <c r="CW75" s="67"/>
      <c r="CX75" s="67">
        <f>1.4</f>
        <v>1.4</v>
      </c>
      <c r="CY75" s="112"/>
      <c r="CZ75" s="113">
        <f t="shared" si="204"/>
        <v>1.4</v>
      </c>
      <c r="DA75" s="62">
        <f t="shared" si="205"/>
        <v>136.964</v>
      </c>
      <c r="DB75" s="71"/>
      <c r="DC75" s="67"/>
      <c r="DD75" s="67"/>
      <c r="DE75" s="62">
        <f t="shared" si="210"/>
        <v>0</v>
      </c>
      <c r="DF75" s="71"/>
      <c r="DG75" s="67"/>
      <c r="DH75" s="67"/>
      <c r="DI75" s="62">
        <f t="shared" si="211"/>
        <v>0</v>
      </c>
      <c r="DJ75" s="71"/>
      <c r="DK75" s="67"/>
      <c r="DL75" s="67"/>
      <c r="DM75" s="62">
        <f t="shared" si="213"/>
        <v>0</v>
      </c>
      <c r="DN75" s="67">
        <f>22.22</f>
        <v>22.22</v>
      </c>
      <c r="DO75" s="67">
        <f>18.6</f>
        <v>18.600000000000001</v>
      </c>
      <c r="DP75" s="67">
        <f>24.05</f>
        <v>24.05</v>
      </c>
      <c r="DQ75" s="113">
        <f t="shared" si="206"/>
        <v>64.87</v>
      </c>
      <c r="DR75" s="140">
        <f t="shared" si="207"/>
        <v>64.87</v>
      </c>
      <c r="DS75" s="141"/>
      <c r="DT75" s="141"/>
      <c r="DU75" s="141"/>
      <c r="DV75" s="140">
        <f t="shared" si="148"/>
        <v>0</v>
      </c>
      <c r="DW75" s="142">
        <v>27.922000000000001</v>
      </c>
      <c r="DX75" s="141">
        <v>26.1</v>
      </c>
      <c r="DY75" s="141"/>
      <c r="DZ75" s="140">
        <f t="shared" si="149"/>
        <v>54.022000000000006</v>
      </c>
      <c r="EA75" s="142"/>
      <c r="EB75" s="141"/>
      <c r="EC75" s="141"/>
      <c r="ED75" s="140">
        <f t="shared" si="150"/>
        <v>0</v>
      </c>
      <c r="EE75" s="141"/>
      <c r="EF75" s="141"/>
      <c r="EG75" s="141">
        <v>23.65</v>
      </c>
      <c r="EH75" s="140">
        <f t="shared" si="151"/>
        <v>23.65</v>
      </c>
      <c r="EI75" s="140">
        <f t="shared" si="40"/>
        <v>77.671999999999997</v>
      </c>
      <c r="EJ75" s="141">
        <v>30.64</v>
      </c>
      <c r="EK75" s="141">
        <v>13.05</v>
      </c>
      <c r="EL75" s="141"/>
      <c r="EM75" s="140">
        <f t="shared" si="152"/>
        <v>43.69</v>
      </c>
      <c r="EN75" s="141">
        <v>0</v>
      </c>
      <c r="EO75" s="141"/>
      <c r="EP75" s="141">
        <v>17.649999999999999</v>
      </c>
      <c r="EQ75" s="140">
        <f t="shared" si="153"/>
        <v>17.649999999999999</v>
      </c>
      <c r="ER75" s="141">
        <v>12.551</v>
      </c>
      <c r="ES75" s="143">
        <v>22.899000000000001</v>
      </c>
      <c r="ET75" s="141">
        <v>36.597999999999999</v>
      </c>
      <c r="EU75" s="140">
        <f t="shared" si="154"/>
        <v>72.048000000000002</v>
      </c>
      <c r="EV75" s="141">
        <v>7</v>
      </c>
      <c r="EW75" s="141">
        <v>7.3019999999999996</v>
      </c>
      <c r="EX75" s="141">
        <v>9.8130000000000006</v>
      </c>
      <c r="EY75" s="140">
        <f t="shared" si="155"/>
        <v>24.115000000000002</v>
      </c>
      <c r="EZ75" s="169">
        <f t="shared" si="45"/>
        <v>157.50300000000001</v>
      </c>
      <c r="FA75" s="170"/>
      <c r="FB75" s="169">
        <v>6.1970000000000001</v>
      </c>
      <c r="FC75" s="169">
        <v>4.8</v>
      </c>
      <c r="FD75" s="169">
        <v>1.9390000000000001</v>
      </c>
      <c r="FE75" s="171">
        <f t="shared" si="156"/>
        <v>12.936</v>
      </c>
      <c r="FF75" s="169">
        <v>2.3029999999999999</v>
      </c>
      <c r="FG75" s="169">
        <v>2.8769999999999998</v>
      </c>
      <c r="FH75" s="169">
        <v>3.8479999999999999</v>
      </c>
      <c r="FI75" s="171">
        <f t="shared" si="157"/>
        <v>9.0279999999999987</v>
      </c>
      <c r="FJ75" s="169">
        <v>2.96</v>
      </c>
      <c r="FK75" s="169"/>
      <c r="FL75" s="169"/>
      <c r="FM75" s="171">
        <f t="shared" si="158"/>
        <v>2.96</v>
      </c>
      <c r="FN75" s="172"/>
      <c r="FO75" s="173">
        <v>1</v>
      </c>
      <c r="FP75" s="173">
        <v>0.34899999999999998</v>
      </c>
      <c r="FQ75" s="175">
        <f t="shared" si="159"/>
        <v>1.349</v>
      </c>
      <c r="FR75" s="175">
        <f t="shared" si="50"/>
        <v>26.273</v>
      </c>
      <c r="FS75" s="172"/>
      <c r="FT75" s="173">
        <v>1.7</v>
      </c>
      <c r="FU75" s="174"/>
      <c r="FV75" s="175">
        <f t="shared" si="160"/>
        <v>1.7</v>
      </c>
      <c r="FW75" s="172">
        <v>1.3</v>
      </c>
      <c r="FX75" s="173"/>
      <c r="FY75" s="174">
        <v>3</v>
      </c>
      <c r="FZ75" s="175">
        <f t="shared" si="161"/>
        <v>4.3</v>
      </c>
      <c r="GA75" s="172">
        <v>1.8819999999999999</v>
      </c>
      <c r="GB75" s="173">
        <v>5.5E-2</v>
      </c>
      <c r="GC75" s="174">
        <v>9.8000000000000007</v>
      </c>
      <c r="GD75" s="175">
        <f t="shared" si="162"/>
        <v>11.737</v>
      </c>
      <c r="GE75" s="172"/>
      <c r="GF75" s="173">
        <v>4.2249999999999996</v>
      </c>
      <c r="GG75" s="159"/>
      <c r="GH75" s="174">
        <f t="shared" si="184"/>
        <v>4.2249999999999996</v>
      </c>
      <c r="GI75" s="174">
        <f t="shared" si="55"/>
        <v>21.962000000000003</v>
      </c>
      <c r="GJ75" s="221"/>
      <c r="GK75" s="222"/>
      <c r="GL75" s="223"/>
      <c r="GM75" s="175">
        <f t="shared" si="164"/>
        <v>0</v>
      </c>
      <c r="GN75" s="221"/>
      <c r="GO75" s="222">
        <v>5.5</v>
      </c>
      <c r="GP75" s="223"/>
      <c r="GQ75" s="175">
        <f t="shared" si="165"/>
        <v>5.5</v>
      </c>
      <c r="GR75" s="231">
        <v>4.1079999999999997</v>
      </c>
      <c r="GS75" s="222"/>
      <c r="GT75" s="223"/>
      <c r="GU75" s="175">
        <f t="shared" si="166"/>
        <v>4.1079999999999997</v>
      </c>
      <c r="GV75" s="221"/>
      <c r="GW75" s="222">
        <v>1</v>
      </c>
      <c r="GX75" s="223">
        <v>3</v>
      </c>
      <c r="GY75" s="174">
        <f t="shared" si="185"/>
        <v>4</v>
      </c>
      <c r="GZ75" s="159">
        <v>10.608000000000001</v>
      </c>
      <c r="HA75" s="254"/>
      <c r="HB75" s="160"/>
      <c r="HC75" s="159">
        <v>0.9</v>
      </c>
      <c r="HD75" s="273">
        <f t="shared" si="168"/>
        <v>0.9</v>
      </c>
      <c r="HE75" s="254">
        <v>4.8</v>
      </c>
      <c r="HF75" s="160">
        <v>3.9</v>
      </c>
      <c r="HG75" s="159">
        <v>2</v>
      </c>
      <c r="HH75" s="273">
        <f t="shared" si="169"/>
        <v>10.7</v>
      </c>
      <c r="HI75" s="256">
        <v>0.1</v>
      </c>
      <c r="HJ75" s="160"/>
      <c r="HK75" s="159"/>
      <c r="HL75" s="273">
        <f t="shared" si="170"/>
        <v>0.1</v>
      </c>
      <c r="HM75" s="254"/>
      <c r="HN75" s="160">
        <v>0.3</v>
      </c>
      <c r="HO75" s="159">
        <v>0.4</v>
      </c>
      <c r="HP75" s="273">
        <f t="shared" ref="HP75:HP80" si="214">SUM(HM75:HO75)</f>
        <v>0.7</v>
      </c>
      <c r="HQ75" s="273">
        <f t="shared" si="127"/>
        <v>12.399999999999999</v>
      </c>
      <c r="HR75" s="254">
        <v>0.2</v>
      </c>
      <c r="HS75" s="160"/>
      <c r="HT75" s="159"/>
      <c r="HU75" s="273">
        <f t="shared" si="172"/>
        <v>0.2</v>
      </c>
      <c r="HV75" s="254"/>
      <c r="HW75" s="160"/>
      <c r="HX75" s="159"/>
      <c r="HY75" s="273">
        <f t="shared" si="189"/>
        <v>0</v>
      </c>
      <c r="HZ75" s="256">
        <v>0.1</v>
      </c>
      <c r="IA75" s="160"/>
      <c r="IB75" s="159">
        <v>0.1</v>
      </c>
      <c r="IC75" s="273">
        <f t="shared" si="174"/>
        <v>0.2</v>
      </c>
      <c r="ID75" s="254"/>
      <c r="IE75" s="160"/>
      <c r="IF75" s="159"/>
      <c r="IG75" s="273">
        <f t="shared" si="175"/>
        <v>0</v>
      </c>
      <c r="IH75" s="273">
        <v>0.4</v>
      </c>
      <c r="II75" s="254"/>
      <c r="IJ75" s="160"/>
      <c r="IK75" s="159"/>
      <c r="IL75" s="273">
        <v>0</v>
      </c>
      <c r="IM75" s="254"/>
      <c r="IN75" s="160"/>
      <c r="IO75" s="160">
        <v>0</v>
      </c>
      <c r="IP75" s="273">
        <v>0</v>
      </c>
      <c r="IQ75" s="254"/>
      <c r="IR75" s="160"/>
      <c r="IS75" s="159"/>
      <c r="IT75" s="273">
        <v>0</v>
      </c>
      <c r="IU75" s="254"/>
      <c r="IV75" s="160"/>
      <c r="IW75" s="159"/>
      <c r="IX75" s="273">
        <v>0</v>
      </c>
      <c r="IY75" s="273">
        <v>0</v>
      </c>
      <c r="IZ75" s="254"/>
      <c r="JA75" s="160"/>
      <c r="JB75" s="159"/>
      <c r="JC75" s="273">
        <v>0</v>
      </c>
      <c r="JD75" s="254"/>
      <c r="JE75" s="160"/>
      <c r="JF75" s="159"/>
      <c r="JG75" s="273">
        <v>0</v>
      </c>
      <c r="JH75" s="254"/>
      <c r="JI75" s="160"/>
      <c r="JJ75" s="159"/>
      <c r="JK75" s="273">
        <v>0</v>
      </c>
      <c r="JL75" s="254"/>
      <c r="JM75" s="160"/>
      <c r="JN75" s="159"/>
      <c r="JO75" s="273">
        <v>0</v>
      </c>
      <c r="JP75" s="273">
        <v>0</v>
      </c>
      <c r="JQ75" s="254"/>
      <c r="JR75" s="160"/>
      <c r="JS75" s="159"/>
      <c r="JT75" s="273">
        <v>0</v>
      </c>
      <c r="JU75" s="254"/>
      <c r="JV75" s="160"/>
      <c r="JW75" s="159"/>
      <c r="JX75" s="273">
        <v>0</v>
      </c>
      <c r="JY75" s="254"/>
      <c r="JZ75" s="160"/>
      <c r="KA75" s="159"/>
      <c r="KB75" s="273">
        <v>0</v>
      </c>
      <c r="KC75" s="254"/>
      <c r="KD75" s="160"/>
      <c r="KE75" s="159"/>
      <c r="KF75" s="273">
        <v>0</v>
      </c>
      <c r="KG75" s="273">
        <v>0</v>
      </c>
      <c r="KH75" s="221"/>
      <c r="KI75" s="222"/>
      <c r="KJ75" s="223"/>
      <c r="KK75" s="273">
        <v>0</v>
      </c>
      <c r="KL75" s="221"/>
      <c r="KM75" s="222"/>
      <c r="KN75" s="223"/>
      <c r="KO75" s="273">
        <v>0</v>
      </c>
      <c r="KP75" s="221"/>
      <c r="KQ75" s="222"/>
      <c r="KR75" s="223"/>
      <c r="KS75" s="273">
        <v>0</v>
      </c>
      <c r="KT75" s="254"/>
      <c r="KU75" s="160"/>
      <c r="KV75" s="159"/>
      <c r="KW75" s="273">
        <v>0</v>
      </c>
      <c r="KX75" s="273">
        <v>0</v>
      </c>
      <c r="KY75" s="221">
        <v>0</v>
      </c>
      <c r="KZ75" s="222">
        <v>0</v>
      </c>
      <c r="LA75" s="223">
        <v>0</v>
      </c>
      <c r="LB75" s="273">
        <v>0</v>
      </c>
      <c r="LC75" s="221">
        <v>0</v>
      </c>
      <c r="LD75" s="222">
        <v>0</v>
      </c>
      <c r="LE75" s="223">
        <v>0</v>
      </c>
      <c r="LF75" s="273">
        <v>0</v>
      </c>
      <c r="LG75" s="221">
        <v>0</v>
      </c>
      <c r="LH75" s="222">
        <v>0</v>
      </c>
      <c r="LI75" s="223">
        <v>0</v>
      </c>
      <c r="LJ75" s="273">
        <v>0</v>
      </c>
      <c r="LK75" s="254"/>
      <c r="LL75" s="160"/>
      <c r="LM75" s="159"/>
      <c r="LN75" s="273">
        <v>0</v>
      </c>
      <c r="LO75" s="273">
        <v>0</v>
      </c>
    </row>
    <row r="76" spans="1:327" ht="17.100000000000001" customHeight="1" x14ac:dyDescent="0.2">
      <c r="A76" s="2" t="s">
        <v>112</v>
      </c>
      <c r="B76" s="2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6"/>
      <c r="U76" s="5"/>
      <c r="V76" s="5"/>
      <c r="W76" s="5"/>
      <c r="X76" s="4"/>
      <c r="Y76" s="5"/>
      <c r="Z76" s="5"/>
      <c r="AA76" s="9"/>
      <c r="AB76" s="5"/>
      <c r="AC76" s="5"/>
      <c r="AD76" s="5"/>
      <c r="AE76" s="5"/>
      <c r="AF76" s="5"/>
      <c r="AG76" s="5"/>
      <c r="AH76" s="5"/>
      <c r="AI76" s="5"/>
      <c r="AJ76" s="5"/>
      <c r="AK76" s="16"/>
      <c r="AL76" s="5"/>
      <c r="AM76" s="5"/>
      <c r="AN76" s="5"/>
      <c r="AO76" s="5"/>
      <c r="AP76" s="5"/>
      <c r="AQ76" s="5"/>
      <c r="AR76" s="5"/>
      <c r="AS76" s="54"/>
      <c r="AT76" s="5"/>
      <c r="AU76" s="5"/>
      <c r="AV76" s="5"/>
      <c r="AW76" s="54"/>
      <c r="AX76" s="5"/>
      <c r="AY76" s="5"/>
      <c r="AZ76" s="5"/>
      <c r="BA76" s="54"/>
      <c r="BB76" s="54"/>
      <c r="BC76" s="5"/>
      <c r="BD76" s="66"/>
      <c r="BE76" s="66"/>
      <c r="BF76" s="62"/>
      <c r="BG76" s="67"/>
      <c r="BH76" s="67"/>
      <c r="BI76" s="67"/>
      <c r="BJ76" s="62"/>
      <c r="BK76" s="67"/>
      <c r="BL76" s="67"/>
      <c r="BM76" s="67"/>
      <c r="BN76" s="62"/>
      <c r="BO76" s="71"/>
      <c r="BP76" s="67"/>
      <c r="BQ76" s="67"/>
      <c r="BR76" s="62"/>
      <c r="BS76" s="62"/>
      <c r="BT76" s="67"/>
      <c r="BU76" s="67"/>
      <c r="BV76" s="67"/>
      <c r="BW76" s="62"/>
      <c r="BX76" s="67"/>
      <c r="BY76" s="67"/>
      <c r="BZ76" s="67"/>
      <c r="CA76" s="62"/>
      <c r="CB76" s="67"/>
      <c r="CC76" s="67"/>
      <c r="CD76" s="67"/>
      <c r="CE76" s="62"/>
      <c r="CF76" s="67"/>
      <c r="CG76" s="67"/>
      <c r="CH76" s="67"/>
      <c r="CI76" s="67"/>
      <c r="CJ76" s="71"/>
      <c r="CK76" s="71"/>
      <c r="CL76" s="67"/>
      <c r="CM76" s="67"/>
      <c r="CN76" s="62"/>
      <c r="CO76" s="67">
        <v>11</v>
      </c>
      <c r="CP76" s="67">
        <v>8.6</v>
      </c>
      <c r="CQ76" s="67">
        <v>2.4</v>
      </c>
      <c r="CR76" s="62">
        <f t="shared" si="203"/>
        <v>22</v>
      </c>
      <c r="CS76" s="101">
        <v>7</v>
      </c>
      <c r="CT76" s="67">
        <f>13.5</f>
        <v>13.5</v>
      </c>
      <c r="CU76" s="67">
        <v>6</v>
      </c>
      <c r="CV76" s="62">
        <f t="shared" si="212"/>
        <v>26.5</v>
      </c>
      <c r="CW76" s="67">
        <v>1.831</v>
      </c>
      <c r="CX76" s="67">
        <v>3.5999999999999997E-2</v>
      </c>
      <c r="CY76" s="112">
        <v>0.5</v>
      </c>
      <c r="CZ76" s="113">
        <f t="shared" si="204"/>
        <v>2.367</v>
      </c>
      <c r="DA76" s="62">
        <f t="shared" si="205"/>
        <v>50.866999999999997</v>
      </c>
      <c r="DB76" s="71">
        <v>0.7</v>
      </c>
      <c r="DC76" s="67">
        <v>8.9979999999999993</v>
      </c>
      <c r="DD76" s="67">
        <v>11</v>
      </c>
      <c r="DE76" s="113">
        <f t="shared" si="210"/>
        <v>20.698</v>
      </c>
      <c r="DF76" s="71">
        <v>7</v>
      </c>
      <c r="DG76" s="67">
        <v>7.75</v>
      </c>
      <c r="DH76" s="67">
        <v>9.5009999999999994</v>
      </c>
      <c r="DI76" s="113">
        <f t="shared" si="211"/>
        <v>24.250999999999998</v>
      </c>
      <c r="DJ76" s="71">
        <v>8.3989999999999991</v>
      </c>
      <c r="DK76" s="67"/>
      <c r="DL76" s="67"/>
      <c r="DM76" s="62">
        <f t="shared" si="213"/>
        <v>8.3989999999999991</v>
      </c>
      <c r="DN76" s="67">
        <v>13.273</v>
      </c>
      <c r="DO76" s="67">
        <v>1.9990000000000001</v>
      </c>
      <c r="DP76" s="67">
        <v>0.7</v>
      </c>
      <c r="DQ76" s="113">
        <f>SUM(DN76:DP76)</f>
        <v>15.972</v>
      </c>
      <c r="DR76" s="140">
        <f t="shared" si="207"/>
        <v>69.319999999999993</v>
      </c>
      <c r="DS76" s="141">
        <v>1.6</v>
      </c>
      <c r="DT76" s="141"/>
      <c r="DU76" s="141">
        <v>0.25</v>
      </c>
      <c r="DV76" s="140">
        <f t="shared" si="148"/>
        <v>1.85</v>
      </c>
      <c r="DW76" s="142">
        <v>4.0999999999999996</v>
      </c>
      <c r="DX76" s="141">
        <v>3</v>
      </c>
      <c r="DY76" s="141">
        <v>3</v>
      </c>
      <c r="DZ76" s="140">
        <f t="shared" si="149"/>
        <v>10.1</v>
      </c>
      <c r="EA76" s="142">
        <v>5.5</v>
      </c>
      <c r="EB76" s="141"/>
      <c r="EC76" s="141"/>
      <c r="ED76" s="140">
        <f t="shared" si="150"/>
        <v>5.5</v>
      </c>
      <c r="EE76" s="141"/>
      <c r="EF76" s="141"/>
      <c r="EG76" s="141"/>
      <c r="EH76" s="140">
        <f t="shared" si="151"/>
        <v>0</v>
      </c>
      <c r="EI76" s="140">
        <f t="shared" si="40"/>
        <v>17.45</v>
      </c>
      <c r="EJ76" s="141">
        <v>8.6</v>
      </c>
      <c r="EK76" s="141"/>
      <c r="EL76" s="141"/>
      <c r="EM76" s="140">
        <f t="shared" si="152"/>
        <v>8.6</v>
      </c>
      <c r="EN76" s="141">
        <v>0</v>
      </c>
      <c r="EO76" s="141">
        <v>5.1980000000000004</v>
      </c>
      <c r="EP76" s="141">
        <v>3.5049999999999999</v>
      </c>
      <c r="EQ76" s="140">
        <f t="shared" si="153"/>
        <v>8.7029999999999994</v>
      </c>
      <c r="ER76" s="141">
        <v>7.61</v>
      </c>
      <c r="ES76" s="143">
        <v>17.454999999999998</v>
      </c>
      <c r="ET76" s="141">
        <v>14.994999999999999</v>
      </c>
      <c r="EU76" s="140">
        <f t="shared" si="154"/>
        <v>40.059999999999995</v>
      </c>
      <c r="EV76" s="141">
        <v>5.0999999999999996</v>
      </c>
      <c r="EW76" s="141">
        <v>13.3</v>
      </c>
      <c r="EX76" s="141">
        <v>7.1</v>
      </c>
      <c r="EY76" s="140">
        <f t="shared" si="155"/>
        <v>25.5</v>
      </c>
      <c r="EZ76" s="169">
        <f t="shared" si="45"/>
        <v>82.863</v>
      </c>
      <c r="FA76" s="170"/>
      <c r="FB76" s="169">
        <v>9.9009999999999998</v>
      </c>
      <c r="FC76" s="169">
        <v>11.701000000000001</v>
      </c>
      <c r="FD76" s="169">
        <v>2</v>
      </c>
      <c r="FE76" s="171">
        <f t="shared" si="156"/>
        <v>23.602</v>
      </c>
      <c r="FF76" s="169"/>
      <c r="FG76" s="169"/>
      <c r="FH76" s="169">
        <v>1</v>
      </c>
      <c r="FI76" s="171">
        <f t="shared" si="157"/>
        <v>1</v>
      </c>
      <c r="FJ76" s="169">
        <v>1.35</v>
      </c>
      <c r="FK76" s="169">
        <v>12.414999999999999</v>
      </c>
      <c r="FL76" s="169">
        <v>31.763999999999999</v>
      </c>
      <c r="FM76" s="171">
        <f t="shared" si="158"/>
        <v>45.528999999999996</v>
      </c>
      <c r="FN76" s="172">
        <v>19.5</v>
      </c>
      <c r="FO76" s="173">
        <v>5.37</v>
      </c>
      <c r="FP76" s="173">
        <v>4</v>
      </c>
      <c r="FQ76" s="175">
        <f t="shared" si="159"/>
        <v>28.87</v>
      </c>
      <c r="FR76" s="175">
        <f t="shared" si="50"/>
        <v>99.001000000000005</v>
      </c>
      <c r="FS76" s="172">
        <v>2.9</v>
      </c>
      <c r="FT76" s="173">
        <v>11.5</v>
      </c>
      <c r="FU76" s="174">
        <v>15.3</v>
      </c>
      <c r="FV76" s="175">
        <f t="shared" si="160"/>
        <v>29.700000000000003</v>
      </c>
      <c r="FW76" s="172">
        <v>4.8109999999999999</v>
      </c>
      <c r="FX76" s="173">
        <v>3.8050000000000002</v>
      </c>
      <c r="FY76" s="174">
        <v>7.8079999999999998</v>
      </c>
      <c r="FZ76" s="175">
        <f t="shared" si="161"/>
        <v>16.423999999999999</v>
      </c>
      <c r="GA76" s="172">
        <v>8.0990000000000002</v>
      </c>
      <c r="GB76" s="173">
        <v>15.773</v>
      </c>
      <c r="GC76" s="174"/>
      <c r="GD76" s="175">
        <f t="shared" si="162"/>
        <v>23.872</v>
      </c>
      <c r="GE76" s="172">
        <v>8</v>
      </c>
      <c r="GF76" s="173"/>
      <c r="GG76" s="159"/>
      <c r="GH76" s="174">
        <f t="shared" si="184"/>
        <v>8</v>
      </c>
      <c r="GI76" s="174">
        <f t="shared" si="55"/>
        <v>77.996000000000009</v>
      </c>
      <c r="GJ76" s="221"/>
      <c r="GK76" s="222">
        <v>4.3</v>
      </c>
      <c r="GL76" s="223"/>
      <c r="GM76" s="175">
        <f t="shared" si="164"/>
        <v>4.3</v>
      </c>
      <c r="GN76" s="221">
        <v>3.996</v>
      </c>
      <c r="GO76" s="222">
        <v>1.42</v>
      </c>
      <c r="GP76" s="223">
        <v>6</v>
      </c>
      <c r="GQ76" s="175">
        <f t="shared" si="165"/>
        <v>11.416</v>
      </c>
      <c r="GR76" s="231">
        <v>0.15</v>
      </c>
      <c r="GS76" s="222"/>
      <c r="GT76" s="223"/>
      <c r="GU76" s="175">
        <f t="shared" si="166"/>
        <v>0.15</v>
      </c>
      <c r="GV76" s="221"/>
      <c r="GW76" s="222"/>
      <c r="GX76" s="223">
        <v>1.5029999999999999</v>
      </c>
      <c r="GY76" s="174">
        <f t="shared" si="185"/>
        <v>1.5029999999999999</v>
      </c>
      <c r="GZ76" s="159">
        <v>32.194099999999999</v>
      </c>
      <c r="HA76" s="254">
        <v>3.3</v>
      </c>
      <c r="HB76" s="160">
        <v>6</v>
      </c>
      <c r="HC76" s="159">
        <v>3</v>
      </c>
      <c r="HD76" s="273">
        <f t="shared" si="168"/>
        <v>12.3</v>
      </c>
      <c r="HE76" s="254">
        <v>9.3930000000000007</v>
      </c>
      <c r="HF76" s="160">
        <v>9.3000000000000007</v>
      </c>
      <c r="HG76" s="159">
        <v>7.3920000000000003</v>
      </c>
      <c r="HH76" s="273">
        <f t="shared" si="169"/>
        <v>26.085000000000001</v>
      </c>
      <c r="HI76" s="256">
        <v>9.1</v>
      </c>
      <c r="HJ76" s="160">
        <v>0.54700000000000004</v>
      </c>
      <c r="HK76" s="159"/>
      <c r="HL76" s="273">
        <f t="shared" si="170"/>
        <v>9.6470000000000002</v>
      </c>
      <c r="HM76" s="254"/>
      <c r="HN76" s="160"/>
      <c r="HO76" s="159"/>
      <c r="HP76" s="273">
        <f t="shared" si="214"/>
        <v>0</v>
      </c>
      <c r="HQ76" s="273">
        <f t="shared" si="127"/>
        <v>48.032000000000004</v>
      </c>
      <c r="HR76" s="254"/>
      <c r="HS76" s="160"/>
      <c r="HT76" s="159"/>
      <c r="HU76" s="273">
        <f t="shared" si="172"/>
        <v>0</v>
      </c>
      <c r="HV76" s="254"/>
      <c r="HW76" s="160"/>
      <c r="HX76" s="159"/>
      <c r="HY76" s="273">
        <f t="shared" si="189"/>
        <v>0</v>
      </c>
      <c r="HZ76" s="256"/>
      <c r="IA76" s="160"/>
      <c r="IB76" s="159"/>
      <c r="IC76" s="273">
        <f t="shared" si="174"/>
        <v>0</v>
      </c>
      <c r="ID76" s="254"/>
      <c r="IE76" s="160"/>
      <c r="IF76" s="159"/>
      <c r="IG76" s="273">
        <f t="shared" si="175"/>
        <v>0</v>
      </c>
      <c r="IH76" s="273">
        <v>0</v>
      </c>
      <c r="II76" s="254"/>
      <c r="IJ76" s="160"/>
      <c r="IK76" s="159"/>
      <c r="IL76" s="273">
        <v>0</v>
      </c>
      <c r="IM76" s="254"/>
      <c r="IN76" s="160"/>
      <c r="IO76" s="160">
        <v>0</v>
      </c>
      <c r="IP76" s="273">
        <v>0</v>
      </c>
      <c r="IQ76" s="254"/>
      <c r="IR76" s="160"/>
      <c r="IS76" s="159"/>
      <c r="IT76" s="273">
        <v>0</v>
      </c>
      <c r="IU76" s="254"/>
      <c r="IV76" s="160"/>
      <c r="IW76" s="159"/>
      <c r="IX76" s="273">
        <v>0</v>
      </c>
      <c r="IY76" s="273">
        <v>0</v>
      </c>
      <c r="IZ76" s="254"/>
      <c r="JA76" s="160"/>
      <c r="JB76" s="159"/>
      <c r="JC76" s="273">
        <v>0</v>
      </c>
      <c r="JD76" s="254"/>
      <c r="JE76" s="160"/>
      <c r="JF76" s="159"/>
      <c r="JG76" s="273">
        <v>0</v>
      </c>
      <c r="JH76" s="254"/>
      <c r="JI76" s="160"/>
      <c r="JJ76" s="159"/>
      <c r="JK76" s="273">
        <v>0</v>
      </c>
      <c r="JL76" s="254"/>
      <c r="JM76" s="160"/>
      <c r="JN76" s="159"/>
      <c r="JO76" s="273">
        <v>0</v>
      </c>
      <c r="JP76" s="273">
        <v>0</v>
      </c>
      <c r="JQ76" s="254"/>
      <c r="JR76" s="160"/>
      <c r="JS76" s="159"/>
      <c r="JT76" s="273">
        <v>0</v>
      </c>
      <c r="JU76" s="254"/>
      <c r="JV76" s="160"/>
      <c r="JW76" s="159"/>
      <c r="JX76" s="273">
        <v>0</v>
      </c>
      <c r="JY76" s="254"/>
      <c r="JZ76" s="160"/>
      <c r="KA76" s="159"/>
      <c r="KB76" s="273">
        <v>0</v>
      </c>
      <c r="KC76" s="254"/>
      <c r="KD76" s="160"/>
      <c r="KE76" s="159"/>
      <c r="KF76" s="273">
        <v>0</v>
      </c>
      <c r="KG76" s="273">
        <v>0</v>
      </c>
      <c r="KH76" s="221"/>
      <c r="KI76" s="222"/>
      <c r="KJ76" s="223"/>
      <c r="KK76" s="273">
        <v>0</v>
      </c>
      <c r="KL76" s="221"/>
      <c r="KM76" s="222"/>
      <c r="KN76" s="223"/>
      <c r="KO76" s="273">
        <v>0</v>
      </c>
      <c r="KP76" s="221"/>
      <c r="KQ76" s="222"/>
      <c r="KR76" s="223"/>
      <c r="KS76" s="273">
        <v>0</v>
      </c>
      <c r="KT76" s="254"/>
      <c r="KU76" s="160"/>
      <c r="KV76" s="159"/>
      <c r="KW76" s="273">
        <v>0</v>
      </c>
      <c r="KX76" s="273">
        <v>0</v>
      </c>
      <c r="KY76" s="221">
        <v>0</v>
      </c>
      <c r="KZ76" s="222">
        <v>0</v>
      </c>
      <c r="LA76" s="223">
        <v>0</v>
      </c>
      <c r="LB76" s="273">
        <v>0</v>
      </c>
      <c r="LC76" s="221">
        <v>0</v>
      </c>
      <c r="LD76" s="222">
        <v>0</v>
      </c>
      <c r="LE76" s="223">
        <v>0</v>
      </c>
      <c r="LF76" s="273">
        <v>0</v>
      </c>
      <c r="LG76" s="221">
        <v>0</v>
      </c>
      <c r="LH76" s="222">
        <v>0</v>
      </c>
      <c r="LI76" s="223">
        <v>0</v>
      </c>
      <c r="LJ76" s="273">
        <v>0</v>
      </c>
      <c r="LK76" s="254"/>
      <c r="LL76" s="160"/>
      <c r="LM76" s="159"/>
      <c r="LN76" s="273">
        <v>0</v>
      </c>
      <c r="LO76" s="273">
        <v>0</v>
      </c>
    </row>
    <row r="77" spans="1:327" ht="17.100000000000001" customHeight="1" x14ac:dyDescent="0.2">
      <c r="A77" s="2" t="s">
        <v>86</v>
      </c>
      <c r="B77" s="24"/>
      <c r="C77" s="5">
        <v>84.8</v>
      </c>
      <c r="D77" s="5">
        <f>D78+D79</f>
        <v>5.9</v>
      </c>
      <c r="E77" s="5">
        <f>E78+E79</f>
        <v>4.5</v>
      </c>
      <c r="F77" s="5">
        <f>F78+F79</f>
        <v>17</v>
      </c>
      <c r="G77" s="5">
        <f>D77+E77+F77</f>
        <v>27.4</v>
      </c>
      <c r="H77" s="5">
        <f>H78+H79</f>
        <v>15.1</v>
      </c>
      <c r="I77" s="5">
        <f>I78+I79</f>
        <v>2.6</v>
      </c>
      <c r="J77" s="5">
        <f>J78+J79</f>
        <v>2.2000000000000002</v>
      </c>
      <c r="K77" s="5">
        <f>H77+I77+J77</f>
        <v>19.899999999999999</v>
      </c>
      <c r="L77" s="5">
        <v>7.2</v>
      </c>
      <c r="M77" s="5">
        <f>M78+M79</f>
        <v>6</v>
      </c>
      <c r="N77" s="5">
        <f>N78+N79</f>
        <v>8.1</v>
      </c>
      <c r="O77" s="5">
        <f t="shared" si="0"/>
        <v>21.299999999999997</v>
      </c>
      <c r="P77" s="5">
        <f>P78+P79</f>
        <v>1.3</v>
      </c>
      <c r="Q77" s="5">
        <f>Q78+Q79</f>
        <v>3.2</v>
      </c>
      <c r="R77" s="5">
        <f>R78+R79</f>
        <v>9.8999999999999986</v>
      </c>
      <c r="S77" s="5">
        <f t="shared" si="1"/>
        <v>14.399999999999999</v>
      </c>
      <c r="T77" s="16">
        <f t="shared" si="7"/>
        <v>83</v>
      </c>
      <c r="U77" s="5">
        <f>U78+U79</f>
        <v>3</v>
      </c>
      <c r="V77" s="5">
        <f>V78+V79</f>
        <v>2.46</v>
      </c>
      <c r="W77" s="5">
        <f>W78+W79</f>
        <v>2.86</v>
      </c>
      <c r="X77" s="4">
        <f t="shared" si="196"/>
        <v>8.32</v>
      </c>
      <c r="Y77" s="5">
        <f>Y78+Y79</f>
        <v>7.26</v>
      </c>
      <c r="Z77" s="5">
        <f>Z78+Z79</f>
        <v>4.0600000000000005</v>
      </c>
      <c r="AA77" s="5">
        <f>AA78+AA79</f>
        <v>8.4400000000000013</v>
      </c>
      <c r="AB77" s="5">
        <f t="shared" si="197"/>
        <v>19.760000000000002</v>
      </c>
      <c r="AC77" s="5">
        <f>AC78+AC79</f>
        <v>1.1399999999999999</v>
      </c>
      <c r="AD77" s="5">
        <f>AD78+AD79</f>
        <v>2.96</v>
      </c>
      <c r="AE77" s="5">
        <f>AE78+AE79</f>
        <v>5.4</v>
      </c>
      <c r="AF77" s="5">
        <f t="shared" si="198"/>
        <v>9.5</v>
      </c>
      <c r="AG77" s="5">
        <f>AG78+AG79</f>
        <v>1.34</v>
      </c>
      <c r="AH77" s="5">
        <f>AH78+AH79</f>
        <v>10.3</v>
      </c>
      <c r="AI77" s="5">
        <f>AI78+AI79</f>
        <v>10.760000000000002</v>
      </c>
      <c r="AJ77" s="5">
        <f t="shared" si="128"/>
        <v>22.400000000000002</v>
      </c>
      <c r="AK77" s="16">
        <f t="shared" si="129"/>
        <v>59.980000000000004</v>
      </c>
      <c r="AL77" s="5">
        <f t="shared" ref="AL77:AT77" si="215">AL78+AL79</f>
        <v>4.5649999999999995</v>
      </c>
      <c r="AM77" s="5">
        <f t="shared" si="215"/>
        <v>11.9</v>
      </c>
      <c r="AN77" s="5">
        <f t="shared" si="215"/>
        <v>6.94</v>
      </c>
      <c r="AO77" s="5">
        <f t="shared" si="201"/>
        <v>23.405000000000001</v>
      </c>
      <c r="AP77" s="5">
        <f t="shared" si="215"/>
        <v>2.84</v>
      </c>
      <c r="AQ77" s="5">
        <f t="shared" si="215"/>
        <v>2.6</v>
      </c>
      <c r="AR77" s="5">
        <f t="shared" si="215"/>
        <v>11.139999999999999</v>
      </c>
      <c r="AS77" s="54">
        <f t="shared" si="12"/>
        <v>16.579999999999998</v>
      </c>
      <c r="AT77" s="5">
        <f t="shared" si="215"/>
        <v>3.6</v>
      </c>
      <c r="AU77" s="5">
        <f>AU78+AU79</f>
        <v>1.9</v>
      </c>
      <c r="AV77" s="5">
        <f>AV78+AV79</f>
        <v>17</v>
      </c>
      <c r="AW77" s="54">
        <f t="shared" si="202"/>
        <v>22.5</v>
      </c>
      <c r="AX77" s="5">
        <f>AX78+AX79</f>
        <v>20.6</v>
      </c>
      <c r="AY77" s="5">
        <f>AY78+AY79</f>
        <v>3.16</v>
      </c>
      <c r="AZ77" s="5">
        <f>AZ78+AZ79</f>
        <v>75.459999999999994</v>
      </c>
      <c r="BA77" s="54">
        <f t="shared" si="14"/>
        <v>99.22</v>
      </c>
      <c r="BB77" s="54">
        <f t="shared" si="131"/>
        <v>161.70499999999998</v>
      </c>
      <c r="BC77" s="5">
        <f>BC78+BC79</f>
        <v>2.993793949999997</v>
      </c>
      <c r="BD77" s="66">
        <f>BD78+BD79</f>
        <v>5.5964955700000001</v>
      </c>
      <c r="BE77" s="66">
        <f>BE78+BE79</f>
        <v>2.355289</v>
      </c>
      <c r="BF77" s="62">
        <f t="shared" si="209"/>
        <v>10.945578519999998</v>
      </c>
      <c r="BG77" s="67">
        <f>BG78+BG79</f>
        <v>1.8152600000000001</v>
      </c>
      <c r="BH77" s="67">
        <f>BH78+BH79</f>
        <v>2.3927</v>
      </c>
      <c r="BI77" s="67">
        <f>BI78+BI79</f>
        <v>4.4428599999999996</v>
      </c>
      <c r="BJ77" s="62">
        <f t="shared" si="132"/>
        <v>8.6508199999999995</v>
      </c>
      <c r="BK77" s="67">
        <f>BK78+BK79</f>
        <v>0.56730000000000003</v>
      </c>
      <c r="BL77" s="67">
        <f>BL78+BL79</f>
        <v>1.4861</v>
      </c>
      <c r="BM77" s="67">
        <f>BM78+BM79</f>
        <v>0.75086399999999998</v>
      </c>
      <c r="BN77" s="62">
        <f t="shared" si="133"/>
        <v>2.8042639999999999</v>
      </c>
      <c r="BO77" s="71">
        <f>BO78+BO79</f>
        <v>0.56271329999999997</v>
      </c>
      <c r="BP77" s="67">
        <f>BP78+BP79</f>
        <v>0.45</v>
      </c>
      <c r="BQ77" s="67">
        <f>BQ78+BQ79</f>
        <v>0.80218</v>
      </c>
      <c r="BR77" s="62">
        <f t="shared" si="134"/>
        <v>1.8148933</v>
      </c>
      <c r="BS77" s="62">
        <f t="shared" si="135"/>
        <v>24.215555819999999</v>
      </c>
      <c r="BT77" s="67">
        <f>BT78+BT79</f>
        <v>0.3</v>
      </c>
      <c r="BU77" s="67">
        <f>BU78+BU79</f>
        <v>0.4</v>
      </c>
      <c r="BV77" s="67">
        <f>BV78+BV79</f>
        <v>1.3</v>
      </c>
      <c r="BW77" s="62">
        <f>SUM(BT77:BV77)</f>
        <v>2</v>
      </c>
      <c r="BX77" s="67">
        <f>BX78+BX79</f>
        <v>8.14</v>
      </c>
      <c r="BY77" s="67">
        <f>BY78+BY79</f>
        <v>0.96</v>
      </c>
      <c r="BZ77" s="67">
        <f>BZ78+BZ79</f>
        <v>0</v>
      </c>
      <c r="CA77" s="62">
        <f>SUM(BX77:BZ77)</f>
        <v>9.1000000000000014</v>
      </c>
      <c r="CB77" s="67">
        <f>CB78+CB79</f>
        <v>10</v>
      </c>
      <c r="CC77" s="67">
        <f>CC78+CC79</f>
        <v>7.0399999999999991</v>
      </c>
      <c r="CD77" s="67">
        <f>CD78+CD79</f>
        <v>13.21</v>
      </c>
      <c r="CE77" s="62">
        <f>SUM(CB77:CD77)</f>
        <v>30.25</v>
      </c>
      <c r="CF77" s="67">
        <f>CF78+CF79</f>
        <v>8.51</v>
      </c>
      <c r="CG77" s="67">
        <f>CG78+CG79</f>
        <v>11.54</v>
      </c>
      <c r="CH77" s="67">
        <f>CH78+CH79</f>
        <v>11.54</v>
      </c>
      <c r="CI77" s="67">
        <f>SUM(CF77:CH77)</f>
        <v>31.589999999999996</v>
      </c>
      <c r="CJ77" s="71">
        <f>BW77+CA77+CE77+CI77</f>
        <v>72.94</v>
      </c>
      <c r="CK77" s="71">
        <f>CK78+CK79</f>
        <v>11.94</v>
      </c>
      <c r="CL77" s="67">
        <f>CL78+CL79</f>
        <v>6.78</v>
      </c>
      <c r="CM77" s="67">
        <f>CM78+CM79</f>
        <v>12.06</v>
      </c>
      <c r="CN77" s="62">
        <f>SUM(CK77:CM77)</f>
        <v>30.78</v>
      </c>
      <c r="CO77" s="67">
        <f>CO78+CO79</f>
        <v>4.4000000000000004</v>
      </c>
      <c r="CP77" s="67">
        <f>CP78+CP79</f>
        <v>6.65</v>
      </c>
      <c r="CQ77" s="67">
        <f>CQ78+CQ79</f>
        <v>3.45</v>
      </c>
      <c r="CR77" s="62">
        <f>SUM(CO77:CQ77)</f>
        <v>14.5</v>
      </c>
      <c r="CS77" s="101">
        <f>CS78+CS79</f>
        <v>4.7300000000000004</v>
      </c>
      <c r="CT77" s="67">
        <f>CT78+CT79</f>
        <v>3.62</v>
      </c>
      <c r="CU77" s="67">
        <f>CU78+CU79</f>
        <v>3.4</v>
      </c>
      <c r="CV77" s="62">
        <f t="shared" si="212"/>
        <v>11.750000000000002</v>
      </c>
      <c r="CW77" s="67">
        <f>CW78+CW79</f>
        <v>4.3</v>
      </c>
      <c r="CX77" s="67">
        <f>CX78+CX79</f>
        <v>22.6</v>
      </c>
      <c r="CY77" s="112">
        <f>CY78+CY79</f>
        <v>2</v>
      </c>
      <c r="CZ77" s="113">
        <f>SUM(CW77:CY77)</f>
        <v>28.900000000000002</v>
      </c>
      <c r="DA77" s="62">
        <f>CN77+CR77+CV77+CZ77</f>
        <v>85.93</v>
      </c>
      <c r="DB77" s="71">
        <f>DB78+DB79</f>
        <v>3.5</v>
      </c>
      <c r="DC77" s="67">
        <f>DC78+DC79</f>
        <v>2.8</v>
      </c>
      <c r="DD77" s="67">
        <f>DD78+DD79</f>
        <v>2.1</v>
      </c>
      <c r="DE77" s="62">
        <f t="shared" si="210"/>
        <v>8.4</v>
      </c>
      <c r="DF77" s="71">
        <f>DF78+DF79</f>
        <v>1.8</v>
      </c>
      <c r="DG77" s="67">
        <f>DG78+DG79</f>
        <v>4.0999999999999996</v>
      </c>
      <c r="DH77" s="67">
        <f>DH78+DH79</f>
        <v>1.8</v>
      </c>
      <c r="DI77" s="62">
        <f t="shared" si="211"/>
        <v>7.6999999999999993</v>
      </c>
      <c r="DJ77" s="71">
        <f>DJ78+DJ79</f>
        <v>2.6999999999999997</v>
      </c>
      <c r="DK77" s="67">
        <f>DK78+DK79</f>
        <v>10.9</v>
      </c>
      <c r="DL77" s="67">
        <f>DL78+DL79</f>
        <v>1.8</v>
      </c>
      <c r="DM77" s="62">
        <f t="shared" si="213"/>
        <v>15.4</v>
      </c>
      <c r="DN77" s="67">
        <f>DN78+DN79</f>
        <v>2.8000000000000003</v>
      </c>
      <c r="DO77" s="67">
        <f>DO78+DO79</f>
        <v>2.1</v>
      </c>
      <c r="DP77" s="67">
        <f>DP78+DP79</f>
        <v>3.9</v>
      </c>
      <c r="DQ77" s="113">
        <f>SUM(DN77:DP77)</f>
        <v>8.8000000000000007</v>
      </c>
      <c r="DR77" s="140">
        <f>DE77+DI77+DM77+DQ77</f>
        <v>40.299999999999997</v>
      </c>
      <c r="DS77" s="141">
        <f>DS78+DS79</f>
        <v>10.8</v>
      </c>
      <c r="DT77" s="141">
        <f>DT78+DT79</f>
        <v>6.1</v>
      </c>
      <c r="DU77" s="141">
        <f>DU78+DU79</f>
        <v>9</v>
      </c>
      <c r="DV77" s="140">
        <f t="shared" si="148"/>
        <v>25.9</v>
      </c>
      <c r="DW77" s="142">
        <f>DW78+DW79</f>
        <v>10.5</v>
      </c>
      <c r="DX77" s="141">
        <f>DX78+DX79</f>
        <v>9.8000000000000007</v>
      </c>
      <c r="DY77" s="141">
        <f>DY78+DY79</f>
        <v>6.6</v>
      </c>
      <c r="DZ77" s="140">
        <f t="shared" si="149"/>
        <v>26.9</v>
      </c>
      <c r="EA77" s="142">
        <f>EA78+EA79</f>
        <v>8.8000000000000007</v>
      </c>
      <c r="EB77" s="141">
        <f>EB78+EB79</f>
        <v>7.6</v>
      </c>
      <c r="EC77" s="141">
        <f>EC78+EC79</f>
        <v>6.3</v>
      </c>
      <c r="ED77" s="140">
        <f t="shared" si="150"/>
        <v>22.7</v>
      </c>
      <c r="EE77" s="141">
        <f>EE78+EE79</f>
        <v>6.7</v>
      </c>
      <c r="EF77" s="141">
        <f>EF78+EF79</f>
        <v>12</v>
      </c>
      <c r="EG77" s="141">
        <f>EG78+EG79</f>
        <v>11.2</v>
      </c>
      <c r="EH77" s="140">
        <f t="shared" si="151"/>
        <v>29.9</v>
      </c>
      <c r="EI77" s="140">
        <f t="shared" si="40"/>
        <v>105.4</v>
      </c>
      <c r="EJ77" s="141">
        <f>EJ78+EJ79</f>
        <v>11</v>
      </c>
      <c r="EK77" s="141">
        <f>EK78+EK79</f>
        <v>4.8</v>
      </c>
      <c r="EL77" s="141">
        <f>EL78+EL79</f>
        <v>13.9</v>
      </c>
      <c r="EM77" s="140">
        <f t="shared" si="152"/>
        <v>29.700000000000003</v>
      </c>
      <c r="EN77" s="141">
        <f>EN78+EN79</f>
        <v>8.6999999999999993</v>
      </c>
      <c r="EO77" s="141">
        <f>EO78+EO79</f>
        <v>17.100000000000001</v>
      </c>
      <c r="EP77" s="141">
        <f>EP78+EP79</f>
        <v>10.199999999999999</v>
      </c>
      <c r="EQ77" s="140">
        <f t="shared" si="153"/>
        <v>36</v>
      </c>
      <c r="ER77" s="141">
        <f>ER78+ER79</f>
        <v>8.1900000000000013</v>
      </c>
      <c r="ES77" s="141">
        <f>ES78+ES79</f>
        <v>6.44</v>
      </c>
      <c r="ET77" s="141">
        <f>ET78+ET79</f>
        <v>9</v>
      </c>
      <c r="EU77" s="140">
        <f t="shared" si="154"/>
        <v>23.630000000000003</v>
      </c>
      <c r="EV77" s="141">
        <f>EV78+EV79</f>
        <v>9.5</v>
      </c>
      <c r="EW77" s="141">
        <f>EW78+EW79</f>
        <v>43.8</v>
      </c>
      <c r="EX77" s="141">
        <f>EX78+EX79</f>
        <v>8.3344979692704939</v>
      </c>
      <c r="EY77" s="140">
        <f t="shared" si="155"/>
        <v>61.634497969270491</v>
      </c>
      <c r="EZ77" s="169">
        <f t="shared" si="45"/>
        <v>150.9644979692705</v>
      </c>
      <c r="FA77" s="170"/>
      <c r="FB77" s="169">
        <f>FB78+FB79</f>
        <v>9.6</v>
      </c>
      <c r="FC77" s="169">
        <f>FC78+FC79</f>
        <v>6.3</v>
      </c>
      <c r="FD77" s="169">
        <f>FD78+FD79</f>
        <v>2.1</v>
      </c>
      <c r="FE77" s="171">
        <f t="shared" si="156"/>
        <v>18</v>
      </c>
      <c r="FF77" s="169">
        <v>5.1944185558372986</v>
      </c>
      <c r="FG77" s="169">
        <f>FG78+FG79</f>
        <v>2.1874083248727518</v>
      </c>
      <c r="FH77" s="169">
        <f>FH78+FH79</f>
        <v>6.7614471869157073</v>
      </c>
      <c r="FI77" s="171">
        <f t="shared" si="157"/>
        <v>14.143274067625757</v>
      </c>
      <c r="FJ77" s="169">
        <f>FJ78+FJ79</f>
        <v>7.9099433921825462</v>
      </c>
      <c r="FK77" s="169">
        <f>FK78+FK79</f>
        <v>10.578704931672704</v>
      </c>
      <c r="FL77" s="169">
        <f>FL78+FL79</f>
        <v>8.277580265108698</v>
      </c>
      <c r="FM77" s="171">
        <f t="shared" si="158"/>
        <v>26.766228588963948</v>
      </c>
      <c r="FN77" s="172">
        <f>FN78+FN79</f>
        <v>28.747277767081719</v>
      </c>
      <c r="FO77" s="173">
        <f>FO78+FO79</f>
        <v>18.003949525932722</v>
      </c>
      <c r="FP77" s="173">
        <f>FP78+FP79</f>
        <v>38.798523577150547</v>
      </c>
      <c r="FQ77" s="175">
        <f t="shared" si="159"/>
        <v>85.549750870164985</v>
      </c>
      <c r="FR77" s="175">
        <f t="shared" si="50"/>
        <v>144.45925352675468</v>
      </c>
      <c r="FS77" s="172">
        <f>FS78+FS79</f>
        <v>21.210907540000001</v>
      </c>
      <c r="FT77" s="173">
        <f>FT78+FT79</f>
        <v>6.6303163035244301</v>
      </c>
      <c r="FU77" s="174">
        <f>FU78+FU79</f>
        <v>14.790501628855235</v>
      </c>
      <c r="FV77" s="175">
        <f t="shared" si="160"/>
        <v>42.631725472379671</v>
      </c>
      <c r="FW77" s="172">
        <f>FW78+FW79</f>
        <v>5.9782831449631031</v>
      </c>
      <c r="FX77" s="173">
        <f>FX78+FX79</f>
        <v>20.440000000000001</v>
      </c>
      <c r="FY77" s="173">
        <f>FY78+FY79</f>
        <v>7.4190243251798638</v>
      </c>
      <c r="FZ77" s="175">
        <f t="shared" si="161"/>
        <v>33.837307470142967</v>
      </c>
      <c r="GA77" s="172">
        <f>GA78+GA79</f>
        <v>8.6023556856093837</v>
      </c>
      <c r="GB77" s="173">
        <f>GB78+GB79</f>
        <v>33.697622198904128</v>
      </c>
      <c r="GC77" s="174">
        <f>GC78+GC79</f>
        <v>17.246410092525068</v>
      </c>
      <c r="GD77" s="175">
        <f t="shared" si="162"/>
        <v>59.546387977038577</v>
      </c>
      <c r="GE77" s="172">
        <f>GE78+GE79</f>
        <v>14.017919700958231</v>
      </c>
      <c r="GF77" s="173">
        <f>GF78+GF79</f>
        <v>18.62703553584619</v>
      </c>
      <c r="GG77" s="160">
        <f>GG78+GG79</f>
        <v>24.626810968391496</v>
      </c>
      <c r="GH77" s="175">
        <f t="shared" si="184"/>
        <v>57.271766205195917</v>
      </c>
      <c r="GI77" s="174">
        <f t="shared" si="55"/>
        <v>193.28718712475714</v>
      </c>
      <c r="GJ77" s="221">
        <f>GJ78+GJ79</f>
        <v>43.444482895728491</v>
      </c>
      <c r="GK77" s="222">
        <f>GK78+GK79</f>
        <v>12.047708515765761</v>
      </c>
      <c r="GL77" s="223">
        <f>GL78+GL79</f>
        <v>8.6329748464787688</v>
      </c>
      <c r="GM77" s="175">
        <f t="shared" si="164"/>
        <v>64.125166257973021</v>
      </c>
      <c r="GN77" s="221">
        <f>GN78+GN79</f>
        <v>12.562411342439205</v>
      </c>
      <c r="GO77" s="222">
        <f>GO78+GO79</f>
        <v>3.1345435120957927</v>
      </c>
      <c r="GP77" s="222">
        <f>GP78+GP79</f>
        <v>0.53765512586014841</v>
      </c>
      <c r="GQ77" s="175">
        <f t="shared" si="165"/>
        <v>16.234609980395145</v>
      </c>
      <c r="GR77" s="222">
        <f>GR78+GR79</f>
        <v>6.1</v>
      </c>
      <c r="GS77" s="222">
        <f>GS78+GS79</f>
        <v>0.1909992232011864</v>
      </c>
      <c r="GT77" s="222">
        <f>GT78+GT79</f>
        <v>0.67855704815419948</v>
      </c>
      <c r="GU77" s="175">
        <f t="shared" si="166"/>
        <v>6.9695562713553851</v>
      </c>
      <c r="GV77" s="221">
        <f>GV78+GV79</f>
        <v>0.73191066595236476</v>
      </c>
      <c r="GW77" s="222">
        <f>GW78+GW79</f>
        <v>3.9974022883357239</v>
      </c>
      <c r="GX77" s="222">
        <f>GX78+GX79</f>
        <v>1.4118920311908174</v>
      </c>
      <c r="GY77" s="175">
        <f t="shared" si="185"/>
        <v>6.1412049854789057</v>
      </c>
      <c r="GZ77" s="159">
        <v>93.470537495202464</v>
      </c>
      <c r="HA77" s="254">
        <f>HA78+HA79</f>
        <v>3.8245424347202288</v>
      </c>
      <c r="HB77" s="160">
        <f>HB78+HB79</f>
        <v>60.430846279770442</v>
      </c>
      <c r="HC77" s="159">
        <f>HC78+HC79</f>
        <v>2.4380407905308421</v>
      </c>
      <c r="HD77" s="273">
        <f t="shared" si="168"/>
        <v>66.693429505021513</v>
      </c>
      <c r="HE77" s="254">
        <f>HE78+HE79</f>
        <v>48.828714572209464</v>
      </c>
      <c r="HF77" s="160">
        <f>HF78+HF79</f>
        <v>22.887988813974175</v>
      </c>
      <c r="HG77" s="160">
        <f>HG78+HG79</f>
        <v>45.883749661692981</v>
      </c>
      <c r="HH77" s="273">
        <f t="shared" si="169"/>
        <v>117.60045304787661</v>
      </c>
      <c r="HI77" s="160">
        <f>HI78+HI79</f>
        <v>38.764192469931302</v>
      </c>
      <c r="HJ77" s="160">
        <f>HJ78+HJ79</f>
        <v>43.079283549932512</v>
      </c>
      <c r="HK77" s="160">
        <f>HK78+HK79</f>
        <v>31.031709120243889</v>
      </c>
      <c r="HL77" s="273">
        <f t="shared" si="170"/>
        <v>112.8751851401077</v>
      </c>
      <c r="HM77" s="254">
        <f>HM78+HM79</f>
        <v>50.834355108439297</v>
      </c>
      <c r="HN77" s="160">
        <f>HN78+HN79</f>
        <v>70.085977919727384</v>
      </c>
      <c r="HO77" s="160">
        <f>HO78+HO79</f>
        <v>100.04165322999999</v>
      </c>
      <c r="HP77" s="273">
        <f t="shared" si="214"/>
        <v>220.96198625816669</v>
      </c>
      <c r="HQ77" s="273">
        <f t="shared" si="127"/>
        <v>518.13105395117259</v>
      </c>
      <c r="HR77" s="254">
        <f>HR78+HR79</f>
        <v>81.710031260703005</v>
      </c>
      <c r="HS77" s="160">
        <f>HS78+HS79</f>
        <v>83.581592959397412</v>
      </c>
      <c r="HT77" s="159">
        <f>HT78+HT79</f>
        <v>97.538302309999992</v>
      </c>
      <c r="HU77" s="273">
        <f t="shared" si="172"/>
        <v>262.82992653010041</v>
      </c>
      <c r="HV77" s="254">
        <f>HV78+HV79</f>
        <v>87.732366421391674</v>
      </c>
      <c r="HW77" s="160">
        <f>HW78+HW79</f>
        <v>197.89900840473459</v>
      </c>
      <c r="HX77" s="160">
        <f>HX78+HX79</f>
        <v>89.583245533888089</v>
      </c>
      <c r="HY77" s="273">
        <f t="shared" si="189"/>
        <v>375.21462036001435</v>
      </c>
      <c r="HZ77" s="160">
        <f>HZ78+HZ79</f>
        <v>34.482644096226686</v>
      </c>
      <c r="IA77" s="160">
        <f>IA78+IA79</f>
        <v>102.11953130605453</v>
      </c>
      <c r="IB77" s="160">
        <f>IB78+IB79</f>
        <v>40.771875761563848</v>
      </c>
      <c r="IC77" s="273">
        <f t="shared" si="174"/>
        <v>177.37405116384505</v>
      </c>
      <c r="ID77" s="254">
        <f>ID78+ID79</f>
        <v>87.312647740000003</v>
      </c>
      <c r="IE77" s="160">
        <f>IE78+IE79</f>
        <v>158.66714099999999</v>
      </c>
      <c r="IF77" s="160">
        <f>IF78+IF79</f>
        <v>67.475814882767622</v>
      </c>
      <c r="IG77" s="273">
        <f t="shared" si="175"/>
        <v>313.45560362276763</v>
      </c>
      <c r="IH77" s="273">
        <v>1128.8742016767274</v>
      </c>
      <c r="II77" s="254">
        <v>68.37178972000001</v>
      </c>
      <c r="IJ77" s="160">
        <v>86.749204570000003</v>
      </c>
      <c r="IK77" s="159">
        <v>68.066922210000001</v>
      </c>
      <c r="IL77" s="273">
        <v>223.1879165</v>
      </c>
      <c r="IM77" s="254">
        <v>42.725345099999998</v>
      </c>
      <c r="IN77" s="160">
        <v>125.03971479020352</v>
      </c>
      <c r="IO77" s="160">
        <v>132.50172289</v>
      </c>
      <c r="IP77" s="273">
        <v>300.26678278020353</v>
      </c>
      <c r="IQ77" s="254">
        <v>121.83887485</v>
      </c>
      <c r="IR77" s="160">
        <v>104.53881509011647</v>
      </c>
      <c r="IS77" s="159">
        <v>215.30314325404657</v>
      </c>
      <c r="IT77" s="273">
        <v>441.68083319416303</v>
      </c>
      <c r="IU77" s="254">
        <v>112.20468361815136</v>
      </c>
      <c r="IV77" s="160">
        <v>249.55514014005684</v>
      </c>
      <c r="IW77" s="159">
        <v>183.38194150250729</v>
      </c>
      <c r="IX77" s="273">
        <v>545.14176526071549</v>
      </c>
      <c r="IY77" s="273">
        <v>1510.2772977350819</v>
      </c>
      <c r="IZ77" s="254">
        <v>109.82739345935859</v>
      </c>
      <c r="JA77" s="160">
        <v>92.59574465</v>
      </c>
      <c r="JB77" s="159">
        <v>141.16418669999999</v>
      </c>
      <c r="JC77" s="273">
        <v>343.58732480935862</v>
      </c>
      <c r="JD77" s="254">
        <v>83.76523139999999</v>
      </c>
      <c r="JE77" s="160">
        <v>202.04932492999853</v>
      </c>
      <c r="JF77" s="159">
        <v>95.596055869999986</v>
      </c>
      <c r="JG77" s="273">
        <v>381.41061219999852</v>
      </c>
      <c r="JH77" s="254">
        <v>119.43884405999999</v>
      </c>
      <c r="JI77" s="160">
        <v>78.38738667979591</v>
      </c>
      <c r="JJ77" s="159">
        <v>66.074048349999998</v>
      </c>
      <c r="JK77" s="273">
        <v>263.9002790897959</v>
      </c>
      <c r="JL77" s="254">
        <v>94.248455440174922</v>
      </c>
      <c r="JM77" s="160">
        <v>70.828852570524774</v>
      </c>
      <c r="JN77" s="160">
        <v>48.41938615317784</v>
      </c>
      <c r="JO77" s="273">
        <v>213.49669416387755</v>
      </c>
      <c r="JP77" s="273">
        <v>1202.3949102630306</v>
      </c>
      <c r="JQ77" s="254">
        <v>89.075669610000006</v>
      </c>
      <c r="JR77" s="160">
        <v>132.54496367000002</v>
      </c>
      <c r="JS77" s="159">
        <v>103.01419250000001</v>
      </c>
      <c r="JT77" s="273">
        <v>324.63482578000003</v>
      </c>
      <c r="JU77" s="254">
        <v>71.014375020000003</v>
      </c>
      <c r="JV77" s="160">
        <v>126.88137380000001</v>
      </c>
      <c r="JW77" s="159">
        <v>116.82181254999901</v>
      </c>
      <c r="JX77" s="273">
        <v>314.71756136999898</v>
      </c>
      <c r="JY77" s="254">
        <v>156.54300689000002</v>
      </c>
      <c r="JZ77" s="160">
        <v>698.44789102999994</v>
      </c>
      <c r="KA77" s="159">
        <v>69.152838189999983</v>
      </c>
      <c r="KB77" s="273">
        <v>924.14373610999996</v>
      </c>
      <c r="KC77" s="254">
        <v>661.52045505000001</v>
      </c>
      <c r="KD77" s="160">
        <v>121.31446882000114</v>
      </c>
      <c r="KE77" s="160">
        <v>94.941823464635547</v>
      </c>
      <c r="KF77" s="273">
        <v>877.77674733463664</v>
      </c>
      <c r="KG77" s="273">
        <v>2441.2728705946356</v>
      </c>
      <c r="KH77" s="221">
        <v>143.49157604000001</v>
      </c>
      <c r="KI77" s="222">
        <v>53.835481880000003</v>
      </c>
      <c r="KJ77" s="223">
        <v>78.116560559999996</v>
      </c>
      <c r="KK77" s="273">
        <v>275.44361848</v>
      </c>
      <c r="KL77" s="221">
        <v>64.396127239999998</v>
      </c>
      <c r="KM77" s="222">
        <v>98.047652119999682</v>
      </c>
      <c r="KN77" s="223">
        <v>46.397545089999696</v>
      </c>
      <c r="KO77" s="273">
        <v>208.84132444999938</v>
      </c>
      <c r="KP77" s="221">
        <v>204.24076188999976</v>
      </c>
      <c r="KQ77" s="222">
        <v>189.56472109999999</v>
      </c>
      <c r="KR77" s="223">
        <v>143.04103250999998</v>
      </c>
      <c r="KS77" s="273">
        <v>536.84651549999967</v>
      </c>
      <c r="KT77" s="254">
        <v>118.48765753999993</v>
      </c>
      <c r="KU77" s="160">
        <v>164.54386723999997</v>
      </c>
      <c r="KV77" s="159">
        <v>451.42633731000001</v>
      </c>
      <c r="KW77" s="273">
        <v>734.45786208999994</v>
      </c>
      <c r="KX77" s="273">
        <v>1755.5893205199991</v>
      </c>
      <c r="KY77" s="221">
        <v>229.82931708999999</v>
      </c>
      <c r="KZ77" s="222">
        <v>99.85759539999998</v>
      </c>
      <c r="LA77" s="223">
        <v>207.71650358999892</v>
      </c>
      <c r="LB77" s="273">
        <v>537.40341607999881</v>
      </c>
      <c r="LC77" s="221">
        <v>84.533514660000023</v>
      </c>
      <c r="LD77" s="222">
        <v>151.32312184000003</v>
      </c>
      <c r="LE77" s="223">
        <v>132.50450675000025</v>
      </c>
      <c r="LF77" s="273">
        <v>368.36114325000028</v>
      </c>
      <c r="LG77" s="221">
        <v>161.96232866000003</v>
      </c>
      <c r="LH77" s="222">
        <v>132.21517394999998</v>
      </c>
      <c r="LI77" s="223">
        <v>106.31732671</v>
      </c>
      <c r="LJ77" s="273">
        <v>400.49482932000001</v>
      </c>
      <c r="LK77" s="254">
        <v>146.81107399000001</v>
      </c>
      <c r="LL77" s="160">
        <v>107.98854179999999</v>
      </c>
      <c r="LM77" s="159">
        <v>115.12956903999999</v>
      </c>
      <c r="LN77" s="273">
        <v>369.92918483</v>
      </c>
      <c r="LO77" s="273">
        <v>1676.1885734799989</v>
      </c>
    </row>
    <row r="78" spans="1:327" ht="17.100000000000001" hidden="1" customHeight="1" outlineLevel="2" x14ac:dyDescent="0.2">
      <c r="A78" s="2" t="s">
        <v>77</v>
      </c>
      <c r="B78" s="24"/>
      <c r="C78" s="5">
        <v>0</v>
      </c>
      <c r="D78" s="5">
        <v>0</v>
      </c>
      <c r="E78" s="5">
        <v>0</v>
      </c>
      <c r="F78" s="5">
        <v>9.5</v>
      </c>
      <c r="G78" s="5">
        <v>0</v>
      </c>
      <c r="H78" s="5">
        <v>10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1.1000000000000001</v>
      </c>
      <c r="O78" s="5">
        <f t="shared" si="0"/>
        <v>1.1000000000000001</v>
      </c>
      <c r="P78" s="5">
        <v>0</v>
      </c>
      <c r="Q78" s="5">
        <v>0</v>
      </c>
      <c r="R78" s="5">
        <v>0</v>
      </c>
      <c r="S78" s="5">
        <f t="shared" si="1"/>
        <v>0</v>
      </c>
      <c r="T78" s="16">
        <f t="shared" si="7"/>
        <v>1.1000000000000001</v>
      </c>
      <c r="U78" s="5">
        <v>0</v>
      </c>
      <c r="V78" s="5">
        <v>0</v>
      </c>
      <c r="W78" s="5">
        <v>0</v>
      </c>
      <c r="X78" s="4">
        <f t="shared" si="196"/>
        <v>0</v>
      </c>
      <c r="Y78" s="5"/>
      <c r="Z78" s="5">
        <v>0</v>
      </c>
      <c r="AA78" s="8"/>
      <c r="AB78" s="5">
        <f t="shared" si="197"/>
        <v>0</v>
      </c>
      <c r="AC78" s="5">
        <v>0</v>
      </c>
      <c r="AD78" s="5">
        <v>0</v>
      </c>
      <c r="AE78" s="5">
        <v>0</v>
      </c>
      <c r="AF78" s="5">
        <f t="shared" si="198"/>
        <v>0</v>
      </c>
      <c r="AG78" s="5">
        <v>0</v>
      </c>
      <c r="AH78" s="5">
        <v>0</v>
      </c>
      <c r="AI78" s="5">
        <v>0</v>
      </c>
      <c r="AJ78" s="5">
        <f t="shared" si="128"/>
        <v>0</v>
      </c>
      <c r="AK78" s="16">
        <f t="shared" si="129"/>
        <v>0</v>
      </c>
      <c r="AL78" s="5">
        <v>0</v>
      </c>
      <c r="AM78" s="5">
        <v>0</v>
      </c>
      <c r="AN78" s="5">
        <v>0</v>
      </c>
      <c r="AO78" s="5">
        <f t="shared" si="201"/>
        <v>0</v>
      </c>
      <c r="AP78" s="5">
        <v>0</v>
      </c>
      <c r="AQ78" s="5">
        <v>0</v>
      </c>
      <c r="AR78" s="5">
        <v>0</v>
      </c>
      <c r="AS78" s="54">
        <f t="shared" si="12"/>
        <v>0</v>
      </c>
      <c r="AT78" s="5">
        <v>0</v>
      </c>
      <c r="AU78" s="5">
        <v>0</v>
      </c>
      <c r="AV78" s="5">
        <v>0</v>
      </c>
      <c r="AW78" s="54">
        <f t="shared" si="202"/>
        <v>0</v>
      </c>
      <c r="AX78" s="5">
        <v>0</v>
      </c>
      <c r="AY78" s="5">
        <v>0</v>
      </c>
      <c r="AZ78" s="5">
        <v>0</v>
      </c>
      <c r="BA78" s="54">
        <f t="shared" si="14"/>
        <v>0</v>
      </c>
      <c r="BB78" s="54">
        <f t="shared" si="131"/>
        <v>0</v>
      </c>
      <c r="BC78" s="5">
        <v>0</v>
      </c>
      <c r="BD78" s="66"/>
      <c r="BE78" s="66"/>
      <c r="BF78" s="62">
        <f>SUM(BB78:BD78)</f>
        <v>0</v>
      </c>
      <c r="BG78" s="67"/>
      <c r="BH78" s="67"/>
      <c r="BI78" s="67"/>
      <c r="BJ78" s="62">
        <f t="shared" si="132"/>
        <v>0</v>
      </c>
      <c r="BK78" s="67"/>
      <c r="BL78" s="67"/>
      <c r="BM78" s="67"/>
      <c r="BN78" s="62">
        <f t="shared" si="133"/>
        <v>0</v>
      </c>
      <c r="BO78" s="71"/>
      <c r="BP78" s="67"/>
      <c r="BQ78" s="67"/>
      <c r="BR78" s="62">
        <f t="shared" si="134"/>
        <v>0</v>
      </c>
      <c r="BS78" s="62">
        <f t="shared" si="135"/>
        <v>0</v>
      </c>
      <c r="BT78" s="67"/>
      <c r="BU78" s="67"/>
      <c r="BV78" s="67"/>
      <c r="BW78" s="62">
        <f>SUM(BT78:BV78)</f>
        <v>0</v>
      </c>
      <c r="BX78" s="67"/>
      <c r="BY78" s="67"/>
      <c r="BZ78" s="67"/>
      <c r="CA78" s="62">
        <f>SUM(BX78:BZ78)</f>
        <v>0</v>
      </c>
      <c r="CB78" s="67"/>
      <c r="CC78" s="67"/>
      <c r="CD78" s="67"/>
      <c r="CE78" s="62">
        <f>SUM(CB78:CD78)</f>
        <v>0</v>
      </c>
      <c r="CF78" s="67"/>
      <c r="CG78" s="67"/>
      <c r="CH78" s="67"/>
      <c r="CI78" s="67">
        <f>SUM(CF78:CH78)</f>
        <v>0</v>
      </c>
      <c r="CJ78" s="71">
        <f>BW78+CA78+CE78+CI78</f>
        <v>0</v>
      </c>
      <c r="CK78" s="71"/>
      <c r="CL78" s="67"/>
      <c r="CM78" s="67"/>
      <c r="CN78" s="62">
        <f>SUM(CK78:CM78)</f>
        <v>0</v>
      </c>
      <c r="CO78" s="67"/>
      <c r="CP78" s="67"/>
      <c r="CQ78" s="67"/>
      <c r="CR78" s="62">
        <f>SUM(CO78:CQ78)</f>
        <v>0</v>
      </c>
      <c r="CS78" s="101"/>
      <c r="CT78" s="67"/>
      <c r="CU78" s="67"/>
      <c r="CV78" s="62">
        <f t="shared" si="212"/>
        <v>0</v>
      </c>
      <c r="CW78" s="67"/>
      <c r="CX78" s="67"/>
      <c r="CY78" s="112"/>
      <c r="CZ78" s="114">
        <f>SUM(CW78:CY78)</f>
        <v>0</v>
      </c>
      <c r="DA78" s="77">
        <f>CN78+CR78+CV78+CZ78</f>
        <v>0</v>
      </c>
      <c r="DB78" s="71"/>
      <c r="DC78" s="67"/>
      <c r="DD78" s="67"/>
      <c r="DE78" s="62">
        <f t="shared" si="210"/>
        <v>0</v>
      </c>
      <c r="DF78" s="71"/>
      <c r="DG78" s="67"/>
      <c r="DH78" s="67"/>
      <c r="DI78" s="62">
        <f t="shared" si="211"/>
        <v>0</v>
      </c>
      <c r="DJ78" s="71"/>
      <c r="DK78" s="67"/>
      <c r="DL78" s="67"/>
      <c r="DM78" s="62">
        <f t="shared" si="213"/>
        <v>0</v>
      </c>
      <c r="DN78" s="67"/>
      <c r="DO78" s="67"/>
      <c r="DP78" s="67"/>
      <c r="DQ78" s="113">
        <f>SUM(DN78:DP78)</f>
        <v>0</v>
      </c>
      <c r="DR78" s="140">
        <f>DE78+DI78+DM78+DQ78</f>
        <v>0</v>
      </c>
      <c r="DS78" s="141"/>
      <c r="DT78" s="141"/>
      <c r="DU78" s="141"/>
      <c r="DV78" s="140">
        <f t="shared" si="148"/>
        <v>0</v>
      </c>
      <c r="DW78" s="142"/>
      <c r="DX78" s="141"/>
      <c r="DY78" s="141"/>
      <c r="DZ78" s="140">
        <f t="shared" si="149"/>
        <v>0</v>
      </c>
      <c r="EA78" s="142"/>
      <c r="EB78" s="141"/>
      <c r="EC78" s="141"/>
      <c r="ED78" s="140">
        <f t="shared" si="150"/>
        <v>0</v>
      </c>
      <c r="EE78" s="141"/>
      <c r="EF78" s="141"/>
      <c r="EG78" s="141"/>
      <c r="EH78" s="140">
        <f t="shared" si="151"/>
        <v>0</v>
      </c>
      <c r="EI78" s="140">
        <f>DV78+DZ78+ED78+EH78</f>
        <v>0</v>
      </c>
      <c r="EJ78" s="141"/>
      <c r="EK78" s="141"/>
      <c r="EL78" s="141"/>
      <c r="EM78" s="140">
        <f t="shared" si="152"/>
        <v>0</v>
      </c>
      <c r="EN78" s="141"/>
      <c r="EO78" s="141"/>
      <c r="EP78" s="141"/>
      <c r="EQ78" s="140">
        <f t="shared" si="153"/>
        <v>0</v>
      </c>
      <c r="ER78" s="141"/>
      <c r="ES78" s="141"/>
      <c r="ET78" s="141"/>
      <c r="EU78" s="140">
        <f t="shared" si="154"/>
        <v>0</v>
      </c>
      <c r="EV78" s="141"/>
      <c r="EW78" s="141"/>
      <c r="EX78" s="141"/>
      <c r="EY78" s="140">
        <f t="shared" si="155"/>
        <v>0</v>
      </c>
      <c r="EZ78" s="169">
        <f>EM78+EQ78+EU78+EY78</f>
        <v>0</v>
      </c>
      <c r="FA78" s="170"/>
      <c r="FB78" s="169"/>
      <c r="FC78" s="169"/>
      <c r="FD78" s="169"/>
      <c r="FE78" s="171">
        <f t="shared" si="156"/>
        <v>0</v>
      </c>
      <c r="FF78" s="169"/>
      <c r="FG78" s="169"/>
      <c r="FH78" s="169"/>
      <c r="FI78" s="171">
        <f t="shared" si="157"/>
        <v>0</v>
      </c>
      <c r="FJ78" s="169"/>
      <c r="FK78" s="169"/>
      <c r="FL78" s="169"/>
      <c r="FM78" s="171">
        <f t="shared" si="158"/>
        <v>0</v>
      </c>
      <c r="FN78" s="172"/>
      <c r="FO78" s="173"/>
      <c r="FP78" s="173"/>
      <c r="FQ78" s="175">
        <f t="shared" si="159"/>
        <v>0</v>
      </c>
      <c r="FR78" s="175">
        <f>FE78+FI78+FM78+FQ78</f>
        <v>0</v>
      </c>
      <c r="FS78" s="172"/>
      <c r="FT78" s="173"/>
      <c r="FU78" s="174"/>
      <c r="FV78" s="175">
        <f t="shared" si="160"/>
        <v>0</v>
      </c>
      <c r="FW78" s="172"/>
      <c r="FX78" s="173"/>
      <c r="FY78" s="174"/>
      <c r="FZ78" s="175">
        <f t="shared" si="161"/>
        <v>0</v>
      </c>
      <c r="GA78" s="172"/>
      <c r="GB78" s="173"/>
      <c r="GC78" s="174"/>
      <c r="GD78" s="175">
        <f t="shared" si="162"/>
        <v>0</v>
      </c>
      <c r="GE78" s="172"/>
      <c r="GF78" s="173"/>
      <c r="GG78" s="159"/>
      <c r="GH78" s="174">
        <f t="shared" si="184"/>
        <v>0</v>
      </c>
      <c r="GI78" s="174">
        <f>FV78+FZ78+GD78+GH78</f>
        <v>0</v>
      </c>
      <c r="GJ78" s="221"/>
      <c r="GK78" s="222"/>
      <c r="GL78" s="223"/>
      <c r="GM78" s="175">
        <f t="shared" si="164"/>
        <v>0</v>
      </c>
      <c r="GN78" s="221"/>
      <c r="GO78" s="222"/>
      <c r="GP78" s="223"/>
      <c r="GQ78" s="175">
        <f t="shared" si="165"/>
        <v>0</v>
      </c>
      <c r="GR78" s="221">
        <v>0.1</v>
      </c>
      <c r="GS78" s="222">
        <v>5.7235202935011706E-2</v>
      </c>
      <c r="GT78" s="223"/>
      <c r="GU78" s="175">
        <f t="shared" si="166"/>
        <v>0.1572352029350117</v>
      </c>
      <c r="GV78" s="221"/>
      <c r="GW78" s="222"/>
      <c r="GX78" s="223"/>
      <c r="GY78" s="174">
        <f t="shared" si="185"/>
        <v>0</v>
      </c>
      <c r="GZ78" s="159">
        <v>0.1572352029350117</v>
      </c>
      <c r="HA78" s="254"/>
      <c r="HB78" s="160"/>
      <c r="HC78" s="159"/>
      <c r="HD78" s="273">
        <f t="shared" si="168"/>
        <v>0</v>
      </c>
      <c r="HE78" s="254"/>
      <c r="HF78" s="160"/>
      <c r="HG78" s="159"/>
      <c r="HH78" s="273">
        <f t="shared" si="169"/>
        <v>0</v>
      </c>
      <c r="HI78" s="254"/>
      <c r="HJ78" s="160"/>
      <c r="HK78" s="159"/>
      <c r="HL78" s="273">
        <f t="shared" si="170"/>
        <v>0</v>
      </c>
      <c r="HM78" s="254"/>
      <c r="HN78" s="160"/>
      <c r="HO78" s="159"/>
      <c r="HP78" s="273">
        <f t="shared" si="214"/>
        <v>0</v>
      </c>
      <c r="HQ78" s="273">
        <f t="shared" si="127"/>
        <v>0</v>
      </c>
      <c r="HR78" s="254"/>
      <c r="HS78" s="160"/>
      <c r="HT78" s="159"/>
      <c r="HU78" s="273">
        <f t="shared" si="172"/>
        <v>0</v>
      </c>
      <c r="HV78" s="254"/>
      <c r="HW78" s="160"/>
      <c r="HX78" s="159"/>
      <c r="HY78" s="273">
        <f t="shared" si="189"/>
        <v>0</v>
      </c>
      <c r="HZ78" s="254"/>
      <c r="IA78" s="160"/>
      <c r="IB78" s="159"/>
      <c r="IC78" s="273">
        <f t="shared" si="174"/>
        <v>0</v>
      </c>
      <c r="ID78" s="254"/>
      <c r="IE78" s="160"/>
      <c r="IF78" s="159"/>
      <c r="IG78" s="273">
        <f t="shared" si="175"/>
        <v>0</v>
      </c>
      <c r="IH78" s="273">
        <v>0</v>
      </c>
      <c r="II78" s="254"/>
      <c r="IJ78" s="160"/>
      <c r="IK78" s="159"/>
      <c r="IL78" s="273">
        <v>0</v>
      </c>
      <c r="IM78" s="254"/>
      <c r="IN78" s="160"/>
      <c r="IO78" s="160">
        <v>0</v>
      </c>
      <c r="IP78" s="273">
        <v>0</v>
      </c>
      <c r="IQ78" s="254"/>
      <c r="IR78" s="160"/>
      <c r="IS78" s="159"/>
      <c r="IT78" s="273">
        <v>0</v>
      </c>
      <c r="IU78" s="254"/>
      <c r="IV78" s="160"/>
      <c r="IW78" s="159"/>
      <c r="IX78" s="273">
        <v>0</v>
      </c>
      <c r="IY78" s="273">
        <v>0</v>
      </c>
      <c r="IZ78" s="254"/>
      <c r="JA78" s="160"/>
      <c r="JB78" s="159"/>
      <c r="JC78" s="273">
        <v>0</v>
      </c>
      <c r="JD78" s="254"/>
      <c r="JE78" s="160"/>
      <c r="JF78" s="159"/>
      <c r="JG78" s="273">
        <v>0</v>
      </c>
      <c r="JH78" s="254"/>
      <c r="JI78" s="160"/>
      <c r="JJ78" s="159"/>
      <c r="JK78" s="273">
        <v>0</v>
      </c>
      <c r="JL78" s="254"/>
      <c r="JM78" s="160"/>
      <c r="JN78" s="159"/>
      <c r="JO78" s="273">
        <v>0</v>
      </c>
      <c r="JP78" s="273">
        <v>0</v>
      </c>
      <c r="JQ78" s="254"/>
      <c r="JR78" s="160"/>
      <c r="JS78" s="159"/>
      <c r="JT78" s="273">
        <v>0</v>
      </c>
      <c r="JU78" s="254"/>
      <c r="JV78" s="160"/>
      <c r="JW78" s="159"/>
      <c r="JX78" s="273">
        <v>0</v>
      </c>
      <c r="JY78" s="254"/>
      <c r="JZ78" s="160"/>
      <c r="KA78" s="159"/>
      <c r="KB78" s="273">
        <v>0</v>
      </c>
      <c r="KC78" s="254"/>
      <c r="KD78" s="160"/>
      <c r="KE78" s="159"/>
      <c r="KF78" s="273">
        <v>0</v>
      </c>
      <c r="KG78" s="273">
        <v>0</v>
      </c>
      <c r="KH78" s="221"/>
      <c r="KI78" s="222"/>
      <c r="KJ78" s="223"/>
      <c r="KK78" s="273">
        <v>0</v>
      </c>
      <c r="KL78" s="221"/>
      <c r="KM78" s="222"/>
      <c r="KN78" s="223"/>
      <c r="KO78" s="273">
        <v>0</v>
      </c>
      <c r="KP78" s="221"/>
      <c r="KQ78" s="222"/>
      <c r="KR78" s="223"/>
      <c r="KS78" s="273">
        <v>0</v>
      </c>
      <c r="KT78" s="254"/>
      <c r="KU78" s="160"/>
      <c r="KV78" s="159"/>
      <c r="KW78" s="273">
        <v>0</v>
      </c>
      <c r="KX78" s="273">
        <v>0</v>
      </c>
      <c r="KY78" s="221">
        <v>0</v>
      </c>
      <c r="KZ78" s="222">
        <v>0</v>
      </c>
      <c r="LA78" s="223">
        <v>0</v>
      </c>
      <c r="LB78" s="273">
        <v>0</v>
      </c>
      <c r="LC78" s="221">
        <v>0</v>
      </c>
      <c r="LD78" s="222">
        <v>0</v>
      </c>
      <c r="LE78" s="223">
        <v>0</v>
      </c>
      <c r="LF78" s="273">
        <v>0</v>
      </c>
      <c r="LG78" s="221">
        <v>0</v>
      </c>
      <c r="LH78" s="222">
        <v>0</v>
      </c>
      <c r="LI78" s="223">
        <v>0</v>
      </c>
      <c r="LJ78" s="273">
        <v>0</v>
      </c>
      <c r="LK78" s="254"/>
      <c r="LL78" s="160"/>
      <c r="LM78" s="159"/>
      <c r="LN78" s="273">
        <v>0</v>
      </c>
      <c r="LO78" s="273">
        <v>0</v>
      </c>
    </row>
    <row r="79" spans="1:327" ht="17.100000000000001" hidden="1" customHeight="1" outlineLevel="2" x14ac:dyDescent="0.2">
      <c r="A79" s="2" t="s">
        <v>78</v>
      </c>
      <c r="B79" s="24"/>
      <c r="C79" s="5">
        <f>69.8-6.6</f>
        <v>63.199999999999996</v>
      </c>
      <c r="D79" s="5">
        <v>5.9</v>
      </c>
      <c r="E79" s="5">
        <v>4.5</v>
      </c>
      <c r="F79" s="5">
        <v>7.5</v>
      </c>
      <c r="G79" s="5">
        <v>17.7</v>
      </c>
      <c r="H79" s="5">
        <v>5.0999999999999996</v>
      </c>
      <c r="I79" s="5">
        <v>2.6</v>
      </c>
      <c r="J79" s="5">
        <v>2.2000000000000002</v>
      </c>
      <c r="K79" s="5">
        <v>9.6</v>
      </c>
      <c r="L79" s="5">
        <v>7.2</v>
      </c>
      <c r="M79" s="5">
        <v>6</v>
      </c>
      <c r="N79" s="5">
        <v>7</v>
      </c>
      <c r="O79" s="5">
        <f t="shared" si="0"/>
        <v>20.2</v>
      </c>
      <c r="P79" s="5">
        <v>1.3</v>
      </c>
      <c r="Q79" s="5">
        <v>3.2</v>
      </c>
      <c r="R79" s="5">
        <f>4.8+4.1+1</f>
        <v>9.8999999999999986</v>
      </c>
      <c r="S79" s="5">
        <f t="shared" si="1"/>
        <v>14.399999999999999</v>
      </c>
      <c r="T79" s="16">
        <f>+S79+O79+K79+G79</f>
        <v>61.899999999999991</v>
      </c>
      <c r="U79" s="5">
        <f>2.7+0.3</f>
        <v>3</v>
      </c>
      <c r="V79" s="5">
        <f>2-0.04+0.5</f>
        <v>2.46</v>
      </c>
      <c r="W79" s="5">
        <f>2.3+0.6-0.04</f>
        <v>2.86</v>
      </c>
      <c r="X79" s="4">
        <f t="shared" si="196"/>
        <v>8.32</v>
      </c>
      <c r="Y79" s="5">
        <f>5.3-0.04+2</f>
        <v>7.26</v>
      </c>
      <c r="Z79" s="5">
        <f>3.1+1.6-0.04-0.6</f>
        <v>4.0600000000000005</v>
      </c>
      <c r="AA79" s="9">
        <f>3.24+5.2</f>
        <v>8.4400000000000013</v>
      </c>
      <c r="AB79" s="5">
        <f t="shared" si="197"/>
        <v>19.760000000000002</v>
      </c>
      <c r="AC79" s="5">
        <f>1.2+0.04-0.1</f>
        <v>1.1399999999999999</v>
      </c>
      <c r="AD79" s="5">
        <v>2.96</v>
      </c>
      <c r="AE79" s="5">
        <v>5.4</v>
      </c>
      <c r="AF79" s="5">
        <f t="shared" si="198"/>
        <v>9.5</v>
      </c>
      <c r="AG79" s="5">
        <f>1.8+0.04-0.5</f>
        <v>1.34</v>
      </c>
      <c r="AH79" s="5">
        <f>5.4+4.9</f>
        <v>10.3</v>
      </c>
      <c r="AI79" s="5">
        <f>10.8-0.04</f>
        <v>10.760000000000002</v>
      </c>
      <c r="AJ79" s="5">
        <f t="shared" si="128"/>
        <v>22.400000000000002</v>
      </c>
      <c r="AK79" s="16">
        <f t="shared" si="129"/>
        <v>59.980000000000004</v>
      </c>
      <c r="AL79" s="5">
        <f>3.9+0.005-0.04+0.7</f>
        <v>4.5649999999999995</v>
      </c>
      <c r="AM79" s="5">
        <f>8.3+3.6</f>
        <v>11.9</v>
      </c>
      <c r="AN79" s="5">
        <f>4.7+0.04+2.2</f>
        <v>6.94</v>
      </c>
      <c r="AO79" s="5">
        <f t="shared" si="201"/>
        <v>23.405000000000001</v>
      </c>
      <c r="AP79" s="5">
        <f>3+0.04-0.2</f>
        <v>2.84</v>
      </c>
      <c r="AQ79" s="5">
        <v>2.6</v>
      </c>
      <c r="AR79" s="5">
        <f>9.94+1.2</f>
        <v>11.139999999999999</v>
      </c>
      <c r="AS79" s="54">
        <f t="shared" si="12"/>
        <v>16.579999999999998</v>
      </c>
      <c r="AT79" s="5">
        <v>3.6</v>
      </c>
      <c r="AU79" s="5">
        <v>1.9</v>
      </c>
      <c r="AV79" s="5">
        <f>17</f>
        <v>17</v>
      </c>
      <c r="AW79" s="54">
        <f t="shared" si="202"/>
        <v>22.5</v>
      </c>
      <c r="AX79" s="5">
        <v>20.6</v>
      </c>
      <c r="AY79" s="5">
        <v>3.16</v>
      </c>
      <c r="AZ79" s="5">
        <v>75.459999999999994</v>
      </c>
      <c r="BA79" s="54">
        <f t="shared" si="14"/>
        <v>99.22</v>
      </c>
      <c r="BB79" s="54">
        <f t="shared" si="131"/>
        <v>161.70499999999998</v>
      </c>
      <c r="BC79" s="5">
        <v>2.993793949999997</v>
      </c>
      <c r="BD79" s="66">
        <f>5.59649557</f>
        <v>5.5964955700000001</v>
      </c>
      <c r="BE79" s="66">
        <f>2.395289-0.04</f>
        <v>2.355289</v>
      </c>
      <c r="BF79" s="62">
        <f>SUM(BC79:BE79)</f>
        <v>10.945578519999998</v>
      </c>
      <c r="BG79" s="67">
        <v>1.8152600000000001</v>
      </c>
      <c r="BH79" s="67">
        <v>2.3927</v>
      </c>
      <c r="BI79" s="67">
        <v>4.4428599999999996</v>
      </c>
      <c r="BJ79" s="62">
        <f t="shared" si="132"/>
        <v>8.6508199999999995</v>
      </c>
      <c r="BK79" s="67">
        <v>0.56730000000000003</v>
      </c>
      <c r="BL79" s="67">
        <v>1.4861</v>
      </c>
      <c r="BM79" s="67">
        <v>0.75086399999999998</v>
      </c>
      <c r="BN79" s="62">
        <f t="shared" si="133"/>
        <v>2.8042639999999999</v>
      </c>
      <c r="BO79" s="71">
        <v>0.56271329999999997</v>
      </c>
      <c r="BP79" s="67">
        <v>0.45</v>
      </c>
      <c r="BQ79" s="67">
        <v>0.80218</v>
      </c>
      <c r="BR79" s="62">
        <f t="shared" si="134"/>
        <v>1.8148933</v>
      </c>
      <c r="BS79" s="62">
        <f t="shared" si="135"/>
        <v>24.215555819999999</v>
      </c>
      <c r="BT79" s="67">
        <v>0.3</v>
      </c>
      <c r="BU79" s="67">
        <v>0.4</v>
      </c>
      <c r="BV79" s="67">
        <v>1.3</v>
      </c>
      <c r="BW79" s="62">
        <f>SUM(BT79:BV79)</f>
        <v>2</v>
      </c>
      <c r="BX79" s="67">
        <v>8.14</v>
      </c>
      <c r="BY79" s="67">
        <v>0.96</v>
      </c>
      <c r="BZ79" s="67"/>
      <c r="CA79" s="62">
        <f>SUM(BX79:BZ79)</f>
        <v>9.1000000000000014</v>
      </c>
      <c r="CB79" s="67">
        <v>10</v>
      </c>
      <c r="CC79" s="67">
        <f>10.94-3.9</f>
        <v>7.0399999999999991</v>
      </c>
      <c r="CD79" s="67">
        <f>12.71+0.5</f>
        <v>13.21</v>
      </c>
      <c r="CE79" s="62">
        <f>SUM(CB79:CD79)</f>
        <v>30.25</v>
      </c>
      <c r="CF79" s="67">
        <v>8.51</v>
      </c>
      <c r="CG79" s="67">
        <v>11.54</v>
      </c>
      <c r="CH79" s="67">
        <v>11.54</v>
      </c>
      <c r="CI79" s="67">
        <f>SUM(CF79:CH79)</f>
        <v>31.589999999999996</v>
      </c>
      <c r="CJ79" s="71">
        <f>BW79+CA79+CE79+CI79</f>
        <v>72.94</v>
      </c>
      <c r="CK79" s="71">
        <v>11.94</v>
      </c>
      <c r="CL79" s="67">
        <v>6.78</v>
      </c>
      <c r="CM79" s="67">
        <v>12.06</v>
      </c>
      <c r="CN79" s="62">
        <f>SUM(CK79:CM79)</f>
        <v>30.78</v>
      </c>
      <c r="CO79" s="67">
        <v>4.4000000000000004</v>
      </c>
      <c r="CP79" s="67">
        <v>6.65</v>
      </c>
      <c r="CQ79" s="67">
        <v>3.45</v>
      </c>
      <c r="CR79" s="62">
        <f>SUM(CO79:CQ79)</f>
        <v>14.5</v>
      </c>
      <c r="CS79" s="101">
        <v>4.7300000000000004</v>
      </c>
      <c r="CT79" s="67">
        <v>3.62</v>
      </c>
      <c r="CU79" s="67">
        <v>3.4</v>
      </c>
      <c r="CV79" s="62">
        <f t="shared" si="212"/>
        <v>11.750000000000002</v>
      </c>
      <c r="CW79" s="67">
        <v>4.3</v>
      </c>
      <c r="CX79" s="67">
        <v>22.6</v>
      </c>
      <c r="CY79" s="112">
        <f>2</f>
        <v>2</v>
      </c>
      <c r="CZ79" s="114">
        <f>SUM(CW79:CY79)</f>
        <v>28.900000000000002</v>
      </c>
      <c r="DA79" s="77">
        <f>CN79+CR79+CV79+CZ79</f>
        <v>85.93</v>
      </c>
      <c r="DB79" s="71">
        <f>3.2+0.3</f>
        <v>3.5</v>
      </c>
      <c r="DC79" s="67">
        <v>2.8</v>
      </c>
      <c r="DD79" s="67">
        <f>2+0.1</f>
        <v>2.1</v>
      </c>
      <c r="DE79" s="62">
        <f t="shared" si="210"/>
        <v>8.4</v>
      </c>
      <c r="DF79" s="71">
        <f>1.7+0.1</f>
        <v>1.8</v>
      </c>
      <c r="DG79" s="67">
        <v>4.0999999999999996</v>
      </c>
      <c r="DH79" s="67">
        <v>1.8</v>
      </c>
      <c r="DI79" s="62">
        <f t="shared" si="211"/>
        <v>7.6999999999999993</v>
      </c>
      <c r="DJ79" s="71">
        <f>2.8-0.1</f>
        <v>2.6999999999999997</v>
      </c>
      <c r="DK79" s="67">
        <v>10.9</v>
      </c>
      <c r="DL79" s="67">
        <v>1.8</v>
      </c>
      <c r="DM79" s="62">
        <f t="shared" si="213"/>
        <v>15.4</v>
      </c>
      <c r="DN79" s="67">
        <f>2.7+0.1</f>
        <v>2.8000000000000003</v>
      </c>
      <c r="DO79" s="67">
        <v>2.1</v>
      </c>
      <c r="DP79" s="67">
        <v>3.9</v>
      </c>
      <c r="DQ79" s="113">
        <f>SUM(DN79:DP79)</f>
        <v>8.8000000000000007</v>
      </c>
      <c r="DR79" s="140">
        <f>DE79+DI79+DM79+DQ79</f>
        <v>40.299999999999997</v>
      </c>
      <c r="DS79" s="141">
        <v>10.8</v>
      </c>
      <c r="DT79" s="141">
        <v>6.1</v>
      </c>
      <c r="DU79" s="141">
        <v>9</v>
      </c>
      <c r="DV79" s="140">
        <f t="shared" si="148"/>
        <v>25.9</v>
      </c>
      <c r="DW79" s="142">
        <f>10.6-0.1</f>
        <v>10.5</v>
      </c>
      <c r="DX79" s="141">
        <v>9.8000000000000007</v>
      </c>
      <c r="DY79" s="141">
        <f>6.5+0.1</f>
        <v>6.6</v>
      </c>
      <c r="DZ79" s="140">
        <f t="shared" si="149"/>
        <v>26.9</v>
      </c>
      <c r="EA79" s="142">
        <v>8.8000000000000007</v>
      </c>
      <c r="EB79" s="141">
        <v>7.6</v>
      </c>
      <c r="EC79" s="141">
        <v>6.3</v>
      </c>
      <c r="ED79" s="140">
        <f t="shared" si="150"/>
        <v>22.7</v>
      </c>
      <c r="EE79" s="141">
        <v>6.7</v>
      </c>
      <c r="EF79" s="141">
        <v>12</v>
      </c>
      <c r="EG79" s="141">
        <v>11.2</v>
      </c>
      <c r="EH79" s="140">
        <f t="shared" si="151"/>
        <v>29.9</v>
      </c>
      <c r="EI79" s="140">
        <f>DV79+DZ79+ED79+EH79</f>
        <v>105.4</v>
      </c>
      <c r="EJ79" s="141">
        <v>11</v>
      </c>
      <c r="EK79" s="141">
        <v>4.8</v>
      </c>
      <c r="EL79" s="141">
        <f>14-0.1</f>
        <v>13.9</v>
      </c>
      <c r="EM79" s="140">
        <f t="shared" si="152"/>
        <v>29.700000000000003</v>
      </c>
      <c r="EN79" s="141">
        <v>8.6999999999999993</v>
      </c>
      <c r="EO79" s="141">
        <v>17.100000000000001</v>
      </c>
      <c r="EP79" s="141">
        <v>10.199999999999999</v>
      </c>
      <c r="EQ79" s="140">
        <f t="shared" si="153"/>
        <v>36</v>
      </c>
      <c r="ER79" s="141">
        <f>8.3-0.11</f>
        <v>8.1900000000000013</v>
      </c>
      <c r="ES79" s="141">
        <v>6.44</v>
      </c>
      <c r="ET79" s="141">
        <f>8.9+0.1</f>
        <v>9</v>
      </c>
      <c r="EU79" s="140">
        <f t="shared" si="154"/>
        <v>23.630000000000003</v>
      </c>
      <c r="EV79" s="141">
        <f>9.6-0.1</f>
        <v>9.5</v>
      </c>
      <c r="EW79" s="141">
        <v>43.8</v>
      </c>
      <c r="EX79" s="141">
        <v>8.3344979692704939</v>
      </c>
      <c r="EY79" s="140">
        <f t="shared" si="155"/>
        <v>61.634497969270491</v>
      </c>
      <c r="EZ79" s="169">
        <f>EM79+EQ79+EU79+EY79</f>
        <v>150.9644979692705</v>
      </c>
      <c r="FA79" s="170"/>
      <c r="FB79" s="169">
        <f>9.7-0.1</f>
        <v>9.6</v>
      </c>
      <c r="FC79" s="169">
        <v>6.3</v>
      </c>
      <c r="FD79" s="169">
        <f>2+0.1</f>
        <v>2.1</v>
      </c>
      <c r="FE79" s="171">
        <f t="shared" si="156"/>
        <v>18</v>
      </c>
      <c r="FF79" s="169">
        <f>5.2</f>
        <v>5.2</v>
      </c>
      <c r="FG79" s="169">
        <v>2.1874083248727518</v>
      </c>
      <c r="FH79" s="169">
        <v>6.7614471869157073</v>
      </c>
      <c r="FI79" s="171">
        <f t="shared" si="157"/>
        <v>14.148855511788458</v>
      </c>
      <c r="FJ79" s="169">
        <v>7.9099433921825462</v>
      </c>
      <c r="FK79" s="169">
        <v>10.578704931672704</v>
      </c>
      <c r="FL79" s="169">
        <v>8.277580265108698</v>
      </c>
      <c r="FM79" s="171">
        <f t="shared" si="158"/>
        <v>26.766228588963948</v>
      </c>
      <c r="FN79" s="172">
        <v>28.747277767081719</v>
      </c>
      <c r="FO79" s="173">
        <v>18.003949525932722</v>
      </c>
      <c r="FP79" s="173">
        <v>38.798523577150547</v>
      </c>
      <c r="FQ79" s="175">
        <f t="shared" si="159"/>
        <v>85.549750870164985</v>
      </c>
      <c r="FR79" s="175">
        <f>FE79+FI79+FM79+FQ79</f>
        <v>144.46483497091739</v>
      </c>
      <c r="FS79" s="172">
        <v>21.210907540000001</v>
      </c>
      <c r="FT79" s="173">
        <v>6.6303163035244301</v>
      </c>
      <c r="FU79" s="174">
        <v>14.790501628855235</v>
      </c>
      <c r="FV79" s="175">
        <f t="shared" si="160"/>
        <v>42.631725472379671</v>
      </c>
      <c r="FW79" s="172">
        <v>5.9782831449631031</v>
      </c>
      <c r="FX79" s="173">
        <v>20.440000000000001</v>
      </c>
      <c r="FY79" s="174">
        <v>7.4190243251798638</v>
      </c>
      <c r="FZ79" s="175">
        <f t="shared" si="161"/>
        <v>33.837307470142967</v>
      </c>
      <c r="GA79" s="172">
        <v>8.6023556856093837</v>
      </c>
      <c r="GB79" s="173">
        <v>33.697622198904128</v>
      </c>
      <c r="GC79" s="174">
        <v>17.246410092525068</v>
      </c>
      <c r="GD79" s="175">
        <f t="shared" si="162"/>
        <v>59.546387977038577</v>
      </c>
      <c r="GE79" s="172">
        <v>14.017919700958231</v>
      </c>
      <c r="GF79" s="173">
        <v>18.62703553584619</v>
      </c>
      <c r="GG79" s="159">
        <v>24.626810968391496</v>
      </c>
      <c r="GH79" s="174">
        <f t="shared" si="184"/>
        <v>57.271766205195917</v>
      </c>
      <c r="GI79" s="174">
        <f>FV79+FZ79+GD79+GH79</f>
        <v>193.28718712475714</v>
      </c>
      <c r="GJ79" s="221">
        <v>43.444482895728491</v>
      </c>
      <c r="GK79" s="222">
        <v>12.047708515765761</v>
      </c>
      <c r="GL79" s="223">
        <v>8.6329748464787688</v>
      </c>
      <c r="GM79" s="175">
        <f t="shared" si="164"/>
        <v>64.125166257973021</v>
      </c>
      <c r="GN79" s="221">
        <v>12.562411342439205</v>
      </c>
      <c r="GO79" s="222">
        <v>3.1345435120957927</v>
      </c>
      <c r="GP79" s="223">
        <v>0.53765512586014841</v>
      </c>
      <c r="GQ79" s="175">
        <f t="shared" si="165"/>
        <v>16.234609980395145</v>
      </c>
      <c r="GR79" s="221">
        <v>6</v>
      </c>
      <c r="GS79" s="222">
        <v>0.1337640202661747</v>
      </c>
      <c r="GT79" s="223">
        <v>0.67855704815419948</v>
      </c>
      <c r="GU79" s="175">
        <f t="shared" si="166"/>
        <v>6.8123210684203741</v>
      </c>
      <c r="GV79" s="221">
        <v>0.73191066595236476</v>
      </c>
      <c r="GW79" s="222">
        <v>3.9974022883357239</v>
      </c>
      <c r="GX79" s="223">
        <v>1.4118920311908174</v>
      </c>
      <c r="GY79" s="174">
        <f t="shared" si="185"/>
        <v>6.1412049854789057</v>
      </c>
      <c r="GZ79" s="159">
        <v>93.313302292267451</v>
      </c>
      <c r="HA79" s="254">
        <v>3.8245424347202288</v>
      </c>
      <c r="HB79" s="160">
        <v>60.430846279770442</v>
      </c>
      <c r="HC79" s="159">
        <v>2.4380407905308421</v>
      </c>
      <c r="HD79" s="273">
        <f t="shared" si="168"/>
        <v>66.693429505021513</v>
      </c>
      <c r="HE79" s="254">
        <v>48.828714572209464</v>
      </c>
      <c r="HF79" s="160">
        <v>22.887988813974175</v>
      </c>
      <c r="HG79" s="159">
        <v>45.883749661692981</v>
      </c>
      <c r="HH79" s="273">
        <f t="shared" si="169"/>
        <v>117.60045304787661</v>
      </c>
      <c r="HI79" s="254">
        <v>38.764192469931302</v>
      </c>
      <c r="HJ79" s="160">
        <v>43.079283549932512</v>
      </c>
      <c r="HK79" s="159">
        <v>31.031709120243889</v>
      </c>
      <c r="HL79" s="273">
        <f t="shared" si="170"/>
        <v>112.8751851401077</v>
      </c>
      <c r="HM79" s="254">
        <v>50.834355108439297</v>
      </c>
      <c r="HN79" s="160">
        <v>70.085977919727384</v>
      </c>
      <c r="HO79" s="159">
        <v>100.04165322999999</v>
      </c>
      <c r="HP79" s="273">
        <f t="shared" si="214"/>
        <v>220.96198625816669</v>
      </c>
      <c r="HQ79" s="273">
        <f t="shared" si="127"/>
        <v>518.13105395117259</v>
      </c>
      <c r="HR79" s="254">
        <v>81.710031260703005</v>
      </c>
      <c r="HS79" s="160">
        <v>83.581592959397412</v>
      </c>
      <c r="HT79" s="159">
        <v>97.538302309999992</v>
      </c>
      <c r="HU79" s="273">
        <f t="shared" si="172"/>
        <v>262.82992653010041</v>
      </c>
      <c r="HV79" s="254">
        <v>87.732366421391674</v>
      </c>
      <c r="HW79" s="160">
        <v>197.89900840473459</v>
      </c>
      <c r="HX79" s="159">
        <v>89.583245533888089</v>
      </c>
      <c r="HY79" s="273">
        <f t="shared" si="189"/>
        <v>375.21462036001435</v>
      </c>
      <c r="HZ79" s="254">
        <v>34.482644096226686</v>
      </c>
      <c r="IA79" s="160">
        <v>102.11953130605453</v>
      </c>
      <c r="IB79" s="159">
        <v>40.771875761563848</v>
      </c>
      <c r="IC79" s="273">
        <f t="shared" si="174"/>
        <v>177.37405116384505</v>
      </c>
      <c r="ID79" s="254">
        <v>87.312647740000003</v>
      </c>
      <c r="IE79" s="160">
        <v>158.66714099999999</v>
      </c>
      <c r="IF79" s="159">
        <v>67.475814882767622</v>
      </c>
      <c r="IG79" s="273">
        <f t="shared" si="175"/>
        <v>313.45560362276763</v>
      </c>
      <c r="IH79" s="273">
        <v>1128.8742016767274</v>
      </c>
      <c r="II79" s="254">
        <v>68.37178972000001</v>
      </c>
      <c r="IJ79" s="160">
        <v>86.749204570000003</v>
      </c>
      <c r="IK79" s="159">
        <v>68.066922210000001</v>
      </c>
      <c r="IL79" s="273">
        <v>223.1879165</v>
      </c>
      <c r="IM79" s="254">
        <v>42.725345099999998</v>
      </c>
      <c r="IN79" s="160">
        <v>125.03971479020352</v>
      </c>
      <c r="IO79" s="160">
        <v>132.50172289</v>
      </c>
      <c r="IP79" s="273">
        <v>300.26678278020353</v>
      </c>
      <c r="IQ79" s="254">
        <v>121.83887485</v>
      </c>
      <c r="IR79" s="160">
        <v>104.53881509011647</v>
      </c>
      <c r="IS79" s="159">
        <v>215.30314325404657</v>
      </c>
      <c r="IT79" s="273">
        <v>441.68083319416303</v>
      </c>
      <c r="IU79" s="254">
        <v>112.20468361815136</v>
      </c>
      <c r="IV79" s="160">
        <v>249.55514014005684</v>
      </c>
      <c r="IW79" s="159">
        <v>183.38194150250729</v>
      </c>
      <c r="IX79" s="273">
        <v>545.14176526071549</v>
      </c>
      <c r="IY79" s="273">
        <v>1510.2772977350819</v>
      </c>
      <c r="IZ79" s="254">
        <v>109.82739345935859</v>
      </c>
      <c r="JA79" s="160">
        <v>92.59574465</v>
      </c>
      <c r="JB79" s="159">
        <v>141.16418669999999</v>
      </c>
      <c r="JC79" s="273">
        <v>343.58732480935862</v>
      </c>
      <c r="JD79" s="254">
        <v>83.76523139999999</v>
      </c>
      <c r="JE79" s="160">
        <v>202.04932492999853</v>
      </c>
      <c r="JF79" s="159">
        <v>95.596055869999986</v>
      </c>
      <c r="JG79" s="273">
        <v>381.41061219999852</v>
      </c>
      <c r="JH79" s="254">
        <v>119.43884405999999</v>
      </c>
      <c r="JI79" s="160">
        <v>78.38738667979591</v>
      </c>
      <c r="JJ79" s="159">
        <v>66.074048349999998</v>
      </c>
      <c r="JK79" s="273">
        <v>263.9002790897959</v>
      </c>
      <c r="JL79" s="254">
        <v>94.248455440174922</v>
      </c>
      <c r="JM79" s="160">
        <v>70.828852570524774</v>
      </c>
      <c r="JN79" s="159">
        <v>48.41938615317784</v>
      </c>
      <c r="JO79" s="273">
        <v>213.49669416387755</v>
      </c>
      <c r="JP79" s="273">
        <v>1202.3949102630306</v>
      </c>
      <c r="JQ79" s="254">
        <v>89.075669610000006</v>
      </c>
      <c r="JR79" s="160">
        <v>132.54496367000002</v>
      </c>
      <c r="JS79" s="159">
        <v>103.01419250000001</v>
      </c>
      <c r="JT79" s="273">
        <v>324.63482578000003</v>
      </c>
      <c r="JU79" s="254">
        <v>71.014375020000003</v>
      </c>
      <c r="JV79" s="160">
        <v>126.88137380000001</v>
      </c>
      <c r="JW79" s="159">
        <v>116.82181254999901</v>
      </c>
      <c r="JX79" s="273">
        <v>314.71756136999898</v>
      </c>
      <c r="JY79" s="254">
        <v>156.54300689000002</v>
      </c>
      <c r="JZ79" s="160">
        <v>698.44789102999994</v>
      </c>
      <c r="KA79" s="159">
        <v>69.152838189999983</v>
      </c>
      <c r="KB79" s="273">
        <v>924.14373610999996</v>
      </c>
      <c r="KC79" s="254">
        <v>661.52045505000001</v>
      </c>
      <c r="KD79" s="282">
        <v>121.31446882000114</v>
      </c>
      <c r="KE79" s="159">
        <v>94.941823464635547</v>
      </c>
      <c r="KF79" s="273">
        <v>877.77674733463664</v>
      </c>
      <c r="KG79" s="273">
        <v>2441.2728705946356</v>
      </c>
      <c r="KH79" s="221">
        <v>143.49157604000001</v>
      </c>
      <c r="KI79" s="222">
        <v>53.835481880000003</v>
      </c>
      <c r="KJ79" s="223">
        <v>78.116560559999996</v>
      </c>
      <c r="KK79" s="273">
        <v>275.44361848</v>
      </c>
      <c r="KL79" s="221">
        <v>64.396127239999998</v>
      </c>
      <c r="KM79" s="222">
        <v>98.047652119999682</v>
      </c>
      <c r="KN79" s="223">
        <v>46.397545089999696</v>
      </c>
      <c r="KO79" s="273">
        <v>208.84132444999938</v>
      </c>
      <c r="KP79" s="221">
        <v>204.24076188999976</v>
      </c>
      <c r="KQ79" s="222">
        <v>189.56472109999999</v>
      </c>
      <c r="KR79" s="223">
        <v>143.04103250999998</v>
      </c>
      <c r="KS79" s="273">
        <v>536.84651549999967</v>
      </c>
      <c r="KT79" s="254">
        <v>118.48765753999993</v>
      </c>
      <c r="KU79" s="160">
        <v>164.54386723999997</v>
      </c>
      <c r="KV79" s="159">
        <v>451.42633731000001</v>
      </c>
      <c r="KW79" s="273">
        <v>734.45786208999994</v>
      </c>
      <c r="KX79" s="273">
        <v>1755.5893205199991</v>
      </c>
      <c r="KY79" s="221">
        <v>229.82931708999999</v>
      </c>
      <c r="KZ79" s="222">
        <v>99.85759539999998</v>
      </c>
      <c r="LA79" s="223">
        <v>207.71650358999892</v>
      </c>
      <c r="LB79" s="273">
        <v>537.40341607999881</v>
      </c>
      <c r="LC79" s="221">
        <v>84.533514660000023</v>
      </c>
      <c r="LD79" s="222">
        <v>151.32312184000003</v>
      </c>
      <c r="LE79" s="223">
        <v>132.50450675000025</v>
      </c>
      <c r="LF79" s="273">
        <v>368.36114325000028</v>
      </c>
      <c r="LG79" s="221">
        <v>161.96232866000003</v>
      </c>
      <c r="LH79" s="222">
        <v>132.21517394999998</v>
      </c>
      <c r="LI79" s="223">
        <v>106.31732671</v>
      </c>
      <c r="LJ79" s="273">
        <v>400.49482932000001</v>
      </c>
      <c r="LK79" s="254">
        <v>146.81107399000001</v>
      </c>
      <c r="LL79" s="160">
        <v>107.98854179999999</v>
      </c>
      <c r="LM79" s="159">
        <v>115.12956903999999</v>
      </c>
      <c r="LN79" s="273">
        <v>369.92918483</v>
      </c>
      <c r="LO79" s="273">
        <v>1676.1885734799989</v>
      </c>
    </row>
    <row r="80" spans="1:327" ht="17.100000000000001" hidden="1" customHeight="1" outlineLevel="1" x14ac:dyDescent="0.2">
      <c r="A80" s="2" t="s">
        <v>50</v>
      </c>
      <c r="B80" s="24"/>
      <c r="C80" s="5">
        <v>5.4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f t="shared" si="0"/>
        <v>0</v>
      </c>
      <c r="P80" s="5">
        <v>0</v>
      </c>
      <c r="Q80" s="5">
        <v>0</v>
      </c>
      <c r="R80" s="5">
        <v>0</v>
      </c>
      <c r="S80" s="5">
        <f t="shared" si="1"/>
        <v>0</v>
      </c>
      <c r="T80" s="16">
        <f t="shared" si="7"/>
        <v>0</v>
      </c>
      <c r="U80" s="5">
        <v>0</v>
      </c>
      <c r="V80" s="5">
        <v>0</v>
      </c>
      <c r="W80" s="5">
        <v>0</v>
      </c>
      <c r="X80" s="4">
        <f t="shared" si="196"/>
        <v>0</v>
      </c>
      <c r="Y80" s="5">
        <v>0</v>
      </c>
      <c r="Z80" s="5">
        <v>0</v>
      </c>
      <c r="AA80" s="8"/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f t="shared" si="128"/>
        <v>0</v>
      </c>
      <c r="AK80" s="16">
        <f t="shared" si="129"/>
        <v>0</v>
      </c>
      <c r="AL80" s="5">
        <v>0</v>
      </c>
      <c r="AM80" s="5">
        <v>0</v>
      </c>
      <c r="AN80" s="5">
        <v>1.2802113900000001</v>
      </c>
      <c r="AO80" s="5">
        <f t="shared" si="201"/>
        <v>1.2802113900000001</v>
      </c>
      <c r="AP80" s="5">
        <f>0.84443795</f>
        <v>0.84443794999999999</v>
      </c>
      <c r="AQ80" s="5">
        <v>0</v>
      </c>
      <c r="AR80" s="5">
        <v>0</v>
      </c>
      <c r="AS80" s="54">
        <f t="shared" si="12"/>
        <v>0.84443794999999999</v>
      </c>
      <c r="AT80" s="5">
        <v>0</v>
      </c>
      <c r="AU80" s="5">
        <v>0</v>
      </c>
      <c r="AV80" s="5">
        <v>0</v>
      </c>
      <c r="AW80" s="54">
        <f t="shared" si="202"/>
        <v>0</v>
      </c>
      <c r="AX80" s="5">
        <v>0</v>
      </c>
      <c r="AY80" s="5">
        <v>0</v>
      </c>
      <c r="AZ80" s="5">
        <v>0</v>
      </c>
      <c r="BA80" s="54">
        <f t="shared" si="14"/>
        <v>0</v>
      </c>
      <c r="BB80" s="54">
        <f t="shared" si="131"/>
        <v>2.1246493399999999</v>
      </c>
      <c r="BC80" s="5">
        <v>0</v>
      </c>
      <c r="BD80" s="66"/>
      <c r="BE80" s="66"/>
      <c r="BF80" s="62">
        <f>SUM(BC80:BE80)</f>
        <v>0</v>
      </c>
      <c r="BG80" s="67"/>
      <c r="BH80" s="67"/>
      <c r="BI80" s="67"/>
      <c r="BJ80" s="62">
        <f t="shared" si="132"/>
        <v>0</v>
      </c>
      <c r="BK80" s="67"/>
      <c r="BL80" s="67"/>
      <c r="BM80" s="67"/>
      <c r="BN80" s="62">
        <f t="shared" si="133"/>
        <v>0</v>
      </c>
      <c r="BO80" s="71"/>
      <c r="BP80" s="67"/>
      <c r="BQ80" s="67"/>
      <c r="BR80" s="62">
        <f t="shared" si="134"/>
        <v>0</v>
      </c>
      <c r="BS80" s="62">
        <f t="shared" si="135"/>
        <v>0</v>
      </c>
      <c r="BT80" s="130"/>
      <c r="BU80" s="130"/>
      <c r="BV80" s="130"/>
      <c r="BW80" s="131">
        <f>SUM(BT80:BV80)</f>
        <v>0</v>
      </c>
      <c r="BX80" s="130"/>
      <c r="BY80" s="130"/>
      <c r="BZ80" s="130"/>
      <c r="CA80" s="131">
        <f>SUM(BX80:BZ80)</f>
        <v>0</v>
      </c>
      <c r="CB80" s="130"/>
      <c r="CC80" s="130"/>
      <c r="CD80" s="130"/>
      <c r="CE80" s="131">
        <f>SUM(CB80:CD80)</f>
        <v>0</v>
      </c>
      <c r="CF80" s="130"/>
      <c r="CG80" s="130"/>
      <c r="CH80" s="130"/>
      <c r="CI80" s="130">
        <f>SUM(CF80:CH80)</f>
        <v>0</v>
      </c>
      <c r="CJ80" s="132">
        <f>BW80+CA80+CE80+CI80</f>
        <v>0</v>
      </c>
      <c r="CK80" s="132"/>
      <c r="CL80" s="130"/>
      <c r="CM80" s="130"/>
      <c r="CN80" s="131">
        <f>SUM(CK80:CM80)</f>
        <v>0</v>
      </c>
      <c r="CO80" s="130"/>
      <c r="CP80" s="130"/>
      <c r="CQ80" s="130"/>
      <c r="CR80" s="131">
        <f>SUM(CO80:CQ80)</f>
        <v>0</v>
      </c>
      <c r="CS80" s="130"/>
      <c r="CT80" s="130"/>
      <c r="CU80" s="130"/>
      <c r="CV80" s="131">
        <f t="shared" si="212"/>
        <v>0</v>
      </c>
      <c r="CW80" s="130"/>
      <c r="CX80" s="130"/>
      <c r="CY80" s="133"/>
      <c r="CZ80" s="134">
        <f>SUM(CW80:CY80)</f>
        <v>0</v>
      </c>
      <c r="DA80" s="135">
        <f>CN80+CR80+CV80+CZ80</f>
        <v>0</v>
      </c>
      <c r="DB80" s="132"/>
      <c r="DC80" s="130"/>
      <c r="DD80" s="130"/>
      <c r="DE80" s="131">
        <f t="shared" si="210"/>
        <v>0</v>
      </c>
      <c r="DF80" s="132"/>
      <c r="DG80" s="130"/>
      <c r="DH80" s="130"/>
      <c r="DI80" s="131">
        <f t="shared" si="211"/>
        <v>0</v>
      </c>
      <c r="DJ80" s="132"/>
      <c r="DK80" s="130"/>
      <c r="DL80" s="130"/>
      <c r="DM80" s="131">
        <f t="shared" si="213"/>
        <v>0</v>
      </c>
      <c r="DN80" s="130"/>
      <c r="DO80" s="130"/>
      <c r="DP80" s="130"/>
      <c r="DQ80" s="136">
        <f>SUM(DN80:DP80)</f>
        <v>0</v>
      </c>
      <c r="DR80" s="145">
        <f>DE80+DI80+DM80+DQ80</f>
        <v>0</v>
      </c>
      <c r="DS80" s="146"/>
      <c r="DT80" s="146"/>
      <c r="DU80" s="146"/>
      <c r="DV80" s="145">
        <f>SUM(DS80:DU80)</f>
        <v>0</v>
      </c>
      <c r="DW80" s="147"/>
      <c r="DX80" s="146"/>
      <c r="DY80" s="146"/>
      <c r="DZ80" s="145">
        <f t="shared" si="149"/>
        <v>0</v>
      </c>
      <c r="EA80" s="147"/>
      <c r="EB80" s="146"/>
      <c r="EC80" s="146"/>
      <c r="ED80" s="145">
        <f t="shared" si="150"/>
        <v>0</v>
      </c>
      <c r="EE80" s="146"/>
      <c r="EF80" s="146"/>
      <c r="EG80" s="146"/>
      <c r="EH80" s="145">
        <f t="shared" si="151"/>
        <v>0</v>
      </c>
      <c r="EI80" s="145">
        <f>DV80+DZ80+ED80+EH80</f>
        <v>0</v>
      </c>
      <c r="EJ80" s="146"/>
      <c r="EK80" s="146"/>
      <c r="EL80" s="146"/>
      <c r="EM80" s="145">
        <f>SUM(EJ80:EL80)</f>
        <v>0</v>
      </c>
      <c r="EN80" s="146"/>
      <c r="EO80" s="146"/>
      <c r="EP80" s="146"/>
      <c r="EQ80" s="145">
        <f>SUM(EN80:EP80)</f>
        <v>0</v>
      </c>
      <c r="ER80" s="146"/>
      <c r="ES80" s="146"/>
      <c r="ET80" s="146"/>
      <c r="EU80" s="145">
        <f>SUM(ER80:ET80)</f>
        <v>0</v>
      </c>
      <c r="EV80" s="146"/>
      <c r="EW80" s="146"/>
      <c r="EX80" s="146"/>
      <c r="EY80" s="145">
        <f>SUM(EV80:EX80)</f>
        <v>0</v>
      </c>
      <c r="EZ80" s="179"/>
      <c r="FA80" s="180"/>
      <c r="FB80" s="179"/>
      <c r="FC80" s="179"/>
      <c r="FD80" s="179"/>
      <c r="FE80" s="181">
        <f t="shared" si="156"/>
        <v>0</v>
      </c>
      <c r="FF80" s="179"/>
      <c r="FG80" s="179"/>
      <c r="FH80" s="179"/>
      <c r="FI80" s="181">
        <f t="shared" si="157"/>
        <v>0</v>
      </c>
      <c r="FJ80" s="179"/>
      <c r="FK80" s="179"/>
      <c r="FL80" s="179"/>
      <c r="FM80" s="181">
        <f t="shared" si="158"/>
        <v>0</v>
      </c>
      <c r="FN80" s="182"/>
      <c r="FO80" s="183"/>
      <c r="FP80" s="184"/>
      <c r="FQ80" s="185">
        <f t="shared" si="159"/>
        <v>0</v>
      </c>
      <c r="FR80" s="185">
        <f>FE80+FI80+FM80+FQ80</f>
        <v>0</v>
      </c>
      <c r="FS80" s="182"/>
      <c r="FT80" s="183"/>
      <c r="FU80" s="184"/>
      <c r="FV80" s="185">
        <f t="shared" si="160"/>
        <v>0</v>
      </c>
      <c r="FW80" s="182"/>
      <c r="FX80" s="183"/>
      <c r="FY80" s="184"/>
      <c r="FZ80" s="185">
        <f t="shared" si="161"/>
        <v>0</v>
      </c>
      <c r="GA80" s="172"/>
      <c r="GB80" s="173"/>
      <c r="GC80" s="174"/>
      <c r="GD80" s="185">
        <f t="shared" si="162"/>
        <v>0</v>
      </c>
      <c r="GE80" s="182"/>
      <c r="GF80" s="183"/>
      <c r="GG80" s="161"/>
      <c r="GH80" s="184">
        <f t="shared" si="184"/>
        <v>0</v>
      </c>
      <c r="GI80" s="184">
        <f>FV80+FZ80+GD80+GH80</f>
        <v>0</v>
      </c>
      <c r="GJ80" s="228"/>
      <c r="GK80" s="229">
        <v>10.421157375765761</v>
      </c>
      <c r="GL80" s="230"/>
      <c r="GM80" s="185">
        <f t="shared" si="164"/>
        <v>10.421157375765761</v>
      </c>
      <c r="GN80" s="228"/>
      <c r="GO80" s="229"/>
      <c r="GP80" s="230"/>
      <c r="GQ80" s="185">
        <f t="shared" si="165"/>
        <v>0</v>
      </c>
      <c r="GR80" s="228"/>
      <c r="GS80" s="229"/>
      <c r="GT80" s="230"/>
      <c r="GU80" s="185">
        <f t="shared" si="166"/>
        <v>0</v>
      </c>
      <c r="GV80" s="228"/>
      <c r="GW80" s="229"/>
      <c r="GX80" s="230"/>
      <c r="GY80" s="184">
        <f t="shared" si="185"/>
        <v>0</v>
      </c>
      <c r="GZ80" s="161">
        <v>10.421157375765761</v>
      </c>
      <c r="HA80" s="283"/>
      <c r="HB80" s="284"/>
      <c r="HC80" s="161"/>
      <c r="HD80" s="285">
        <f t="shared" si="168"/>
        <v>0</v>
      </c>
      <c r="HE80" s="283"/>
      <c r="HF80" s="284"/>
      <c r="HG80" s="161"/>
      <c r="HH80" s="285">
        <f t="shared" si="169"/>
        <v>0</v>
      </c>
      <c r="HI80" s="283"/>
      <c r="HJ80" s="284"/>
      <c r="HK80" s="161">
        <v>31.031709120243889</v>
      </c>
      <c r="HL80" s="285">
        <f t="shared" si="170"/>
        <v>31.031709120243889</v>
      </c>
      <c r="HM80" s="283"/>
      <c r="HN80" s="284"/>
      <c r="HO80" s="161">
        <v>100.04165322999999</v>
      </c>
      <c r="HP80" s="285">
        <f t="shared" si="214"/>
        <v>100.04165322999999</v>
      </c>
      <c r="HQ80" s="285">
        <f t="shared" si="127"/>
        <v>131.07336235024388</v>
      </c>
      <c r="HR80" s="283"/>
      <c r="HS80" s="284"/>
      <c r="HT80" s="161"/>
      <c r="HU80" s="285">
        <f t="shared" si="172"/>
        <v>0</v>
      </c>
      <c r="HV80" s="283"/>
      <c r="HW80" s="284"/>
      <c r="HX80" s="161"/>
      <c r="HY80" s="285">
        <f t="shared" si="189"/>
        <v>0</v>
      </c>
      <c r="HZ80" s="283"/>
      <c r="IA80" s="284"/>
      <c r="IB80" s="161"/>
      <c r="IC80" s="285">
        <f t="shared" si="174"/>
        <v>0</v>
      </c>
      <c r="ID80" s="283"/>
      <c r="IE80" s="284"/>
      <c r="IF80" s="161"/>
      <c r="IG80" s="285">
        <f t="shared" si="175"/>
        <v>0</v>
      </c>
      <c r="IH80" s="285">
        <v>0</v>
      </c>
      <c r="II80" s="256"/>
      <c r="IJ80" s="284"/>
      <c r="IK80" s="161"/>
      <c r="IL80" s="285">
        <v>0</v>
      </c>
      <c r="IM80" s="283"/>
      <c r="IN80" s="284"/>
      <c r="IO80" s="284">
        <v>102.99645575000001</v>
      </c>
      <c r="IP80" s="285">
        <v>102.99645575000001</v>
      </c>
      <c r="IQ80" s="283"/>
      <c r="IR80" s="284"/>
      <c r="IS80" s="161"/>
      <c r="IT80" s="285">
        <v>0</v>
      </c>
      <c r="IU80" s="283"/>
      <c r="IV80" s="284"/>
      <c r="IW80" s="161"/>
      <c r="IX80" s="285">
        <v>0</v>
      </c>
      <c r="IY80" s="285">
        <v>102.99645575000001</v>
      </c>
      <c r="IZ80" s="283"/>
      <c r="JA80" s="284"/>
      <c r="JB80" s="161"/>
      <c r="JC80" s="285">
        <v>0</v>
      </c>
      <c r="JD80" s="283"/>
      <c r="JE80" s="284"/>
      <c r="JF80" s="161"/>
      <c r="JG80" s="285">
        <v>0</v>
      </c>
      <c r="JH80" s="283"/>
      <c r="JI80" s="284"/>
      <c r="JJ80" s="161"/>
      <c r="JK80" s="285">
        <v>0</v>
      </c>
      <c r="JL80" s="283"/>
      <c r="JM80" s="284"/>
      <c r="JN80" s="161"/>
      <c r="JO80" s="285">
        <v>0</v>
      </c>
      <c r="JP80" s="285">
        <v>0</v>
      </c>
      <c r="JQ80" s="283"/>
      <c r="JR80" s="284"/>
      <c r="JS80" s="161"/>
      <c r="JT80" s="285">
        <v>0</v>
      </c>
      <c r="JU80" s="283"/>
      <c r="JV80" s="284"/>
      <c r="JW80" s="161"/>
      <c r="JX80" s="285">
        <v>0</v>
      </c>
      <c r="JY80" s="283"/>
      <c r="JZ80" s="284"/>
      <c r="KA80" s="161"/>
      <c r="KB80" s="285">
        <v>0</v>
      </c>
      <c r="KC80" s="283"/>
      <c r="KD80" s="284"/>
      <c r="KE80" s="161"/>
      <c r="KF80" s="285">
        <v>0</v>
      </c>
      <c r="KG80" s="285">
        <v>0</v>
      </c>
      <c r="KH80" s="228"/>
      <c r="KI80" s="229"/>
      <c r="KJ80" s="230">
        <v>78.116560559999996</v>
      </c>
      <c r="KK80" s="285">
        <v>78.116560559999996</v>
      </c>
      <c r="KL80" s="228"/>
      <c r="KM80" s="229"/>
      <c r="KN80" s="230"/>
      <c r="KO80" s="285">
        <v>0</v>
      </c>
      <c r="KP80" s="228"/>
      <c r="KQ80" s="229"/>
      <c r="KR80" s="230"/>
      <c r="KS80" s="285">
        <v>0</v>
      </c>
      <c r="KT80" s="283"/>
      <c r="KU80" s="284"/>
      <c r="KV80" s="161"/>
      <c r="KW80" s="285">
        <v>0</v>
      </c>
      <c r="KX80" s="285">
        <v>78.116560559999996</v>
      </c>
      <c r="KY80" s="228">
        <v>0</v>
      </c>
      <c r="KZ80" s="229">
        <v>0</v>
      </c>
      <c r="LA80" s="230">
        <v>0</v>
      </c>
      <c r="LB80" s="285">
        <v>0</v>
      </c>
      <c r="LC80" s="228">
        <v>0</v>
      </c>
      <c r="LD80" s="229">
        <v>0</v>
      </c>
      <c r="LE80" s="230">
        <v>0</v>
      </c>
      <c r="LF80" s="285">
        <v>0</v>
      </c>
      <c r="LG80" s="228">
        <v>0</v>
      </c>
      <c r="LH80" s="229">
        <v>0</v>
      </c>
      <c r="LI80" s="230">
        <v>0</v>
      </c>
      <c r="LJ80" s="285">
        <v>0</v>
      </c>
      <c r="LK80" s="283"/>
      <c r="LL80" s="284"/>
      <c r="LM80" s="161"/>
      <c r="LN80" s="285">
        <v>0</v>
      </c>
      <c r="LO80" s="285">
        <v>0</v>
      </c>
    </row>
    <row r="81" spans="1:327" ht="17.100000000000001" hidden="1" customHeight="1" outlineLevel="1" x14ac:dyDescent="0.2">
      <c r="A81" s="2" t="s">
        <v>51</v>
      </c>
      <c r="B81" s="24"/>
      <c r="C81" s="5">
        <v>23.9</v>
      </c>
      <c r="D81" s="5">
        <v>3.3</v>
      </c>
      <c r="E81" s="5">
        <v>3.2</v>
      </c>
      <c r="F81" s="5">
        <v>3.1</v>
      </c>
      <c r="G81" s="5">
        <v>9.6</v>
      </c>
      <c r="H81" s="5">
        <v>3.1</v>
      </c>
      <c r="I81" s="5">
        <v>0</v>
      </c>
      <c r="J81" s="5">
        <v>3.9</v>
      </c>
      <c r="K81" s="5">
        <f>3.1+3.9</f>
        <v>7</v>
      </c>
      <c r="L81" s="5">
        <f>2.8+0.3</f>
        <v>3.0999999999999996</v>
      </c>
      <c r="M81" s="5">
        <v>3.2</v>
      </c>
      <c r="N81" s="5">
        <v>3.2</v>
      </c>
      <c r="O81" s="5">
        <f t="shared" si="0"/>
        <v>9.5</v>
      </c>
      <c r="P81" s="5">
        <f>1.9+1.3</f>
        <v>3.2</v>
      </c>
      <c r="Q81" s="5">
        <v>0</v>
      </c>
      <c r="R81" s="5">
        <v>7</v>
      </c>
      <c r="S81" s="5">
        <f t="shared" si="1"/>
        <v>10.199999999999999</v>
      </c>
      <c r="T81" s="16">
        <f t="shared" si="7"/>
        <v>36.299999999999997</v>
      </c>
      <c r="U81" s="5">
        <v>3</v>
      </c>
      <c r="V81" s="5">
        <f>3.1-0.04</f>
        <v>3.06</v>
      </c>
      <c r="W81" s="5">
        <v>4.9000000000000004</v>
      </c>
      <c r="X81" s="4">
        <f t="shared" si="196"/>
        <v>10.96</v>
      </c>
      <c r="Y81" s="5">
        <f>1.8358492+1.22058879-0.04</f>
        <v>3.01643799</v>
      </c>
      <c r="Z81" s="5">
        <v>0</v>
      </c>
      <c r="AA81" s="9">
        <f>5.45383756</f>
        <v>5.4538375600000002</v>
      </c>
      <c r="AB81" s="5">
        <f>Y81+Z81+AA81</f>
        <v>8.4702755500000002</v>
      </c>
      <c r="AC81" s="5">
        <f>3.00477661+0.04</f>
        <v>3.04477661</v>
      </c>
      <c r="AD81" s="5">
        <v>3</v>
      </c>
      <c r="AE81" s="5">
        <f>4.98-0.04-8.3</f>
        <v>-3.3600000000000003</v>
      </c>
      <c r="AF81" s="5">
        <f>AC81+AD81+AE81</f>
        <v>2.6847766099999992</v>
      </c>
      <c r="AG81" s="5">
        <f>3.2+0.04</f>
        <v>3.24</v>
      </c>
      <c r="AH81" s="5">
        <v>0</v>
      </c>
      <c r="AI81" s="5">
        <f>6.36-0.04</f>
        <v>6.32</v>
      </c>
      <c r="AJ81" s="5">
        <f t="shared" si="128"/>
        <v>9.56</v>
      </c>
      <c r="AK81" s="16">
        <f t="shared" si="129"/>
        <v>31.67505216</v>
      </c>
      <c r="AL81" s="5">
        <f>1.87853843+1.30900663</f>
        <v>3.1875450600000002</v>
      </c>
      <c r="AM81" s="5"/>
      <c r="AN81" s="5">
        <f>1.27508487+0.84629012</f>
        <v>2.1213749900000001</v>
      </c>
      <c r="AO81" s="5">
        <f t="shared" si="201"/>
        <v>5.3089200500000002</v>
      </c>
      <c r="AP81" s="5">
        <f>1.26627645+0.04</f>
        <v>1.3062764500000001</v>
      </c>
      <c r="AQ81" s="5">
        <v>0</v>
      </c>
      <c r="AR81" s="5">
        <v>4.84</v>
      </c>
      <c r="AS81" s="54">
        <f t="shared" si="12"/>
        <v>6.1462764500000002</v>
      </c>
      <c r="AT81" s="5">
        <f>2.1-0.04</f>
        <v>2.06</v>
      </c>
      <c r="AU81" s="5">
        <v>4.1130200000000002E-3</v>
      </c>
      <c r="AV81" s="5">
        <v>1.29322932</v>
      </c>
      <c r="AW81" s="54">
        <f t="shared" si="202"/>
        <v>3.3573423400000002</v>
      </c>
      <c r="AX81" s="5">
        <f>0.86762882+1.2976635</f>
        <v>2.1652923199999998</v>
      </c>
      <c r="AY81" s="5"/>
      <c r="AZ81" s="5">
        <f>0.65077446+2.14520102+2.14685323</f>
        <v>4.9428287100000006</v>
      </c>
      <c r="BA81" s="54">
        <f t="shared" si="14"/>
        <v>7.1081210300000004</v>
      </c>
      <c r="BB81" s="54">
        <f t="shared" si="131"/>
        <v>21.920659870000001</v>
      </c>
      <c r="BC81" s="5">
        <v>1.4276217099999999</v>
      </c>
      <c r="BD81" s="66"/>
      <c r="BE81" s="66"/>
      <c r="BF81" s="62">
        <f>SUM(BC81:BE81)</f>
        <v>1.4276217099999999</v>
      </c>
      <c r="BG81" s="67">
        <f>1.26102039+0.84261772</f>
        <v>2.1036381100000003</v>
      </c>
      <c r="BH81" s="67"/>
      <c r="BI81" s="67">
        <v>0.60960977000000005</v>
      </c>
      <c r="BJ81" s="62">
        <f t="shared" si="132"/>
        <v>2.7132478800000004</v>
      </c>
      <c r="BK81" s="67">
        <v>2.0949403599999998</v>
      </c>
      <c r="BL81" s="67"/>
      <c r="BM81" s="67"/>
      <c r="BN81" s="62">
        <f t="shared" si="133"/>
        <v>2.0949403599999998</v>
      </c>
      <c r="BO81" s="71">
        <v>2.0196936999999999</v>
      </c>
      <c r="BP81" s="67">
        <v>1.2209193199999999</v>
      </c>
      <c r="BQ81" s="67">
        <v>4.16838</v>
      </c>
      <c r="BR81" s="62">
        <f t="shared" si="134"/>
        <v>7.4089930199999996</v>
      </c>
      <c r="BS81" s="62">
        <f t="shared" si="135"/>
        <v>13.644802970000001</v>
      </c>
      <c r="BT81" s="130"/>
      <c r="BU81" s="130"/>
      <c r="BV81" s="130"/>
      <c r="BW81" s="131"/>
      <c r="BX81" s="130"/>
      <c r="BY81" s="130"/>
      <c r="BZ81" s="130"/>
      <c r="CA81" s="131"/>
      <c r="CB81" s="130"/>
      <c r="CC81" s="130"/>
      <c r="CD81" s="130"/>
      <c r="CE81" s="131"/>
      <c r="CF81" s="130"/>
      <c r="CG81" s="130"/>
      <c r="CH81" s="130"/>
      <c r="CI81" s="130">
        <f>SUM(CF81:CH81)</f>
        <v>0</v>
      </c>
      <c r="CJ81" s="132"/>
      <c r="CK81" s="132"/>
      <c r="CL81" s="130"/>
      <c r="CM81" s="130"/>
      <c r="CN81" s="131">
        <f>SUM(CK81:CM81)</f>
        <v>0</v>
      </c>
      <c r="CO81" s="130"/>
      <c r="CP81" s="130"/>
      <c r="CQ81" s="130"/>
      <c r="CR81" s="131"/>
      <c r="CS81" s="130"/>
      <c r="CT81" s="130"/>
      <c r="CU81" s="130"/>
      <c r="CV81" s="131"/>
      <c r="CW81" s="130"/>
      <c r="CX81" s="130"/>
      <c r="CY81" s="133"/>
      <c r="CZ81" s="134"/>
      <c r="DA81" s="135"/>
      <c r="DB81" s="132"/>
      <c r="DC81" s="130"/>
      <c r="DD81" s="130"/>
      <c r="DE81" s="131"/>
      <c r="DF81" s="132"/>
      <c r="DG81" s="130"/>
      <c r="DH81" s="130"/>
      <c r="DI81" s="131"/>
      <c r="DJ81" s="132"/>
      <c r="DK81" s="130"/>
      <c r="DL81" s="130"/>
      <c r="DM81" s="131"/>
      <c r="DN81" s="130"/>
      <c r="DO81" s="130"/>
      <c r="DP81" s="130"/>
      <c r="DQ81" s="136"/>
      <c r="DR81" s="145"/>
      <c r="DS81" s="146"/>
      <c r="DT81" s="146"/>
      <c r="DU81" s="146"/>
      <c r="DV81" s="145"/>
      <c r="DW81" s="147"/>
      <c r="DX81" s="146"/>
      <c r="DY81" s="146"/>
      <c r="DZ81" s="145"/>
      <c r="EA81" s="147"/>
      <c r="EB81" s="146"/>
      <c r="EC81" s="146"/>
      <c r="ED81" s="145"/>
      <c r="EE81" s="146"/>
      <c r="EF81" s="146"/>
      <c r="EG81" s="146"/>
      <c r="EH81" s="145"/>
      <c r="EI81" s="145"/>
      <c r="EJ81" s="146"/>
      <c r="EK81" s="146"/>
      <c r="EL81" s="146"/>
      <c r="EM81" s="145"/>
      <c r="EN81" s="146"/>
      <c r="EO81" s="146"/>
      <c r="EP81" s="146"/>
      <c r="EQ81" s="145"/>
      <c r="ER81" s="146"/>
      <c r="ES81" s="146"/>
      <c r="ET81" s="146"/>
      <c r="EU81" s="145"/>
      <c r="EV81" s="146"/>
      <c r="EW81" s="146"/>
      <c r="EX81" s="146"/>
      <c r="EY81" s="145"/>
      <c r="EZ81" s="179"/>
      <c r="FA81" s="180"/>
      <c r="FB81" s="179"/>
      <c r="FC81" s="179"/>
      <c r="FD81" s="179"/>
      <c r="FE81" s="181"/>
      <c r="FF81" s="179"/>
      <c r="FG81" s="179"/>
      <c r="FH81" s="179"/>
      <c r="FI81" s="181"/>
      <c r="FJ81" s="179"/>
      <c r="FK81" s="179"/>
      <c r="FL81" s="179"/>
      <c r="FM81" s="181"/>
      <c r="FN81" s="182"/>
      <c r="FO81" s="183"/>
      <c r="FP81" s="184"/>
      <c r="FQ81" s="185"/>
      <c r="FR81" s="185"/>
      <c r="FS81" s="182"/>
      <c r="FT81" s="183"/>
      <c r="FU81" s="184"/>
      <c r="FV81" s="185"/>
      <c r="FW81" s="182"/>
      <c r="FX81" s="183"/>
      <c r="FY81" s="184"/>
      <c r="FZ81" s="185"/>
      <c r="GA81" s="182"/>
      <c r="GB81" s="183"/>
      <c r="GC81" s="184"/>
      <c r="GD81" s="185"/>
      <c r="GE81" s="182"/>
      <c r="GF81" s="183"/>
      <c r="GG81" s="161"/>
      <c r="GH81" s="184"/>
      <c r="GI81" s="184"/>
      <c r="GJ81" s="228"/>
      <c r="GK81" s="229"/>
      <c r="GL81" s="230"/>
      <c r="GM81" s="185"/>
      <c r="GN81" s="228"/>
      <c r="GO81" s="229"/>
      <c r="GP81" s="230"/>
      <c r="GQ81" s="185"/>
      <c r="GR81" s="228"/>
      <c r="GS81" s="229"/>
      <c r="GT81" s="230"/>
      <c r="GU81" s="185"/>
      <c r="GV81" s="228"/>
      <c r="GW81" s="229"/>
      <c r="GX81" s="230"/>
      <c r="GY81" s="184"/>
      <c r="GZ81" s="161"/>
      <c r="HA81" s="283"/>
      <c r="HB81" s="284"/>
      <c r="HC81" s="161"/>
      <c r="HD81" s="285"/>
      <c r="HE81" s="283"/>
      <c r="HF81" s="284"/>
      <c r="HG81" s="161"/>
      <c r="HH81" s="285"/>
      <c r="HI81" s="283"/>
      <c r="HJ81" s="284"/>
      <c r="HK81" s="161"/>
      <c r="HL81" s="285"/>
      <c r="HM81" s="283"/>
      <c r="HN81" s="284"/>
      <c r="HO81" s="161"/>
      <c r="HP81" s="285"/>
      <c r="HQ81" s="285"/>
      <c r="HR81" s="283"/>
      <c r="HS81" s="284"/>
      <c r="HT81" s="161"/>
      <c r="HU81" s="285"/>
      <c r="HV81" s="283"/>
      <c r="HW81" s="284"/>
      <c r="HX81" s="161"/>
      <c r="HY81" s="285"/>
      <c r="HZ81" s="283"/>
      <c r="IA81" s="284"/>
      <c r="IB81" s="161"/>
      <c r="IC81" s="285"/>
      <c r="ID81" s="283"/>
      <c r="IE81" s="284"/>
      <c r="IF81" s="161"/>
      <c r="IG81" s="285"/>
      <c r="IH81" s="285"/>
      <c r="II81" s="256"/>
      <c r="IJ81" s="284"/>
      <c r="IK81" s="161"/>
      <c r="IL81" s="285"/>
      <c r="IM81" s="283"/>
      <c r="IN81" s="284"/>
      <c r="IO81" s="284">
        <v>29.505086270000003</v>
      </c>
      <c r="IP81" s="285"/>
      <c r="IQ81" s="283"/>
      <c r="IR81" s="284"/>
      <c r="IS81" s="161"/>
      <c r="IT81" s="285"/>
      <c r="IU81" s="283"/>
      <c r="IV81" s="284"/>
      <c r="IW81" s="161"/>
      <c r="IX81" s="285"/>
      <c r="IY81" s="285"/>
      <c r="IZ81" s="283"/>
      <c r="JA81" s="284"/>
      <c r="JB81" s="161"/>
      <c r="JC81" s="285"/>
      <c r="JD81" s="283"/>
      <c r="JE81" s="284"/>
      <c r="JF81" s="161"/>
      <c r="JG81" s="285"/>
      <c r="JH81" s="283"/>
      <c r="JI81" s="284"/>
      <c r="JJ81" s="161"/>
      <c r="JK81" s="285"/>
      <c r="JL81" s="283"/>
      <c r="JM81" s="284"/>
      <c r="JN81" s="161"/>
      <c r="JO81" s="285"/>
      <c r="JP81" s="285"/>
      <c r="JQ81" s="283"/>
      <c r="JR81" s="284"/>
      <c r="JS81" s="161"/>
      <c r="JT81" s="285"/>
      <c r="JU81" s="283"/>
      <c r="JV81" s="284"/>
      <c r="JW81" s="161"/>
      <c r="JX81" s="285"/>
      <c r="JY81" s="283"/>
      <c r="JZ81" s="284"/>
      <c r="KA81" s="161"/>
      <c r="KB81" s="285"/>
      <c r="KC81" s="283"/>
      <c r="KD81" s="284"/>
      <c r="KE81" s="161"/>
      <c r="KF81" s="285"/>
      <c r="KG81" s="285"/>
      <c r="KH81" s="228"/>
      <c r="KI81" s="229"/>
      <c r="KJ81" s="230"/>
      <c r="KK81" s="285"/>
      <c r="KL81" s="228"/>
      <c r="KM81" s="229"/>
      <c r="KN81" s="230"/>
      <c r="KO81" s="285"/>
      <c r="KP81" s="228"/>
      <c r="KQ81" s="229"/>
      <c r="KR81" s="230"/>
      <c r="KS81" s="285"/>
      <c r="KT81" s="283"/>
      <c r="KU81" s="284"/>
      <c r="KV81" s="161"/>
      <c r="KW81" s="285"/>
      <c r="KX81" s="285"/>
      <c r="KY81" s="228">
        <v>0</v>
      </c>
      <c r="KZ81" s="229">
        <v>0</v>
      </c>
      <c r="LA81" s="230">
        <v>0</v>
      </c>
      <c r="LB81" s="285"/>
      <c r="LC81" s="228">
        <v>0</v>
      </c>
      <c r="LD81" s="229">
        <v>0</v>
      </c>
      <c r="LE81" s="230">
        <v>0</v>
      </c>
      <c r="LF81" s="285"/>
      <c r="LG81" s="228">
        <v>0</v>
      </c>
      <c r="LH81" s="229">
        <v>0</v>
      </c>
      <c r="LI81" s="230">
        <v>0</v>
      </c>
      <c r="LJ81" s="285"/>
      <c r="LK81" s="283"/>
      <c r="LL81" s="284"/>
      <c r="LM81" s="161"/>
      <c r="LN81" s="285"/>
      <c r="LO81" s="285"/>
    </row>
    <row r="82" spans="1:327" ht="17.100000000000001" customHeight="1" collapsed="1" x14ac:dyDescent="0.2">
      <c r="A82" s="400" t="s">
        <v>98</v>
      </c>
      <c r="B82" s="40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6"/>
      <c r="U82" s="5"/>
      <c r="V82" s="5"/>
      <c r="W82" s="5"/>
      <c r="X82" s="4"/>
      <c r="Y82" s="5"/>
      <c r="Z82" s="5"/>
      <c r="AA82" s="9"/>
      <c r="AB82" s="5"/>
      <c r="AC82" s="5"/>
      <c r="AD82" s="5"/>
      <c r="AE82" s="5"/>
      <c r="AF82" s="5"/>
      <c r="AG82" s="5"/>
      <c r="AH82" s="5"/>
      <c r="AI82" s="5"/>
      <c r="AJ82" s="5"/>
      <c r="AK82" s="16"/>
      <c r="AL82" s="5"/>
      <c r="AM82" s="5"/>
      <c r="AN82" s="5"/>
      <c r="AO82" s="5"/>
      <c r="AP82" s="5"/>
      <c r="AQ82" s="5"/>
      <c r="AR82" s="5"/>
      <c r="AS82" s="54"/>
      <c r="AT82" s="5"/>
      <c r="AU82" s="5"/>
      <c r="AV82" s="5"/>
      <c r="AW82" s="54"/>
      <c r="AX82" s="5"/>
      <c r="AY82" s="5"/>
      <c r="AZ82" s="5"/>
      <c r="BA82" s="54"/>
      <c r="BB82" s="54"/>
      <c r="BC82" s="5"/>
      <c r="BD82" s="66"/>
      <c r="BE82" s="66"/>
      <c r="BF82" s="62"/>
      <c r="BG82" s="67"/>
      <c r="BH82" s="67"/>
      <c r="BI82" s="67"/>
      <c r="BJ82" s="62"/>
      <c r="BK82" s="67"/>
      <c r="BL82" s="67"/>
      <c r="BM82" s="67"/>
      <c r="BN82" s="62"/>
      <c r="BO82" s="71"/>
      <c r="BP82" s="67"/>
      <c r="BQ82" s="67"/>
      <c r="BR82" s="62"/>
      <c r="BS82" s="62"/>
      <c r="BT82" s="130"/>
      <c r="BU82" s="130"/>
      <c r="BV82" s="130"/>
      <c r="BW82" s="131"/>
      <c r="BX82" s="130"/>
      <c r="BY82" s="130"/>
      <c r="BZ82" s="130"/>
      <c r="CA82" s="131"/>
      <c r="CB82" s="130"/>
      <c r="CC82" s="130"/>
      <c r="CD82" s="130"/>
      <c r="CE82" s="131"/>
      <c r="CF82" s="130"/>
      <c r="CG82" s="130"/>
      <c r="CH82" s="130"/>
      <c r="CI82" s="130"/>
      <c r="CJ82" s="132"/>
      <c r="CK82" s="132"/>
      <c r="CL82" s="130"/>
      <c r="CM82" s="130"/>
      <c r="CN82" s="131"/>
      <c r="CO82" s="130"/>
      <c r="CP82" s="130"/>
      <c r="CQ82" s="130"/>
      <c r="CR82" s="131"/>
      <c r="CS82" s="130"/>
      <c r="CT82" s="130"/>
      <c r="CU82" s="130"/>
      <c r="CV82" s="131"/>
      <c r="CW82" s="130"/>
      <c r="CX82" s="130"/>
      <c r="CY82" s="133"/>
      <c r="CZ82" s="134"/>
      <c r="DA82" s="135"/>
      <c r="DB82" s="132"/>
      <c r="DC82" s="130"/>
      <c r="DD82" s="130"/>
      <c r="DE82" s="131"/>
      <c r="DF82" s="132"/>
      <c r="DG82" s="130"/>
      <c r="DH82" s="130"/>
      <c r="DI82" s="131"/>
      <c r="DJ82" s="132"/>
      <c r="DK82" s="130"/>
      <c r="DL82" s="130"/>
      <c r="DM82" s="131"/>
      <c r="DN82" s="130"/>
      <c r="DO82" s="130"/>
      <c r="DP82" s="130"/>
      <c r="DQ82" s="136"/>
      <c r="DR82" s="145"/>
      <c r="DS82" s="146"/>
      <c r="DT82" s="146"/>
      <c r="DU82" s="146"/>
      <c r="DV82" s="145"/>
      <c r="DW82" s="147"/>
      <c r="DX82" s="146"/>
      <c r="DY82" s="146"/>
      <c r="DZ82" s="145"/>
      <c r="EA82" s="147"/>
      <c r="EB82" s="146"/>
      <c r="EC82" s="146"/>
      <c r="ED82" s="145"/>
      <c r="EE82" s="146"/>
      <c r="EF82" s="146"/>
      <c r="EG82" s="146"/>
      <c r="EH82" s="145"/>
      <c r="EI82" s="145"/>
      <c r="EJ82" s="146"/>
      <c r="EK82" s="146"/>
      <c r="EL82" s="146"/>
      <c r="EM82" s="145"/>
      <c r="EN82" s="146"/>
      <c r="EO82" s="146"/>
      <c r="EP82" s="146"/>
      <c r="EQ82" s="145"/>
      <c r="ER82" s="146"/>
      <c r="ES82" s="146"/>
      <c r="ET82" s="146"/>
      <c r="EU82" s="145"/>
      <c r="EV82" s="146"/>
      <c r="EW82" s="146"/>
      <c r="EX82" s="146"/>
      <c r="EY82" s="145"/>
      <c r="EZ82" s="177"/>
      <c r="FA82" s="186"/>
      <c r="FB82" s="177"/>
      <c r="FC82" s="177"/>
      <c r="FD82" s="177"/>
      <c r="FE82" s="187"/>
      <c r="FF82" s="177"/>
      <c r="FG82" s="177"/>
      <c r="FH82" s="177"/>
      <c r="FI82" s="187"/>
      <c r="FJ82" s="177"/>
      <c r="FK82" s="177"/>
      <c r="FL82" s="177"/>
      <c r="FM82" s="187"/>
      <c r="FN82" s="188"/>
      <c r="FO82" s="189"/>
      <c r="FP82" s="190"/>
      <c r="FQ82" s="191"/>
      <c r="FR82" s="191"/>
      <c r="FS82" s="188"/>
      <c r="FT82" s="189"/>
      <c r="FU82" s="190"/>
      <c r="FV82" s="191"/>
      <c r="FW82" s="188"/>
      <c r="FX82" s="189"/>
      <c r="FY82" s="190"/>
      <c r="FZ82" s="191"/>
      <c r="GA82" s="188"/>
      <c r="GB82" s="189"/>
      <c r="GC82" s="190"/>
      <c r="GD82" s="191"/>
      <c r="GE82" s="188">
        <v>23.667752339</v>
      </c>
      <c r="GF82" s="189">
        <v>28.402849370000002</v>
      </c>
      <c r="GG82" s="214">
        <v>0</v>
      </c>
      <c r="GH82" s="190">
        <f t="shared" si="184"/>
        <v>52.070601709000002</v>
      </c>
      <c r="GI82" s="190">
        <f>FV82+FZ82+GD82+GH82</f>
        <v>52.070601709000002</v>
      </c>
      <c r="GJ82" s="231">
        <v>3.6383122300000004</v>
      </c>
      <c r="GK82" s="232">
        <v>16.887647692999998</v>
      </c>
      <c r="GL82" s="233">
        <v>5.8308188300000001</v>
      </c>
      <c r="GM82" s="175">
        <f t="shared" si="164"/>
        <v>26.356778753</v>
      </c>
      <c r="GN82" s="231">
        <v>2.508609103</v>
      </c>
      <c r="GO82" s="232">
        <v>1.74935727</v>
      </c>
      <c r="GP82" s="233"/>
      <c r="GQ82" s="175">
        <f t="shared" si="165"/>
        <v>4.2579663730000004</v>
      </c>
      <c r="GR82" s="221">
        <v>2.8</v>
      </c>
      <c r="GS82" s="232">
        <v>2.4655169799999999</v>
      </c>
      <c r="GT82" s="233">
        <v>5.0608123104292027</v>
      </c>
      <c r="GU82" s="175">
        <f>SUM(GR82:GT82)</f>
        <v>10.326329290429202</v>
      </c>
      <c r="GV82" s="231">
        <v>16.55096919942611</v>
      </c>
      <c r="GW82" s="232">
        <v>2.6037943802008598</v>
      </c>
      <c r="GX82" s="233"/>
      <c r="GY82" s="190">
        <f>SUM(GV82:GX82)</f>
        <v>19.15476357962697</v>
      </c>
      <c r="GZ82" s="214">
        <v>60.095837996056176</v>
      </c>
      <c r="HA82" s="256"/>
      <c r="HB82" s="282"/>
      <c r="HC82" s="159">
        <v>2.2548122898134899</v>
      </c>
      <c r="HD82" s="273">
        <f>SUM(HA82:HC82)</f>
        <v>2.2548122898134899</v>
      </c>
      <c r="HE82" s="256"/>
      <c r="HF82" s="282"/>
      <c r="HG82" s="214">
        <v>16.999690080000001</v>
      </c>
      <c r="HH82" s="273">
        <f>SUM(HE82:HG82)</f>
        <v>16.999690080000001</v>
      </c>
      <c r="HI82" s="254"/>
      <c r="HJ82" s="282">
        <v>17.83729731</v>
      </c>
      <c r="HK82" s="214">
        <v>20.387607799399998</v>
      </c>
      <c r="HL82" s="273">
        <f>SUM(HI82:HK82)</f>
        <v>38.224905109399998</v>
      </c>
      <c r="HM82" s="256"/>
      <c r="HN82" s="160">
        <v>22.238641699999999</v>
      </c>
      <c r="HO82" s="214">
        <v>21.052730059999998</v>
      </c>
      <c r="HP82" s="273">
        <f>SUM(HM82:HO82)</f>
        <v>43.291371759999997</v>
      </c>
      <c r="HQ82" s="273">
        <f>HD82+HH82+HL82+HP82</f>
        <v>100.77077923921348</v>
      </c>
      <c r="HR82" s="256">
        <v>10.7623844</v>
      </c>
      <c r="HS82" s="282"/>
      <c r="HT82" s="159">
        <v>20.621807860000001</v>
      </c>
      <c r="HU82" s="273">
        <f>SUM(HR82:HT82)</f>
        <v>31.384192259999999</v>
      </c>
      <c r="HV82" s="256"/>
      <c r="HW82" s="282">
        <v>8.9521909700000002</v>
      </c>
      <c r="HX82" s="214">
        <v>8.2667806298421809</v>
      </c>
      <c r="HY82" s="273">
        <f>SUM(HV82:HX82)</f>
        <v>17.218971599842181</v>
      </c>
      <c r="HZ82" s="254">
        <v>7.32190561</v>
      </c>
      <c r="IA82" s="282">
        <v>19.223151169296987</v>
      </c>
      <c r="IB82" s="214"/>
      <c r="IC82" s="273">
        <f>SUM(HZ82:IB82)</f>
        <v>26.545056779296985</v>
      </c>
      <c r="ID82" s="256"/>
      <c r="IE82" s="160">
        <v>10.722924900000001</v>
      </c>
      <c r="IF82" s="214"/>
      <c r="IG82" s="273">
        <f>SUM(ID82:IF82)</f>
        <v>10.722924900000001</v>
      </c>
      <c r="IH82" s="273">
        <v>85.871145539139164</v>
      </c>
      <c r="II82" s="256">
        <v>11.97345353</v>
      </c>
      <c r="IJ82" s="282"/>
      <c r="IK82" s="214">
        <v>19.132116510000003</v>
      </c>
      <c r="IL82" s="273">
        <v>31.105570040000003</v>
      </c>
      <c r="IM82" s="256">
        <v>10.66887704</v>
      </c>
      <c r="IN82" s="282">
        <v>19.33738065</v>
      </c>
      <c r="IO82" s="282">
        <v>9.5098237100000009</v>
      </c>
      <c r="IP82" s="273">
        <v>39.516081399999997</v>
      </c>
      <c r="IQ82" s="256">
        <v>18.490438820000001</v>
      </c>
      <c r="IR82" s="282">
        <v>7.2532238300000005</v>
      </c>
      <c r="IS82" s="214">
        <v>7.9020669999999997</v>
      </c>
      <c r="IT82" s="273">
        <v>33.64572965</v>
      </c>
      <c r="IU82" s="256"/>
      <c r="IV82" s="282"/>
      <c r="IW82" s="214">
        <v>16.568633050000003</v>
      </c>
      <c r="IX82" s="273">
        <v>16.568633050000003</v>
      </c>
      <c r="IY82" s="273">
        <v>120.83601413999999</v>
      </c>
      <c r="IZ82" s="256">
        <v>15.90195569970845</v>
      </c>
      <c r="JA82" s="282"/>
      <c r="JB82" s="214">
        <v>16.61565568</v>
      </c>
      <c r="JC82" s="273">
        <v>32.517611379708448</v>
      </c>
      <c r="JD82" s="256">
        <v>9.4393255400000005</v>
      </c>
      <c r="JE82" s="282">
        <v>15.35032943</v>
      </c>
      <c r="JF82" s="214">
        <v>10.24558163</v>
      </c>
      <c r="JG82" s="273">
        <v>35.035236600000005</v>
      </c>
      <c r="JH82" s="256">
        <v>12.016393820000001</v>
      </c>
      <c r="JI82" s="282">
        <v>11.73767413</v>
      </c>
      <c r="JJ82" s="214">
        <v>2.9235515400000001</v>
      </c>
      <c r="JK82" s="273">
        <v>26.677619489999998</v>
      </c>
      <c r="JL82" s="256">
        <v>12.627479809999999</v>
      </c>
      <c r="JM82" s="282">
        <v>10.68064394</v>
      </c>
      <c r="JN82" s="214">
        <v>26.20814596</v>
      </c>
      <c r="JO82" s="273">
        <v>49.516269710000003</v>
      </c>
      <c r="JP82" s="273">
        <v>143.74673717970845</v>
      </c>
      <c r="JQ82" s="256"/>
      <c r="JR82" s="282">
        <v>10.93388626</v>
      </c>
      <c r="JS82" s="214">
        <v>20.20262001</v>
      </c>
      <c r="JT82" s="273">
        <v>31.136506269999998</v>
      </c>
      <c r="JU82" s="256">
        <v>0</v>
      </c>
      <c r="JV82" s="282">
        <v>58.876336710000004</v>
      </c>
      <c r="JW82" s="214">
        <v>11.163288509999999</v>
      </c>
      <c r="JX82" s="273">
        <v>70.039625220000005</v>
      </c>
      <c r="JY82" s="256">
        <v>20.994769489999999</v>
      </c>
      <c r="JZ82" s="282">
        <v>17.53873355</v>
      </c>
      <c r="KA82" s="214">
        <v>26.484562050000001</v>
      </c>
      <c r="KB82" s="273">
        <v>65.018065089999993</v>
      </c>
      <c r="KC82" s="256">
        <v>19.632641379999999</v>
      </c>
      <c r="KD82" s="160">
        <v>21.187727389999999</v>
      </c>
      <c r="KE82" s="214">
        <v>22.20176623</v>
      </c>
      <c r="KF82" s="273">
        <v>63.022135000000006</v>
      </c>
      <c r="KG82" s="273">
        <v>229.21633157999997</v>
      </c>
      <c r="KH82" s="231"/>
      <c r="KI82" s="232">
        <v>20.022531450000002</v>
      </c>
      <c r="KJ82" s="233">
        <v>44.797868940000008</v>
      </c>
      <c r="KK82" s="273">
        <v>64.820400390000003</v>
      </c>
      <c r="KL82" s="231">
        <v>32.361775520000002</v>
      </c>
      <c r="KM82" s="232">
        <v>25.983856209999999</v>
      </c>
      <c r="KN82" s="233">
        <v>18.93974888</v>
      </c>
      <c r="KO82" s="273">
        <v>77.285380610000004</v>
      </c>
      <c r="KP82" s="231">
        <v>6.3874571900000001</v>
      </c>
      <c r="KQ82" s="232">
        <v>35.561574200000003</v>
      </c>
      <c r="KR82" s="233">
        <v>24.219577989999998</v>
      </c>
      <c r="KS82" s="273">
        <v>66.168609379999992</v>
      </c>
      <c r="KT82" s="256">
        <v>36.620815780000001</v>
      </c>
      <c r="KU82" s="282">
        <v>28.521864120000004</v>
      </c>
      <c r="KV82" s="214">
        <v>48.344558169999999</v>
      </c>
      <c r="KW82" s="273">
        <v>113.48723807</v>
      </c>
      <c r="KX82" s="273">
        <v>321.76162844999999</v>
      </c>
      <c r="KY82" s="231">
        <v>0</v>
      </c>
      <c r="KZ82" s="232">
        <v>0</v>
      </c>
      <c r="LA82" s="233">
        <v>48.05898449</v>
      </c>
      <c r="LB82" s="273">
        <v>48.05898449</v>
      </c>
      <c r="LC82" s="231">
        <v>0.1848166</v>
      </c>
      <c r="LD82" s="232">
        <v>19.254713979999998</v>
      </c>
      <c r="LE82" s="233">
        <v>44.793008700000001</v>
      </c>
      <c r="LF82" s="273">
        <v>64.232539279999997</v>
      </c>
      <c r="LG82" s="231">
        <v>2.2315398499999999</v>
      </c>
      <c r="LH82" s="232">
        <v>19.338364389999999</v>
      </c>
      <c r="LI82" s="233">
        <v>24.258520799999999</v>
      </c>
      <c r="LJ82" s="273">
        <v>45.828425039999999</v>
      </c>
      <c r="LK82" s="256">
        <v>42.262131529999991</v>
      </c>
      <c r="LL82" s="282">
        <v>33.950724259999994</v>
      </c>
      <c r="LM82" s="214">
        <v>27.987383473371199</v>
      </c>
      <c r="LN82" s="273">
        <v>104.20023926337119</v>
      </c>
      <c r="LO82" s="273">
        <v>262.32018807337118</v>
      </c>
    </row>
    <row r="83" spans="1:327" ht="22.5" customHeight="1" x14ac:dyDescent="0.2">
      <c r="A83" s="3" t="s">
        <v>99</v>
      </c>
      <c r="B83" s="2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6">
        <f t="shared" si="7"/>
        <v>0</v>
      </c>
      <c r="U83" s="5"/>
      <c r="V83" s="5"/>
      <c r="W83" s="5"/>
      <c r="X83" s="4"/>
      <c r="Y83" s="5"/>
      <c r="Z83" s="5"/>
      <c r="AA83" s="8"/>
      <c r="AB83" s="5"/>
      <c r="AC83" s="5"/>
      <c r="AD83" s="5"/>
      <c r="AE83" s="5"/>
      <c r="AF83" s="5"/>
      <c r="AG83" s="5"/>
      <c r="AH83" s="5"/>
      <c r="AI83" s="5"/>
      <c r="AJ83" s="5">
        <f t="shared" si="128"/>
        <v>0</v>
      </c>
      <c r="AK83" s="16"/>
      <c r="AL83" s="5"/>
      <c r="AM83" s="5"/>
      <c r="AN83" s="5"/>
      <c r="AO83" s="5">
        <f t="shared" si="201"/>
        <v>0</v>
      </c>
      <c r="AP83" s="5"/>
      <c r="AQ83" s="5"/>
      <c r="AR83" s="5"/>
      <c r="AS83" s="54">
        <f>AO83+AP83+AQ83</f>
        <v>0</v>
      </c>
      <c r="AT83" s="5"/>
      <c r="AU83" s="5"/>
      <c r="AV83" s="5"/>
      <c r="AW83" s="54">
        <f>AS83+AT83+AU83</f>
        <v>0</v>
      </c>
      <c r="AX83" s="5"/>
      <c r="AY83" s="5"/>
      <c r="AZ83" s="5"/>
      <c r="BA83" s="56">
        <f t="shared" si="14"/>
        <v>0</v>
      </c>
      <c r="BB83" s="56">
        <f t="shared" si="131"/>
        <v>0</v>
      </c>
      <c r="BC83" s="13"/>
      <c r="BD83" s="50"/>
      <c r="BE83" s="50"/>
      <c r="BF83" s="64"/>
      <c r="BG83" s="50"/>
      <c r="BH83" s="50"/>
      <c r="BI83" s="50"/>
      <c r="BJ83" s="64">
        <f t="shared" si="132"/>
        <v>0</v>
      </c>
      <c r="BK83" s="50"/>
      <c r="BL83" s="50"/>
      <c r="BM83" s="50"/>
      <c r="BN83" s="64"/>
      <c r="BO83" s="73"/>
      <c r="BP83" s="50"/>
      <c r="BQ83" s="50"/>
      <c r="BR83" s="64"/>
      <c r="BS83" s="64"/>
      <c r="BT83" s="50"/>
      <c r="BU83" s="50"/>
      <c r="BV83" s="50"/>
      <c r="BW83" s="64"/>
      <c r="BX83" s="50"/>
      <c r="BY83" s="50"/>
      <c r="BZ83" s="50"/>
      <c r="CA83" s="64"/>
      <c r="CB83" s="50"/>
      <c r="CC83" s="50"/>
      <c r="CD83" s="50"/>
      <c r="CE83" s="64"/>
      <c r="CF83" s="100"/>
      <c r="CG83" s="50"/>
      <c r="CH83" s="50"/>
      <c r="CI83" s="50"/>
      <c r="CJ83" s="73">
        <f>BW83+CA83+CE83+CI83</f>
        <v>0</v>
      </c>
      <c r="CK83" s="73"/>
      <c r="CL83" s="50"/>
      <c r="CM83" s="50"/>
      <c r="CN83" s="64"/>
      <c r="CO83" s="50"/>
      <c r="CP83" s="50"/>
      <c r="CQ83" s="50"/>
      <c r="CR83" s="64"/>
      <c r="CS83" s="103"/>
      <c r="CT83" s="50"/>
      <c r="CU83" s="50"/>
      <c r="CV83" s="64"/>
      <c r="CW83" s="50"/>
      <c r="CX83" s="50"/>
      <c r="CY83" s="115"/>
      <c r="CZ83" s="116"/>
      <c r="DA83" s="99">
        <f>CN83+CR83+CV83+CZ83</f>
        <v>0</v>
      </c>
      <c r="DB83" s="73"/>
      <c r="DC83" s="50"/>
      <c r="DD83" s="50"/>
      <c r="DE83" s="64"/>
      <c r="DF83" s="73"/>
      <c r="DG83" s="50"/>
      <c r="DH83" s="50"/>
      <c r="DI83" s="64"/>
      <c r="DJ83" s="73"/>
      <c r="DK83" s="50"/>
      <c r="DL83" s="50"/>
      <c r="DM83" s="64"/>
      <c r="DN83" s="50"/>
      <c r="DO83" s="50"/>
      <c r="DP83" s="50"/>
      <c r="DQ83" s="118"/>
      <c r="DR83" s="148">
        <f>DE83+DI83+DM83+DQ83</f>
        <v>0</v>
      </c>
      <c r="DS83" s="149"/>
      <c r="DT83" s="149"/>
      <c r="DU83" s="149"/>
      <c r="DV83" s="148"/>
      <c r="DW83" s="150"/>
      <c r="DX83" s="149"/>
      <c r="DY83" s="149"/>
      <c r="DZ83" s="148"/>
      <c r="EA83" s="150"/>
      <c r="EB83" s="149"/>
      <c r="EC83" s="149"/>
      <c r="ED83" s="148"/>
      <c r="EE83" s="149"/>
      <c r="EF83" s="149"/>
      <c r="EG83" s="149"/>
      <c r="EH83" s="148"/>
      <c r="EI83" s="148">
        <f>DV83+DZ83+ED83+EH83</f>
        <v>0</v>
      </c>
      <c r="EJ83" s="149"/>
      <c r="EK83" s="149"/>
      <c r="EL83" s="149"/>
      <c r="EM83" s="148"/>
      <c r="EN83" s="149"/>
      <c r="EO83" s="149"/>
      <c r="EP83" s="149"/>
      <c r="EQ83" s="148"/>
      <c r="ER83" s="149"/>
      <c r="ES83" s="149"/>
      <c r="ET83" s="149"/>
      <c r="EU83" s="148"/>
      <c r="EV83" s="149"/>
      <c r="EW83" s="149"/>
      <c r="EX83" s="149"/>
      <c r="EY83" s="148"/>
      <c r="EZ83" s="192"/>
      <c r="FA83" s="193"/>
      <c r="FB83" s="192"/>
      <c r="FC83" s="192"/>
      <c r="FD83" s="192"/>
      <c r="FE83" s="194"/>
      <c r="FF83" s="192"/>
      <c r="FG83" s="192"/>
      <c r="FH83" s="192"/>
      <c r="FI83" s="194"/>
      <c r="FJ83" s="192"/>
      <c r="FK83" s="192"/>
      <c r="FL83" s="192"/>
      <c r="FM83" s="194"/>
      <c r="FN83" s="195"/>
      <c r="FO83" s="196"/>
      <c r="FP83" s="197"/>
      <c r="FQ83" s="198"/>
      <c r="FR83" s="198">
        <f>FE83+FI83+FM83+FQ83</f>
        <v>0</v>
      </c>
      <c r="FS83" s="195"/>
      <c r="FT83" s="196"/>
      <c r="FU83" s="197"/>
      <c r="FV83" s="198"/>
      <c r="FW83" s="195"/>
      <c r="FX83" s="196"/>
      <c r="FY83" s="197"/>
      <c r="FZ83" s="198"/>
      <c r="GA83" s="188"/>
      <c r="GB83" s="189"/>
      <c r="GC83" s="190"/>
      <c r="GD83" s="198"/>
      <c r="GE83" s="195"/>
      <c r="GF83" s="196"/>
      <c r="GG83" s="215"/>
      <c r="GH83" s="197"/>
      <c r="GI83" s="197">
        <f>FV83+FZ83+GD83+GH83</f>
        <v>0</v>
      </c>
      <c r="GJ83" s="234"/>
      <c r="GK83" s="235"/>
      <c r="GL83" s="236"/>
      <c r="GM83" s="198"/>
      <c r="GN83" s="234"/>
      <c r="GO83" s="235"/>
      <c r="GP83" s="236"/>
      <c r="GQ83" s="198"/>
      <c r="GR83" s="221"/>
      <c r="GS83" s="235"/>
      <c r="GT83" s="236"/>
      <c r="GU83" s="198"/>
      <c r="GV83" s="234"/>
      <c r="GW83" s="235"/>
      <c r="GX83" s="236"/>
      <c r="GY83" s="197"/>
      <c r="GZ83" s="215">
        <f>GM83+GQ83+GU83+GY83</f>
        <v>0</v>
      </c>
      <c r="HA83" s="257"/>
      <c r="HB83" s="286"/>
      <c r="HC83" s="215"/>
      <c r="HD83" s="273">
        <f>SUM(HA83:HC83)</f>
        <v>0</v>
      </c>
      <c r="HE83" s="257"/>
      <c r="HF83" s="286"/>
      <c r="HG83" s="215"/>
      <c r="HH83" s="287"/>
      <c r="HI83" s="254"/>
      <c r="HJ83" s="286"/>
      <c r="HK83" s="215"/>
      <c r="HL83" s="287"/>
      <c r="HM83" s="257"/>
      <c r="HN83" s="286"/>
      <c r="HO83" s="215"/>
      <c r="HP83" s="287"/>
      <c r="HQ83" s="273">
        <f>HD83+HH83+HL83+HP83</f>
        <v>0</v>
      </c>
      <c r="HR83" s="257"/>
      <c r="HS83" s="286"/>
      <c r="HT83" s="215"/>
      <c r="HU83" s="273">
        <f>SUM(HR83:HT83)</f>
        <v>0</v>
      </c>
      <c r="HV83" s="257"/>
      <c r="HW83" s="286"/>
      <c r="HX83" s="215"/>
      <c r="HY83" s="287"/>
      <c r="HZ83" s="254"/>
      <c r="IA83" s="286"/>
      <c r="IB83" s="215"/>
      <c r="IC83" s="287"/>
      <c r="ID83" s="257"/>
      <c r="IE83" s="286"/>
      <c r="IF83" s="215"/>
      <c r="IG83" s="287"/>
      <c r="IH83" s="273">
        <v>0</v>
      </c>
      <c r="II83" s="257"/>
      <c r="IJ83" s="286"/>
      <c r="IK83" s="215"/>
      <c r="IL83" s="273">
        <v>0</v>
      </c>
      <c r="IM83" s="257"/>
      <c r="IN83" s="286"/>
      <c r="IO83" s="286">
        <v>0</v>
      </c>
      <c r="IP83" s="287"/>
      <c r="IQ83" s="257"/>
      <c r="IR83" s="286"/>
      <c r="IS83" s="215"/>
      <c r="IT83" s="287"/>
      <c r="IU83" s="257"/>
      <c r="IV83" s="286"/>
      <c r="IW83" s="215"/>
      <c r="IX83" s="287"/>
      <c r="IY83" s="273">
        <v>0</v>
      </c>
      <c r="IZ83" s="257"/>
      <c r="JA83" s="286"/>
      <c r="JB83" s="215"/>
      <c r="JC83" s="273">
        <v>0</v>
      </c>
      <c r="JD83" s="257"/>
      <c r="JE83" s="286"/>
      <c r="JF83" s="215"/>
      <c r="JG83" s="287"/>
      <c r="JH83" s="257"/>
      <c r="JI83" s="286"/>
      <c r="JJ83" s="215"/>
      <c r="JK83" s="287"/>
      <c r="JL83" s="257"/>
      <c r="JM83" s="286"/>
      <c r="JN83" s="215"/>
      <c r="JO83" s="287"/>
      <c r="JP83" s="273">
        <v>0</v>
      </c>
      <c r="JQ83" s="257"/>
      <c r="JR83" s="286"/>
      <c r="JS83" s="215"/>
      <c r="JT83" s="273"/>
      <c r="JU83" s="257"/>
      <c r="JV83" s="286"/>
      <c r="JW83" s="215"/>
      <c r="JX83" s="287"/>
      <c r="JY83" s="257"/>
      <c r="JZ83" s="286"/>
      <c r="KA83" s="215"/>
      <c r="KB83" s="287"/>
      <c r="KC83" s="257"/>
      <c r="KD83" s="286"/>
      <c r="KE83" s="215"/>
      <c r="KF83" s="287"/>
      <c r="KG83" s="273"/>
      <c r="KH83" s="234"/>
      <c r="KI83" s="235"/>
      <c r="KJ83" s="236"/>
      <c r="KK83" s="273"/>
      <c r="KL83" s="234"/>
      <c r="KM83" s="235"/>
      <c r="KN83" s="236"/>
      <c r="KO83" s="287"/>
      <c r="KP83" s="234"/>
      <c r="KQ83" s="235"/>
      <c r="KR83" s="236"/>
      <c r="KS83" s="287"/>
      <c r="KT83" s="257"/>
      <c r="KU83" s="286"/>
      <c r="KV83" s="215"/>
      <c r="KW83" s="287"/>
      <c r="KX83" s="273"/>
      <c r="KY83" s="234">
        <v>0</v>
      </c>
      <c r="KZ83" s="235">
        <v>0</v>
      </c>
      <c r="LA83" s="236">
        <v>0</v>
      </c>
      <c r="LB83" s="273"/>
      <c r="LC83" s="234">
        <v>0</v>
      </c>
      <c r="LD83" s="235">
        <v>0</v>
      </c>
      <c r="LE83" s="236">
        <v>0</v>
      </c>
      <c r="LF83" s="287"/>
      <c r="LG83" s="234">
        <v>0</v>
      </c>
      <c r="LH83" s="235">
        <v>0</v>
      </c>
      <c r="LI83" s="236">
        <v>0</v>
      </c>
      <c r="LJ83" s="287"/>
      <c r="LK83" s="257"/>
      <c r="LL83" s="286"/>
      <c r="LM83" s="215"/>
      <c r="LN83" s="287"/>
      <c r="LO83" s="273"/>
    </row>
    <row r="84" spans="1:327" ht="6" customHeight="1" x14ac:dyDescent="0.2">
      <c r="A84" s="1"/>
      <c r="B84" s="2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7"/>
      <c r="U84" s="11"/>
      <c r="V84" s="11"/>
      <c r="W84" s="11"/>
      <c r="X84" s="10"/>
      <c r="Y84" s="11"/>
      <c r="Z84" s="11"/>
      <c r="AA84" s="12"/>
      <c r="AB84" s="11"/>
      <c r="AC84" s="11"/>
      <c r="AD84" s="11"/>
      <c r="AE84" s="11"/>
      <c r="AF84" s="11"/>
      <c r="AG84" s="11"/>
      <c r="AH84" s="11"/>
      <c r="AI84" s="11"/>
      <c r="AJ84" s="11">
        <f t="shared" si="128"/>
        <v>0</v>
      </c>
      <c r="AK84" s="17"/>
      <c r="AL84" s="11"/>
      <c r="AM84" s="11"/>
      <c r="AN84" s="11"/>
      <c r="AO84" s="11">
        <f t="shared" si="201"/>
        <v>0</v>
      </c>
      <c r="AP84" s="11"/>
      <c r="AQ84" s="11"/>
      <c r="AR84" s="11"/>
      <c r="AS84" s="59">
        <f>AO84+AP84+AQ84</f>
        <v>0</v>
      </c>
      <c r="AT84" s="11"/>
      <c r="AU84" s="11"/>
      <c r="AV84" s="11"/>
      <c r="AW84" s="59">
        <f>AS84+AT84+AU84</f>
        <v>0</v>
      </c>
      <c r="AX84" s="11"/>
      <c r="AY84" s="11"/>
      <c r="AZ84" s="11"/>
      <c r="BA84" s="53">
        <f t="shared" si="14"/>
        <v>0</v>
      </c>
      <c r="BB84" s="53">
        <f t="shared" si="131"/>
        <v>0</v>
      </c>
      <c r="BC84" s="41"/>
      <c r="BD84" s="66"/>
      <c r="BE84" s="66"/>
      <c r="BF84" s="61"/>
      <c r="BG84" s="66"/>
      <c r="BH84" s="66"/>
      <c r="BI84" s="66"/>
      <c r="BJ84" s="61">
        <f t="shared" si="132"/>
        <v>0</v>
      </c>
      <c r="BK84" s="66"/>
      <c r="BL84" s="66"/>
      <c r="BM84" s="66"/>
      <c r="BN84" s="61"/>
      <c r="BO84" s="70"/>
      <c r="BP84" s="66"/>
      <c r="BQ84" s="66"/>
      <c r="BR84" s="61"/>
      <c r="BS84" s="61"/>
      <c r="BT84" s="66"/>
      <c r="BU84" s="66"/>
      <c r="BV84" s="66"/>
      <c r="BW84" s="61"/>
      <c r="BX84" s="66"/>
      <c r="BY84" s="66"/>
      <c r="BZ84" s="66"/>
      <c r="CA84" s="61"/>
      <c r="CB84" s="66"/>
      <c r="CC84" s="66"/>
      <c r="CD84" s="66"/>
      <c r="CE84" s="61"/>
      <c r="CF84" s="67"/>
      <c r="CG84" s="66"/>
      <c r="CH84" s="66"/>
      <c r="CI84" s="66"/>
      <c r="CJ84" s="70">
        <f>BW84+CA84+CE84+CI84</f>
        <v>0</v>
      </c>
      <c r="CK84" s="70"/>
      <c r="CL84" s="66"/>
      <c r="CM84" s="66"/>
      <c r="CN84" s="61"/>
      <c r="CO84" s="66"/>
      <c r="CP84" s="66"/>
      <c r="CQ84" s="66"/>
      <c r="CR84" s="61"/>
      <c r="CS84" s="104"/>
      <c r="CT84" s="66"/>
      <c r="CU84" s="66"/>
      <c r="CV84" s="61"/>
      <c r="CW84" s="66"/>
      <c r="CX84" s="66"/>
      <c r="CY84" s="112"/>
      <c r="CZ84" s="114"/>
      <c r="DA84" s="76">
        <f>CN84+CR84+CV84+CZ84</f>
        <v>0</v>
      </c>
      <c r="DB84" s="70"/>
      <c r="DC84" s="66"/>
      <c r="DD84" s="66"/>
      <c r="DE84" s="61"/>
      <c r="DF84" s="70"/>
      <c r="DG84" s="66"/>
      <c r="DH84" s="66"/>
      <c r="DI84" s="61"/>
      <c r="DJ84" s="70"/>
      <c r="DK84" s="66"/>
      <c r="DL84" s="66"/>
      <c r="DM84" s="61"/>
      <c r="DN84" s="66"/>
      <c r="DO84" s="66"/>
      <c r="DP84" s="66"/>
      <c r="DQ84" s="113"/>
      <c r="DR84" s="140">
        <f>DE84+DI84+DM84+DQ84</f>
        <v>0</v>
      </c>
      <c r="DS84" s="141"/>
      <c r="DT84" s="141"/>
      <c r="DU84" s="141"/>
      <c r="DV84" s="151"/>
      <c r="DW84" s="141"/>
      <c r="DX84" s="141"/>
      <c r="DY84" s="141"/>
      <c r="DZ84" s="151"/>
      <c r="EA84" s="142"/>
      <c r="EB84" s="141"/>
      <c r="EC84" s="141"/>
      <c r="ED84" s="151"/>
      <c r="EE84" s="141"/>
      <c r="EF84" s="141"/>
      <c r="EG84" s="141"/>
      <c r="EH84" s="151"/>
      <c r="EI84" s="151">
        <f>DV84+DZ84+ED84+EH84</f>
        <v>0</v>
      </c>
      <c r="EJ84" s="141"/>
      <c r="EK84" s="141"/>
      <c r="EL84" s="141"/>
      <c r="EM84" s="151"/>
      <c r="EN84" s="141"/>
      <c r="EO84" s="141"/>
      <c r="EP84" s="141"/>
      <c r="EQ84" s="151"/>
      <c r="ER84" s="141"/>
      <c r="ES84" s="141"/>
      <c r="ET84" s="141"/>
      <c r="EU84" s="151"/>
      <c r="EV84" s="141"/>
      <c r="EW84" s="141"/>
      <c r="EX84" s="141"/>
      <c r="EY84" s="151"/>
      <c r="EZ84" s="169"/>
      <c r="FA84" s="170"/>
      <c r="FB84" s="169"/>
      <c r="FC84" s="169"/>
      <c r="FD84" s="169"/>
      <c r="FE84" s="199"/>
      <c r="FF84" s="200"/>
      <c r="FG84" s="201"/>
      <c r="FH84" s="202"/>
      <c r="FI84" s="199"/>
      <c r="FJ84" s="200"/>
      <c r="FK84" s="201"/>
      <c r="FL84" s="202"/>
      <c r="FM84" s="199"/>
      <c r="FN84" s="203"/>
      <c r="FO84" s="204"/>
      <c r="FP84" s="205"/>
      <c r="FQ84" s="206"/>
      <c r="FR84" s="206">
        <f>FE84+FI84+FM84+FQ84</f>
        <v>0</v>
      </c>
      <c r="FS84" s="203"/>
      <c r="FT84" s="204"/>
      <c r="FU84" s="205"/>
      <c r="FV84" s="206"/>
      <c r="FW84" s="203"/>
      <c r="FX84" s="204"/>
      <c r="FY84" s="205"/>
      <c r="FZ84" s="206"/>
      <c r="GA84" s="203"/>
      <c r="GB84" s="204"/>
      <c r="GC84" s="205"/>
      <c r="GD84" s="206"/>
      <c r="GE84" s="203"/>
      <c r="GF84" s="204"/>
      <c r="GG84" s="216"/>
      <c r="GH84" s="205"/>
      <c r="GI84" s="205">
        <f>FV84+FZ84+GD84+GH84</f>
        <v>0</v>
      </c>
      <c r="GJ84" s="237"/>
      <c r="GK84" s="238"/>
      <c r="GL84" s="239"/>
      <c r="GM84" s="206"/>
      <c r="GN84" s="237"/>
      <c r="GO84" s="238"/>
      <c r="GP84" s="239"/>
      <c r="GQ84" s="206"/>
      <c r="GR84" s="237"/>
      <c r="GS84" s="238"/>
      <c r="GT84" s="239"/>
      <c r="GU84" s="206"/>
      <c r="GV84" s="237"/>
      <c r="GW84" s="238"/>
      <c r="GX84" s="239"/>
      <c r="GY84" s="205"/>
      <c r="GZ84" s="216">
        <f>GM84+GQ84+GU84+GY84</f>
        <v>0</v>
      </c>
      <c r="HA84" s="288"/>
      <c r="HB84" s="289"/>
      <c r="HC84" s="216"/>
      <c r="HD84" s="290"/>
      <c r="HE84" s="288"/>
      <c r="HF84" s="289"/>
      <c r="HG84" s="216"/>
      <c r="HH84" s="290"/>
      <c r="HI84" s="288"/>
      <c r="HJ84" s="289"/>
      <c r="HK84" s="216"/>
      <c r="HL84" s="290"/>
      <c r="HM84" s="288"/>
      <c r="HN84" s="289"/>
      <c r="HO84" s="216"/>
      <c r="HP84" s="290"/>
      <c r="HQ84" s="290">
        <f>HD84+HH84+HL84+HP84</f>
        <v>0</v>
      </c>
      <c r="HR84" s="288"/>
      <c r="HS84" s="289"/>
      <c r="HT84" s="216"/>
      <c r="HU84" s="290"/>
      <c r="HV84" s="288"/>
      <c r="HW84" s="289"/>
      <c r="HX84" s="216"/>
      <c r="HY84" s="290"/>
      <c r="HZ84" s="288"/>
      <c r="IA84" s="289"/>
      <c r="IB84" s="216"/>
      <c r="IC84" s="290"/>
      <c r="ID84" s="288"/>
      <c r="IE84" s="289"/>
      <c r="IF84" s="216"/>
      <c r="IG84" s="290"/>
      <c r="IH84" s="290">
        <v>0</v>
      </c>
      <c r="II84" s="288"/>
      <c r="IJ84" s="289"/>
      <c r="IK84" s="216"/>
      <c r="IL84" s="290"/>
      <c r="IM84" s="288"/>
      <c r="IN84" s="289"/>
      <c r="IO84" s="289">
        <v>0</v>
      </c>
      <c r="IP84" s="290"/>
      <c r="IQ84" s="288"/>
      <c r="IR84" s="289"/>
      <c r="IS84" s="216"/>
      <c r="IT84" s="290"/>
      <c r="IU84" s="288"/>
      <c r="IV84" s="289"/>
      <c r="IW84" s="216"/>
      <c r="IX84" s="290"/>
      <c r="IY84" s="290">
        <v>0</v>
      </c>
      <c r="IZ84" s="288"/>
      <c r="JA84" s="289"/>
      <c r="JB84" s="216"/>
      <c r="JC84" s="290"/>
      <c r="JD84" s="288"/>
      <c r="JE84" s="289"/>
      <c r="JF84" s="216"/>
      <c r="JG84" s="290"/>
      <c r="JH84" s="288"/>
      <c r="JI84" s="289"/>
      <c r="JJ84" s="216"/>
      <c r="JK84" s="290"/>
      <c r="JL84" s="288"/>
      <c r="JM84" s="289"/>
      <c r="JN84" s="216"/>
      <c r="JO84" s="290"/>
      <c r="JP84" s="290">
        <v>0</v>
      </c>
      <c r="JQ84" s="288"/>
      <c r="JR84" s="289"/>
      <c r="JS84" s="216"/>
      <c r="JT84" s="290"/>
      <c r="JU84" s="289"/>
      <c r="JV84" s="289"/>
      <c r="JW84" s="216"/>
      <c r="JX84" s="290"/>
      <c r="JY84" s="288"/>
      <c r="JZ84" s="289"/>
      <c r="KA84" s="216"/>
      <c r="KB84" s="290"/>
      <c r="KC84" s="288"/>
      <c r="KD84" s="289"/>
      <c r="KE84" s="216"/>
      <c r="KF84" s="290"/>
      <c r="KG84" s="290"/>
      <c r="KH84" s="237"/>
      <c r="KI84" s="238"/>
      <c r="KJ84" s="239"/>
      <c r="KK84" s="290"/>
      <c r="KL84" s="288"/>
      <c r="KM84" s="289"/>
      <c r="KN84" s="216"/>
      <c r="KO84" s="290"/>
      <c r="KP84" s="288"/>
      <c r="KQ84" s="289"/>
      <c r="KR84" s="216"/>
      <c r="KS84" s="290"/>
      <c r="KT84" s="288"/>
      <c r="KU84" s="289"/>
      <c r="KV84" s="216"/>
      <c r="KW84" s="290"/>
      <c r="KX84" s="290"/>
      <c r="KY84" s="237">
        <v>0</v>
      </c>
      <c r="KZ84" s="238">
        <v>0</v>
      </c>
      <c r="LA84" s="239">
        <v>0</v>
      </c>
      <c r="LB84" s="290"/>
      <c r="LC84" s="288">
        <v>0</v>
      </c>
      <c r="LD84" s="289">
        <v>0</v>
      </c>
      <c r="LE84" s="216">
        <v>0</v>
      </c>
      <c r="LF84" s="290"/>
      <c r="LG84" s="288"/>
      <c r="LH84" s="289"/>
      <c r="LI84" s="216"/>
      <c r="LJ84" s="290"/>
      <c r="LK84" s="288"/>
      <c r="LL84" s="289"/>
      <c r="LM84" s="216"/>
      <c r="LN84" s="290"/>
      <c r="LO84" s="290"/>
    </row>
    <row r="85" spans="1:327" s="44" customFormat="1" ht="17.25" thickBot="1" x14ac:dyDescent="0.3">
      <c r="A85" s="390" t="s">
        <v>52</v>
      </c>
      <c r="B85" s="391"/>
      <c r="C85" s="79">
        <f>316.2</f>
        <v>316.2</v>
      </c>
      <c r="D85" s="79">
        <f t="shared" ref="D85:J85" si="216">D10-D45</f>
        <v>-41.500000000000057</v>
      </c>
      <c r="E85" s="79">
        <f t="shared" si="216"/>
        <v>-32.199999999999989</v>
      </c>
      <c r="F85" s="79">
        <f t="shared" si="216"/>
        <v>-36.699999999999989</v>
      </c>
      <c r="G85" s="79">
        <f t="shared" si="216"/>
        <v>-110.40000000000009</v>
      </c>
      <c r="H85" s="79">
        <f t="shared" si="216"/>
        <v>35.599999999999909</v>
      </c>
      <c r="I85" s="79">
        <f t="shared" si="216"/>
        <v>148.69999999999999</v>
      </c>
      <c r="J85" s="79">
        <f t="shared" si="216"/>
        <v>-8.1999999999999886</v>
      </c>
      <c r="K85" s="79">
        <v>176.4</v>
      </c>
      <c r="L85" s="79">
        <f>L10-L45</f>
        <v>130.39999999999992</v>
      </c>
      <c r="M85" s="79">
        <f>M10-M45</f>
        <v>-18.999999999999943</v>
      </c>
      <c r="N85" s="79">
        <f>N10-N45</f>
        <v>4.1000000000000227</v>
      </c>
      <c r="O85" s="79">
        <f>L85+M85+N85</f>
        <v>115.5</v>
      </c>
      <c r="P85" s="79">
        <f>P10-P45</f>
        <v>-20.200000000000045</v>
      </c>
      <c r="Q85" s="79">
        <f>Q10-Q45</f>
        <v>-41.399999999999977</v>
      </c>
      <c r="R85" s="79">
        <f>R10-R45</f>
        <v>-34.050000000000125</v>
      </c>
      <c r="S85" s="79">
        <f>P85+Q85+R85</f>
        <v>-95.650000000000148</v>
      </c>
      <c r="T85" s="80">
        <f>+S85+O85+K85+G85</f>
        <v>85.849999999999767</v>
      </c>
      <c r="U85" s="79">
        <f t="shared" ref="U85:AA85" si="217">U10-U45</f>
        <v>-67.420000000000073</v>
      </c>
      <c r="V85" s="79">
        <f t="shared" si="217"/>
        <v>-52.939999999999941</v>
      </c>
      <c r="W85" s="79">
        <f t="shared" si="217"/>
        <v>3.1600000000000819</v>
      </c>
      <c r="X85" s="81">
        <f t="shared" si="217"/>
        <v>-117.19999999999982</v>
      </c>
      <c r="Y85" s="79">
        <f t="shared" si="217"/>
        <v>34.109720250000009</v>
      </c>
      <c r="Z85" s="79">
        <f t="shared" si="217"/>
        <v>-152.34</v>
      </c>
      <c r="AA85" s="79">
        <f t="shared" si="217"/>
        <v>-3.4438375600000484</v>
      </c>
      <c r="AB85" s="79">
        <f>Y85+Z85+AA85</f>
        <v>-121.67411731000004</v>
      </c>
      <c r="AC85" s="79">
        <f>AC10-AC45</f>
        <v>5.210000000000008</v>
      </c>
      <c r="AD85" s="79">
        <f>AD10-AD45</f>
        <v>40.52000000000001</v>
      </c>
      <c r="AE85" s="79">
        <f>AE10-AE45</f>
        <v>-68.22</v>
      </c>
      <c r="AF85" s="79">
        <f>AC85+AD85+AE85</f>
        <v>-22.489999999999981</v>
      </c>
      <c r="AG85" s="79">
        <f>AG10-AG45</f>
        <v>-23.259999999999991</v>
      </c>
      <c r="AH85" s="79">
        <f>AH10-AH45</f>
        <v>2.9800000000000182</v>
      </c>
      <c r="AI85" s="79">
        <f>AI10-AI45</f>
        <v>66.080000000000041</v>
      </c>
      <c r="AJ85" s="79">
        <f t="shared" si="128"/>
        <v>45.800000000000068</v>
      </c>
      <c r="AK85" s="82">
        <f>X85+AB85+AF85+AJ85</f>
        <v>-215.5641173099998</v>
      </c>
      <c r="AL85" s="83">
        <f>AL10-AL45</f>
        <v>-32.429999999999978</v>
      </c>
      <c r="AM85" s="83">
        <f>AM10-AM45</f>
        <v>-8.4599999999999795</v>
      </c>
      <c r="AN85" s="83">
        <f>AN10-AN45</f>
        <v>-36.299999999999955</v>
      </c>
      <c r="AO85" s="83">
        <f t="shared" si="201"/>
        <v>-77.189999999999912</v>
      </c>
      <c r="AP85" s="83">
        <f>AP10-AP45</f>
        <v>-37.470714400000062</v>
      </c>
      <c r="AQ85" s="83">
        <f>AQ10-AQ45</f>
        <v>26.259999999999991</v>
      </c>
      <c r="AR85" s="83">
        <f>AR10-AR45</f>
        <v>48.02101399999998</v>
      </c>
      <c r="AS85" s="84">
        <f>+SUM(AP85:AR85)</f>
        <v>36.810299599999908</v>
      </c>
      <c r="AT85" s="83">
        <f>AT10-AT45</f>
        <v>-59.66</v>
      </c>
      <c r="AU85" s="83">
        <f>AU10-AU45</f>
        <v>13.359999999999985</v>
      </c>
      <c r="AV85" s="83">
        <f>AV10-AV45</f>
        <v>61.21999999999997</v>
      </c>
      <c r="AW85" s="84">
        <f>+SUM(AT85:AV85)</f>
        <v>14.919999999999959</v>
      </c>
      <c r="AX85" s="83">
        <f>AX10-AX45</f>
        <v>-65.939999999999969</v>
      </c>
      <c r="AY85" s="83">
        <f>AY10-AY45</f>
        <v>-4.3800000000000097</v>
      </c>
      <c r="AZ85" s="83">
        <f>AZ10-AZ45</f>
        <v>122.59</v>
      </c>
      <c r="BA85" s="84">
        <f t="shared" si="14"/>
        <v>52.270000000000024</v>
      </c>
      <c r="BB85" s="84">
        <f t="shared" si="131"/>
        <v>26.810299599999979</v>
      </c>
      <c r="BC85" s="83">
        <f>BC10-BC45</f>
        <v>-13.44102262100003</v>
      </c>
      <c r="BD85" s="85">
        <f>BD10-BD45</f>
        <v>-12.912854880000026</v>
      </c>
      <c r="BE85" s="85">
        <f>BE10-BE45</f>
        <v>-36.874900499999967</v>
      </c>
      <c r="BF85" s="86">
        <f>SUM(BC85:BE85)</f>
        <v>-63.228778001000023</v>
      </c>
      <c r="BG85" s="85">
        <f>BG10-BG45</f>
        <v>-30.459765379999979</v>
      </c>
      <c r="BH85" s="85">
        <f>BH10-BH45</f>
        <v>22.978903759999966</v>
      </c>
      <c r="BI85" s="85">
        <f>BI10-BI45</f>
        <v>-4.0900100000000066</v>
      </c>
      <c r="BJ85" s="86">
        <f t="shared" si="132"/>
        <v>-11.57087162000002</v>
      </c>
      <c r="BK85" s="85">
        <f>BK10-BK45</f>
        <v>-40.447944499999991</v>
      </c>
      <c r="BL85" s="85">
        <f>BL10-BL45</f>
        <v>-3.2701999999999884</v>
      </c>
      <c r="BM85" s="85">
        <f>BM10-BM45</f>
        <v>-11.997001000000012</v>
      </c>
      <c r="BN85" s="86">
        <f>SUM(BK85:BM85)</f>
        <v>-55.715145499999991</v>
      </c>
      <c r="BO85" s="87">
        <f>BO10-BO45</f>
        <v>5.090291590000021</v>
      </c>
      <c r="BP85" s="85">
        <f>BP10-BP45</f>
        <v>-14.517989999999998</v>
      </c>
      <c r="BQ85" s="85">
        <f>BQ10-BQ45</f>
        <v>93.900489999999991</v>
      </c>
      <c r="BR85" s="86">
        <f>SUM(BO85:BQ85)</f>
        <v>84.472791590000014</v>
      </c>
      <c r="BS85" s="105">
        <f>+BF85+BJ85+BN85+BR85</f>
        <v>-46.042003531000006</v>
      </c>
      <c r="BT85" s="106">
        <f>BT10-BT45</f>
        <v>-118.40000000000008</v>
      </c>
      <c r="BU85" s="106">
        <f>BU10-BU45</f>
        <v>10.899999999999991</v>
      </c>
      <c r="BV85" s="106">
        <f>BV10-BV45</f>
        <v>-19.000000000000057</v>
      </c>
      <c r="BW85" s="105">
        <f>SUM(BT85:BV85)</f>
        <v>-126.50000000000014</v>
      </c>
      <c r="BX85" s="106">
        <f>BX10-BX45</f>
        <v>11.809999999999974</v>
      </c>
      <c r="BY85" s="106">
        <f>BY10-BY45</f>
        <v>7.1400000000000148</v>
      </c>
      <c r="BZ85" s="106">
        <f>BZ10-BZ45</f>
        <v>68.5</v>
      </c>
      <c r="CA85" s="105">
        <f>SUM(BX85:BZ85)</f>
        <v>87.449999999999989</v>
      </c>
      <c r="CB85" s="106">
        <f>CB10-CB45</f>
        <v>10.599999999999994</v>
      </c>
      <c r="CC85" s="106">
        <f>CC10-CC45</f>
        <v>-16.742999999999995</v>
      </c>
      <c r="CD85" s="106">
        <f>CD10-CD45</f>
        <v>-36.409999999999997</v>
      </c>
      <c r="CE85" s="105">
        <f>SUM(CB85:CD85)</f>
        <v>-42.552999999999997</v>
      </c>
      <c r="CF85" s="106">
        <f>CF10-CF45</f>
        <v>-2.7430000000000092</v>
      </c>
      <c r="CG85" s="106">
        <f>CG10-CG45</f>
        <v>77.169999999999987</v>
      </c>
      <c r="CH85" s="106">
        <f>CH10-CH45</f>
        <v>-36.799999999999969</v>
      </c>
      <c r="CI85" s="106">
        <f>SUM(CF85:CH85)</f>
        <v>37.62700000000001</v>
      </c>
      <c r="CJ85" s="107">
        <f>BW85+CA85+CE85+CI85</f>
        <v>-43.976000000000141</v>
      </c>
      <c r="CK85" s="107">
        <f>CK10-CK45</f>
        <v>13.360000000000014</v>
      </c>
      <c r="CL85" s="106">
        <f>CL10-CL45</f>
        <v>-67.419999999999987</v>
      </c>
      <c r="CM85" s="106">
        <f>CM10-CM45</f>
        <v>-74.64</v>
      </c>
      <c r="CN85" s="122">
        <f>SUM(CK85:CM85)</f>
        <v>-128.69999999999999</v>
      </c>
      <c r="CO85" s="121">
        <f>CO10-CO45</f>
        <v>-39.199999999999996</v>
      </c>
      <c r="CP85" s="121">
        <f>CP10-CP45</f>
        <v>29.689999999999984</v>
      </c>
      <c r="CQ85" s="121">
        <f>CQ10-CQ45</f>
        <v>-72.449999999999946</v>
      </c>
      <c r="CR85" s="122">
        <f>SUM(CO85:CQ85)</f>
        <v>-81.959999999999951</v>
      </c>
      <c r="CS85" s="124">
        <f>CS10-CS45</f>
        <v>-72.830000000000041</v>
      </c>
      <c r="CT85" s="121">
        <f>CT10-CT45</f>
        <v>115.19999999999999</v>
      </c>
      <c r="CU85" s="121">
        <f>CU10-CU45</f>
        <v>-26.900000000000006</v>
      </c>
      <c r="CV85" s="122">
        <f>SUM(CS85:CU85)</f>
        <v>15.469999999999942</v>
      </c>
      <c r="CW85" s="106">
        <f>CW10-CW45</f>
        <v>-30.999999999999986</v>
      </c>
      <c r="CX85" s="109">
        <f>CX10-CX45</f>
        <v>-31.300000000000011</v>
      </c>
      <c r="CY85" s="106">
        <f>CY10-CY45</f>
        <v>-46.599999999999994</v>
      </c>
      <c r="CZ85" s="122">
        <f>SUM(CW85:CY85)</f>
        <v>-108.89999999999999</v>
      </c>
      <c r="DA85" s="123">
        <f>CN85+CR85+CV85+CZ85</f>
        <v>-304.08999999999997</v>
      </c>
      <c r="DB85" s="107">
        <f>DB10-DB45</f>
        <v>13.199999999999989</v>
      </c>
      <c r="DC85" s="121">
        <f>DC10-DC45</f>
        <v>-143.70000000000002</v>
      </c>
      <c r="DD85" s="106">
        <f>DD10-DD45</f>
        <v>19.299999999999997</v>
      </c>
      <c r="DE85" s="122">
        <f>SUM(DB85:DD85)</f>
        <v>-111.20000000000003</v>
      </c>
      <c r="DF85" s="107">
        <f>DF10-DF45</f>
        <v>88.3</v>
      </c>
      <c r="DG85" s="121">
        <f>DG10-DG45</f>
        <v>-38.099999999999994</v>
      </c>
      <c r="DH85" s="106">
        <f>DH10-DH45</f>
        <v>132.60000000000002</v>
      </c>
      <c r="DI85" s="105">
        <f>SUM(DF85:DH85)</f>
        <v>182.8</v>
      </c>
      <c r="DJ85" s="107">
        <f>DJ10-DJ45</f>
        <v>8.1999999999999886</v>
      </c>
      <c r="DK85" s="121">
        <f>DK10-DK45</f>
        <v>-25.800000000000004</v>
      </c>
      <c r="DL85" s="106">
        <f>DL10-DL45</f>
        <v>31.399999999999991</v>
      </c>
      <c r="DM85" s="86">
        <f>SUM(DJ85:DL85)</f>
        <v>13.799999999999976</v>
      </c>
      <c r="DN85" s="106">
        <f>DN10-DN45</f>
        <v>121.09999999999997</v>
      </c>
      <c r="DO85" s="121">
        <f>DO10-DO45</f>
        <v>-129.59999999999997</v>
      </c>
      <c r="DP85" s="106">
        <f>DP10-DP45</f>
        <v>65.200000000000017</v>
      </c>
      <c r="DQ85" s="107">
        <f>SUM(DN85:DP85)</f>
        <v>56.700000000000017</v>
      </c>
      <c r="DR85" s="152">
        <f>DE85+DI85+DM85+DQ85</f>
        <v>142.09999999999997</v>
      </c>
      <c r="DS85" s="153">
        <f>DS10-DS45</f>
        <v>-72.5</v>
      </c>
      <c r="DT85" s="153">
        <f>DT10-DT45</f>
        <v>-20.299999999999969</v>
      </c>
      <c r="DU85" s="153">
        <f>DU10-DU45</f>
        <v>-3.4000000000000057</v>
      </c>
      <c r="DV85" s="152">
        <f>SUM(DS85:DU85)</f>
        <v>-96.199999999999974</v>
      </c>
      <c r="DW85" s="153">
        <f>DW10-DW45</f>
        <v>-76.3</v>
      </c>
      <c r="DX85" s="153">
        <f>DX10-DX45</f>
        <v>19.799999999999997</v>
      </c>
      <c r="DY85" s="153">
        <f>DY10-DY45</f>
        <v>-4.6000000000000227</v>
      </c>
      <c r="DZ85" s="152">
        <f>SUM(DW85:DY85)</f>
        <v>-61.100000000000023</v>
      </c>
      <c r="EA85" s="153">
        <f>EA10-EA45</f>
        <v>54.500000000000028</v>
      </c>
      <c r="EB85" s="153">
        <f>EB10-EB45</f>
        <v>22.700000000000017</v>
      </c>
      <c r="EC85" s="153">
        <f>EC10-EC45</f>
        <v>83.200000000000031</v>
      </c>
      <c r="ED85" s="152">
        <f>SUM(EA85:EC85)</f>
        <v>160.40000000000009</v>
      </c>
      <c r="EE85" s="153">
        <f>EE10-EE45</f>
        <v>32.59999999999998</v>
      </c>
      <c r="EF85" s="153">
        <f>EF10-EF45</f>
        <v>46.5</v>
      </c>
      <c r="EG85" s="153">
        <f>EG10-EG45</f>
        <v>71.799999999999983</v>
      </c>
      <c r="EH85" s="152">
        <f>SUM(EE85:EG85)</f>
        <v>150.89999999999998</v>
      </c>
      <c r="EI85" s="152">
        <f>DV85+DZ85+ED85+EH85</f>
        <v>154.00000000000006</v>
      </c>
      <c r="EJ85" s="153">
        <f>EJ10-EJ45</f>
        <v>-102.29999999999998</v>
      </c>
      <c r="EK85" s="153">
        <f>EK10-EK45</f>
        <v>23.900000000000006</v>
      </c>
      <c r="EL85" s="153">
        <f>EL10-EL45</f>
        <v>-9.5</v>
      </c>
      <c r="EM85" s="152">
        <f>SUM(EJ85:EL85)</f>
        <v>-87.899999999999977</v>
      </c>
      <c r="EN85" s="153">
        <f>EN10-EN45</f>
        <v>69.09999999999998</v>
      </c>
      <c r="EO85" s="153">
        <f>EO10-EO45</f>
        <v>-0.90000000000000568</v>
      </c>
      <c r="EP85" s="153">
        <f>EP10-EP45</f>
        <v>38.119999999999976</v>
      </c>
      <c r="EQ85" s="152">
        <f>SUM(EN85:EP85)</f>
        <v>106.31999999999995</v>
      </c>
      <c r="ER85" s="153">
        <f>ER10-ER45</f>
        <v>86.67000000000003</v>
      </c>
      <c r="ES85" s="153">
        <f>ES10-ES45</f>
        <v>87.260000000000019</v>
      </c>
      <c r="ET85" s="153">
        <f>ET10-ET45</f>
        <v>6.3999999999999915</v>
      </c>
      <c r="EU85" s="152">
        <f>SUM(ER85:ET85)</f>
        <v>180.33000000000004</v>
      </c>
      <c r="EV85" s="153">
        <f>EV10-EV45</f>
        <v>115.1</v>
      </c>
      <c r="EW85" s="153">
        <f>EW10-EW45</f>
        <v>104.70000000000002</v>
      </c>
      <c r="EX85" s="153">
        <f>EX10-EX45</f>
        <v>40.792073383699517</v>
      </c>
      <c r="EY85" s="152">
        <f>SUM(EV85:EX85)</f>
        <v>260.59207338369953</v>
      </c>
      <c r="EZ85" s="207">
        <f>EZ10-EZ45</f>
        <v>459.34207338369924</v>
      </c>
      <c r="FA85" s="208"/>
      <c r="FB85" s="207">
        <f>FB10-FB45</f>
        <v>-6.6999999999999602</v>
      </c>
      <c r="FC85" s="207">
        <f>FC10-FC45</f>
        <v>69.000000000000014</v>
      </c>
      <c r="FD85" s="207">
        <f>FD10-FD45</f>
        <v>101.9</v>
      </c>
      <c r="FE85" s="209">
        <f>SUM(FB85:FD85)</f>
        <v>164.20000000000005</v>
      </c>
      <c r="FF85" s="207">
        <f>FF10-FF45</f>
        <v>160.86821810466705</v>
      </c>
      <c r="FG85" s="207">
        <f>FG10-FG45</f>
        <v>162.19137306501568</v>
      </c>
      <c r="FH85" s="207">
        <f>FH10-FH45</f>
        <v>126.48391950396848</v>
      </c>
      <c r="FI85" s="209">
        <f>SUM(FF85:FH85)</f>
        <v>449.54351067365121</v>
      </c>
      <c r="FJ85" s="207">
        <f>FJ10-FJ45</f>
        <v>162.839047526645</v>
      </c>
      <c r="FK85" s="207">
        <f>FK10-FK45</f>
        <v>112.77295609999997</v>
      </c>
      <c r="FL85" s="207">
        <f>FL10-FL45</f>
        <v>130.03964771039529</v>
      </c>
      <c r="FM85" s="209">
        <f>SUM(FJ85:FL85)</f>
        <v>405.65165133704028</v>
      </c>
      <c r="FN85" s="210">
        <f>FN10-FN45</f>
        <v>82.507459249051749</v>
      </c>
      <c r="FO85" s="211">
        <f>FO10-FO45</f>
        <v>71.390288260000034</v>
      </c>
      <c r="FP85" s="212">
        <f>FP10-FP45</f>
        <v>111.20674336999986</v>
      </c>
      <c r="FQ85" s="213">
        <f>SUM(FN85:FP85)</f>
        <v>265.10449087905164</v>
      </c>
      <c r="FR85" s="213">
        <f>FE85+FI85+FM85+FQ85</f>
        <v>1284.4996528897432</v>
      </c>
      <c r="FS85" s="210">
        <f>FS10-FS45</f>
        <v>49.949359690000023</v>
      </c>
      <c r="FT85" s="211">
        <f>FT10-FT45</f>
        <v>117.12785560000027</v>
      </c>
      <c r="FU85" s="212">
        <f>FU10-FU45</f>
        <v>161.38693440000046</v>
      </c>
      <c r="FV85" s="213">
        <f>SUM(FS85:FU85)</f>
        <v>328.4641496900008</v>
      </c>
      <c r="FW85" s="210">
        <f>FW10-FW45</f>
        <v>183.24776923099938</v>
      </c>
      <c r="FX85" s="211">
        <f>FX10-FX45</f>
        <v>133.8103177570664</v>
      </c>
      <c r="FY85" s="212">
        <f>FY10-FY45</f>
        <v>35.626675730000045</v>
      </c>
      <c r="FZ85" s="213">
        <f>SUM(FW85:FY85)</f>
        <v>352.68476271806583</v>
      </c>
      <c r="GA85" s="210">
        <f t="shared" ref="GA85:GC86" si="218">GA10-GA45</f>
        <v>212.15954482900011</v>
      </c>
      <c r="GB85" s="211">
        <f t="shared" si="218"/>
        <v>265.48963776999994</v>
      </c>
      <c r="GC85" s="212">
        <f t="shared" si="218"/>
        <v>297.50875491600004</v>
      </c>
      <c r="GD85" s="213">
        <f>SUM(GA85:GC85)</f>
        <v>775.15793751500007</v>
      </c>
      <c r="GE85" s="210">
        <f>GE10-GE45</f>
        <v>130.89102102100068</v>
      </c>
      <c r="GF85" s="211">
        <f>GF10-GF45</f>
        <v>150.3380973549996</v>
      </c>
      <c r="GG85" s="217">
        <f>GG10-GG45</f>
        <v>198.90404661999997</v>
      </c>
      <c r="GH85" s="212">
        <f>SUM(GE85:GG85)</f>
        <v>480.13316499600029</v>
      </c>
      <c r="GI85" s="212">
        <f>FV85+FZ85+GD85+GH85</f>
        <v>1936.4400149190669</v>
      </c>
      <c r="GJ85" s="240">
        <f>GJ10-GJ45</f>
        <v>220.22077531000033</v>
      </c>
      <c r="GK85" s="241">
        <f>GK10-GK45</f>
        <v>332.69132977941047</v>
      </c>
      <c r="GL85" s="242">
        <f>GL10-GL45</f>
        <v>272.49297979000028</v>
      </c>
      <c r="GM85" s="213">
        <f>SUM(GJ85:GL85)</f>
        <v>825.40508487941111</v>
      </c>
      <c r="GN85" s="240">
        <f>GN10-GN45</f>
        <v>332.58944713208086</v>
      </c>
      <c r="GO85" s="241">
        <f>GO10-GO45</f>
        <v>312.52584626201673</v>
      </c>
      <c r="GP85" s="242">
        <f>GP10-GP45</f>
        <v>244.63912426475548</v>
      </c>
      <c r="GQ85" s="213">
        <f>SUM(GN85:GP85)</f>
        <v>889.75441765885307</v>
      </c>
      <c r="GR85" s="241">
        <f t="shared" ref="GR85:GT86" si="219">GR10-GR45</f>
        <v>339.827894890435</v>
      </c>
      <c r="GS85" s="241">
        <f t="shared" si="219"/>
        <v>317.26933062286469</v>
      </c>
      <c r="GT85" s="242">
        <f t="shared" si="219"/>
        <v>56.440226046848295</v>
      </c>
      <c r="GU85" s="213">
        <f>SUM(GR85:GT85)</f>
        <v>713.53745156014793</v>
      </c>
      <c r="GV85" s="240">
        <f t="shared" ref="GV85:GX86" si="220">GV10-GV45</f>
        <v>-117.78897608546964</v>
      </c>
      <c r="GW85" s="241">
        <f t="shared" si="220"/>
        <v>8.0488726900194365</v>
      </c>
      <c r="GX85" s="242">
        <f t="shared" si="220"/>
        <v>54.882884379649568</v>
      </c>
      <c r="GY85" s="212">
        <f>SUM(GV85:GX85)</f>
        <v>-54.857219015800638</v>
      </c>
      <c r="GZ85" s="217">
        <f>GM85+GQ85+GU85+GY85</f>
        <v>2373.8397350826112</v>
      </c>
      <c r="HA85" s="291">
        <f>HA10-HA45</f>
        <v>30.194654706495669</v>
      </c>
      <c r="HB85" s="292">
        <f>HB10-HB45</f>
        <v>-137.62569802379198</v>
      </c>
      <c r="HC85" s="217">
        <f>HC10-HC45</f>
        <v>107.98887628625249</v>
      </c>
      <c r="HD85" s="293">
        <f>SUM(HA85:HC85)</f>
        <v>0.55783296895617696</v>
      </c>
      <c r="HE85" s="291">
        <f>HE10-HE45</f>
        <v>-7.1144814088944486</v>
      </c>
      <c r="HF85" s="292">
        <f>HF10-HF45</f>
        <v>98.51919379926855</v>
      </c>
      <c r="HG85" s="217">
        <f>HG10-HG45</f>
        <v>79.039997682615848</v>
      </c>
      <c r="HH85" s="293">
        <f>SUM(HE85:HG85)</f>
        <v>170.44471007298995</v>
      </c>
      <c r="HI85" s="291">
        <f>HI10-HI45</f>
        <v>54.468816894508961</v>
      </c>
      <c r="HJ85" s="292">
        <f>HJ10-HJ45</f>
        <v>81.264206568102395</v>
      </c>
      <c r="HK85" s="217">
        <f>HK10-HK45</f>
        <v>94.553780085003467</v>
      </c>
      <c r="HL85" s="293">
        <f>SUM(HI85:HK85)</f>
        <v>230.28680354761482</v>
      </c>
      <c r="HM85" s="291">
        <f>HM10-HM45</f>
        <v>92.179430216143743</v>
      </c>
      <c r="HN85" s="292">
        <f>HN10-HN45</f>
        <v>39.700148966487461</v>
      </c>
      <c r="HO85" s="217">
        <f>HO10-HO45</f>
        <v>-93.206650386009471</v>
      </c>
      <c r="HP85" s="293">
        <f>SUM(HM85:HO85)</f>
        <v>38.672928796621733</v>
      </c>
      <c r="HQ85" s="293">
        <f>HD85+HH85+HL85+HP85</f>
        <v>439.96227538618268</v>
      </c>
      <c r="HR85" s="291">
        <f>HR10-HR45</f>
        <v>-15.970497507517052</v>
      </c>
      <c r="HS85" s="292">
        <f>HS10-HS45</f>
        <v>-44.572223156025757</v>
      </c>
      <c r="HT85" s="217">
        <f>HT10-HT45</f>
        <v>-71.986593261699966</v>
      </c>
      <c r="HU85" s="293">
        <f>SUM(HR85:HT85)</f>
        <v>-132.52931392524277</v>
      </c>
      <c r="HV85" s="291">
        <f>HV10-HV45</f>
        <v>-65.418618142397264</v>
      </c>
      <c r="HW85" s="292">
        <f>HW10-HW45</f>
        <v>-20.914509791486353</v>
      </c>
      <c r="HX85" s="217">
        <f>HX10-HX45</f>
        <v>57.214919105199726</v>
      </c>
      <c r="HY85" s="293">
        <f>SUM(HV85:HX85)</f>
        <v>-29.11820882868389</v>
      </c>
      <c r="HZ85" s="291">
        <f>HZ10-HZ45</f>
        <v>138.46828372183734</v>
      </c>
      <c r="IA85" s="292">
        <f>IA10-IA45</f>
        <v>59.839646640941453</v>
      </c>
      <c r="IB85" s="217">
        <f>IB10-IB45</f>
        <v>246.98936291217447</v>
      </c>
      <c r="IC85" s="293">
        <f>SUM(HZ85:IB85)</f>
        <v>445.29729327495329</v>
      </c>
      <c r="ID85" s="291">
        <f>ID10-ID45</f>
        <v>115.01618412912484</v>
      </c>
      <c r="IE85" s="292">
        <f>IE10-IE45</f>
        <v>51.592366258540039</v>
      </c>
      <c r="IF85" s="217">
        <f>IF10-IF45</f>
        <v>104.63753258869576</v>
      </c>
      <c r="IG85" s="293">
        <f>SUM(ID85:IF85)</f>
        <v>271.24608297636064</v>
      </c>
      <c r="IH85" s="293">
        <v>554.89585349738729</v>
      </c>
      <c r="II85" s="291">
        <v>357.58425753</v>
      </c>
      <c r="IJ85" s="292">
        <v>257.8340054900001</v>
      </c>
      <c r="IK85" s="217">
        <v>112.4578493178953</v>
      </c>
      <c r="IL85" s="293">
        <v>727.87611233789539</v>
      </c>
      <c r="IM85" s="291">
        <v>128.50518751071127</v>
      </c>
      <c r="IN85" s="292">
        <v>-70.092964985071148</v>
      </c>
      <c r="IO85" s="292">
        <v>105.81438926468013</v>
      </c>
      <c r="IP85" s="293">
        <v>164.22661179032025</v>
      </c>
      <c r="IQ85" s="291">
        <v>163.80361549244071</v>
      </c>
      <c r="IR85" s="292">
        <v>-71.401021312194871</v>
      </c>
      <c r="IS85" s="292">
        <v>79.005421380383837</v>
      </c>
      <c r="IT85" s="293">
        <v>171.40801556062968</v>
      </c>
      <c r="IU85" s="291">
        <v>320.21996560231293</v>
      </c>
      <c r="IV85" s="292">
        <v>251.86515934846727</v>
      </c>
      <c r="IW85" s="217">
        <v>142.13071116050844</v>
      </c>
      <c r="IX85" s="293">
        <v>714.2158361112887</v>
      </c>
      <c r="IY85" s="293">
        <v>1777.726575800134</v>
      </c>
      <c r="IZ85" s="291">
        <v>218.57314971743449</v>
      </c>
      <c r="JA85" s="292">
        <v>175.07874555999985</v>
      </c>
      <c r="JB85" s="217">
        <v>175.73715561128284</v>
      </c>
      <c r="JC85" s="293">
        <v>569.38905088871718</v>
      </c>
      <c r="JD85" s="291">
        <v>-167.36204689064147</v>
      </c>
      <c r="JE85" s="292">
        <v>-19.69592796897814</v>
      </c>
      <c r="JF85" s="217">
        <v>26.716734066005927</v>
      </c>
      <c r="JG85" s="293">
        <v>-160.34124079361368</v>
      </c>
      <c r="JH85" s="291">
        <v>220.31116836475235</v>
      </c>
      <c r="JI85" s="292">
        <v>264.70416060947611</v>
      </c>
      <c r="JJ85" s="217">
        <v>183.82656663000097</v>
      </c>
      <c r="JK85" s="293">
        <v>668.84189560422942</v>
      </c>
      <c r="JL85" s="291">
        <v>441.73690769723032</v>
      </c>
      <c r="JM85" s="292">
        <v>129.3576174343732</v>
      </c>
      <c r="JN85" s="217">
        <v>98.537989001924188</v>
      </c>
      <c r="JO85" s="293">
        <v>669.63251413352771</v>
      </c>
      <c r="JP85" s="293">
        <v>1747.5222198328606</v>
      </c>
      <c r="JQ85" s="291">
        <v>90.848853711145807</v>
      </c>
      <c r="JR85" s="292">
        <v>164.66516201294445</v>
      </c>
      <c r="JS85" s="217">
        <v>74.456202130000008</v>
      </c>
      <c r="JT85" s="293">
        <v>329.97021785409027</v>
      </c>
      <c r="JU85" s="292">
        <v>198.47962825008756</v>
      </c>
      <c r="JV85" s="292">
        <v>-85.686623309910544</v>
      </c>
      <c r="JW85" s="217">
        <v>207.51547633000172</v>
      </c>
      <c r="JX85" s="293">
        <v>320.30848127017873</v>
      </c>
      <c r="JY85" s="291">
        <v>186.72866335999777</v>
      </c>
      <c r="JZ85" s="292">
        <v>-19.565111689998503</v>
      </c>
      <c r="KA85" s="217">
        <v>210.98307984046642</v>
      </c>
      <c r="KB85" s="293">
        <v>378.14663151046568</v>
      </c>
      <c r="KC85" s="291">
        <v>-281.62151275999997</v>
      </c>
      <c r="KD85" s="292">
        <v>114.47878820999881</v>
      </c>
      <c r="KE85" s="292">
        <v>259.67576445411282</v>
      </c>
      <c r="KF85" s="293">
        <v>92.533039904111661</v>
      </c>
      <c r="KG85" s="293">
        <v>1120.9583705388463</v>
      </c>
      <c r="KH85" s="240">
        <v>30.54428927999993</v>
      </c>
      <c r="KI85" s="241">
        <v>-79.548908860000552</v>
      </c>
      <c r="KJ85" s="242">
        <v>-18.387248740001269</v>
      </c>
      <c r="KK85" s="293">
        <v>-67.39186832000189</v>
      </c>
      <c r="KL85" s="291">
        <v>37.020528199999944</v>
      </c>
      <c r="KM85" s="292">
        <v>68.066323130000228</v>
      </c>
      <c r="KN85" s="217">
        <v>182.40208519000026</v>
      </c>
      <c r="KO85" s="293">
        <v>287.48893652000044</v>
      </c>
      <c r="KP85" s="291">
        <v>95.528803670497837</v>
      </c>
      <c r="KQ85" s="292">
        <v>536.01892396999983</v>
      </c>
      <c r="KR85" s="217">
        <v>-17.554304329999809</v>
      </c>
      <c r="KS85" s="293">
        <v>613.99342331049786</v>
      </c>
      <c r="KT85" s="291">
        <v>139.91430474000015</v>
      </c>
      <c r="KU85" s="292">
        <v>99.315127179999877</v>
      </c>
      <c r="KV85" s="217">
        <v>-359.14945109999985</v>
      </c>
      <c r="KW85" s="293">
        <v>-119.92001917999983</v>
      </c>
      <c r="KX85" s="293">
        <v>714.17047233049652</v>
      </c>
      <c r="KY85" s="240">
        <v>-109.07565213999987</v>
      </c>
      <c r="KZ85" s="241">
        <v>125.19643534999994</v>
      </c>
      <c r="LA85" s="242">
        <v>-142.45422993999898</v>
      </c>
      <c r="LB85" s="293">
        <v>-126.33344672999891</v>
      </c>
      <c r="LC85" s="291">
        <v>-155.83814769000003</v>
      </c>
      <c r="LD85" s="292">
        <v>-167.92268268000009</v>
      </c>
      <c r="LE85" s="217">
        <v>68.934200210000199</v>
      </c>
      <c r="LF85" s="293">
        <v>-254.82663015999992</v>
      </c>
      <c r="LG85" s="291">
        <v>-95.889248730000077</v>
      </c>
      <c r="LH85" s="292">
        <v>-198.16705429000012</v>
      </c>
      <c r="LI85" s="217">
        <v>-112.95739478000144</v>
      </c>
      <c r="LJ85" s="293">
        <v>-407.01369780000164</v>
      </c>
      <c r="LK85" s="291">
        <v>-287.33945281000018</v>
      </c>
      <c r="LL85" s="292">
        <v>-314.00205998000024</v>
      </c>
      <c r="LM85" s="217">
        <v>-479.57028871017121</v>
      </c>
      <c r="LN85" s="293">
        <v>-1080.9118015001718</v>
      </c>
      <c r="LO85" s="293">
        <v>-1869.0855761901723</v>
      </c>
    </row>
    <row r="86" spans="1:327" ht="3" customHeight="1" x14ac:dyDescent="0.2">
      <c r="A86" s="97"/>
      <c r="B86" s="97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>
        <f t="shared" si="128"/>
        <v>0</v>
      </c>
      <c r="AK86" s="98"/>
      <c r="AL86" s="98"/>
      <c r="AM86" s="98"/>
      <c r="AN86" s="98"/>
      <c r="AO86" s="98">
        <f t="shared" si="201"/>
        <v>0</v>
      </c>
      <c r="AP86" s="98"/>
      <c r="AQ86" s="98"/>
      <c r="AR86" s="98"/>
      <c r="AS86" s="98">
        <f>AO86+AP86+AQ86</f>
        <v>0</v>
      </c>
      <c r="AT86" s="98"/>
      <c r="AU86" s="98"/>
      <c r="AV86" s="98"/>
      <c r="AW86" s="98">
        <f>AS86+AT86+AU86</f>
        <v>0</v>
      </c>
      <c r="AX86" s="98"/>
      <c r="AY86" s="98"/>
      <c r="AZ86" s="98"/>
      <c r="BA86" s="98"/>
      <c r="BB86" s="98">
        <f>AP86+AQ86+AR86</f>
        <v>0</v>
      </c>
      <c r="BC86" s="98"/>
      <c r="BD86" s="322"/>
      <c r="BE86" s="322"/>
      <c r="BF86" s="322"/>
      <c r="BG86" s="322"/>
      <c r="BH86" s="322"/>
      <c r="BI86" s="322"/>
      <c r="BJ86" s="322"/>
      <c r="BK86" s="322"/>
      <c r="BL86" s="322"/>
      <c r="BM86" s="322"/>
      <c r="BN86" s="322"/>
      <c r="BO86" s="322"/>
      <c r="BP86" s="322"/>
      <c r="BQ86" s="322"/>
      <c r="BR86" s="322"/>
      <c r="BS86" s="322"/>
      <c r="BT86" s="322"/>
      <c r="BU86" s="322"/>
      <c r="BV86" s="322"/>
      <c r="BW86" s="322"/>
      <c r="BX86" s="322"/>
      <c r="BY86" s="322"/>
      <c r="BZ86" s="322"/>
      <c r="CA86" s="322"/>
      <c r="CB86" s="322"/>
      <c r="CC86" s="322"/>
      <c r="CD86" s="322"/>
      <c r="CE86" s="322"/>
      <c r="CH86" s="297"/>
      <c r="CI86" s="297"/>
      <c r="CJ86" s="297">
        <f>+BW86+CA86+CE86+CI86</f>
        <v>0</v>
      </c>
      <c r="CK86" s="322"/>
      <c r="CL86" s="322"/>
      <c r="CM86" s="322"/>
      <c r="CN86" s="322"/>
      <c r="CO86" s="322"/>
      <c r="CP86" s="322"/>
      <c r="CQ86" s="322"/>
      <c r="CR86" s="322"/>
      <c r="CS86" s="322"/>
      <c r="CT86" s="322"/>
      <c r="CU86" s="322"/>
      <c r="CV86" s="322"/>
      <c r="CW86" s="297"/>
      <c r="CX86" s="297"/>
      <c r="CY86" s="297"/>
      <c r="CZ86" s="297"/>
      <c r="DA86" s="297"/>
      <c r="DB86" s="297"/>
      <c r="DC86" s="297"/>
      <c r="DD86" s="297"/>
      <c r="DM86" s="297"/>
      <c r="DR86" s="323"/>
      <c r="DS86" s="323"/>
      <c r="DT86" s="323"/>
      <c r="DU86" s="323"/>
      <c r="DV86" s="323"/>
      <c r="DW86" s="323"/>
      <c r="DX86" s="323"/>
      <c r="DY86" s="323"/>
      <c r="DZ86" s="323"/>
      <c r="EA86" s="323"/>
      <c r="EB86" s="323"/>
      <c r="EC86" s="323"/>
      <c r="ED86" s="323"/>
      <c r="EE86" s="323"/>
      <c r="EF86" s="323"/>
      <c r="EG86" s="323"/>
      <c r="EH86" s="323"/>
      <c r="EI86" s="324"/>
      <c r="EJ86" s="323"/>
      <c r="EK86" s="324"/>
      <c r="EL86" s="324"/>
      <c r="EM86" s="324"/>
      <c r="EN86" s="323"/>
      <c r="EO86" s="324"/>
      <c r="EP86" s="324"/>
      <c r="EQ86" s="323"/>
      <c r="ER86" s="323"/>
      <c r="ES86" s="324"/>
      <c r="ET86" s="324"/>
      <c r="EU86" s="323"/>
      <c r="EV86" s="323"/>
      <c r="EW86" s="324"/>
      <c r="EX86" s="324"/>
      <c r="EY86" s="323"/>
      <c r="EZ86" s="324"/>
      <c r="FA86" s="324"/>
      <c r="FB86" s="323"/>
      <c r="FC86" s="323"/>
      <c r="FD86" s="323"/>
      <c r="FE86" s="324"/>
      <c r="FF86" s="324"/>
      <c r="FG86" s="324"/>
      <c r="FH86" s="324"/>
      <c r="FI86" s="324"/>
      <c r="FJ86" s="324"/>
      <c r="FK86" s="324"/>
      <c r="FL86" s="324"/>
      <c r="FM86" s="324"/>
      <c r="FN86" s="324"/>
      <c r="FO86" s="324"/>
      <c r="FP86" s="324"/>
      <c r="FQ86" s="324"/>
      <c r="FR86" s="324"/>
      <c r="FV86" s="322"/>
      <c r="FZ86" s="322"/>
      <c r="GA86" s="156">
        <f t="shared" si="218"/>
        <v>0</v>
      </c>
      <c r="GB86" s="156">
        <f t="shared" si="218"/>
        <v>0</v>
      </c>
      <c r="GC86" s="156">
        <f t="shared" si="218"/>
        <v>0</v>
      </c>
      <c r="GD86" s="322"/>
      <c r="GE86" s="156">
        <f>GE11-GE46</f>
        <v>0</v>
      </c>
      <c r="GF86" s="156">
        <f>GF11-GF46</f>
        <v>0</v>
      </c>
      <c r="GH86" s="156"/>
      <c r="GI86" s="157"/>
      <c r="GM86" s="297"/>
      <c r="GQ86" s="322"/>
      <c r="GR86" s="156">
        <f t="shared" si="219"/>
        <v>0</v>
      </c>
      <c r="GS86" s="156">
        <f t="shared" si="219"/>
        <v>0</v>
      </c>
      <c r="GT86" s="156">
        <f t="shared" si="219"/>
        <v>0</v>
      </c>
      <c r="GU86" s="322"/>
      <c r="GV86" s="156">
        <f t="shared" si="220"/>
        <v>0</v>
      </c>
      <c r="GW86" s="156">
        <f t="shared" si="220"/>
        <v>0</v>
      </c>
      <c r="GX86" s="156">
        <f t="shared" si="220"/>
        <v>0</v>
      </c>
      <c r="GY86" s="156"/>
      <c r="GZ86" s="157"/>
      <c r="HA86" s="277"/>
      <c r="HB86" s="277"/>
      <c r="HC86" s="277"/>
      <c r="HD86" s="277"/>
      <c r="HE86" s="277"/>
      <c r="HF86" s="277"/>
      <c r="HG86" s="277"/>
      <c r="HH86" s="277"/>
      <c r="HI86" s="277"/>
      <c r="HJ86" s="277"/>
      <c r="HK86" s="277"/>
      <c r="HL86" s="277"/>
      <c r="HM86" s="277"/>
      <c r="HN86" s="277"/>
      <c r="HO86" s="277"/>
      <c r="HP86" s="277"/>
      <c r="HQ86" s="277"/>
      <c r="HR86" s="277"/>
      <c r="HS86" s="277"/>
      <c r="HT86" s="277"/>
      <c r="HU86" s="277"/>
      <c r="HV86" s="277"/>
      <c r="HW86" s="277"/>
      <c r="HX86" s="277"/>
      <c r="HY86" s="277"/>
      <c r="HZ86" s="277"/>
      <c r="IA86" s="277"/>
      <c r="IB86" s="277"/>
      <c r="IC86" s="277"/>
      <c r="ID86" s="277"/>
      <c r="IE86" s="277"/>
      <c r="IF86" s="277"/>
      <c r="IG86" s="277"/>
      <c r="IH86" s="277"/>
      <c r="II86" s="277"/>
      <c r="IJ86" s="277"/>
      <c r="IK86" s="277"/>
      <c r="IL86" s="277"/>
      <c r="IM86" s="294"/>
      <c r="IN86" s="294"/>
      <c r="IO86" s="294"/>
      <c r="IP86" s="277"/>
      <c r="IQ86" s="277"/>
      <c r="IR86" s="277"/>
      <c r="IS86" s="277"/>
      <c r="IT86" s="277"/>
      <c r="IU86" s="277"/>
      <c r="IV86" s="277"/>
      <c r="IW86" s="277"/>
      <c r="IX86" s="277"/>
      <c r="IY86" s="277"/>
      <c r="IZ86" s="277"/>
      <c r="JA86" s="277"/>
      <c r="JB86" s="277"/>
      <c r="JC86" s="277"/>
      <c r="JD86" s="277"/>
      <c r="JE86" s="277"/>
      <c r="JF86" s="277"/>
      <c r="JG86" s="277"/>
      <c r="JH86" s="277"/>
      <c r="JI86" s="277"/>
      <c r="JJ86" s="277"/>
      <c r="JK86" s="277"/>
      <c r="JL86" s="277"/>
      <c r="JM86" s="277"/>
      <c r="JN86" s="277"/>
      <c r="JO86" s="277"/>
      <c r="JP86" s="277"/>
      <c r="JQ86" s="277"/>
      <c r="JR86" s="277"/>
      <c r="JS86" s="277"/>
      <c r="JT86" s="277"/>
      <c r="JU86" s="277"/>
      <c r="JV86" s="277"/>
      <c r="JW86" s="277"/>
      <c r="JX86" s="277"/>
      <c r="JY86" s="277"/>
      <c r="JZ86" s="277"/>
      <c r="KA86" s="277"/>
      <c r="KB86" s="277"/>
      <c r="KC86" s="277"/>
      <c r="KD86" s="277"/>
      <c r="KE86" s="277"/>
      <c r="KF86" s="277"/>
      <c r="KG86" s="277"/>
      <c r="KH86" s="277"/>
      <c r="KI86" s="277"/>
      <c r="KJ86" s="277"/>
      <c r="KK86" s="277"/>
      <c r="KL86" s="277"/>
      <c r="KM86" s="277"/>
      <c r="KN86" s="277"/>
      <c r="KO86" s="277"/>
      <c r="KP86" s="277"/>
      <c r="KQ86" s="277"/>
      <c r="KR86" s="277"/>
      <c r="KS86" s="277"/>
      <c r="KT86" s="277"/>
      <c r="KU86" s="277"/>
      <c r="KV86" s="277"/>
      <c r="KW86" s="277"/>
      <c r="KX86" s="277"/>
      <c r="KY86" s="277"/>
      <c r="KZ86" s="277"/>
      <c r="LA86" s="277"/>
      <c r="LB86" s="277"/>
      <c r="LC86" s="277"/>
      <c r="LD86" s="277"/>
      <c r="LE86" s="277"/>
      <c r="LF86" s="277"/>
      <c r="LG86" s="277"/>
      <c r="LH86" s="277"/>
      <c r="LI86" s="277"/>
      <c r="LJ86" s="277"/>
      <c r="LK86" s="277"/>
      <c r="LL86" s="277"/>
      <c r="LM86" s="277"/>
      <c r="LN86" s="277"/>
      <c r="LO86" s="277"/>
    </row>
    <row r="87" spans="1:327" ht="4.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5"/>
      <c r="N87" s="5"/>
      <c r="O87" s="5"/>
      <c r="P87" s="5"/>
      <c r="Q87" s="5"/>
      <c r="R87" s="5"/>
      <c r="S87" s="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5"/>
      <c r="AE87" s="5"/>
      <c r="AF87" s="5"/>
      <c r="AG87" s="5"/>
      <c r="AH87" s="5"/>
      <c r="AI87" s="5"/>
      <c r="AJ87" s="5"/>
      <c r="AK87" s="14"/>
      <c r="AL87" s="14"/>
      <c r="AM87" s="14"/>
      <c r="AN87" s="14"/>
      <c r="AO87" s="14"/>
      <c r="AP87" s="8"/>
      <c r="AQ87" s="8"/>
      <c r="AR87" s="320"/>
      <c r="AS87" s="320"/>
      <c r="AT87" s="320"/>
      <c r="AU87" s="320"/>
      <c r="AV87" s="320"/>
      <c r="AW87" s="320"/>
      <c r="AX87" s="320"/>
      <c r="AY87" s="320"/>
      <c r="AZ87" s="320"/>
      <c r="BA87" s="320"/>
      <c r="BB87" s="320"/>
      <c r="BC87" s="320"/>
      <c r="BD87" s="320"/>
      <c r="BE87" s="320"/>
      <c r="BF87" s="320"/>
      <c r="BG87" s="320"/>
      <c r="BH87" s="320"/>
      <c r="BI87" s="320"/>
      <c r="BJ87" s="320"/>
      <c r="BK87" s="320"/>
      <c r="BL87" s="320"/>
      <c r="BM87" s="320"/>
      <c r="BN87" s="297"/>
      <c r="BO87" s="297"/>
      <c r="BP87" s="297"/>
      <c r="BQ87" s="297"/>
      <c r="BR87" s="297"/>
      <c r="BS87" s="297"/>
      <c r="BT87" s="297"/>
      <c r="BU87" s="297"/>
      <c r="BV87" s="297"/>
      <c r="BW87" s="297"/>
      <c r="BX87" s="297"/>
      <c r="BY87" s="297"/>
      <c r="BZ87" s="297"/>
      <c r="CA87" s="297"/>
      <c r="CB87" s="297"/>
      <c r="CC87" s="297"/>
      <c r="CD87" s="297"/>
      <c r="CE87" s="297"/>
      <c r="CH87" s="297"/>
      <c r="CI87" s="297"/>
      <c r="CJ87" s="297"/>
      <c r="CK87" s="297"/>
      <c r="CL87" s="297"/>
      <c r="CM87" s="297"/>
      <c r="CN87" s="297"/>
      <c r="CO87" s="297"/>
      <c r="CP87" s="297"/>
      <c r="CQ87" s="297"/>
      <c r="CR87" s="297"/>
      <c r="CT87" s="297"/>
      <c r="CU87" s="297"/>
      <c r="CV87" s="297"/>
      <c r="CW87" s="297"/>
      <c r="CX87" s="297"/>
      <c r="CY87" s="297"/>
      <c r="CZ87" s="297"/>
      <c r="DA87" s="297"/>
      <c r="DM87" s="297"/>
      <c r="DR87" s="323"/>
      <c r="DS87" s="323"/>
      <c r="DT87" s="323"/>
      <c r="DU87" s="323"/>
      <c r="DV87" s="323"/>
      <c r="DW87" s="323"/>
      <c r="DX87" s="323"/>
      <c r="DY87" s="323"/>
      <c r="DZ87" s="323"/>
      <c r="EA87" s="323"/>
      <c r="EB87" s="323"/>
      <c r="EC87" s="323"/>
      <c r="ED87" s="323"/>
      <c r="EE87" s="323"/>
      <c r="EF87" s="323"/>
      <c r="EG87" s="323"/>
      <c r="EH87" s="323"/>
      <c r="EI87" s="324"/>
      <c r="EJ87" s="324"/>
      <c r="EK87" s="324"/>
      <c r="EL87" s="324"/>
      <c r="EM87" s="324"/>
      <c r="EN87" s="324"/>
      <c r="EO87" s="324"/>
      <c r="EP87" s="324"/>
      <c r="EQ87" s="324"/>
      <c r="ER87" s="324"/>
      <c r="ES87" s="324"/>
      <c r="ET87" s="324"/>
      <c r="EU87" s="324"/>
      <c r="EV87" s="324"/>
      <c r="EW87" s="324"/>
      <c r="EX87" s="324"/>
      <c r="EY87" s="324"/>
      <c r="EZ87" s="324"/>
      <c r="FA87" s="324"/>
      <c r="FB87" s="323"/>
      <c r="FC87" s="323"/>
      <c r="FD87" s="323"/>
      <c r="FE87" s="323"/>
      <c r="FF87" s="323"/>
      <c r="FG87" s="323"/>
      <c r="FH87" s="323"/>
      <c r="FI87" s="323"/>
      <c r="FJ87" s="323"/>
      <c r="FK87" s="323"/>
      <c r="FL87" s="323"/>
      <c r="FM87" s="323"/>
      <c r="FN87" s="323"/>
      <c r="FO87" s="323"/>
      <c r="FP87" s="323"/>
      <c r="FQ87" s="323"/>
      <c r="FR87" s="324"/>
      <c r="FS87" s="325"/>
      <c r="FT87" s="325"/>
      <c r="FU87" s="325"/>
      <c r="FV87" s="297"/>
      <c r="FW87" s="325"/>
      <c r="FX87" s="325"/>
      <c r="FZ87" s="297"/>
      <c r="GA87" s="297"/>
      <c r="GB87" s="297"/>
      <c r="GC87" s="297"/>
      <c r="GD87" s="297"/>
      <c r="GE87" s="297"/>
      <c r="GF87" s="297"/>
      <c r="GH87" s="297"/>
      <c r="GI87" s="297"/>
    </row>
    <row r="88" spans="1:327" ht="14.1" customHeight="1" x14ac:dyDescent="0.2">
      <c r="A88" s="88" t="s">
        <v>87</v>
      </c>
      <c r="B88" s="89" t="s">
        <v>90</v>
      </c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89"/>
      <c r="N88" s="89"/>
      <c r="O88" s="89"/>
      <c r="P88" s="89"/>
      <c r="Q88" s="89"/>
      <c r="R88" s="89"/>
      <c r="S88" s="89"/>
      <c r="T88" s="320"/>
      <c r="U88" s="91"/>
      <c r="V88" s="91"/>
      <c r="W88" s="91"/>
      <c r="X88" s="91"/>
      <c r="Y88" s="91"/>
      <c r="Z88" s="91"/>
      <c r="AA88" s="91"/>
      <c r="AB88" s="91"/>
      <c r="AC88" s="91"/>
      <c r="AD88" s="92"/>
      <c r="AE88" s="91"/>
      <c r="AF88" s="91"/>
      <c r="AG88" s="91"/>
      <c r="AH88" s="93"/>
      <c r="AI88" s="91"/>
      <c r="AJ88" s="91"/>
      <c r="AK88" s="91"/>
      <c r="AL88" s="91"/>
      <c r="AM88" s="91"/>
      <c r="AN88" s="91"/>
      <c r="AO88" s="94"/>
      <c r="AP88" s="91"/>
      <c r="AQ88" s="91"/>
      <c r="AR88" s="320"/>
      <c r="AS88" s="320"/>
      <c r="AT88" s="320"/>
      <c r="AU88" s="326"/>
      <c r="AV88" s="326"/>
      <c r="AW88" s="320"/>
      <c r="AX88" s="320"/>
      <c r="AY88" s="320"/>
      <c r="AZ88" s="320"/>
      <c r="BA88" s="320"/>
      <c r="BB88" s="320"/>
      <c r="BC88" s="320"/>
      <c r="BD88" s="320"/>
      <c r="BE88" s="320"/>
      <c r="BF88" s="320"/>
      <c r="BG88" s="320"/>
      <c r="BH88" s="320"/>
      <c r="BI88" s="320"/>
      <c r="BJ88" s="320"/>
      <c r="BK88" s="320"/>
      <c r="BL88" s="320"/>
      <c r="BM88" s="320"/>
      <c r="BN88" s="297"/>
      <c r="BO88" s="297"/>
      <c r="BP88" s="297"/>
      <c r="BQ88" s="297"/>
      <c r="BR88" s="297"/>
      <c r="BS88" s="297"/>
      <c r="BT88" s="297"/>
      <c r="BU88" s="297"/>
      <c r="BV88" s="297"/>
      <c r="BW88" s="297"/>
      <c r="BX88" s="297"/>
      <c r="BY88" s="297"/>
      <c r="BZ88" s="297"/>
      <c r="CA88" s="297"/>
      <c r="CB88" s="297"/>
      <c r="CC88" s="297"/>
      <c r="CD88" s="297"/>
      <c r="CE88" s="297"/>
      <c r="CH88" s="297"/>
      <c r="CI88" s="297"/>
      <c r="CJ88" s="297"/>
      <c r="CK88" s="297"/>
      <c r="CL88" s="297"/>
      <c r="CM88" s="297"/>
      <c r="CN88" s="297"/>
      <c r="CO88" s="297"/>
      <c r="CP88" s="297"/>
      <c r="CQ88" s="297"/>
      <c r="CR88" s="297"/>
      <c r="CT88" s="297"/>
      <c r="CU88" s="297"/>
      <c r="CV88" s="297"/>
      <c r="CW88" s="297">
        <v>-31</v>
      </c>
      <c r="CX88" s="297"/>
      <c r="CY88" s="297"/>
      <c r="CZ88" s="297"/>
      <c r="DA88" s="297"/>
      <c r="DM88" s="297"/>
      <c r="FA88" s="297"/>
      <c r="FS88" s="325"/>
      <c r="FT88" s="325"/>
      <c r="FU88" s="325"/>
      <c r="FW88" s="325"/>
      <c r="FX88" s="325"/>
      <c r="II88" s="154"/>
      <c r="IJ88" s="154"/>
      <c r="IK88" s="154"/>
      <c r="IM88" s="154"/>
      <c r="IN88" s="154"/>
      <c r="IO88" s="154"/>
      <c r="IQ88" s="154"/>
      <c r="IR88" s="154"/>
      <c r="IS88" s="154"/>
    </row>
    <row r="89" spans="1:327" ht="14.1" customHeight="1" x14ac:dyDescent="0.2">
      <c r="A89" s="95" t="s">
        <v>88</v>
      </c>
      <c r="B89" s="89" t="s">
        <v>90</v>
      </c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89"/>
      <c r="N89" s="89"/>
      <c r="O89" s="89"/>
      <c r="P89" s="89"/>
      <c r="Q89" s="89"/>
      <c r="R89" s="89"/>
      <c r="S89" s="89"/>
      <c r="T89" s="320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3"/>
      <c r="AR89" s="326"/>
      <c r="AS89" s="326"/>
      <c r="AT89" s="326"/>
      <c r="AU89" s="320"/>
      <c r="AV89" s="320"/>
      <c r="AW89" s="320"/>
      <c r="AX89" s="320"/>
      <c r="AY89" s="320"/>
      <c r="AZ89" s="320"/>
      <c r="BA89" s="320"/>
      <c r="BB89" s="320"/>
      <c r="BC89" s="320"/>
      <c r="BD89" s="320"/>
      <c r="BE89" s="320"/>
      <c r="BF89" s="320"/>
      <c r="BG89" s="320"/>
      <c r="BH89" s="320"/>
      <c r="BI89" s="320"/>
      <c r="BJ89" s="327"/>
      <c r="BK89" s="327"/>
      <c r="BL89" s="327"/>
      <c r="BM89" s="327"/>
      <c r="BN89" s="328"/>
      <c r="BO89" s="328"/>
      <c r="BP89" s="328"/>
      <c r="BQ89" s="328"/>
      <c r="BR89" s="328"/>
      <c r="BS89" s="328"/>
      <c r="BT89" s="328"/>
      <c r="BU89" s="297"/>
      <c r="BV89" s="297"/>
      <c r="BW89" s="297"/>
      <c r="BX89" s="297"/>
      <c r="BY89" s="297"/>
      <c r="BZ89" s="297"/>
      <c r="CA89" s="297"/>
      <c r="CB89" s="297"/>
      <c r="CC89" s="297"/>
      <c r="CD89" s="297"/>
      <c r="CE89" s="297"/>
      <c r="CH89" s="297"/>
      <c r="CI89" s="297"/>
      <c r="CJ89" s="297"/>
      <c r="CK89" s="297"/>
      <c r="CL89" s="297"/>
      <c r="CO89" s="297"/>
      <c r="CP89" s="297"/>
      <c r="DB89" s="329"/>
      <c r="DC89" s="329"/>
      <c r="DD89" s="329"/>
      <c r="DE89" s="329"/>
      <c r="DF89" s="329"/>
      <c r="DG89" s="329"/>
      <c r="DH89" s="329"/>
      <c r="DI89" s="329"/>
      <c r="DJ89" s="329"/>
      <c r="DK89" s="329"/>
      <c r="DL89" s="329"/>
      <c r="DM89" s="329"/>
      <c r="DN89" s="329"/>
      <c r="DO89" s="329"/>
      <c r="DP89" s="329"/>
      <c r="DQ89" s="329"/>
      <c r="DR89" s="329"/>
      <c r="DS89" s="329"/>
      <c r="DT89" s="329"/>
      <c r="DU89" s="329"/>
      <c r="DV89" s="329"/>
      <c r="DW89" s="329"/>
      <c r="DX89" s="329"/>
      <c r="DY89" s="329"/>
      <c r="DZ89" s="329"/>
      <c r="EA89" s="329"/>
      <c r="EB89" s="329"/>
      <c r="EC89" s="329"/>
      <c r="ED89" s="329"/>
      <c r="EE89" s="329"/>
      <c r="EF89" s="329"/>
      <c r="EG89" s="329"/>
      <c r="EH89" s="329"/>
      <c r="EI89" s="317"/>
      <c r="EJ89" s="317"/>
      <c r="EK89" s="317"/>
      <c r="EL89" s="317"/>
      <c r="EM89" s="317"/>
      <c r="EN89" s="317"/>
      <c r="EO89" s="317"/>
      <c r="EP89" s="317"/>
      <c r="EQ89" s="317"/>
      <c r="ER89" s="317"/>
      <c r="ES89" s="317"/>
      <c r="ET89" s="317"/>
      <c r="EU89" s="317"/>
      <c r="EV89" s="317"/>
      <c r="EW89" s="317"/>
      <c r="EX89" s="317"/>
      <c r="EY89" s="317"/>
      <c r="EZ89" s="317"/>
      <c r="FA89" s="329"/>
      <c r="FR89" s="317"/>
      <c r="FS89" s="325"/>
      <c r="FT89" s="325"/>
      <c r="FU89" s="325"/>
      <c r="FW89" s="325"/>
      <c r="FX89" s="325"/>
      <c r="HZ89" s="154"/>
      <c r="IQ89" s="154"/>
      <c r="LK89" s="154"/>
      <c r="LL89" s="154"/>
      <c r="LM89" s="154"/>
    </row>
    <row r="90" spans="1:327" ht="14.1" customHeight="1" x14ac:dyDescent="0.2">
      <c r="A90" s="96" t="s">
        <v>89</v>
      </c>
      <c r="B90" s="95" t="s">
        <v>115</v>
      </c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89"/>
      <c r="N90" s="89"/>
      <c r="O90" s="89"/>
      <c r="P90" s="89"/>
      <c r="Q90" s="89"/>
      <c r="R90" s="89"/>
      <c r="S90" s="89"/>
      <c r="T90" s="326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320"/>
      <c r="AS90" s="320"/>
      <c r="AT90" s="320"/>
      <c r="AU90" s="320"/>
      <c r="AV90" s="320"/>
      <c r="AW90" s="320"/>
      <c r="AX90" s="320"/>
      <c r="AY90" s="320"/>
      <c r="AZ90" s="320"/>
      <c r="BA90" s="320"/>
      <c r="BB90" s="320"/>
      <c r="BC90" s="320"/>
      <c r="BD90" s="320"/>
      <c r="BE90" s="320"/>
      <c r="BF90" s="330"/>
      <c r="BG90" s="320"/>
      <c r="BH90" s="320"/>
      <c r="BI90" s="320"/>
      <c r="BJ90" s="320"/>
      <c r="BK90" s="320"/>
      <c r="BL90" s="320"/>
      <c r="BM90" s="320"/>
      <c r="BN90" s="331"/>
      <c r="BO90" s="331"/>
      <c r="BP90" s="331"/>
      <c r="BQ90" s="331"/>
      <c r="BR90" s="331"/>
      <c r="BS90" s="331"/>
      <c r="BT90" s="331"/>
      <c r="BU90" s="297"/>
      <c r="BV90" s="297"/>
      <c r="BW90" s="297"/>
      <c r="BX90" s="297"/>
      <c r="BY90" s="297"/>
      <c r="BZ90" s="297"/>
      <c r="CA90" s="297"/>
      <c r="CB90" s="297"/>
      <c r="CC90" s="297"/>
      <c r="CD90" s="297"/>
      <c r="CE90" s="297"/>
      <c r="CH90" s="297"/>
      <c r="CI90" s="297"/>
      <c r="CJ90" s="297"/>
      <c r="CL90" s="297"/>
      <c r="CO90" s="297"/>
      <c r="CP90" s="297"/>
      <c r="CS90" s="332"/>
      <c r="FA90" s="297"/>
      <c r="FW90" s="325"/>
      <c r="FX90" s="325"/>
      <c r="FY90" s="325"/>
      <c r="GG90" s="218"/>
      <c r="IS90" s="154"/>
    </row>
    <row r="91" spans="1:327" ht="14.1" hidden="1" customHeight="1" outlineLevel="1" x14ac:dyDescent="0.2">
      <c r="A91" s="96"/>
      <c r="B91" s="95" t="s">
        <v>96</v>
      </c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89"/>
      <c r="N91" s="89"/>
      <c r="O91" s="89"/>
      <c r="P91" s="89"/>
      <c r="Q91" s="89"/>
      <c r="R91" s="89"/>
      <c r="S91" s="89"/>
      <c r="T91" s="326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320"/>
      <c r="AS91" s="320"/>
      <c r="AT91" s="320"/>
      <c r="AU91" s="320"/>
      <c r="AV91" s="320"/>
      <c r="AW91" s="320"/>
      <c r="AX91" s="320"/>
      <c r="AY91" s="320"/>
      <c r="AZ91" s="320"/>
      <c r="BA91" s="320"/>
      <c r="BB91" s="320"/>
      <c r="BC91" s="320"/>
      <c r="BD91" s="320"/>
      <c r="BE91" s="320"/>
      <c r="BF91" s="330"/>
      <c r="BG91" s="320"/>
      <c r="BH91" s="320"/>
      <c r="BI91" s="320"/>
      <c r="BJ91" s="320"/>
      <c r="BK91" s="320"/>
      <c r="BL91" s="320"/>
      <c r="BM91" s="320"/>
      <c r="BN91" s="331"/>
      <c r="BO91" s="331"/>
      <c r="BP91" s="331"/>
      <c r="BQ91" s="331"/>
      <c r="BR91" s="331"/>
      <c r="BS91" s="331"/>
      <c r="BT91" s="331"/>
      <c r="BU91" s="297"/>
      <c r="BV91" s="297"/>
      <c r="BW91" s="297"/>
      <c r="BX91" s="297"/>
      <c r="BY91" s="297"/>
      <c r="BZ91" s="297"/>
      <c r="CA91" s="297"/>
      <c r="CB91" s="297"/>
      <c r="CC91" s="297"/>
      <c r="CD91" s="297"/>
      <c r="CE91" s="297"/>
      <c r="CH91" s="297"/>
      <c r="CI91" s="297"/>
      <c r="CJ91" s="297"/>
      <c r="CL91" s="297"/>
      <c r="CO91" s="297"/>
      <c r="CP91" s="297"/>
      <c r="CS91" s="332"/>
      <c r="FA91" s="297"/>
      <c r="FW91" s="325"/>
      <c r="FX91" s="325"/>
      <c r="FY91" s="325"/>
      <c r="GG91" s="218"/>
      <c r="IS91" s="154"/>
    </row>
    <row r="92" spans="1:327" ht="14.1" customHeight="1" collapsed="1" x14ac:dyDescent="0.2">
      <c r="A92" s="49"/>
      <c r="B92" s="20" t="s">
        <v>102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9"/>
      <c r="O92" s="19"/>
      <c r="P92" s="19"/>
      <c r="Q92" s="19"/>
      <c r="R92" s="19"/>
      <c r="S92" s="19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CH92" s="297"/>
      <c r="CI92" s="297"/>
      <c r="CJ92" s="297"/>
      <c r="CS92" s="332"/>
      <c r="CT92" s="332"/>
      <c r="CU92" s="332"/>
      <c r="CV92" s="332"/>
      <c r="CW92" s="332"/>
      <c r="CX92" s="332"/>
      <c r="CY92" s="332"/>
      <c r="CZ92" s="332"/>
      <c r="DA92" s="332"/>
      <c r="FA92" s="297"/>
      <c r="FW92" s="323"/>
      <c r="FX92" s="323"/>
    </row>
    <row r="93" spans="1:327" ht="14.1" customHeight="1" x14ac:dyDescent="0.2">
      <c r="A93" s="49"/>
      <c r="B93" s="20" t="s">
        <v>108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1"/>
      <c r="N93" s="19"/>
      <c r="O93" s="19"/>
      <c r="P93" s="19"/>
      <c r="Q93" s="19"/>
      <c r="R93" s="19"/>
      <c r="S93" s="19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CH93" s="297"/>
      <c r="CI93" s="297"/>
      <c r="CJ93" s="297"/>
      <c r="CS93" s="332"/>
      <c r="CT93" s="332"/>
      <c r="CU93" s="332"/>
      <c r="CV93" s="332"/>
      <c r="CW93" s="332"/>
      <c r="CX93" s="332"/>
      <c r="CY93" s="332"/>
      <c r="CZ93" s="332"/>
      <c r="DA93" s="332"/>
      <c r="FA93" s="297"/>
      <c r="GG93" s="323"/>
    </row>
    <row r="94" spans="1:327" ht="14.1" hidden="1" customHeight="1" x14ac:dyDescent="0.2">
      <c r="A94" s="49"/>
      <c r="B94" s="20" t="s">
        <v>75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1"/>
      <c r="N94" s="19"/>
      <c r="O94" s="19"/>
      <c r="P94" s="19"/>
      <c r="Q94" s="19"/>
      <c r="R94" s="19"/>
      <c r="S94" s="19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CH94" s="297"/>
      <c r="CI94" s="297"/>
      <c r="CJ94" s="297"/>
      <c r="CS94" s="332"/>
      <c r="CT94" s="332"/>
      <c r="CU94" s="332"/>
      <c r="CV94" s="332"/>
      <c r="CW94" s="332"/>
      <c r="CX94" s="332"/>
      <c r="CY94" s="332"/>
      <c r="CZ94" s="332"/>
      <c r="DA94" s="332"/>
      <c r="FA94" s="297"/>
    </row>
    <row r="95" spans="1:327" ht="14.1" customHeight="1" x14ac:dyDescent="0.2">
      <c r="A95" s="49"/>
      <c r="B95" s="20" t="s">
        <v>116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1"/>
      <c r="N95" s="19"/>
      <c r="O95" s="19"/>
      <c r="P95" s="19"/>
      <c r="Q95" s="19"/>
      <c r="R95" s="19"/>
      <c r="S95" s="19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CH95" s="297"/>
      <c r="CI95" s="297"/>
      <c r="CJ95" s="297"/>
      <c r="CS95" s="332"/>
      <c r="CT95" s="332"/>
      <c r="CU95" s="332"/>
      <c r="CV95" s="332"/>
      <c r="CW95" s="332"/>
      <c r="CX95" s="332"/>
      <c r="CY95" s="332"/>
      <c r="CZ95" s="332"/>
      <c r="DA95" s="332"/>
      <c r="FA95" s="297"/>
    </row>
    <row r="96" spans="1:327" ht="14.1" hidden="1" customHeight="1" outlineLevel="1" collapsed="1" x14ac:dyDescent="0.2">
      <c r="A96" s="49"/>
      <c r="B96" s="20" t="s">
        <v>80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1"/>
      <c r="N96" s="19"/>
      <c r="O96" s="19"/>
      <c r="P96" s="19"/>
      <c r="Q96" s="19"/>
      <c r="R96" s="19"/>
      <c r="S96" s="19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CH96" s="297"/>
      <c r="CI96" s="297"/>
      <c r="CJ96" s="297"/>
      <c r="CS96" s="332"/>
      <c r="CT96" s="332"/>
      <c r="CU96" s="332"/>
      <c r="CV96" s="332"/>
      <c r="CW96" s="332"/>
      <c r="CX96" s="332"/>
      <c r="CY96" s="332"/>
      <c r="CZ96" s="332"/>
      <c r="DA96" s="332"/>
      <c r="FA96" s="297"/>
    </row>
    <row r="97" spans="1:182" ht="14.1" customHeight="1" collapsed="1" x14ac:dyDescent="0.2">
      <c r="A97" s="49"/>
      <c r="B97" s="20" t="s">
        <v>117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1"/>
      <c r="N97" s="19"/>
      <c r="O97" s="19"/>
      <c r="P97" s="19"/>
      <c r="Q97" s="19"/>
      <c r="R97" s="19"/>
      <c r="S97" s="19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CH97" s="297"/>
      <c r="CI97" s="297"/>
      <c r="CJ97" s="297"/>
      <c r="CS97" s="332"/>
      <c r="CT97" s="332"/>
      <c r="CU97" s="332"/>
      <c r="CV97" s="332"/>
      <c r="CW97" s="332"/>
      <c r="CX97" s="332"/>
      <c r="CY97" s="332"/>
      <c r="CZ97" s="332"/>
      <c r="DA97" s="332"/>
    </row>
    <row r="98" spans="1:182" ht="14.1" hidden="1" customHeight="1" outlineLevel="1" x14ac:dyDescent="0.2">
      <c r="A98" s="49"/>
      <c r="B98" s="20" t="s">
        <v>113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1"/>
      <c r="N98" s="19"/>
      <c r="O98" s="19"/>
      <c r="P98" s="19"/>
      <c r="Q98" s="19"/>
      <c r="R98" s="19"/>
      <c r="S98" s="19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CH98" s="297"/>
      <c r="CI98" s="297"/>
      <c r="CJ98" s="297"/>
      <c r="CS98" s="332"/>
      <c r="CT98" s="332"/>
      <c r="CU98" s="332"/>
      <c r="CV98" s="332"/>
      <c r="CW98" s="332"/>
      <c r="CX98" s="332"/>
      <c r="CY98" s="332"/>
      <c r="CZ98" s="332"/>
      <c r="DA98" s="332"/>
      <c r="DC98" s="333"/>
    </row>
    <row r="99" spans="1:182" ht="14.1" hidden="1" customHeight="1" collapsed="1" x14ac:dyDescent="0.2">
      <c r="A99" s="49"/>
      <c r="B99" s="20" t="s">
        <v>63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1"/>
      <c r="N99" s="19"/>
      <c r="O99" s="19"/>
      <c r="P99" s="19"/>
      <c r="Q99" s="19"/>
      <c r="R99" s="19"/>
      <c r="S99" s="19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CH99" s="297"/>
      <c r="CI99" s="297"/>
      <c r="CJ99" s="297"/>
      <c r="CS99" s="332"/>
      <c r="CT99" s="332"/>
      <c r="CU99" s="332"/>
      <c r="CV99" s="332"/>
      <c r="CW99" s="332"/>
      <c r="CX99" s="332"/>
      <c r="CY99" s="332"/>
      <c r="CZ99" s="332"/>
      <c r="DA99" s="332"/>
    </row>
    <row r="100" spans="1:182" ht="14.1" hidden="1" customHeight="1" x14ac:dyDescent="0.2">
      <c r="B100" s="49" t="s">
        <v>53</v>
      </c>
      <c r="CH100" s="297"/>
      <c r="CI100" s="297"/>
      <c r="CJ100" s="297"/>
      <c r="CS100" s="332"/>
      <c r="CT100" s="332"/>
      <c r="CU100" s="332"/>
      <c r="CV100" s="332"/>
      <c r="CW100" s="332"/>
      <c r="CX100" s="332"/>
      <c r="CY100" s="332"/>
      <c r="CZ100" s="332"/>
      <c r="DA100" s="332"/>
    </row>
    <row r="101" spans="1:182" ht="14.1" hidden="1" customHeight="1" x14ac:dyDescent="0.2">
      <c r="B101" s="49" t="s">
        <v>76</v>
      </c>
      <c r="CH101" s="297"/>
      <c r="CI101" s="297"/>
      <c r="CJ101" s="297"/>
      <c r="CS101" s="332"/>
      <c r="CT101" s="332"/>
      <c r="CU101" s="332"/>
      <c r="CV101" s="332"/>
      <c r="CW101" s="332"/>
      <c r="CX101" s="332"/>
      <c r="CY101" s="332"/>
      <c r="CZ101" s="332"/>
      <c r="DA101" s="332"/>
    </row>
    <row r="102" spans="1:182" ht="14.1" hidden="1" customHeight="1" x14ac:dyDescent="0.2">
      <c r="B102" s="49" t="s">
        <v>54</v>
      </c>
      <c r="CH102" s="297"/>
      <c r="CI102" s="297"/>
      <c r="CJ102" s="297"/>
      <c r="CS102" s="332"/>
      <c r="CT102" s="332"/>
      <c r="CU102" s="332"/>
      <c r="CV102" s="332"/>
      <c r="CW102" s="332"/>
      <c r="CX102" s="332"/>
      <c r="CY102" s="332"/>
      <c r="CZ102" s="332"/>
      <c r="DA102" s="332"/>
    </row>
    <row r="103" spans="1:182" ht="15.75" customHeight="1" x14ac:dyDescent="0.2">
      <c r="B103" s="47" t="s">
        <v>55</v>
      </c>
      <c r="CH103" s="297"/>
      <c r="CI103" s="297"/>
      <c r="CJ103" s="297"/>
      <c r="CS103" s="332"/>
      <c r="CT103" s="332"/>
      <c r="CU103" s="332"/>
      <c r="CV103" s="332"/>
      <c r="CW103" s="332"/>
      <c r="CX103" s="332"/>
      <c r="CY103" s="332"/>
      <c r="CZ103" s="332"/>
      <c r="DA103" s="332"/>
      <c r="DB103" s="108"/>
      <c r="DS103" s="333"/>
      <c r="DU103" s="333"/>
      <c r="DV103" s="333"/>
      <c r="DW103" s="333"/>
      <c r="DX103" s="333"/>
      <c r="DY103" s="333"/>
      <c r="DZ103" s="333"/>
      <c r="EA103" s="333"/>
      <c r="EB103" s="333"/>
      <c r="EC103" s="333"/>
      <c r="ED103" s="333"/>
      <c r="EE103" s="333"/>
      <c r="EF103" s="333"/>
      <c r="EG103" s="333"/>
      <c r="EH103" s="333"/>
      <c r="EI103" s="334"/>
      <c r="EJ103" s="334"/>
      <c r="EK103" s="334"/>
      <c r="EL103" s="334"/>
      <c r="EM103" s="334"/>
      <c r="EN103" s="334"/>
      <c r="EO103" s="334"/>
      <c r="EP103" s="334"/>
      <c r="EQ103" s="334"/>
      <c r="ER103" s="334"/>
      <c r="ES103" s="334"/>
      <c r="ET103" s="334"/>
      <c r="EU103" s="334"/>
      <c r="EV103" s="334"/>
      <c r="EW103" s="334"/>
      <c r="EX103" s="334"/>
      <c r="EY103" s="334"/>
      <c r="EZ103" s="334"/>
      <c r="FA103" s="333"/>
      <c r="FR103" s="334"/>
    </row>
    <row r="104" spans="1:182" x14ac:dyDescent="0.2">
      <c r="CH104" s="297"/>
      <c r="CI104" s="297"/>
      <c r="CJ104" s="297"/>
      <c r="CS104" s="332"/>
      <c r="CT104" s="332"/>
      <c r="CU104" s="332"/>
      <c r="CV104" s="332"/>
      <c r="CW104" s="332"/>
      <c r="CX104" s="332"/>
      <c r="CY104" s="332"/>
      <c r="CZ104" s="332"/>
      <c r="DA104" s="332"/>
      <c r="FZ104" s="296">
        <v>0</v>
      </c>
    </row>
    <row r="105" spans="1:182" x14ac:dyDescent="0.2">
      <c r="CH105" s="297"/>
      <c r="CI105" s="297"/>
      <c r="CJ105" s="297"/>
      <c r="CS105" s="332"/>
      <c r="CT105" s="332"/>
      <c r="CU105" s="332"/>
      <c r="CV105" s="332"/>
      <c r="CW105" s="332"/>
      <c r="CX105" s="332"/>
      <c r="CY105" s="332"/>
      <c r="CZ105" s="332"/>
      <c r="DA105" s="332"/>
      <c r="DV105" s="296">
        <v>-92.8</v>
      </c>
      <c r="DW105" s="296">
        <v>0</v>
      </c>
      <c r="DX105" s="296">
        <v>0</v>
      </c>
      <c r="DY105" s="296">
        <v>0</v>
      </c>
      <c r="DZ105" s="296">
        <v>0</v>
      </c>
      <c r="EA105" s="296">
        <v>0</v>
      </c>
      <c r="EB105" s="296">
        <v>0</v>
      </c>
      <c r="EC105" s="296">
        <v>0</v>
      </c>
      <c r="ED105" s="296">
        <v>0</v>
      </c>
      <c r="EE105" s="296">
        <v>0</v>
      </c>
      <c r="EF105" s="296">
        <v>0</v>
      </c>
      <c r="EG105" s="296">
        <v>0</v>
      </c>
      <c r="EH105" s="296">
        <v>0</v>
      </c>
      <c r="ES105" s="335"/>
      <c r="EX105" s="335"/>
      <c r="FZ105" s="296">
        <f>FZ104-FZ85</f>
        <v>-352.68476271806583</v>
      </c>
    </row>
    <row r="106" spans="1:182" x14ac:dyDescent="0.2">
      <c r="CH106" s="297"/>
      <c r="CI106" s="297"/>
      <c r="CJ106" s="297"/>
      <c r="CS106" s="332"/>
      <c r="CT106" s="332"/>
      <c r="CU106" s="332"/>
      <c r="CV106" s="332"/>
      <c r="CW106" s="332"/>
      <c r="CX106" s="332"/>
      <c r="CY106" s="332"/>
      <c r="CZ106" s="332"/>
      <c r="DA106" s="332"/>
      <c r="ES106" s="317"/>
      <c r="EX106" s="317"/>
    </row>
    <row r="107" spans="1:182" x14ac:dyDescent="0.2">
      <c r="CH107" s="297"/>
      <c r="CI107" s="297"/>
      <c r="CJ107" s="297"/>
      <c r="CS107" s="332"/>
      <c r="CT107" s="332"/>
      <c r="CU107" s="332"/>
      <c r="CV107" s="332"/>
      <c r="CW107" s="332"/>
      <c r="CX107" s="332"/>
      <c r="CY107" s="332"/>
      <c r="CZ107" s="332"/>
      <c r="DA107" s="332"/>
      <c r="ES107" s="317"/>
      <c r="EX107" s="317"/>
    </row>
    <row r="108" spans="1:182" x14ac:dyDescent="0.2">
      <c r="CH108" s="297"/>
      <c r="CI108" s="297"/>
      <c r="CJ108" s="297"/>
      <c r="CS108" s="332"/>
      <c r="CT108" s="332"/>
      <c r="CU108" s="332"/>
      <c r="CV108" s="332"/>
      <c r="CW108" s="332"/>
      <c r="CX108" s="332"/>
      <c r="CY108" s="332"/>
      <c r="CZ108" s="332"/>
      <c r="DA108" s="332"/>
    </row>
    <row r="109" spans="1:182" x14ac:dyDescent="0.2">
      <c r="A109" s="117" t="s">
        <v>79</v>
      </c>
      <c r="CH109" s="297"/>
      <c r="CI109" s="297"/>
      <c r="CJ109" s="297"/>
      <c r="CS109" s="332"/>
      <c r="CT109" s="332"/>
      <c r="CU109" s="332"/>
      <c r="CV109" s="332"/>
      <c r="CW109" s="332"/>
      <c r="CX109" s="332"/>
      <c r="CY109" s="332"/>
      <c r="CZ109" s="332"/>
      <c r="DA109" s="332"/>
    </row>
    <row r="110" spans="1:182" x14ac:dyDescent="0.2">
      <c r="CH110" s="297"/>
      <c r="CI110" s="297"/>
      <c r="CJ110" s="297"/>
      <c r="CS110" s="332"/>
      <c r="CT110" s="332"/>
      <c r="CU110" s="332"/>
      <c r="CV110" s="332"/>
      <c r="CW110" s="332"/>
      <c r="CX110" s="332"/>
      <c r="CY110" s="332"/>
      <c r="CZ110" s="332"/>
      <c r="DA110" s="332"/>
    </row>
    <row r="111" spans="1:182" x14ac:dyDescent="0.2">
      <c r="CH111" s="297"/>
      <c r="CI111" s="297"/>
      <c r="CJ111" s="297"/>
      <c r="CS111" s="332"/>
      <c r="CT111" s="332"/>
      <c r="CU111" s="332"/>
      <c r="CV111" s="332"/>
      <c r="CW111" s="332"/>
      <c r="CX111" s="332"/>
      <c r="CY111" s="332"/>
      <c r="CZ111" s="332"/>
      <c r="DA111" s="332"/>
    </row>
    <row r="112" spans="1:182" x14ac:dyDescent="0.2">
      <c r="CH112" s="297"/>
      <c r="CI112" s="297"/>
      <c r="CJ112" s="297"/>
      <c r="CS112" s="332"/>
      <c r="CT112" s="332"/>
      <c r="CU112" s="332"/>
      <c r="CV112" s="332"/>
      <c r="CW112" s="332"/>
      <c r="CX112" s="332"/>
      <c r="CY112" s="332"/>
      <c r="CZ112" s="332"/>
      <c r="DA112" s="332"/>
    </row>
    <row r="113" spans="86:105" x14ac:dyDescent="0.2">
      <c r="CH113" s="297"/>
      <c r="CI113" s="297"/>
      <c r="CJ113" s="297"/>
      <c r="CS113" s="332"/>
      <c r="CT113" s="332"/>
      <c r="CU113" s="332"/>
      <c r="CV113" s="332"/>
      <c r="CW113" s="332"/>
      <c r="CX113" s="332"/>
      <c r="CY113" s="332"/>
      <c r="CZ113" s="332"/>
      <c r="DA113" s="332"/>
    </row>
    <row r="114" spans="86:105" x14ac:dyDescent="0.2">
      <c r="CH114" s="297"/>
      <c r="CI114" s="297"/>
      <c r="CJ114" s="297"/>
      <c r="CS114" s="332"/>
      <c r="CT114" s="332"/>
      <c r="CU114" s="332"/>
      <c r="CV114" s="332"/>
      <c r="CW114" s="332"/>
      <c r="CX114" s="332"/>
      <c r="CY114" s="332"/>
      <c r="CZ114" s="332"/>
      <c r="DA114" s="332"/>
    </row>
    <row r="115" spans="86:105" x14ac:dyDescent="0.2">
      <c r="CH115" s="297"/>
      <c r="CI115" s="297"/>
      <c r="CJ115" s="297"/>
      <c r="CS115" s="332"/>
      <c r="CT115" s="332"/>
      <c r="CU115" s="332"/>
      <c r="CV115" s="332"/>
      <c r="CW115" s="332"/>
      <c r="CX115" s="332"/>
      <c r="CY115" s="332"/>
      <c r="CZ115" s="332"/>
      <c r="DA115" s="332"/>
    </row>
    <row r="116" spans="86:105" x14ac:dyDescent="0.2">
      <c r="CH116" s="297"/>
      <c r="CI116" s="297"/>
      <c r="CJ116" s="297"/>
      <c r="CS116" s="332"/>
      <c r="CT116" s="332"/>
      <c r="CU116" s="332"/>
      <c r="CV116" s="332"/>
      <c r="CW116" s="332"/>
      <c r="CX116" s="332"/>
      <c r="CY116" s="332"/>
      <c r="CZ116" s="332"/>
      <c r="DA116" s="332"/>
    </row>
    <row r="117" spans="86:105" x14ac:dyDescent="0.2">
      <c r="CH117" s="297"/>
      <c r="CI117" s="297"/>
      <c r="CJ117" s="297"/>
      <c r="CS117" s="332"/>
      <c r="CT117" s="332"/>
      <c r="CU117" s="332"/>
      <c r="CV117" s="332"/>
      <c r="CW117" s="332"/>
      <c r="CX117" s="332"/>
      <c r="CY117" s="332"/>
      <c r="CZ117" s="332"/>
      <c r="DA117" s="332"/>
    </row>
    <row r="118" spans="86:105" x14ac:dyDescent="0.2">
      <c r="CH118" s="297"/>
      <c r="CI118" s="297"/>
      <c r="CJ118" s="297"/>
      <c r="CS118" s="332"/>
      <c r="CT118" s="332"/>
      <c r="CU118" s="332"/>
      <c r="CV118" s="332"/>
      <c r="CW118" s="332"/>
      <c r="CX118" s="332"/>
      <c r="CY118" s="332"/>
      <c r="CZ118" s="332"/>
      <c r="DA118" s="332"/>
    </row>
    <row r="119" spans="86:105" x14ac:dyDescent="0.2">
      <c r="CS119" s="332"/>
      <c r="CT119" s="332"/>
      <c r="CU119" s="332"/>
      <c r="CV119" s="332"/>
      <c r="CW119" s="332"/>
      <c r="CX119" s="332"/>
      <c r="CY119" s="332"/>
      <c r="CZ119" s="332"/>
      <c r="DA119" s="332"/>
    </row>
    <row r="120" spans="86:105" x14ac:dyDescent="0.2">
      <c r="CS120" s="332"/>
      <c r="CT120" s="332"/>
      <c r="CU120" s="332"/>
      <c r="CV120" s="332"/>
      <c r="CW120" s="332"/>
      <c r="CX120" s="332"/>
      <c r="CY120" s="332"/>
      <c r="CZ120" s="332"/>
      <c r="DA120" s="332"/>
    </row>
    <row r="121" spans="86:105" x14ac:dyDescent="0.2">
      <c r="CS121" s="332"/>
      <c r="CT121" s="332"/>
      <c r="CU121" s="332"/>
      <c r="CV121" s="332"/>
      <c r="CW121" s="332"/>
      <c r="CX121" s="332"/>
      <c r="CY121" s="332"/>
      <c r="CZ121" s="332"/>
      <c r="DA121" s="332"/>
    </row>
    <row r="122" spans="86:105" x14ac:dyDescent="0.2">
      <c r="CS122" s="332"/>
      <c r="CT122" s="332"/>
      <c r="CU122" s="332"/>
      <c r="CV122" s="332"/>
      <c r="CW122" s="332"/>
      <c r="CX122" s="332"/>
      <c r="CY122" s="332"/>
      <c r="CZ122" s="332"/>
      <c r="DA122" s="332"/>
    </row>
    <row r="123" spans="86:105" x14ac:dyDescent="0.2">
      <c r="CS123" s="332"/>
      <c r="CT123" s="332"/>
      <c r="CU123" s="332"/>
      <c r="CV123" s="332"/>
      <c r="CW123" s="332"/>
      <c r="CX123" s="332"/>
      <c r="CY123" s="332"/>
      <c r="CZ123" s="332"/>
      <c r="DA123" s="332"/>
    </row>
    <row r="124" spans="86:105" x14ac:dyDescent="0.2">
      <c r="CS124" s="332"/>
      <c r="CT124" s="332"/>
      <c r="CU124" s="332"/>
      <c r="CV124" s="332"/>
      <c r="CW124" s="332"/>
      <c r="CX124" s="332"/>
      <c r="CY124" s="332"/>
      <c r="CZ124" s="332"/>
      <c r="DA124" s="332"/>
    </row>
    <row r="125" spans="86:105" x14ac:dyDescent="0.2">
      <c r="CS125" s="332"/>
      <c r="CT125" s="332"/>
      <c r="CU125" s="332"/>
      <c r="CV125" s="332"/>
      <c r="CW125" s="332"/>
      <c r="CX125" s="332"/>
      <c r="CY125" s="332"/>
      <c r="CZ125" s="332"/>
      <c r="DA125" s="332"/>
    </row>
    <row r="126" spans="86:105" x14ac:dyDescent="0.2">
      <c r="CS126" s="332"/>
      <c r="CT126" s="332"/>
      <c r="CU126" s="332"/>
      <c r="CV126" s="332"/>
      <c r="CW126" s="332"/>
      <c r="CX126" s="332"/>
      <c r="CY126" s="332"/>
      <c r="CZ126" s="332"/>
      <c r="DA126" s="332"/>
    </row>
    <row r="127" spans="86:105" x14ac:dyDescent="0.2">
      <c r="CS127" s="332"/>
      <c r="CT127" s="332"/>
      <c r="CU127" s="332"/>
      <c r="CV127" s="332"/>
      <c r="CW127" s="332"/>
      <c r="CX127" s="332"/>
      <c r="CY127" s="332"/>
      <c r="CZ127" s="332"/>
      <c r="DA127" s="332"/>
    </row>
    <row r="128" spans="86:105" x14ac:dyDescent="0.2">
      <c r="CS128" s="332"/>
      <c r="CT128" s="332"/>
      <c r="CU128" s="332"/>
      <c r="CV128" s="332"/>
      <c r="CW128" s="332"/>
      <c r="CX128" s="332"/>
      <c r="CY128" s="332"/>
      <c r="CZ128" s="332"/>
      <c r="DA128" s="332"/>
    </row>
    <row r="129" spans="97:105" x14ac:dyDescent="0.2">
      <c r="CS129" s="332"/>
      <c r="CT129" s="332"/>
      <c r="CU129" s="332"/>
      <c r="CV129" s="332"/>
      <c r="CW129" s="332"/>
      <c r="CX129" s="332"/>
      <c r="CY129" s="332"/>
      <c r="CZ129" s="332"/>
      <c r="DA129" s="332"/>
    </row>
    <row r="130" spans="97:105" x14ac:dyDescent="0.2">
      <c r="CS130" s="332"/>
      <c r="CT130" s="332"/>
      <c r="CU130" s="332"/>
      <c r="CV130" s="332"/>
      <c r="CW130" s="332"/>
      <c r="CX130" s="332"/>
      <c r="CY130" s="332"/>
      <c r="CZ130" s="332"/>
      <c r="DA130" s="332"/>
    </row>
    <row r="131" spans="97:105" x14ac:dyDescent="0.2">
      <c r="CS131" s="332"/>
      <c r="CT131" s="332"/>
      <c r="CU131" s="332"/>
      <c r="CV131" s="332"/>
      <c r="CW131" s="332"/>
      <c r="CX131" s="332"/>
      <c r="CY131" s="332"/>
      <c r="CZ131" s="332"/>
      <c r="DA131" s="332"/>
    </row>
    <row r="132" spans="97:105" x14ac:dyDescent="0.2">
      <c r="CS132" s="332"/>
      <c r="CT132" s="332"/>
      <c r="CU132" s="332"/>
      <c r="CV132" s="332"/>
      <c r="CW132" s="332"/>
      <c r="CX132" s="332"/>
      <c r="CY132" s="332"/>
      <c r="CZ132" s="332"/>
      <c r="DA132" s="332"/>
    </row>
    <row r="133" spans="97:105" x14ac:dyDescent="0.2">
      <c r="CS133" s="332"/>
      <c r="CT133" s="332"/>
      <c r="CU133" s="332"/>
      <c r="CV133" s="332"/>
      <c r="CW133" s="332"/>
      <c r="CX133" s="332"/>
      <c r="CY133" s="332"/>
      <c r="CZ133" s="332"/>
      <c r="DA133" s="332"/>
    </row>
    <row r="134" spans="97:105" x14ac:dyDescent="0.2">
      <c r="CS134" s="332"/>
      <c r="CT134" s="332"/>
      <c r="CU134" s="332"/>
      <c r="CV134" s="332"/>
      <c r="CW134" s="332"/>
      <c r="CX134" s="332"/>
      <c r="CY134" s="332"/>
      <c r="CZ134" s="332"/>
      <c r="DA134" s="332"/>
    </row>
    <row r="135" spans="97:105" x14ac:dyDescent="0.2">
      <c r="CS135" s="332"/>
      <c r="CT135" s="332"/>
      <c r="CU135" s="332"/>
      <c r="CV135" s="332"/>
      <c r="CW135" s="332"/>
      <c r="CX135" s="332"/>
      <c r="CY135" s="332"/>
      <c r="CZ135" s="332"/>
      <c r="DA135" s="332"/>
    </row>
    <row r="136" spans="97:105" x14ac:dyDescent="0.2">
      <c r="CS136" s="332"/>
      <c r="CT136" s="332"/>
      <c r="CU136" s="332"/>
      <c r="CV136" s="332"/>
      <c r="CW136" s="332"/>
      <c r="CX136" s="332"/>
      <c r="CY136" s="332"/>
      <c r="CZ136" s="332"/>
      <c r="DA136" s="332"/>
    </row>
    <row r="137" spans="97:105" x14ac:dyDescent="0.2">
      <c r="CS137" s="332"/>
      <c r="CT137" s="332"/>
      <c r="CU137" s="332"/>
      <c r="CV137" s="332"/>
      <c r="CW137" s="332"/>
      <c r="CX137" s="332"/>
      <c r="CY137" s="332"/>
      <c r="CZ137" s="332"/>
      <c r="DA137" s="332"/>
    </row>
    <row r="138" spans="97:105" x14ac:dyDescent="0.2">
      <c r="CS138" s="332"/>
      <c r="CT138" s="332"/>
      <c r="CU138" s="332"/>
      <c r="CV138" s="332"/>
      <c r="CW138" s="332"/>
      <c r="CX138" s="332"/>
      <c r="CY138" s="332"/>
      <c r="CZ138" s="332"/>
      <c r="DA138" s="332"/>
    </row>
    <row r="139" spans="97:105" x14ac:dyDescent="0.2">
      <c r="CS139" s="332"/>
      <c r="CT139" s="332"/>
      <c r="CU139" s="332"/>
      <c r="CV139" s="332"/>
      <c r="CW139" s="332"/>
      <c r="CX139" s="332"/>
      <c r="CY139" s="332"/>
      <c r="CZ139" s="332"/>
      <c r="DA139" s="332"/>
    </row>
    <row r="140" spans="97:105" x14ac:dyDescent="0.2">
      <c r="CS140" s="332"/>
      <c r="CT140" s="332"/>
      <c r="CU140" s="332"/>
      <c r="CV140" s="332"/>
      <c r="CW140" s="332"/>
      <c r="CX140" s="332"/>
      <c r="CY140" s="332"/>
      <c r="CZ140" s="332"/>
      <c r="DA140" s="332"/>
    </row>
  </sheetData>
  <mergeCells count="300">
    <mergeCell ref="KY6:LO6"/>
    <mergeCell ref="KY7:KY8"/>
    <mergeCell ref="KZ7:KZ8"/>
    <mergeCell ref="LA7:LA8"/>
    <mergeCell ref="LB7:LB8"/>
    <mergeCell ref="LC7:LC8"/>
    <mergeCell ref="LD7:LD8"/>
    <mergeCell ref="LE7:LE8"/>
    <mergeCell ref="LF7:LF8"/>
    <mergeCell ref="LG7:LG8"/>
    <mergeCell ref="LH7:LH8"/>
    <mergeCell ref="LI7:LI8"/>
    <mergeCell ref="LJ7:LJ8"/>
    <mergeCell ref="LK7:LK8"/>
    <mergeCell ref="LL7:LL8"/>
    <mergeCell ref="LM7:LM8"/>
    <mergeCell ref="LN7:LN8"/>
    <mergeCell ref="LO7:LO8"/>
    <mergeCell ref="IB7:IB8"/>
    <mergeCell ref="IC7:IC8"/>
    <mergeCell ref="ID7:ID8"/>
    <mergeCell ref="IE7:IE8"/>
    <mergeCell ref="IF7:IF8"/>
    <mergeCell ref="IG7:IG8"/>
    <mergeCell ref="IH7:IH8"/>
    <mergeCell ref="HR6:IA6"/>
    <mergeCell ref="HR7:HR8"/>
    <mergeCell ref="HS7:HS8"/>
    <mergeCell ref="HT7:HT8"/>
    <mergeCell ref="HU7:HU8"/>
    <mergeCell ref="HV7:HV8"/>
    <mergeCell ref="HW7:HW8"/>
    <mergeCell ref="HX7:HX8"/>
    <mergeCell ref="HY7:HY8"/>
    <mergeCell ref="HZ7:HZ8"/>
    <mergeCell ref="IA7:IA8"/>
    <mergeCell ref="HJ7:HJ8"/>
    <mergeCell ref="HK7:HK8"/>
    <mergeCell ref="HL7:HL8"/>
    <mergeCell ref="HM7:HM8"/>
    <mergeCell ref="HN7:HN8"/>
    <mergeCell ref="HO7:HO8"/>
    <mergeCell ref="HA6:HJ6"/>
    <mergeCell ref="HA7:HA8"/>
    <mergeCell ref="HB7:HB8"/>
    <mergeCell ref="HC7:HC8"/>
    <mergeCell ref="HD7:HD8"/>
    <mergeCell ref="HE7:HE8"/>
    <mergeCell ref="HF7:HF8"/>
    <mergeCell ref="HG7:HG8"/>
    <mergeCell ref="HH7:HH8"/>
    <mergeCell ref="HI7:HI8"/>
    <mergeCell ref="FR7:FR8"/>
    <mergeCell ref="FF7:FF8"/>
    <mergeCell ref="FG7:FG8"/>
    <mergeCell ref="FH7:FH8"/>
    <mergeCell ref="FI7:FI8"/>
    <mergeCell ref="FM7:FM8"/>
    <mergeCell ref="FJ7:FJ8"/>
    <mergeCell ref="FK7:FK8"/>
    <mergeCell ref="FL7:FL8"/>
    <mergeCell ref="FN7:FN8"/>
    <mergeCell ref="FO7:FO8"/>
    <mergeCell ref="FP7:FP8"/>
    <mergeCell ref="FQ7:FQ8"/>
    <mergeCell ref="AO6:BB6"/>
    <mergeCell ref="AV7:AV8"/>
    <mergeCell ref="BD7:BD8"/>
    <mergeCell ref="BC7:BC8"/>
    <mergeCell ref="AZ7:AZ8"/>
    <mergeCell ref="BA7:BA8"/>
    <mergeCell ref="AS7:AS8"/>
    <mergeCell ref="BC6:BS6"/>
    <mergeCell ref="AR7:AR8"/>
    <mergeCell ref="AT7:AT8"/>
    <mergeCell ref="AX7:AX8"/>
    <mergeCell ref="BG7:BG8"/>
    <mergeCell ref="BE7:BE8"/>
    <mergeCell ref="BI7:BI8"/>
    <mergeCell ref="BH7:BH8"/>
    <mergeCell ref="BO7:BO8"/>
    <mergeCell ref="BN7:BN8"/>
    <mergeCell ref="AY7:AY8"/>
    <mergeCell ref="BQ7:BQ8"/>
    <mergeCell ref="BR7:BR8"/>
    <mergeCell ref="BJ7:BJ8"/>
    <mergeCell ref="BK7:BK8"/>
    <mergeCell ref="BM7:BM8"/>
    <mergeCell ref="BL7:BL8"/>
    <mergeCell ref="A85:B85"/>
    <mergeCell ref="BF7:BF8"/>
    <mergeCell ref="BB7:BB8"/>
    <mergeCell ref="AU7:AU8"/>
    <mergeCell ref="A7:B7"/>
    <mergeCell ref="AW7:AW8"/>
    <mergeCell ref="BX7:BX8"/>
    <mergeCell ref="BY7:BY8"/>
    <mergeCell ref="BZ7:BZ8"/>
    <mergeCell ref="AQ7:AQ8"/>
    <mergeCell ref="AO7:AO8"/>
    <mergeCell ref="AP7:AP8"/>
    <mergeCell ref="BV7:BV8"/>
    <mergeCell ref="BT7:BT8"/>
    <mergeCell ref="BU7:BU8"/>
    <mergeCell ref="BS7:BS8"/>
    <mergeCell ref="BP7:BP8"/>
    <mergeCell ref="A82:B82"/>
    <mergeCell ref="BW6:CJ6"/>
    <mergeCell ref="CA7:CA8"/>
    <mergeCell ref="CB7:CB8"/>
    <mergeCell ref="CC7:CC8"/>
    <mergeCell ref="CD7:CD8"/>
    <mergeCell ref="BW7:BW8"/>
    <mergeCell ref="DC7:DC8"/>
    <mergeCell ref="CK7:CK8"/>
    <mergeCell ref="CL7:CL8"/>
    <mergeCell ref="CM7:CM8"/>
    <mergeCell ref="CZ7:CZ8"/>
    <mergeCell ref="CN7:CN8"/>
    <mergeCell ref="CO7:CO8"/>
    <mergeCell ref="CP7:CP8"/>
    <mergeCell ref="CQ7:CQ8"/>
    <mergeCell ref="CR7:CR8"/>
    <mergeCell ref="CJ7:CJ8"/>
    <mergeCell ref="CI7:CI8"/>
    <mergeCell ref="CE7:CE8"/>
    <mergeCell ref="CF7:CF8"/>
    <mergeCell ref="CG7:CG8"/>
    <mergeCell ref="CH7:CH8"/>
    <mergeCell ref="CS7:CS8"/>
    <mergeCell ref="CT7:CT8"/>
    <mergeCell ref="DV6:EI6"/>
    <mergeCell ref="FB7:FB8"/>
    <mergeCell ref="FC7:FC8"/>
    <mergeCell ref="FD7:FD8"/>
    <mergeCell ref="ER7:ER8"/>
    <mergeCell ref="ES7:ES8"/>
    <mergeCell ref="ET7:ET8"/>
    <mergeCell ref="FW7:FW8"/>
    <mergeCell ref="FX7:FX8"/>
    <mergeCell ref="EU7:EU8"/>
    <mergeCell ref="EN7:EN8"/>
    <mergeCell ref="EO7:EO8"/>
    <mergeCell ref="FE7:FE8"/>
    <mergeCell ref="EZ7:EZ8"/>
    <mergeCell ref="EV7:EV8"/>
    <mergeCell ref="EW7:EW8"/>
    <mergeCell ref="EX7:EX8"/>
    <mergeCell ref="EY7:EY8"/>
    <mergeCell ref="EP7:EP8"/>
    <mergeCell ref="EQ7:EQ8"/>
    <mergeCell ref="EJ7:EJ8"/>
    <mergeCell ref="EK7:EK8"/>
    <mergeCell ref="EL7:EL8"/>
    <mergeCell ref="EM7:EM8"/>
    <mergeCell ref="DN7:DN8"/>
    <mergeCell ref="DO7:DO8"/>
    <mergeCell ref="EH7:EH8"/>
    <mergeCell ref="EI7:EI8"/>
    <mergeCell ref="DS7:DS8"/>
    <mergeCell ref="DT7:DT8"/>
    <mergeCell ref="DU7:DU8"/>
    <mergeCell ref="ED7:ED8"/>
    <mergeCell ref="EE7:EE8"/>
    <mergeCell ref="EF7:EF8"/>
    <mergeCell ref="EG7:EG8"/>
    <mergeCell ref="DZ7:DZ8"/>
    <mergeCell ref="EA7:EA8"/>
    <mergeCell ref="EB7:EB8"/>
    <mergeCell ref="EC7:EC8"/>
    <mergeCell ref="DV7:DV8"/>
    <mergeCell ref="DW7:DW8"/>
    <mergeCell ref="DX7:DX8"/>
    <mergeCell ref="DY7:DY8"/>
    <mergeCell ref="CU7:CU8"/>
    <mergeCell ref="CV7:CV8"/>
    <mergeCell ref="DI7:DI8"/>
    <mergeCell ref="DJ7:DJ8"/>
    <mergeCell ref="GZ7:GZ8"/>
    <mergeCell ref="GV7:GV8"/>
    <mergeCell ref="GW7:GW8"/>
    <mergeCell ref="GX7:GX8"/>
    <mergeCell ref="GY7:GY8"/>
    <mergeCell ref="GR7:GR8"/>
    <mergeCell ref="GS7:GS8"/>
    <mergeCell ref="GT7:GT8"/>
    <mergeCell ref="GU7:GU8"/>
    <mergeCell ref="GE7:GE8"/>
    <mergeCell ref="GF7:GF8"/>
    <mergeCell ref="GG7:GG8"/>
    <mergeCell ref="GH7:GH8"/>
    <mergeCell ref="GA7:GA8"/>
    <mergeCell ref="GB7:GB8"/>
    <mergeCell ref="GC7:GC8"/>
    <mergeCell ref="GD7:GD8"/>
    <mergeCell ref="DK7:DK8"/>
    <mergeCell ref="DP7:DP8"/>
    <mergeCell ref="DQ7:DQ8"/>
    <mergeCell ref="GN7:GN8"/>
    <mergeCell ref="GO7:GO8"/>
    <mergeCell ref="GP7:GP8"/>
    <mergeCell ref="II6:IY6"/>
    <mergeCell ref="IY7:IY8"/>
    <mergeCell ref="IX7:IX8"/>
    <mergeCell ref="IW7:IW8"/>
    <mergeCell ref="IV7:IV8"/>
    <mergeCell ref="IU7:IU8"/>
    <mergeCell ref="IT7:IT8"/>
    <mergeCell ref="IS7:IS8"/>
    <mergeCell ref="IR7:IR8"/>
    <mergeCell ref="IQ7:IQ8"/>
    <mergeCell ref="IP7:IP8"/>
    <mergeCell ref="IO7:IO8"/>
    <mergeCell ref="IN7:IN8"/>
    <mergeCell ref="IM7:IM8"/>
    <mergeCell ref="IL7:IL8"/>
    <mergeCell ref="IK7:IK8"/>
    <mergeCell ref="IJ7:IJ8"/>
    <mergeCell ref="II7:II8"/>
    <mergeCell ref="GQ7:GQ8"/>
    <mergeCell ref="HP7:HP8"/>
    <mergeCell ref="HQ7:HQ8"/>
    <mergeCell ref="GJ7:GJ8"/>
    <mergeCell ref="GK7:GK8"/>
    <mergeCell ref="GL7:GL8"/>
    <mergeCell ref="GM7:GM8"/>
    <mergeCell ref="CW7:CW8"/>
    <mergeCell ref="CX7:CX8"/>
    <mergeCell ref="CY7:CY8"/>
    <mergeCell ref="DA7:DA8"/>
    <mergeCell ref="DB7:DB8"/>
    <mergeCell ref="DD7:DD8"/>
    <mergeCell ref="DE7:DE8"/>
    <mergeCell ref="DF7:DF8"/>
    <mergeCell ref="DG7:DG8"/>
    <mergeCell ref="GI7:GI8"/>
    <mergeCell ref="FY7:FY8"/>
    <mergeCell ref="FZ7:FZ8"/>
    <mergeCell ref="FS7:FS8"/>
    <mergeCell ref="FT7:FT8"/>
    <mergeCell ref="FU7:FU8"/>
    <mergeCell ref="FV7:FV8"/>
    <mergeCell ref="DH7:DH8"/>
    <mergeCell ref="DR7:DR8"/>
    <mergeCell ref="DL7:DL8"/>
    <mergeCell ref="DM7:DM8"/>
    <mergeCell ref="IZ6:JP6"/>
    <mergeCell ref="IZ7:IZ8"/>
    <mergeCell ref="JA7:JA8"/>
    <mergeCell ref="JB7:JB8"/>
    <mergeCell ref="JC7:JC8"/>
    <mergeCell ref="JD7:JD8"/>
    <mergeCell ref="JE7:JE8"/>
    <mergeCell ref="JF7:JF8"/>
    <mergeCell ref="JG7:JG8"/>
    <mergeCell ref="JH7:JH8"/>
    <mergeCell ref="JI7:JI8"/>
    <mergeCell ref="JJ7:JJ8"/>
    <mergeCell ref="JK7:JK8"/>
    <mergeCell ref="JL7:JL8"/>
    <mergeCell ref="JM7:JM8"/>
    <mergeCell ref="JN7:JN8"/>
    <mergeCell ref="JO7:JO8"/>
    <mergeCell ref="JP7:JP8"/>
    <mergeCell ref="JQ6:KG6"/>
    <mergeCell ref="JQ7:JQ8"/>
    <mergeCell ref="JR7:JR8"/>
    <mergeCell ref="JS7:JS8"/>
    <mergeCell ref="JT7:JT8"/>
    <mergeCell ref="JU7:JU8"/>
    <mergeCell ref="JV7:JV8"/>
    <mergeCell ref="JW7:JW8"/>
    <mergeCell ref="JX7:JX8"/>
    <mergeCell ref="JY7:JY8"/>
    <mergeCell ref="JZ7:JZ8"/>
    <mergeCell ref="KA7:KA8"/>
    <mergeCell ref="KB7:KB8"/>
    <mergeCell ref="KC7:KC8"/>
    <mergeCell ref="KD7:KD8"/>
    <mergeCell ref="KE7:KE8"/>
    <mergeCell ref="KF7:KF8"/>
    <mergeCell ref="KG7:KG8"/>
    <mergeCell ref="KH6:KX6"/>
    <mergeCell ref="KH7:KH8"/>
    <mergeCell ref="KI7:KI8"/>
    <mergeCell ref="KJ7:KJ8"/>
    <mergeCell ref="KK7:KK8"/>
    <mergeCell ref="KL7:KL8"/>
    <mergeCell ref="KM7:KM8"/>
    <mergeCell ref="KN7:KN8"/>
    <mergeCell ref="KO7:KO8"/>
    <mergeCell ref="KP7:KP8"/>
    <mergeCell ref="KQ7:KQ8"/>
    <mergeCell ref="KR7:KR8"/>
    <mergeCell ref="KS7:KS8"/>
    <mergeCell ref="KT7:KT8"/>
    <mergeCell ref="KU7:KU8"/>
    <mergeCell ref="KV7:KV8"/>
    <mergeCell ref="KW7:KW8"/>
    <mergeCell ref="KX7:KX8"/>
  </mergeCells>
  <phoneticPr fontId="0" type="noConversion"/>
  <printOptions horizontalCentered="1" verticalCentered="1"/>
  <pageMargins left="0.9055118110236221" right="0.39370078740157483" top="7.874015748031496E-2" bottom="0.70866141732283472" header="0.19685039370078741" footer="0.35433070866141736"/>
  <pageSetup scale="42" orientation="landscape" r:id="rId1"/>
  <headerFooter alignWithMargins="0"/>
  <ignoredErrors>
    <ignoredError sqref="HY10:HY17 HU10:HU17 HQ45:HQ58 HY21:HY29 HU21:HU29 HL33:HN35 HL10:HN17 HH10:HK17 HO10:HO17 HO21:HO32 HL26:HN32 HH21:HK32 HD10:HF17 HJ20:HK20 HD21:HF35 HD18:HD20 HL20:HL25 HD41:HP48 HD53:HP58 HD49:HD51 HP49:HP51 HD52 HI52:HP52 HI49:HL51 HY31:HY36 HU31:HU35 HU45:HU58 HY45:HY58 JC86:KG86" formula="1"/>
    <ignoredError sqref="HU18:HU20 HY18:HY20 HO18:HO20 HJ18:HK19 HL18:HL19 HE18:HF20 HH18:HH19 HH20:HI20 HI18:HI19 HM18:HN19 HM20:HN25 HM49:HO51 HE49:HH51 HE52:HH52" formula="1" formulaRange="1"/>
    <ignoredError sqref="HP18:HQ20 IC18:IC20 HG18 HG19 HG20 IG18:IG20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0:B11"/>
  <sheetViews>
    <sheetView workbookViewId="0">
      <selection activeCell="D17" sqref="D17"/>
    </sheetView>
  </sheetViews>
  <sheetFormatPr baseColWidth="10" defaultRowHeight="12.75" x14ac:dyDescent="0.2"/>
  <sheetData>
    <row r="10" spans="2:2" x14ac:dyDescent="0.2">
      <c r="B10">
        <v>220.17147545997739</v>
      </c>
    </row>
    <row r="11" spans="2:2" x14ac:dyDescent="0.2">
      <c r="B11">
        <v>220.26367756554055</v>
      </c>
    </row>
  </sheetData>
  <phoneticPr fontId="0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>
      <selection activeCell="D18" sqref="D18"/>
    </sheetView>
  </sheetViews>
  <sheetFormatPr baseColWidth="10" defaultRowHeight="12.75" x14ac:dyDescent="0.2"/>
  <sheetData/>
  <phoneticPr fontId="0" type="noConversion"/>
  <pageMargins left="0.75" right="0.75" top="1" bottom="1" header="0.511811024" footer="0.511811024"/>
  <headerFooter alignWithMargins="0">
    <oddHeader>&amp;A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8.04</vt:lpstr>
      <vt:lpstr>Hoja2</vt:lpstr>
      <vt:lpstr>Hoja3</vt:lpstr>
      <vt:lpstr>Hoja4</vt:lpstr>
      <vt:lpstr>Hoja5</vt:lpstr>
      <vt:lpstr>Hoja6</vt:lpstr>
      <vt:lpstr>'8.04'!Área_de_impresión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2016-05-13T13:54:10Z</cp:lastPrinted>
  <dcterms:created xsi:type="dcterms:W3CDTF">1999-03-24T13:30:12Z</dcterms:created>
  <dcterms:modified xsi:type="dcterms:W3CDTF">2016-05-20T22:02:08Z</dcterms:modified>
</cp:coreProperties>
</file>