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30" yWindow="390" windowWidth="5085" windowHeight="9270"/>
  </bookViews>
  <sheets>
    <sheet name="08-05" sheetId="1" r:id="rId1"/>
    <sheet name="Histórico" sheetId="2" r:id="rId2"/>
  </sheets>
  <definedNames>
    <definedName name="_Regression_Int" localSheetId="0" hidden="1">1</definedName>
    <definedName name="_Regression_Int" localSheetId="1" hidden="1">1</definedName>
    <definedName name="A_impresión_IM" localSheetId="0">'08-05'!$A$1:$AA$333</definedName>
    <definedName name="A_impresión_IM" localSheetId="1">Histórico!$A$1:$Y$110</definedName>
    <definedName name="_xlnm.Print_Area" localSheetId="0">'08-05'!$B$1:$AA$340</definedName>
    <definedName name="_xlnm.Print_Area" localSheetId="1">Histórico!$A$1:$Z$112</definedName>
    <definedName name="_xlnm.Print_Titles" localSheetId="1">Histórico!$1:$9</definedName>
  </definedNames>
  <calcPr calcId="144525"/>
</workbook>
</file>

<file path=xl/calcChain.xml><?xml version="1.0" encoding="utf-8"?>
<calcChain xmlns="http://schemas.openxmlformats.org/spreadsheetml/2006/main">
  <c r="X314" i="1" l="1"/>
  <c r="W314" i="1"/>
  <c r="V314" i="1"/>
  <c r="T314" i="1"/>
  <c r="S314" i="1"/>
  <c r="R314" i="1"/>
  <c r="P314" i="1"/>
  <c r="O314" i="1"/>
  <c r="L314" i="1"/>
  <c r="K314" i="1"/>
  <c r="J314" i="1"/>
  <c r="I314" i="1"/>
  <c r="G314" i="1"/>
  <c r="F314" i="1"/>
  <c r="E314" i="1"/>
  <c r="D314" i="1"/>
  <c r="C314" i="1"/>
  <c r="U327" i="1" l="1"/>
  <c r="U326" i="1"/>
  <c r="U325" i="1"/>
  <c r="Q327" i="1"/>
  <c r="Q326" i="1"/>
  <c r="Q325" i="1"/>
  <c r="M327" i="1"/>
  <c r="M326" i="1"/>
  <c r="M325" i="1"/>
  <c r="H327" i="1"/>
  <c r="H326" i="1"/>
  <c r="H325" i="1"/>
  <c r="N325" i="1" l="1"/>
  <c r="N326" i="1"/>
  <c r="N327" i="1"/>
  <c r="Z326" i="1"/>
  <c r="Z327" i="1"/>
  <c r="Z325" i="1"/>
  <c r="Y322" i="1" l="1"/>
  <c r="Y323" i="1" l="1"/>
  <c r="Y321" i="1"/>
  <c r="Y314" i="1" s="1"/>
  <c r="H324" i="1" l="1"/>
  <c r="H323" i="1"/>
  <c r="N323" i="1" s="1"/>
  <c r="H322" i="1"/>
  <c r="H321" i="1"/>
  <c r="H320" i="1"/>
  <c r="H319" i="1"/>
  <c r="H318" i="1"/>
  <c r="H317" i="1"/>
  <c r="H316" i="1"/>
  <c r="M324" i="1"/>
  <c r="Q324" i="1"/>
  <c r="U324" i="1"/>
  <c r="U323" i="1"/>
  <c r="Z323" i="1" s="1"/>
  <c r="Q323" i="1"/>
  <c r="M323" i="1"/>
  <c r="H314" i="1" l="1"/>
  <c r="N324" i="1"/>
  <c r="Z324" i="1"/>
  <c r="U322" i="1" l="1"/>
  <c r="Q322" i="1"/>
  <c r="M322" i="1"/>
  <c r="N322" i="1" s="1"/>
  <c r="Z322" i="1" s="1"/>
  <c r="Y299" i="1" l="1"/>
  <c r="X299" i="1"/>
  <c r="W299" i="1"/>
  <c r="V299" i="1"/>
  <c r="T299" i="1"/>
  <c r="S299" i="1"/>
  <c r="R299" i="1"/>
  <c r="P299" i="1"/>
  <c r="O299" i="1"/>
  <c r="L299" i="1"/>
  <c r="K299" i="1"/>
  <c r="J299" i="1"/>
  <c r="I299" i="1"/>
  <c r="G299" i="1"/>
  <c r="F299" i="1"/>
  <c r="E299" i="1"/>
  <c r="D299" i="1"/>
  <c r="C299" i="1"/>
  <c r="U319" i="1" l="1"/>
  <c r="U320" i="1"/>
  <c r="U321" i="1"/>
  <c r="Q319" i="1"/>
  <c r="Q320" i="1"/>
  <c r="Q321" i="1"/>
  <c r="M319" i="1"/>
  <c r="N319" i="1" s="1"/>
  <c r="Z319" i="1" s="1"/>
  <c r="M320" i="1"/>
  <c r="N320" i="1" s="1"/>
  <c r="Z320" i="1" s="1"/>
  <c r="M321" i="1"/>
  <c r="N321" i="1" s="1"/>
  <c r="Z321" i="1" s="1"/>
  <c r="M316" i="1"/>
  <c r="N316" i="1" l="1"/>
  <c r="U318" i="1"/>
  <c r="Q318" i="1"/>
  <c r="M318" i="1"/>
  <c r="N318" i="1" s="1"/>
  <c r="Z318" i="1" l="1"/>
  <c r="U317" i="1"/>
  <c r="Q317" i="1"/>
  <c r="M317" i="1"/>
  <c r="U316" i="1"/>
  <c r="U314" i="1" s="1"/>
  <c r="Q316" i="1"/>
  <c r="Q314" i="1" s="1"/>
  <c r="N317" i="1" l="1"/>
  <c r="N314" i="1" s="1"/>
  <c r="M314" i="1"/>
  <c r="Z316" i="1"/>
  <c r="U310" i="1"/>
  <c r="U311" i="1"/>
  <c r="U312" i="1"/>
  <c r="Z317" i="1" l="1"/>
  <c r="Z314" i="1" s="1"/>
  <c r="H312" i="1"/>
  <c r="M312" i="1"/>
  <c r="Q310" i="1"/>
  <c r="Q311" i="1"/>
  <c r="Q312" i="1"/>
  <c r="H310" i="1"/>
  <c r="H311" i="1"/>
  <c r="M310" i="1"/>
  <c r="M311" i="1"/>
  <c r="N311" i="1" l="1"/>
  <c r="Z311" i="1" s="1"/>
  <c r="N312" i="1"/>
  <c r="Z312" i="1" s="1"/>
  <c r="N310" i="1"/>
  <c r="Z310" i="1" s="1"/>
  <c r="U309" i="1"/>
  <c r="U308" i="1"/>
  <c r="U307" i="1"/>
  <c r="Q309" i="1"/>
  <c r="Q308" i="1"/>
  <c r="Q307" i="1"/>
  <c r="M309" i="1"/>
  <c r="M308" i="1"/>
  <c r="M307" i="1"/>
  <c r="H309" i="1"/>
  <c r="H308" i="1"/>
  <c r="H307" i="1"/>
  <c r="N309" i="1" l="1"/>
  <c r="Z309" i="1" s="1"/>
  <c r="N308" i="1"/>
  <c r="Z308" i="1" s="1"/>
  <c r="N307" i="1"/>
  <c r="Z307" i="1" s="1"/>
  <c r="U306" i="1"/>
  <c r="U305" i="1"/>
  <c r="U304" i="1"/>
  <c r="Q306" i="1"/>
  <c r="Q305" i="1"/>
  <c r="Q304" i="1"/>
  <c r="M306" i="1"/>
  <c r="M305" i="1"/>
  <c r="M304" i="1"/>
  <c r="H306" i="1"/>
  <c r="H305" i="1"/>
  <c r="H304" i="1"/>
  <c r="N304" i="1" s="1"/>
  <c r="Z304" i="1" s="1"/>
  <c r="N306" i="1" l="1"/>
  <c r="Z306" i="1" s="1"/>
  <c r="N305" i="1"/>
  <c r="Z305" i="1" s="1"/>
  <c r="L284" i="1"/>
  <c r="I284" i="1"/>
  <c r="F284" i="1"/>
  <c r="U303" i="1" l="1"/>
  <c r="Q303" i="1"/>
  <c r="M303" i="1"/>
  <c r="H303" i="1"/>
  <c r="U302" i="1"/>
  <c r="Q302" i="1"/>
  <c r="M302" i="1"/>
  <c r="H302" i="1"/>
  <c r="U301" i="1"/>
  <c r="Q301" i="1"/>
  <c r="M301" i="1"/>
  <c r="H301" i="1"/>
  <c r="H299" i="1" l="1"/>
  <c r="M299" i="1"/>
  <c r="Q299" i="1"/>
  <c r="U299" i="1"/>
  <c r="N301" i="1"/>
  <c r="N303" i="1"/>
  <c r="Z303" i="1" s="1"/>
  <c r="N302" i="1"/>
  <c r="Z302" i="1" s="1"/>
  <c r="Z301" i="1"/>
  <c r="Z299" i="1" s="1"/>
  <c r="N299" i="1" l="1"/>
  <c r="H297" i="1"/>
  <c r="G284" i="1" l="1"/>
  <c r="K284" i="1"/>
  <c r="U297" i="1"/>
  <c r="Q297" i="1"/>
  <c r="M297" i="1"/>
  <c r="N297" i="1" s="1"/>
  <c r="H296" i="1"/>
  <c r="Y284" i="1"/>
  <c r="X284" i="1"/>
  <c r="W284" i="1"/>
  <c r="V284" i="1"/>
  <c r="T284" i="1"/>
  <c r="S284" i="1"/>
  <c r="R284" i="1"/>
  <c r="P284" i="1"/>
  <c r="O284" i="1"/>
  <c r="J284" i="1"/>
  <c r="Z297" i="1" l="1"/>
  <c r="U296" i="1" l="1"/>
  <c r="U295" i="1"/>
  <c r="Q296" i="1"/>
  <c r="Q295" i="1"/>
  <c r="M296" i="1"/>
  <c r="M295" i="1"/>
  <c r="H295" i="1"/>
  <c r="N295" i="1" l="1"/>
  <c r="Z295" i="1" s="1"/>
  <c r="N296" i="1"/>
  <c r="Z296" i="1" l="1"/>
  <c r="AA284" i="1" l="1"/>
  <c r="E284" i="1"/>
  <c r="D284" i="1"/>
  <c r="C284" i="1"/>
  <c r="V269" i="1"/>
  <c r="T269" i="1"/>
  <c r="R269" i="1"/>
  <c r="P269" i="1"/>
  <c r="E269" i="1"/>
  <c r="D269" i="1"/>
  <c r="C269" i="1"/>
  <c r="Y269" i="1"/>
  <c r="X269" i="1"/>
  <c r="W269" i="1"/>
  <c r="S269" i="1"/>
  <c r="O269" i="1"/>
  <c r="L269" i="1"/>
  <c r="K269" i="1"/>
  <c r="J269" i="1"/>
  <c r="I269" i="1"/>
  <c r="G269" i="1"/>
  <c r="F269" i="1"/>
  <c r="U294" i="1" l="1"/>
  <c r="Q294" i="1"/>
  <c r="M294" i="1"/>
  <c r="H294" i="1"/>
  <c r="U293" i="1"/>
  <c r="Q293" i="1"/>
  <c r="M293" i="1"/>
  <c r="H293" i="1"/>
  <c r="U292" i="1"/>
  <c r="Q292" i="1"/>
  <c r="M292" i="1"/>
  <c r="H292" i="1"/>
  <c r="N292" i="1" l="1"/>
  <c r="Z292" i="1" s="1"/>
  <c r="N294" i="1"/>
  <c r="N293" i="1"/>
  <c r="Z293" i="1" s="1"/>
  <c r="U291" i="1"/>
  <c r="U290" i="1"/>
  <c r="U289" i="1"/>
  <c r="Q291" i="1"/>
  <c r="Q290" i="1"/>
  <c r="Q289" i="1"/>
  <c r="M291" i="1"/>
  <c r="M290" i="1"/>
  <c r="M289" i="1"/>
  <c r="H291" i="1"/>
  <c r="H290" i="1"/>
  <c r="H289" i="1"/>
  <c r="N289" i="1" l="1"/>
  <c r="Z289" i="1" s="1"/>
  <c r="Z294" i="1"/>
  <c r="N291" i="1"/>
  <c r="Z291" i="1" s="1"/>
  <c r="N290" i="1"/>
  <c r="Z290" i="1" s="1"/>
  <c r="U288" i="1" l="1"/>
  <c r="Q288" i="1"/>
  <c r="M288" i="1"/>
  <c r="H288" i="1"/>
  <c r="U287" i="1"/>
  <c r="Q287" i="1"/>
  <c r="M287" i="1"/>
  <c r="H287" i="1"/>
  <c r="U286" i="1"/>
  <c r="Q286" i="1"/>
  <c r="M286" i="1"/>
  <c r="H286" i="1"/>
  <c r="N286" i="1" l="1"/>
  <c r="Z286" i="1" s="1"/>
  <c r="H284" i="1"/>
  <c r="M284" i="1"/>
  <c r="U284" i="1"/>
  <c r="Q284" i="1"/>
  <c r="N288" i="1"/>
  <c r="N287" i="1"/>
  <c r="N284" i="1" l="1"/>
  <c r="Z287" i="1"/>
  <c r="Z288" i="1"/>
  <c r="M275" i="1"/>
  <c r="Z284" i="1" l="1"/>
  <c r="Y254" i="1"/>
  <c r="X254" i="1"/>
  <c r="W254" i="1"/>
  <c r="V254" i="1"/>
  <c r="T254" i="1"/>
  <c r="S254" i="1"/>
  <c r="R254" i="1"/>
  <c r="P254" i="1"/>
  <c r="O254" i="1"/>
  <c r="L254" i="1"/>
  <c r="K254" i="1"/>
  <c r="J254" i="1"/>
  <c r="I254" i="1"/>
  <c r="F254" i="1"/>
  <c r="G254" i="1"/>
  <c r="U282" i="1" l="1"/>
  <c r="Q282" i="1"/>
  <c r="M282" i="1"/>
  <c r="H282" i="1"/>
  <c r="U281" i="1"/>
  <c r="Q281" i="1"/>
  <c r="M281" i="1"/>
  <c r="H281" i="1"/>
  <c r="U280" i="1"/>
  <c r="Q280" i="1"/>
  <c r="M280" i="1"/>
  <c r="H280" i="1"/>
  <c r="U279" i="1"/>
  <c r="Q279" i="1"/>
  <c r="M279" i="1"/>
  <c r="H279" i="1"/>
  <c r="U278" i="1"/>
  <c r="Q278" i="1"/>
  <c r="M278" i="1"/>
  <c r="H278" i="1"/>
  <c r="U277" i="1"/>
  <c r="Q277" i="1"/>
  <c r="M277" i="1"/>
  <c r="H277" i="1"/>
  <c r="U276" i="1"/>
  <c r="Q276" i="1"/>
  <c r="M276" i="1"/>
  <c r="H276" i="1"/>
  <c r="U275" i="1"/>
  <c r="Q275" i="1"/>
  <c r="H275" i="1"/>
  <c r="U274" i="1"/>
  <c r="Q274" i="1"/>
  <c r="M274" i="1"/>
  <c r="H274" i="1"/>
  <c r="U273" i="1"/>
  <c r="Q273" i="1"/>
  <c r="M273" i="1"/>
  <c r="H273" i="1"/>
  <c r="U272" i="1"/>
  <c r="Q272" i="1"/>
  <c r="M272" i="1"/>
  <c r="H272" i="1"/>
  <c r="U271" i="1"/>
  <c r="Q271" i="1"/>
  <c r="M271" i="1"/>
  <c r="H271" i="1"/>
  <c r="H269" i="1" l="1"/>
  <c r="Q269" i="1"/>
  <c r="U269" i="1"/>
  <c r="M269" i="1"/>
  <c r="N271" i="1"/>
  <c r="Z271" i="1" s="1"/>
  <c r="N273" i="1"/>
  <c r="N274" i="1"/>
  <c r="Z274" i="1" s="1"/>
  <c r="N275" i="1"/>
  <c r="Z275" i="1" s="1"/>
  <c r="N276" i="1"/>
  <c r="Z276" i="1" s="1"/>
  <c r="N277" i="1"/>
  <c r="Z277" i="1" s="1"/>
  <c r="N280" i="1"/>
  <c r="Z280" i="1" s="1"/>
  <c r="N279" i="1"/>
  <c r="Z279" i="1" s="1"/>
  <c r="N272" i="1"/>
  <c r="Z272" i="1" s="1"/>
  <c r="N282" i="1"/>
  <c r="Z282" i="1" s="1"/>
  <c r="N281" i="1"/>
  <c r="Z281" i="1" s="1"/>
  <c r="N278" i="1"/>
  <c r="Z278" i="1" s="1"/>
  <c r="U267" i="1"/>
  <c r="U266" i="1"/>
  <c r="U265" i="1"/>
  <c r="Q267" i="1"/>
  <c r="Q266" i="1"/>
  <c r="Q265" i="1"/>
  <c r="M267" i="1"/>
  <c r="M266" i="1"/>
  <c r="M265" i="1"/>
  <c r="H267" i="1"/>
  <c r="H266" i="1"/>
  <c r="H265" i="1"/>
  <c r="N269" i="1" l="1"/>
  <c r="Z273" i="1"/>
  <c r="Z269" i="1" s="1"/>
  <c r="N267" i="1"/>
  <c r="Z267" i="1" s="1"/>
  <c r="N266" i="1"/>
  <c r="Z266" i="1" s="1"/>
  <c r="N265" i="1"/>
  <c r="Z265" i="1" s="1"/>
  <c r="U264" i="1" l="1"/>
  <c r="U263" i="1"/>
  <c r="U262" i="1"/>
  <c r="Q264" i="1"/>
  <c r="Q263" i="1"/>
  <c r="Q262" i="1"/>
  <c r="M264" i="1"/>
  <c r="M263" i="1"/>
  <c r="M262" i="1"/>
  <c r="H264" i="1"/>
  <c r="H263" i="1"/>
  <c r="H262" i="1"/>
  <c r="N262" i="1" l="1"/>
  <c r="Z262" i="1" s="1"/>
  <c r="N264" i="1"/>
  <c r="Z264" i="1" s="1"/>
  <c r="N263" i="1"/>
  <c r="Z263" i="1" s="1"/>
  <c r="U261" i="1" l="1"/>
  <c r="U260" i="1"/>
  <c r="U259" i="1"/>
  <c r="Q261" i="1"/>
  <c r="Q260" i="1"/>
  <c r="Q259" i="1"/>
  <c r="M261" i="1"/>
  <c r="M260" i="1"/>
  <c r="M259" i="1"/>
  <c r="H261" i="1"/>
  <c r="H260" i="1"/>
  <c r="H259" i="1"/>
  <c r="N259" i="1" l="1"/>
  <c r="Z259" i="1" s="1"/>
  <c r="N261" i="1"/>
  <c r="N260" i="1"/>
  <c r="Z260" i="1" s="1"/>
  <c r="Q195" i="1"/>
  <c r="U195" i="1"/>
  <c r="M195" i="1"/>
  <c r="Z261" i="1" l="1"/>
  <c r="G211" i="1"/>
  <c r="H211" i="1" s="1"/>
  <c r="M211" i="1"/>
  <c r="N211" i="1" l="1"/>
  <c r="U258" i="1" l="1"/>
  <c r="Q258" i="1"/>
  <c r="M258" i="1"/>
  <c r="H258" i="1"/>
  <c r="U257" i="1"/>
  <c r="Q257" i="1"/>
  <c r="M257" i="1"/>
  <c r="H257" i="1"/>
  <c r="U256" i="1"/>
  <c r="Q256" i="1"/>
  <c r="M256" i="1"/>
  <c r="H256" i="1"/>
  <c r="E254" i="1"/>
  <c r="D254" i="1"/>
  <c r="C254" i="1"/>
  <c r="Y239" i="1"/>
  <c r="X239" i="1"/>
  <c r="W239" i="1"/>
  <c r="V239" i="1"/>
  <c r="T239" i="1"/>
  <c r="S239" i="1"/>
  <c r="R239" i="1"/>
  <c r="P239" i="1"/>
  <c r="O239" i="1"/>
  <c r="L239" i="1"/>
  <c r="K239" i="1"/>
  <c r="J239" i="1"/>
  <c r="I239" i="1"/>
  <c r="G239" i="1"/>
  <c r="F239" i="1"/>
  <c r="E239" i="1"/>
  <c r="D239" i="1"/>
  <c r="C239" i="1"/>
  <c r="H252" i="1"/>
  <c r="U252" i="1"/>
  <c r="Q252" i="1"/>
  <c r="M252" i="1"/>
  <c r="U251" i="1"/>
  <c r="Q251" i="1"/>
  <c r="M251" i="1"/>
  <c r="H251" i="1"/>
  <c r="U250" i="1"/>
  <c r="Q250" i="1"/>
  <c r="M250" i="1"/>
  <c r="H250" i="1"/>
  <c r="M254" i="1" l="1"/>
  <c r="H254" i="1"/>
  <c r="Q254" i="1"/>
  <c r="U254" i="1"/>
  <c r="N257" i="1"/>
  <c r="Z257" i="1" s="1"/>
  <c r="N258" i="1"/>
  <c r="Z258" i="1" s="1"/>
  <c r="N256" i="1"/>
  <c r="N250" i="1"/>
  <c r="Z250" i="1" s="1"/>
  <c r="N251" i="1"/>
  <c r="Z251" i="1" s="1"/>
  <c r="N252" i="1"/>
  <c r="Z252" i="1" s="1"/>
  <c r="N254" i="1" l="1"/>
  <c r="Z256" i="1"/>
  <c r="Z254" i="1" s="1"/>
  <c r="M248" i="1"/>
  <c r="U249" i="1"/>
  <c r="U248" i="1"/>
  <c r="Q249" i="1"/>
  <c r="Q248" i="1"/>
  <c r="U247" i="1"/>
  <c r="Q247" i="1"/>
  <c r="M249" i="1"/>
  <c r="M247" i="1"/>
  <c r="H249" i="1"/>
  <c r="H248" i="1"/>
  <c r="H247" i="1"/>
  <c r="N247" i="1" l="1"/>
  <c r="Z247" i="1" s="1"/>
  <c r="N249" i="1"/>
  <c r="Z249" i="1" s="1"/>
  <c r="N248" i="1"/>
  <c r="Z248" i="1" s="1"/>
  <c r="U246" i="1" l="1"/>
  <c r="U245" i="1"/>
  <c r="U244" i="1"/>
  <c r="Q246" i="1"/>
  <c r="Q245" i="1"/>
  <c r="Q244" i="1"/>
  <c r="M246" i="1"/>
  <c r="M245" i="1"/>
  <c r="M244" i="1"/>
  <c r="H246" i="1"/>
  <c r="H245" i="1"/>
  <c r="H244" i="1"/>
  <c r="N244" i="1" l="1"/>
  <c r="Z244" i="1" s="1"/>
  <c r="N246" i="1"/>
  <c r="Z246" i="1" s="1"/>
  <c r="N245" i="1"/>
  <c r="Z245" i="1" s="1"/>
  <c r="U243" i="1" l="1"/>
  <c r="Q243" i="1"/>
  <c r="M243" i="1"/>
  <c r="H243" i="1"/>
  <c r="U242" i="1"/>
  <c r="Q242" i="1"/>
  <c r="M242" i="1"/>
  <c r="H242" i="1"/>
  <c r="U241" i="1"/>
  <c r="Q241" i="1"/>
  <c r="M241" i="1"/>
  <c r="H241" i="1"/>
  <c r="AA239" i="1"/>
  <c r="U239" i="1" l="1"/>
  <c r="M239" i="1"/>
  <c r="Q239" i="1"/>
  <c r="H239" i="1"/>
  <c r="N241" i="1"/>
  <c r="Z241" i="1" s="1"/>
  <c r="N242" i="1"/>
  <c r="Z242" i="1" s="1"/>
  <c r="N243" i="1"/>
  <c r="N239" i="1" l="1"/>
  <c r="Z243" i="1"/>
  <c r="Z239" i="1" s="1"/>
  <c r="AE239" i="1" s="1"/>
  <c r="AA224" i="1"/>
  <c r="Y224" i="1"/>
  <c r="X224" i="1"/>
  <c r="W224" i="1"/>
  <c r="V224" i="1"/>
  <c r="T224" i="1"/>
  <c r="S224" i="1"/>
  <c r="R224" i="1"/>
  <c r="P224" i="1"/>
  <c r="O224" i="1"/>
  <c r="K224" i="1"/>
  <c r="J224" i="1"/>
  <c r="I224" i="1"/>
  <c r="F224" i="1"/>
  <c r="E224" i="1"/>
  <c r="D224" i="1"/>
  <c r="C224" i="1"/>
  <c r="U237" i="1"/>
  <c r="Q237" i="1"/>
  <c r="M237" i="1"/>
  <c r="H237" i="1"/>
  <c r="U236" i="1"/>
  <c r="Q236" i="1"/>
  <c r="M236" i="1"/>
  <c r="H236" i="1"/>
  <c r="U235" i="1"/>
  <c r="Q235" i="1"/>
  <c r="M235" i="1"/>
  <c r="H235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U39" i="1"/>
  <c r="Z39" i="1" s="1"/>
  <c r="Z40" i="1"/>
  <c r="C41" i="1"/>
  <c r="D41" i="1"/>
  <c r="J41" i="1"/>
  <c r="K41" i="1"/>
  <c r="O41" i="1"/>
  <c r="P41" i="1"/>
  <c r="R41" i="1"/>
  <c r="T41" i="1"/>
  <c r="W41" i="1"/>
  <c r="AC41" i="1"/>
  <c r="H42" i="1"/>
  <c r="M42" i="1"/>
  <c r="Q42" i="1"/>
  <c r="U42" i="1"/>
  <c r="H43" i="1"/>
  <c r="M43" i="1"/>
  <c r="Q43" i="1"/>
  <c r="U43" i="1"/>
  <c r="H44" i="1"/>
  <c r="M44" i="1"/>
  <c r="Q44" i="1"/>
  <c r="U44" i="1"/>
  <c r="H45" i="1"/>
  <c r="M45" i="1"/>
  <c r="Q45" i="1"/>
  <c r="S45" i="1"/>
  <c r="Y45" i="1"/>
  <c r="H46" i="1"/>
  <c r="M46" i="1"/>
  <c r="Q46" i="1"/>
  <c r="S46" i="1"/>
  <c r="U46" i="1" s="1"/>
  <c r="Y46" i="1"/>
  <c r="H47" i="1"/>
  <c r="M47" i="1"/>
  <c r="Q47" i="1"/>
  <c r="U47" i="1"/>
  <c r="Y47" i="1"/>
  <c r="G48" i="1"/>
  <c r="H48" i="1" s="1"/>
  <c r="L48" i="1"/>
  <c r="Q48" i="1"/>
  <c r="U48" i="1"/>
  <c r="Y48" i="1"/>
  <c r="G49" i="1"/>
  <c r="H49" i="1" s="1"/>
  <c r="L49" i="1"/>
  <c r="M49" i="1" s="1"/>
  <c r="Q49" i="1"/>
  <c r="U49" i="1"/>
  <c r="Y49" i="1"/>
  <c r="G50" i="1"/>
  <c r="H50" i="1" s="1"/>
  <c r="L50" i="1"/>
  <c r="M50" i="1" s="1"/>
  <c r="Q50" i="1"/>
  <c r="S50" i="1"/>
  <c r="U50" i="1" s="1"/>
  <c r="Y50" i="1"/>
  <c r="H51" i="1"/>
  <c r="M51" i="1"/>
  <c r="Q51" i="1"/>
  <c r="U51" i="1"/>
  <c r="Y51" i="1"/>
  <c r="H52" i="1"/>
  <c r="M52" i="1"/>
  <c r="Q52" i="1"/>
  <c r="U52" i="1"/>
  <c r="Y52" i="1"/>
  <c r="H53" i="1"/>
  <c r="I53" i="1"/>
  <c r="I41" i="1" s="1"/>
  <c r="Q53" i="1"/>
  <c r="U53" i="1"/>
  <c r="Y53" i="1"/>
  <c r="C54" i="1"/>
  <c r="D54" i="1"/>
  <c r="J54" i="1"/>
  <c r="K54" i="1"/>
  <c r="L54" i="1"/>
  <c r="O54" i="1"/>
  <c r="P54" i="1"/>
  <c r="R54" i="1"/>
  <c r="T54" i="1"/>
  <c r="V54" i="1"/>
  <c r="G55" i="1"/>
  <c r="H55" i="1" s="1"/>
  <c r="M55" i="1"/>
  <c r="Q55" i="1"/>
  <c r="U55" i="1"/>
  <c r="Y55" i="1"/>
  <c r="G56" i="1"/>
  <c r="H56" i="1" s="1"/>
  <c r="M56" i="1"/>
  <c r="Q56" i="1"/>
  <c r="U56" i="1"/>
  <c r="Y56" i="1"/>
  <c r="H57" i="1"/>
  <c r="M57" i="1"/>
  <c r="Q57" i="1"/>
  <c r="S57" i="1"/>
  <c r="Y57" i="1"/>
  <c r="H58" i="1"/>
  <c r="M58" i="1"/>
  <c r="Q58" i="1"/>
  <c r="U58" i="1"/>
  <c r="W58" i="1"/>
  <c r="W54" i="1" s="1"/>
  <c r="Y58" i="1"/>
  <c r="H59" i="1"/>
  <c r="M59" i="1"/>
  <c r="Q59" i="1"/>
  <c r="U59" i="1"/>
  <c r="Y59" i="1"/>
  <c r="H60" i="1"/>
  <c r="I60" i="1"/>
  <c r="M60" i="1" s="1"/>
  <c r="Q60" i="1"/>
  <c r="U60" i="1"/>
  <c r="Y60" i="1"/>
  <c r="H61" i="1"/>
  <c r="M61" i="1"/>
  <c r="Q61" i="1"/>
  <c r="U61" i="1"/>
  <c r="Y61" i="1"/>
  <c r="H62" i="1"/>
  <c r="I62" i="1"/>
  <c r="M62" i="1" s="1"/>
  <c r="Q62" i="1"/>
  <c r="U62" i="1"/>
  <c r="Y62" i="1"/>
  <c r="H63" i="1"/>
  <c r="M63" i="1"/>
  <c r="Q63" i="1"/>
  <c r="S63" i="1"/>
  <c r="U63" i="1" s="1"/>
  <c r="Y63" i="1"/>
  <c r="H64" i="1"/>
  <c r="M64" i="1"/>
  <c r="Q64" i="1"/>
  <c r="S64" i="1"/>
  <c r="U64" i="1" s="1"/>
  <c r="Y64" i="1"/>
  <c r="H65" i="1"/>
  <c r="M65" i="1"/>
  <c r="Q65" i="1"/>
  <c r="S65" i="1"/>
  <c r="U65" i="1" s="1"/>
  <c r="Y65" i="1"/>
  <c r="H66" i="1"/>
  <c r="M66" i="1"/>
  <c r="Q66" i="1"/>
  <c r="U66" i="1"/>
  <c r="Y66" i="1"/>
  <c r="U67" i="1"/>
  <c r="C68" i="1"/>
  <c r="D68" i="1"/>
  <c r="G68" i="1"/>
  <c r="I68" i="1"/>
  <c r="J68" i="1"/>
  <c r="O68" i="1"/>
  <c r="P68" i="1"/>
  <c r="R68" i="1"/>
  <c r="T68" i="1"/>
  <c r="V68" i="1"/>
  <c r="H69" i="1"/>
  <c r="M69" i="1"/>
  <c r="Q69" i="1"/>
  <c r="U69" i="1"/>
  <c r="Y69" i="1"/>
  <c r="H70" i="1"/>
  <c r="M70" i="1"/>
  <c r="Q70" i="1"/>
  <c r="U70" i="1"/>
  <c r="Y70" i="1"/>
  <c r="H71" i="1"/>
  <c r="M71" i="1"/>
  <c r="Q71" i="1"/>
  <c r="U71" i="1"/>
  <c r="W71" i="1"/>
  <c r="W68" i="1" s="1"/>
  <c r="Y71" i="1"/>
  <c r="H72" i="1"/>
  <c r="M72" i="1"/>
  <c r="Q72" i="1"/>
  <c r="U72" i="1"/>
  <c r="Y72" i="1"/>
  <c r="H73" i="1"/>
  <c r="M73" i="1"/>
  <c r="Q73" i="1"/>
  <c r="U73" i="1"/>
  <c r="Y73" i="1"/>
  <c r="H74" i="1"/>
  <c r="M74" i="1"/>
  <c r="Q74" i="1"/>
  <c r="S74" i="1"/>
  <c r="S68" i="1" s="1"/>
  <c r="Y74" i="1"/>
  <c r="H75" i="1"/>
  <c r="M75" i="1"/>
  <c r="Q75" i="1"/>
  <c r="U75" i="1"/>
  <c r="Y75" i="1"/>
  <c r="H76" i="1"/>
  <c r="K76" i="1"/>
  <c r="K68" i="1" s="1"/>
  <c r="L76" i="1"/>
  <c r="L68" i="1" s="1"/>
  <c r="Q76" i="1"/>
  <c r="U76" i="1"/>
  <c r="Y76" i="1"/>
  <c r="H77" i="1"/>
  <c r="M77" i="1"/>
  <c r="Q77" i="1"/>
  <c r="U77" i="1"/>
  <c r="Y77" i="1"/>
  <c r="H78" i="1"/>
  <c r="M78" i="1"/>
  <c r="Q78" i="1"/>
  <c r="U78" i="1"/>
  <c r="H79" i="1"/>
  <c r="M79" i="1"/>
  <c r="Q79" i="1"/>
  <c r="U79" i="1"/>
  <c r="E80" i="1"/>
  <c r="H80" i="1" s="1"/>
  <c r="M80" i="1"/>
  <c r="Q80" i="1"/>
  <c r="U80" i="1"/>
  <c r="H81" i="1"/>
  <c r="M81" i="1"/>
  <c r="Q81" i="1"/>
  <c r="U81" i="1"/>
  <c r="D82" i="1"/>
  <c r="G82" i="1"/>
  <c r="J82" i="1"/>
  <c r="K82" i="1"/>
  <c r="R82" i="1"/>
  <c r="T82" i="1"/>
  <c r="V82" i="1"/>
  <c r="W82" i="1"/>
  <c r="U83" i="1"/>
  <c r="E84" i="1"/>
  <c r="H84" i="1" s="1"/>
  <c r="M84" i="1"/>
  <c r="Q84" i="1"/>
  <c r="U84" i="1"/>
  <c r="E85" i="1"/>
  <c r="H85" i="1" s="1"/>
  <c r="M85" i="1"/>
  <c r="Q85" i="1"/>
  <c r="U85" i="1"/>
  <c r="Y85" i="1"/>
  <c r="H86" i="1"/>
  <c r="M86" i="1"/>
  <c r="Q86" i="1"/>
  <c r="U86" i="1"/>
  <c r="E87" i="1"/>
  <c r="H87" i="1" s="1"/>
  <c r="M87" i="1"/>
  <c r="Q87" i="1"/>
  <c r="U87" i="1"/>
  <c r="H88" i="1"/>
  <c r="M88" i="1"/>
  <c r="Q88" i="1"/>
  <c r="U88" i="1"/>
  <c r="Y88" i="1"/>
  <c r="H89" i="1"/>
  <c r="M89" i="1"/>
  <c r="Q89" i="1"/>
  <c r="U89" i="1"/>
  <c r="C90" i="1"/>
  <c r="H90" i="1" s="1"/>
  <c r="M90" i="1"/>
  <c r="P90" i="1"/>
  <c r="P82" i="1" s="1"/>
  <c r="S90" i="1"/>
  <c r="U90" i="1" s="1"/>
  <c r="Y90" i="1"/>
  <c r="H91" i="1"/>
  <c r="M91" i="1"/>
  <c r="O91" i="1"/>
  <c r="O82" i="1" s="1"/>
  <c r="U91" i="1"/>
  <c r="E92" i="1"/>
  <c r="H92" i="1" s="1"/>
  <c r="L92" i="1"/>
  <c r="L82" i="1" s="1"/>
  <c r="Q92" i="1"/>
  <c r="U92" i="1"/>
  <c r="H93" i="1"/>
  <c r="M93" i="1"/>
  <c r="Q93" i="1"/>
  <c r="U93" i="1"/>
  <c r="H94" i="1"/>
  <c r="M94" i="1"/>
  <c r="Q94" i="1"/>
  <c r="U94" i="1"/>
  <c r="H95" i="1"/>
  <c r="M95" i="1"/>
  <c r="Q95" i="1"/>
  <c r="U95" i="1"/>
  <c r="U96" i="1"/>
  <c r="C97" i="1"/>
  <c r="D97" i="1"/>
  <c r="E97" i="1"/>
  <c r="G97" i="1"/>
  <c r="I97" i="1"/>
  <c r="J97" i="1"/>
  <c r="K97" i="1"/>
  <c r="L97" i="1"/>
  <c r="O97" i="1"/>
  <c r="P97" i="1"/>
  <c r="R97" i="1"/>
  <c r="S97" i="1"/>
  <c r="T97" i="1"/>
  <c r="V97" i="1"/>
  <c r="W97" i="1"/>
  <c r="AA97" i="1"/>
  <c r="H99" i="1"/>
  <c r="M99" i="1"/>
  <c r="Q99" i="1"/>
  <c r="U99" i="1"/>
  <c r="AC99" i="1"/>
  <c r="H100" i="1"/>
  <c r="M100" i="1"/>
  <c r="Q100" i="1"/>
  <c r="U100" i="1"/>
  <c r="AC100" i="1"/>
  <c r="H101" i="1"/>
  <c r="M101" i="1"/>
  <c r="Q101" i="1"/>
  <c r="U101" i="1"/>
  <c r="AC101" i="1"/>
  <c r="H102" i="1"/>
  <c r="M102" i="1"/>
  <c r="Q102" i="1"/>
  <c r="U102" i="1"/>
  <c r="Y102" i="1"/>
  <c r="AC102" i="1"/>
  <c r="H103" i="1"/>
  <c r="M103" i="1"/>
  <c r="Q103" i="1"/>
  <c r="U103" i="1"/>
  <c r="Y103" i="1"/>
  <c r="AC103" i="1"/>
  <c r="H104" i="1"/>
  <c r="M104" i="1"/>
  <c r="Q104" i="1"/>
  <c r="U104" i="1"/>
  <c r="Y104" i="1"/>
  <c r="AC104" i="1"/>
  <c r="H105" i="1"/>
  <c r="M105" i="1"/>
  <c r="Q105" i="1"/>
  <c r="U105" i="1"/>
  <c r="Y105" i="1"/>
  <c r="AC105" i="1"/>
  <c r="H106" i="1"/>
  <c r="M106" i="1"/>
  <c r="Q106" i="1"/>
  <c r="U106" i="1"/>
  <c r="Y106" i="1"/>
  <c r="AC106" i="1"/>
  <c r="H107" i="1"/>
  <c r="M107" i="1"/>
  <c r="Q107" i="1"/>
  <c r="U107" i="1"/>
  <c r="Y107" i="1"/>
  <c r="AC107" i="1"/>
  <c r="H108" i="1"/>
  <c r="M108" i="1"/>
  <c r="Q108" i="1"/>
  <c r="U108" i="1"/>
  <c r="Y108" i="1"/>
  <c r="AC108" i="1"/>
  <c r="H109" i="1"/>
  <c r="M109" i="1"/>
  <c r="Q109" i="1"/>
  <c r="U109" i="1"/>
  <c r="Y109" i="1"/>
  <c r="AC109" i="1"/>
  <c r="H110" i="1"/>
  <c r="M110" i="1"/>
  <c r="Q110" i="1"/>
  <c r="U110" i="1"/>
  <c r="Y110" i="1"/>
  <c r="AC110" i="1"/>
  <c r="C112" i="1"/>
  <c r="D112" i="1"/>
  <c r="E112" i="1"/>
  <c r="G112" i="1"/>
  <c r="I112" i="1"/>
  <c r="J112" i="1"/>
  <c r="K112" i="1"/>
  <c r="L112" i="1"/>
  <c r="O112" i="1"/>
  <c r="P112" i="1"/>
  <c r="R112" i="1"/>
  <c r="T112" i="1"/>
  <c r="V112" i="1"/>
  <c r="W112" i="1"/>
  <c r="AA112" i="1"/>
  <c r="H114" i="1"/>
  <c r="M114" i="1"/>
  <c r="Q114" i="1"/>
  <c r="U114" i="1"/>
  <c r="Y114" i="1"/>
  <c r="AC114" i="1"/>
  <c r="H115" i="1"/>
  <c r="M115" i="1"/>
  <c r="Q115" i="1"/>
  <c r="U115" i="1"/>
  <c r="Y115" i="1"/>
  <c r="AC115" i="1"/>
  <c r="H116" i="1"/>
  <c r="M116" i="1"/>
  <c r="Q116" i="1"/>
  <c r="U116" i="1"/>
  <c r="Y116" i="1"/>
  <c r="AC116" i="1"/>
  <c r="H117" i="1"/>
  <c r="M117" i="1"/>
  <c r="Q117" i="1"/>
  <c r="U117" i="1"/>
  <c r="Y117" i="1"/>
  <c r="AC117" i="1"/>
  <c r="H118" i="1"/>
  <c r="M118" i="1"/>
  <c r="Q118" i="1"/>
  <c r="U118" i="1"/>
  <c r="Y118" i="1"/>
  <c r="AC118" i="1"/>
  <c r="H119" i="1"/>
  <c r="M119" i="1"/>
  <c r="Q119" i="1"/>
  <c r="U119" i="1"/>
  <c r="Y119" i="1"/>
  <c r="AC119" i="1"/>
  <c r="H120" i="1"/>
  <c r="M120" i="1"/>
  <c r="Q120" i="1"/>
  <c r="U120" i="1"/>
  <c r="Y120" i="1"/>
  <c r="AC120" i="1"/>
  <c r="H121" i="1"/>
  <c r="M121" i="1"/>
  <c r="Q121" i="1"/>
  <c r="U121" i="1"/>
  <c r="Y121" i="1"/>
  <c r="AC121" i="1"/>
  <c r="H122" i="1"/>
  <c r="M122" i="1"/>
  <c r="Q122" i="1"/>
  <c r="U122" i="1"/>
  <c r="Y122" i="1"/>
  <c r="AC122" i="1"/>
  <c r="H123" i="1"/>
  <c r="M123" i="1"/>
  <c r="Q123" i="1"/>
  <c r="U123" i="1"/>
  <c r="Y123" i="1"/>
  <c r="AC123" i="1"/>
  <c r="H124" i="1"/>
  <c r="M124" i="1"/>
  <c r="Q124" i="1"/>
  <c r="U124" i="1"/>
  <c r="Y124" i="1"/>
  <c r="AC124" i="1"/>
  <c r="H125" i="1"/>
  <c r="M125" i="1"/>
  <c r="Q125" i="1"/>
  <c r="S125" i="1"/>
  <c r="S112" i="1" s="1"/>
  <c r="Y125" i="1"/>
  <c r="AC125" i="1"/>
  <c r="C127" i="1"/>
  <c r="D127" i="1"/>
  <c r="E127" i="1"/>
  <c r="G127" i="1"/>
  <c r="I127" i="1"/>
  <c r="J127" i="1"/>
  <c r="K127" i="1"/>
  <c r="L127" i="1"/>
  <c r="O127" i="1"/>
  <c r="P127" i="1"/>
  <c r="R127" i="1"/>
  <c r="S127" i="1"/>
  <c r="T127" i="1"/>
  <c r="V127" i="1"/>
  <c r="W127" i="1"/>
  <c r="AA127" i="1"/>
  <c r="H129" i="1"/>
  <c r="M129" i="1"/>
  <c r="Q129" i="1"/>
  <c r="U129" i="1"/>
  <c r="Y129" i="1"/>
  <c r="H130" i="1"/>
  <c r="M130" i="1"/>
  <c r="Q130" i="1"/>
  <c r="U130" i="1"/>
  <c r="Y130" i="1"/>
  <c r="H131" i="1"/>
  <c r="M131" i="1"/>
  <c r="Q131" i="1"/>
  <c r="U131" i="1"/>
  <c r="Y131" i="1"/>
  <c r="H132" i="1"/>
  <c r="M132" i="1"/>
  <c r="Q132" i="1"/>
  <c r="U132" i="1"/>
  <c r="Y132" i="1"/>
  <c r="H133" i="1"/>
  <c r="M133" i="1"/>
  <c r="Q133" i="1"/>
  <c r="U133" i="1"/>
  <c r="Y133" i="1"/>
  <c r="H134" i="1"/>
  <c r="M134" i="1"/>
  <c r="Q134" i="1"/>
  <c r="U134" i="1"/>
  <c r="Y134" i="1"/>
  <c r="H135" i="1"/>
  <c r="M135" i="1"/>
  <c r="Q135" i="1"/>
  <c r="U135" i="1"/>
  <c r="Y135" i="1"/>
  <c r="H136" i="1"/>
  <c r="M136" i="1"/>
  <c r="Q136" i="1"/>
  <c r="U136" i="1"/>
  <c r="Y136" i="1"/>
  <c r="H137" i="1"/>
  <c r="M137" i="1"/>
  <c r="Q137" i="1"/>
  <c r="U137" i="1"/>
  <c r="Y137" i="1"/>
  <c r="H138" i="1"/>
  <c r="M138" i="1"/>
  <c r="Q138" i="1"/>
  <c r="U138" i="1"/>
  <c r="Y138" i="1"/>
  <c r="H139" i="1"/>
  <c r="M139" i="1"/>
  <c r="Q139" i="1"/>
  <c r="U139" i="1"/>
  <c r="Y139" i="1"/>
  <c r="H140" i="1"/>
  <c r="M140" i="1"/>
  <c r="Q140" i="1"/>
  <c r="U140" i="1"/>
  <c r="Y140" i="1"/>
  <c r="C142" i="1"/>
  <c r="D142" i="1"/>
  <c r="E142" i="1"/>
  <c r="G142" i="1"/>
  <c r="I142" i="1"/>
  <c r="J142" i="1"/>
  <c r="K142" i="1"/>
  <c r="L142" i="1"/>
  <c r="O142" i="1"/>
  <c r="P142" i="1"/>
  <c r="R142" i="1"/>
  <c r="S142" i="1"/>
  <c r="T142" i="1"/>
  <c r="V142" i="1"/>
  <c r="W142" i="1"/>
  <c r="AA142" i="1"/>
  <c r="H144" i="1"/>
  <c r="M144" i="1"/>
  <c r="Q144" i="1"/>
  <c r="U144" i="1"/>
  <c r="Y144" i="1"/>
  <c r="H145" i="1"/>
  <c r="M145" i="1"/>
  <c r="Q145" i="1"/>
  <c r="U145" i="1"/>
  <c r="Y145" i="1"/>
  <c r="H146" i="1"/>
  <c r="M146" i="1"/>
  <c r="Q146" i="1"/>
  <c r="U146" i="1"/>
  <c r="Y146" i="1"/>
  <c r="H147" i="1"/>
  <c r="M147" i="1"/>
  <c r="Q147" i="1"/>
  <c r="U147" i="1"/>
  <c r="Y147" i="1"/>
  <c r="H148" i="1"/>
  <c r="M148" i="1"/>
  <c r="Q148" i="1"/>
  <c r="U148" i="1"/>
  <c r="Y148" i="1"/>
  <c r="H149" i="1"/>
  <c r="M149" i="1"/>
  <c r="Q149" i="1"/>
  <c r="U149" i="1"/>
  <c r="Y149" i="1"/>
  <c r="H150" i="1"/>
  <c r="M150" i="1"/>
  <c r="Q150" i="1"/>
  <c r="U150" i="1"/>
  <c r="Y150" i="1"/>
  <c r="H151" i="1"/>
  <c r="M151" i="1"/>
  <c r="Q151" i="1"/>
  <c r="U151" i="1"/>
  <c r="Y151" i="1"/>
  <c r="H152" i="1"/>
  <c r="M152" i="1"/>
  <c r="Q152" i="1"/>
  <c r="U152" i="1"/>
  <c r="Y152" i="1"/>
  <c r="H153" i="1"/>
  <c r="M153" i="1"/>
  <c r="Q153" i="1"/>
  <c r="U153" i="1"/>
  <c r="Y153" i="1"/>
  <c r="H154" i="1"/>
  <c r="M154" i="1"/>
  <c r="Q154" i="1"/>
  <c r="U154" i="1"/>
  <c r="Y154" i="1"/>
  <c r="H155" i="1"/>
  <c r="M155" i="1"/>
  <c r="Q155" i="1"/>
  <c r="U155" i="1"/>
  <c r="Y155" i="1"/>
  <c r="C157" i="1"/>
  <c r="D157" i="1"/>
  <c r="E157" i="1"/>
  <c r="G157" i="1"/>
  <c r="I157" i="1"/>
  <c r="J157" i="1"/>
  <c r="K157" i="1"/>
  <c r="L157" i="1"/>
  <c r="O157" i="1"/>
  <c r="P157" i="1"/>
  <c r="R157" i="1"/>
  <c r="S157" i="1"/>
  <c r="T157" i="1"/>
  <c r="V157" i="1"/>
  <c r="W157" i="1"/>
  <c r="AA157" i="1"/>
  <c r="M159" i="1"/>
  <c r="N159" i="1" s="1"/>
  <c r="Q159" i="1"/>
  <c r="U159" i="1"/>
  <c r="Y159" i="1"/>
  <c r="M160" i="1"/>
  <c r="N160" i="1" s="1"/>
  <c r="Q160" i="1"/>
  <c r="U160" i="1"/>
  <c r="Y160" i="1"/>
  <c r="M161" i="1"/>
  <c r="N161" i="1" s="1"/>
  <c r="Q161" i="1"/>
  <c r="U161" i="1"/>
  <c r="Y161" i="1"/>
  <c r="H162" i="1"/>
  <c r="M162" i="1"/>
  <c r="Q162" i="1"/>
  <c r="U162" i="1"/>
  <c r="Y162" i="1"/>
  <c r="H163" i="1"/>
  <c r="M163" i="1"/>
  <c r="Q163" i="1"/>
  <c r="U163" i="1"/>
  <c r="Y163" i="1"/>
  <c r="H164" i="1"/>
  <c r="M164" i="1"/>
  <c r="Q164" i="1"/>
  <c r="U164" i="1"/>
  <c r="Y164" i="1"/>
  <c r="H165" i="1"/>
  <c r="M165" i="1"/>
  <c r="Q165" i="1"/>
  <c r="U165" i="1"/>
  <c r="Y165" i="1"/>
  <c r="H166" i="1"/>
  <c r="M166" i="1"/>
  <c r="Q166" i="1"/>
  <c r="U166" i="1"/>
  <c r="Y166" i="1"/>
  <c r="H167" i="1"/>
  <c r="M167" i="1"/>
  <c r="Q167" i="1"/>
  <c r="U167" i="1"/>
  <c r="Y167" i="1"/>
  <c r="M168" i="1"/>
  <c r="N168" i="1" s="1"/>
  <c r="Q168" i="1"/>
  <c r="U168" i="1"/>
  <c r="Y168" i="1"/>
  <c r="M169" i="1"/>
  <c r="N169" i="1" s="1"/>
  <c r="Q169" i="1"/>
  <c r="U169" i="1"/>
  <c r="Y169" i="1"/>
  <c r="M170" i="1"/>
  <c r="N170" i="1" s="1"/>
  <c r="Q170" i="1"/>
  <c r="U170" i="1"/>
  <c r="Y170" i="1"/>
  <c r="C172" i="1"/>
  <c r="D172" i="1"/>
  <c r="E172" i="1"/>
  <c r="G172" i="1"/>
  <c r="I172" i="1"/>
  <c r="J172" i="1"/>
  <c r="K172" i="1"/>
  <c r="L172" i="1"/>
  <c r="O172" i="1"/>
  <c r="P172" i="1"/>
  <c r="R172" i="1"/>
  <c r="S172" i="1"/>
  <c r="T172" i="1"/>
  <c r="V172" i="1"/>
  <c r="W172" i="1"/>
  <c r="AA172" i="1"/>
  <c r="M174" i="1"/>
  <c r="Q174" i="1"/>
  <c r="U174" i="1"/>
  <c r="M175" i="1"/>
  <c r="N175" i="1" s="1"/>
  <c r="Q175" i="1"/>
  <c r="U175" i="1"/>
  <c r="M176" i="1"/>
  <c r="N176" i="1" s="1"/>
  <c r="Q176" i="1"/>
  <c r="U176" i="1"/>
  <c r="Y176" i="1"/>
  <c r="Y172" i="1" s="1"/>
  <c r="H177" i="1"/>
  <c r="M177" i="1"/>
  <c r="Q177" i="1"/>
  <c r="U177" i="1"/>
  <c r="H178" i="1"/>
  <c r="M178" i="1"/>
  <c r="Q178" i="1"/>
  <c r="U178" i="1"/>
  <c r="H179" i="1"/>
  <c r="M179" i="1"/>
  <c r="Q179" i="1"/>
  <c r="U179" i="1"/>
  <c r="H180" i="1"/>
  <c r="M180" i="1"/>
  <c r="Q180" i="1"/>
  <c r="U180" i="1"/>
  <c r="H181" i="1"/>
  <c r="M181" i="1"/>
  <c r="Q181" i="1"/>
  <c r="U181" i="1"/>
  <c r="H182" i="1"/>
  <c r="M182" i="1"/>
  <c r="Q182" i="1"/>
  <c r="U182" i="1"/>
  <c r="M183" i="1"/>
  <c r="N183" i="1" s="1"/>
  <c r="Q183" i="1"/>
  <c r="U183" i="1"/>
  <c r="M184" i="1"/>
  <c r="N184" i="1" s="1"/>
  <c r="Q184" i="1"/>
  <c r="U184" i="1"/>
  <c r="M185" i="1"/>
  <c r="N185" i="1" s="1"/>
  <c r="Q185" i="1"/>
  <c r="U185" i="1"/>
  <c r="H186" i="1"/>
  <c r="M186" i="1"/>
  <c r="Q186" i="1"/>
  <c r="U186" i="1"/>
  <c r="H187" i="1"/>
  <c r="M187" i="1"/>
  <c r="Q187" i="1"/>
  <c r="U187" i="1"/>
  <c r="H188" i="1"/>
  <c r="M188" i="1"/>
  <c r="Q188" i="1"/>
  <c r="U188" i="1"/>
  <c r="M189" i="1"/>
  <c r="N189" i="1" s="1"/>
  <c r="Q189" i="1"/>
  <c r="U189" i="1"/>
  <c r="M190" i="1"/>
  <c r="N190" i="1" s="1"/>
  <c r="Q190" i="1"/>
  <c r="U190" i="1"/>
  <c r="M191" i="1"/>
  <c r="N191" i="1" s="1"/>
  <c r="Q191" i="1"/>
  <c r="U191" i="1"/>
  <c r="C193" i="1"/>
  <c r="D193" i="1"/>
  <c r="E193" i="1"/>
  <c r="I193" i="1"/>
  <c r="J193" i="1"/>
  <c r="K193" i="1"/>
  <c r="L193" i="1"/>
  <c r="O193" i="1"/>
  <c r="P193" i="1"/>
  <c r="R193" i="1"/>
  <c r="S193" i="1"/>
  <c r="T193" i="1"/>
  <c r="V193" i="1"/>
  <c r="W193" i="1"/>
  <c r="H195" i="1"/>
  <c r="N195" i="1" s="1"/>
  <c r="Z195" i="1" s="1"/>
  <c r="H196" i="1"/>
  <c r="M196" i="1"/>
  <c r="Q196" i="1"/>
  <c r="U196" i="1"/>
  <c r="H197" i="1"/>
  <c r="M197" i="1"/>
  <c r="Q197" i="1"/>
  <c r="U197" i="1"/>
  <c r="H198" i="1"/>
  <c r="M198" i="1"/>
  <c r="Q198" i="1"/>
  <c r="U198" i="1"/>
  <c r="H199" i="1"/>
  <c r="M199" i="1"/>
  <c r="Q199" i="1"/>
  <c r="U199" i="1"/>
  <c r="H200" i="1"/>
  <c r="M200" i="1"/>
  <c r="Q200" i="1"/>
  <c r="U200" i="1"/>
  <c r="H201" i="1"/>
  <c r="M201" i="1"/>
  <c r="Q201" i="1"/>
  <c r="U201" i="1"/>
  <c r="H202" i="1"/>
  <c r="M202" i="1"/>
  <c r="Q202" i="1"/>
  <c r="U202" i="1"/>
  <c r="H203" i="1"/>
  <c r="M203" i="1"/>
  <c r="Q203" i="1"/>
  <c r="U203" i="1"/>
  <c r="H204" i="1"/>
  <c r="M204" i="1"/>
  <c r="Q204" i="1"/>
  <c r="U204" i="1"/>
  <c r="H205" i="1"/>
  <c r="M205" i="1"/>
  <c r="Q205" i="1"/>
  <c r="U205" i="1"/>
  <c r="H206" i="1"/>
  <c r="M206" i="1"/>
  <c r="Q206" i="1"/>
  <c r="U206" i="1"/>
  <c r="C209" i="1"/>
  <c r="D209" i="1"/>
  <c r="E209" i="1"/>
  <c r="F209" i="1"/>
  <c r="I209" i="1"/>
  <c r="J209" i="1"/>
  <c r="K209" i="1"/>
  <c r="L209" i="1"/>
  <c r="O209" i="1"/>
  <c r="P209" i="1"/>
  <c r="R209" i="1"/>
  <c r="S209" i="1"/>
  <c r="T209" i="1"/>
  <c r="V209" i="1"/>
  <c r="W209" i="1"/>
  <c r="X209" i="1"/>
  <c r="Y209" i="1"/>
  <c r="Q211" i="1"/>
  <c r="U211" i="1"/>
  <c r="G212" i="1"/>
  <c r="H212" i="1" s="1"/>
  <c r="M212" i="1"/>
  <c r="Q212" i="1"/>
  <c r="U212" i="1"/>
  <c r="G213" i="1"/>
  <c r="H213" i="1" s="1"/>
  <c r="M213" i="1"/>
  <c r="Q213" i="1"/>
  <c r="U213" i="1"/>
  <c r="G214" i="1"/>
  <c r="H214" i="1" s="1"/>
  <c r="M214" i="1"/>
  <c r="Q214" i="1"/>
  <c r="U214" i="1"/>
  <c r="G215" i="1"/>
  <c r="H215" i="1" s="1"/>
  <c r="M215" i="1"/>
  <c r="Q215" i="1"/>
  <c r="U215" i="1"/>
  <c r="H216" i="1"/>
  <c r="M216" i="1"/>
  <c r="Q216" i="1"/>
  <c r="U216" i="1"/>
  <c r="H217" i="1"/>
  <c r="M217" i="1"/>
  <c r="Q217" i="1"/>
  <c r="U217" i="1"/>
  <c r="G218" i="1"/>
  <c r="H218" i="1" s="1"/>
  <c r="M218" i="1"/>
  <c r="Q218" i="1"/>
  <c r="U218" i="1"/>
  <c r="G219" i="1"/>
  <c r="H219" i="1" s="1"/>
  <c r="M219" i="1"/>
  <c r="Q219" i="1"/>
  <c r="U219" i="1"/>
  <c r="H220" i="1"/>
  <c r="M220" i="1"/>
  <c r="Q220" i="1"/>
  <c r="U220" i="1"/>
  <c r="H221" i="1"/>
  <c r="M221" i="1"/>
  <c r="Q221" i="1"/>
  <c r="U221" i="1"/>
  <c r="H222" i="1"/>
  <c r="M222" i="1"/>
  <c r="Q222" i="1"/>
  <c r="U222" i="1"/>
  <c r="AA209" i="1"/>
  <c r="H226" i="1"/>
  <c r="M226" i="1"/>
  <c r="Q226" i="1"/>
  <c r="U226" i="1"/>
  <c r="H227" i="1"/>
  <c r="M227" i="1"/>
  <c r="Q227" i="1"/>
  <c r="U227" i="1"/>
  <c r="H228" i="1"/>
  <c r="M228" i="1"/>
  <c r="Q228" i="1"/>
  <c r="U228" i="1"/>
  <c r="G229" i="1"/>
  <c r="G224" i="1" s="1"/>
  <c r="L229" i="1"/>
  <c r="M229" i="1" s="1"/>
  <c r="Q229" i="1"/>
  <c r="U229" i="1"/>
  <c r="H230" i="1"/>
  <c r="M230" i="1"/>
  <c r="Q230" i="1"/>
  <c r="U230" i="1"/>
  <c r="H231" i="1"/>
  <c r="M231" i="1"/>
  <c r="Q231" i="1"/>
  <c r="U231" i="1"/>
  <c r="H232" i="1"/>
  <c r="M232" i="1"/>
  <c r="Q232" i="1"/>
  <c r="U232" i="1"/>
  <c r="H233" i="1"/>
  <c r="M233" i="1"/>
  <c r="Q233" i="1"/>
  <c r="U233" i="1"/>
  <c r="H234" i="1"/>
  <c r="M234" i="1"/>
  <c r="Q234" i="1"/>
  <c r="U234" i="1"/>
  <c r="M13" i="2"/>
  <c r="X13" i="2" s="1"/>
  <c r="M14" i="2"/>
  <c r="X14" i="2" s="1"/>
  <c r="M15" i="2"/>
  <c r="X15" i="2" s="1"/>
  <c r="M16" i="2"/>
  <c r="X16" i="2" s="1"/>
  <c r="M17" i="2"/>
  <c r="X17" i="2" s="1"/>
  <c r="M18" i="2"/>
  <c r="X18" i="2" s="1"/>
  <c r="M19" i="2"/>
  <c r="X19" i="2" s="1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T50" i="2"/>
  <c r="X50" i="2"/>
  <c r="X51" i="2"/>
  <c r="C52" i="2"/>
  <c r="D52" i="2"/>
  <c r="I52" i="2"/>
  <c r="J52" i="2"/>
  <c r="N52" i="2"/>
  <c r="O52" i="2"/>
  <c r="P52" i="2"/>
  <c r="Q52" i="2"/>
  <c r="S52" i="2"/>
  <c r="V52" i="2"/>
  <c r="G53" i="2"/>
  <c r="M53" i="2" s="1"/>
  <c r="L53" i="2"/>
  <c r="P53" i="2"/>
  <c r="T53" i="2"/>
  <c r="G54" i="2"/>
  <c r="L54" i="2"/>
  <c r="P54" i="2"/>
  <c r="T54" i="2"/>
  <c r="G55" i="2"/>
  <c r="L55" i="2"/>
  <c r="P55" i="2"/>
  <c r="T55" i="2"/>
  <c r="G56" i="2"/>
  <c r="L56" i="2"/>
  <c r="P56" i="2"/>
  <c r="R56" i="2"/>
  <c r="T56" i="2" s="1"/>
  <c r="W56" i="2"/>
  <c r="G57" i="2"/>
  <c r="L57" i="2"/>
  <c r="P57" i="2"/>
  <c r="R57" i="2"/>
  <c r="T57" i="2" s="1"/>
  <c r="W57" i="2"/>
  <c r="G58" i="2"/>
  <c r="L58" i="2"/>
  <c r="P58" i="2"/>
  <c r="T58" i="2"/>
  <c r="W58" i="2"/>
  <c r="F59" i="2"/>
  <c r="G59" i="2" s="1"/>
  <c r="K59" i="2"/>
  <c r="P59" i="2"/>
  <c r="T59" i="2"/>
  <c r="W59" i="2"/>
  <c r="F60" i="2"/>
  <c r="G60" i="2" s="1"/>
  <c r="K60" i="2"/>
  <c r="L60" i="2" s="1"/>
  <c r="P60" i="2"/>
  <c r="T60" i="2"/>
  <c r="W60" i="2"/>
  <c r="F61" i="2"/>
  <c r="G61" i="2" s="1"/>
  <c r="K61" i="2"/>
  <c r="L61" i="2" s="1"/>
  <c r="P61" i="2"/>
  <c r="R61" i="2"/>
  <c r="T61" i="2" s="1"/>
  <c r="W61" i="2"/>
  <c r="G62" i="2"/>
  <c r="L62" i="2"/>
  <c r="P62" i="2"/>
  <c r="T62" i="2"/>
  <c r="W62" i="2"/>
  <c r="G63" i="2"/>
  <c r="L63" i="2"/>
  <c r="P63" i="2"/>
  <c r="T63" i="2"/>
  <c r="W63" i="2"/>
  <c r="G64" i="2"/>
  <c r="H64" i="2"/>
  <c r="H52" i="2" s="1"/>
  <c r="P64" i="2"/>
  <c r="T64" i="2"/>
  <c r="W64" i="2"/>
  <c r="C65" i="2"/>
  <c r="D65" i="2"/>
  <c r="I65" i="2"/>
  <c r="J65" i="2"/>
  <c r="K65" i="2"/>
  <c r="N65" i="2"/>
  <c r="O65" i="2"/>
  <c r="Q65" i="2"/>
  <c r="S65" i="2"/>
  <c r="U65" i="2"/>
  <c r="F66" i="2"/>
  <c r="L66" i="2"/>
  <c r="P66" i="2"/>
  <c r="T66" i="2"/>
  <c r="W66" i="2"/>
  <c r="F67" i="2"/>
  <c r="G67" i="2" s="1"/>
  <c r="L67" i="2"/>
  <c r="P67" i="2"/>
  <c r="T67" i="2"/>
  <c r="W67" i="2"/>
  <c r="G68" i="2"/>
  <c r="L68" i="2"/>
  <c r="P68" i="2"/>
  <c r="R68" i="2"/>
  <c r="T68" i="2" s="1"/>
  <c r="W68" i="2"/>
  <c r="G69" i="2"/>
  <c r="L69" i="2"/>
  <c r="P69" i="2"/>
  <c r="T69" i="2"/>
  <c r="V69" i="2"/>
  <c r="V65" i="2" s="1"/>
  <c r="W69" i="2"/>
  <c r="G70" i="2"/>
  <c r="L70" i="2"/>
  <c r="P70" i="2"/>
  <c r="T70" i="2"/>
  <c r="W70" i="2"/>
  <c r="G71" i="2"/>
  <c r="H71" i="2"/>
  <c r="L71" i="2" s="1"/>
  <c r="P71" i="2"/>
  <c r="T71" i="2"/>
  <c r="W71" i="2"/>
  <c r="G72" i="2"/>
  <c r="L72" i="2"/>
  <c r="P72" i="2"/>
  <c r="T72" i="2"/>
  <c r="W72" i="2"/>
  <c r="G73" i="2"/>
  <c r="H73" i="2"/>
  <c r="L73" i="2" s="1"/>
  <c r="P73" i="2"/>
  <c r="T73" i="2"/>
  <c r="W73" i="2"/>
  <c r="G74" i="2"/>
  <c r="L74" i="2"/>
  <c r="P74" i="2"/>
  <c r="R74" i="2"/>
  <c r="T74" i="2" s="1"/>
  <c r="W74" i="2"/>
  <c r="G75" i="2"/>
  <c r="L75" i="2"/>
  <c r="P75" i="2"/>
  <c r="R75" i="2"/>
  <c r="T75" i="2" s="1"/>
  <c r="W75" i="2"/>
  <c r="G76" i="2"/>
  <c r="L76" i="2"/>
  <c r="P76" i="2"/>
  <c r="R76" i="2"/>
  <c r="T76" i="2" s="1"/>
  <c r="W76" i="2"/>
  <c r="G77" i="2"/>
  <c r="L77" i="2"/>
  <c r="P77" i="2"/>
  <c r="T77" i="2"/>
  <c r="W77" i="2"/>
  <c r="T78" i="2"/>
  <c r="C79" i="2"/>
  <c r="D79" i="2"/>
  <c r="F79" i="2"/>
  <c r="H79" i="2"/>
  <c r="I79" i="2"/>
  <c r="N79" i="2"/>
  <c r="O79" i="2"/>
  <c r="Q79" i="2"/>
  <c r="S79" i="2"/>
  <c r="U79" i="2"/>
  <c r="G80" i="2"/>
  <c r="L80" i="2"/>
  <c r="P80" i="2"/>
  <c r="T80" i="2"/>
  <c r="W80" i="2"/>
  <c r="G81" i="2"/>
  <c r="L81" i="2"/>
  <c r="P81" i="2"/>
  <c r="T81" i="2"/>
  <c r="W81" i="2"/>
  <c r="G82" i="2"/>
  <c r="M82" i="2" s="1"/>
  <c r="L82" i="2"/>
  <c r="P82" i="2"/>
  <c r="T82" i="2"/>
  <c r="V82" i="2"/>
  <c r="V79" i="2" s="1"/>
  <c r="W82" i="2"/>
  <c r="G83" i="2"/>
  <c r="L83" i="2"/>
  <c r="M83" i="2" s="1"/>
  <c r="P83" i="2"/>
  <c r="T83" i="2"/>
  <c r="W83" i="2"/>
  <c r="G84" i="2"/>
  <c r="L84" i="2"/>
  <c r="P84" i="2"/>
  <c r="T84" i="2"/>
  <c r="W84" i="2"/>
  <c r="G85" i="2"/>
  <c r="L85" i="2"/>
  <c r="P85" i="2"/>
  <c r="R85" i="2"/>
  <c r="R79" i="2" s="1"/>
  <c r="W85" i="2"/>
  <c r="G86" i="2"/>
  <c r="L86" i="2"/>
  <c r="P86" i="2"/>
  <c r="T86" i="2"/>
  <c r="W86" i="2"/>
  <c r="G87" i="2"/>
  <c r="J87" i="2"/>
  <c r="J79" i="2" s="1"/>
  <c r="K87" i="2"/>
  <c r="P87" i="2"/>
  <c r="T87" i="2"/>
  <c r="W87" i="2"/>
  <c r="G88" i="2"/>
  <c r="L88" i="2"/>
  <c r="P88" i="2"/>
  <c r="T88" i="2"/>
  <c r="W88" i="2"/>
  <c r="G89" i="2"/>
  <c r="L89" i="2"/>
  <c r="P89" i="2"/>
  <c r="T89" i="2"/>
  <c r="G90" i="2"/>
  <c r="L90" i="2"/>
  <c r="P90" i="2"/>
  <c r="T90" i="2"/>
  <c r="E91" i="2"/>
  <c r="G91" i="2" s="1"/>
  <c r="L91" i="2"/>
  <c r="P91" i="2"/>
  <c r="T91" i="2"/>
  <c r="G92" i="2"/>
  <c r="M92" i="2" s="1"/>
  <c r="L92" i="2"/>
  <c r="P92" i="2"/>
  <c r="T92" i="2"/>
  <c r="D93" i="2"/>
  <c r="F93" i="2"/>
  <c r="I93" i="2"/>
  <c r="J93" i="2"/>
  <c r="Q93" i="2"/>
  <c r="S93" i="2"/>
  <c r="U93" i="2"/>
  <c r="V93" i="2"/>
  <c r="T94" i="2"/>
  <c r="E95" i="2"/>
  <c r="G95" i="2" s="1"/>
  <c r="L95" i="2"/>
  <c r="M95" i="2" s="1"/>
  <c r="P95" i="2"/>
  <c r="T95" i="2"/>
  <c r="E96" i="2"/>
  <c r="G96" i="2"/>
  <c r="L96" i="2"/>
  <c r="P96" i="2"/>
  <c r="T96" i="2"/>
  <c r="W96" i="2"/>
  <c r="G97" i="2"/>
  <c r="L97" i="2"/>
  <c r="P97" i="2"/>
  <c r="T97" i="2"/>
  <c r="E98" i="2"/>
  <c r="G98" i="2" s="1"/>
  <c r="L98" i="2"/>
  <c r="P98" i="2"/>
  <c r="T98" i="2"/>
  <c r="G99" i="2"/>
  <c r="L99" i="2"/>
  <c r="P99" i="2"/>
  <c r="T99" i="2"/>
  <c r="W99" i="2"/>
  <c r="G100" i="2"/>
  <c r="L100" i="2"/>
  <c r="P100" i="2"/>
  <c r="T100" i="2"/>
  <c r="C101" i="2"/>
  <c r="C93" i="2" s="1"/>
  <c r="L101" i="2"/>
  <c r="O101" i="2"/>
  <c r="O93" i="2" s="1"/>
  <c r="R101" i="2"/>
  <c r="R93" i="2" s="1"/>
  <c r="T93" i="2" s="1"/>
  <c r="W101" i="2"/>
  <c r="G102" i="2"/>
  <c r="L102" i="2"/>
  <c r="N102" i="2"/>
  <c r="P102" i="2" s="1"/>
  <c r="T102" i="2"/>
  <c r="E103" i="2"/>
  <c r="G103" i="2" s="1"/>
  <c r="K103" i="2"/>
  <c r="K93" i="2" s="1"/>
  <c r="P103" i="2"/>
  <c r="T103" i="2"/>
  <c r="G104" i="2"/>
  <c r="L104" i="2"/>
  <c r="P104" i="2"/>
  <c r="T104" i="2"/>
  <c r="G105" i="2"/>
  <c r="L105" i="2"/>
  <c r="P105" i="2"/>
  <c r="T105" i="2"/>
  <c r="G106" i="2"/>
  <c r="L106" i="2"/>
  <c r="P106" i="2"/>
  <c r="T106" i="2"/>
  <c r="M81" i="2" l="1"/>
  <c r="M74" i="2"/>
  <c r="N166" i="1"/>
  <c r="Z166" i="1" s="1"/>
  <c r="AC166" i="1" s="1"/>
  <c r="N162" i="1"/>
  <c r="Z162" i="1" s="1"/>
  <c r="N164" i="1"/>
  <c r="N188" i="1"/>
  <c r="N167" i="1"/>
  <c r="Z167" i="1" s="1"/>
  <c r="AC167" i="1" s="1"/>
  <c r="N234" i="1"/>
  <c r="Z234" i="1" s="1"/>
  <c r="N163" i="1"/>
  <c r="Z163" i="1" s="1"/>
  <c r="M55" i="2"/>
  <c r="M54" i="2"/>
  <c r="Z160" i="1"/>
  <c r="M96" i="2"/>
  <c r="M80" i="2"/>
  <c r="M76" i="2"/>
  <c r="M72" i="2"/>
  <c r="M99" i="2"/>
  <c r="M88" i="2"/>
  <c r="M85" i="2"/>
  <c r="X80" i="2"/>
  <c r="N91" i="1"/>
  <c r="N49" i="1"/>
  <c r="Z49" i="1" s="1"/>
  <c r="N165" i="1"/>
  <c r="Z165" i="1" s="1"/>
  <c r="AC165" i="1" s="1"/>
  <c r="N134" i="1"/>
  <c r="Z134" i="1" s="1"/>
  <c r="N81" i="1"/>
  <c r="Z81" i="1" s="1"/>
  <c r="N200" i="1"/>
  <c r="Z200" i="1" s="1"/>
  <c r="N198" i="1"/>
  <c r="Z198" i="1" s="1"/>
  <c r="N152" i="1"/>
  <c r="Z152" i="1" s="1"/>
  <c r="N148" i="1"/>
  <c r="Z148" i="1" s="1"/>
  <c r="N144" i="1"/>
  <c r="Z144" i="1" s="1"/>
  <c r="N137" i="1"/>
  <c r="Z137" i="1" s="1"/>
  <c r="N133" i="1"/>
  <c r="Z133" i="1" s="1"/>
  <c r="U68" i="1"/>
  <c r="N196" i="1"/>
  <c r="Z196" i="1" s="1"/>
  <c r="N186" i="1"/>
  <c r="Z186" i="1" s="1"/>
  <c r="Z159" i="1"/>
  <c r="N154" i="1"/>
  <c r="Z154" i="1" s="1"/>
  <c r="N150" i="1"/>
  <c r="Z150" i="1" s="1"/>
  <c r="N146" i="1"/>
  <c r="Z146" i="1" s="1"/>
  <c r="N140" i="1"/>
  <c r="Z140" i="1" s="1"/>
  <c r="N136" i="1"/>
  <c r="Z136" i="1" s="1"/>
  <c r="N71" i="1"/>
  <c r="Z71" i="1" s="1"/>
  <c r="N138" i="1"/>
  <c r="Z138" i="1" s="1"/>
  <c r="N139" i="1"/>
  <c r="Z139" i="1" s="1"/>
  <c r="N135" i="1"/>
  <c r="Z135" i="1" s="1"/>
  <c r="N100" i="1"/>
  <c r="Z100" i="1" s="1"/>
  <c r="N69" i="1"/>
  <c r="Z69" i="1" s="1"/>
  <c r="N61" i="1"/>
  <c r="Z61" i="1" s="1"/>
  <c r="N60" i="1"/>
  <c r="Z161" i="1"/>
  <c r="N86" i="1"/>
  <c r="Z86" i="1" s="1"/>
  <c r="M106" i="2"/>
  <c r="X106" i="2" s="1"/>
  <c r="M104" i="2"/>
  <c r="X104" i="2" s="1"/>
  <c r="P101" i="2"/>
  <c r="X99" i="2"/>
  <c r="N230" i="1"/>
  <c r="Z230" i="1" s="1"/>
  <c r="N227" i="1"/>
  <c r="Z227" i="1" s="1"/>
  <c r="N206" i="1"/>
  <c r="Z206" i="1" s="1"/>
  <c r="N205" i="1"/>
  <c r="Z205" i="1" s="1"/>
  <c r="N72" i="1"/>
  <c r="Z72" i="1" s="1"/>
  <c r="N70" i="1"/>
  <c r="Z70" i="1" s="1"/>
  <c r="N59" i="1"/>
  <c r="Z59" i="1" s="1"/>
  <c r="N56" i="1"/>
  <c r="Z56" i="1" s="1"/>
  <c r="N47" i="1"/>
  <c r="Q41" i="1"/>
  <c r="X53" i="2"/>
  <c r="T101" i="2"/>
  <c r="M57" i="2"/>
  <c r="N219" i="1"/>
  <c r="Z219" i="1" s="1"/>
  <c r="N218" i="1"/>
  <c r="Z218" i="1" s="1"/>
  <c r="N216" i="1"/>
  <c r="Z216" i="1" s="1"/>
  <c r="N215" i="1"/>
  <c r="N214" i="1"/>
  <c r="Z214" i="1" s="1"/>
  <c r="N213" i="1"/>
  <c r="Z213" i="1" s="1"/>
  <c r="N212" i="1"/>
  <c r="Z212" i="1" s="1"/>
  <c r="N77" i="1"/>
  <c r="Z77" i="1" s="1"/>
  <c r="N74" i="1"/>
  <c r="N62" i="1"/>
  <c r="Z62" i="1" s="1"/>
  <c r="N58" i="1"/>
  <c r="Z58" i="1" s="1"/>
  <c r="N51" i="1"/>
  <c r="Z51" i="1" s="1"/>
  <c r="N45" i="1"/>
  <c r="N44" i="1"/>
  <c r="Z44" i="1" s="1"/>
  <c r="N43" i="1"/>
  <c r="Z43" i="1" s="1"/>
  <c r="X82" i="2"/>
  <c r="Z170" i="1"/>
  <c r="Z169" i="1"/>
  <c r="Z168" i="1"/>
  <c r="N204" i="1"/>
  <c r="N232" i="1"/>
  <c r="Z232" i="1" s="1"/>
  <c r="N231" i="1"/>
  <c r="Z231" i="1" s="1"/>
  <c r="Q224" i="1"/>
  <c r="N202" i="1"/>
  <c r="Z202" i="1" s="1"/>
  <c r="N201" i="1"/>
  <c r="Z201" i="1" s="1"/>
  <c r="N132" i="1"/>
  <c r="Z132" i="1" s="1"/>
  <c r="N110" i="1"/>
  <c r="Z110" i="1" s="1"/>
  <c r="N109" i="1"/>
  <c r="Z109" i="1" s="1"/>
  <c r="N108" i="1"/>
  <c r="Z108" i="1" s="1"/>
  <c r="N107" i="1"/>
  <c r="Z107" i="1" s="1"/>
  <c r="N106" i="1"/>
  <c r="Z106" i="1" s="1"/>
  <c r="N105" i="1"/>
  <c r="Z105" i="1" s="1"/>
  <c r="N104" i="1"/>
  <c r="Z104" i="1" s="1"/>
  <c r="U224" i="1"/>
  <c r="M224" i="1"/>
  <c r="M60" i="2"/>
  <c r="N55" i="1"/>
  <c r="Z55" i="1" s="1"/>
  <c r="M105" i="2"/>
  <c r="X105" i="2" s="1"/>
  <c r="G101" i="2"/>
  <c r="M101" i="2" s="1"/>
  <c r="M100" i="2"/>
  <c r="M86" i="2"/>
  <c r="X86" i="2" s="1"/>
  <c r="M77" i="2"/>
  <c r="M75" i="2"/>
  <c r="M71" i="2"/>
  <c r="F65" i="2"/>
  <c r="M62" i="2"/>
  <c r="M58" i="2"/>
  <c r="M56" i="2"/>
  <c r="X55" i="2"/>
  <c r="N233" i="1"/>
  <c r="Z233" i="1" s="1"/>
  <c r="N228" i="1"/>
  <c r="Z228" i="1" s="1"/>
  <c r="N203" i="1"/>
  <c r="Z203" i="1" s="1"/>
  <c r="N199" i="1"/>
  <c r="Z199" i="1" s="1"/>
  <c r="N197" i="1"/>
  <c r="N131" i="1"/>
  <c r="Z131" i="1" s="1"/>
  <c r="U125" i="1"/>
  <c r="U112" i="1" s="1"/>
  <c r="N103" i="1"/>
  <c r="Z103" i="1" s="1"/>
  <c r="N102" i="1"/>
  <c r="Z102" i="1" s="1"/>
  <c r="X62" i="2"/>
  <c r="N89" i="1"/>
  <c r="N75" i="1"/>
  <c r="Z75" i="1" s="1"/>
  <c r="N57" i="1"/>
  <c r="N46" i="1"/>
  <c r="Z46" i="1" s="1"/>
  <c r="L224" i="1"/>
  <c r="Z183" i="1"/>
  <c r="N182" i="1"/>
  <c r="Z182" i="1" s="1"/>
  <c r="N181" i="1"/>
  <c r="Z181" i="1" s="1"/>
  <c r="N180" i="1"/>
  <c r="Z180" i="1" s="1"/>
  <c r="N179" i="1"/>
  <c r="Z179" i="1" s="1"/>
  <c r="N178" i="1"/>
  <c r="Z178" i="1" s="1"/>
  <c r="N177" i="1"/>
  <c r="Z177" i="1" s="1"/>
  <c r="Z188" i="1"/>
  <c r="Z176" i="1"/>
  <c r="N187" i="1"/>
  <c r="Z187" i="1" s="1"/>
  <c r="L87" i="2"/>
  <c r="M87" i="2" s="1"/>
  <c r="X87" i="2" s="1"/>
  <c r="K79" i="2"/>
  <c r="X101" i="2"/>
  <c r="M98" i="2"/>
  <c r="M91" i="2"/>
  <c r="X88" i="2"/>
  <c r="X83" i="2"/>
  <c r="X72" i="2"/>
  <c r="M67" i="2"/>
  <c r="X67" i="2" s="1"/>
  <c r="N80" i="1"/>
  <c r="Z80" i="1" s="1"/>
  <c r="X100" i="2"/>
  <c r="X96" i="2"/>
  <c r="H127" i="1"/>
  <c r="M127" i="1"/>
  <c r="H112" i="1"/>
  <c r="Q112" i="1"/>
  <c r="M97" i="1"/>
  <c r="Y82" i="1"/>
  <c r="H68" i="1"/>
  <c r="S54" i="1"/>
  <c r="U54" i="1" s="1"/>
  <c r="H54" i="1"/>
  <c r="Y41" i="1"/>
  <c r="S41" i="1"/>
  <c r="U41" i="1" s="1"/>
  <c r="N42" i="1"/>
  <c r="Z42" i="1" s="1"/>
  <c r="G79" i="2"/>
  <c r="X76" i="2"/>
  <c r="X75" i="2"/>
  <c r="X74" i="2"/>
  <c r="X71" i="2"/>
  <c r="P65" i="2"/>
  <c r="W65" i="2"/>
  <c r="R65" i="2"/>
  <c r="T65" i="2" s="1"/>
  <c r="X57" i="2"/>
  <c r="X56" i="2"/>
  <c r="Q209" i="1"/>
  <c r="Z204" i="1"/>
  <c r="U193" i="1"/>
  <c r="Z191" i="1"/>
  <c r="H172" i="1"/>
  <c r="Z175" i="1"/>
  <c r="Q172" i="1"/>
  <c r="M172" i="1"/>
  <c r="H157" i="1"/>
  <c r="U157" i="1"/>
  <c r="Q142" i="1"/>
  <c r="Y142" i="1"/>
  <c r="N130" i="1"/>
  <c r="Z130" i="1" s="1"/>
  <c r="U127" i="1"/>
  <c r="Y97" i="1"/>
  <c r="M102" i="2"/>
  <c r="X102" i="2" s="1"/>
  <c r="X98" i="2"/>
  <c r="M97" i="2"/>
  <c r="X97" i="2" s="1"/>
  <c r="W93" i="2"/>
  <c r="X91" i="2"/>
  <c r="M90" i="2"/>
  <c r="X90" i="2" s="1"/>
  <c r="M89" i="2"/>
  <c r="X89" i="2" s="1"/>
  <c r="T79" i="2"/>
  <c r="M84" i="2"/>
  <c r="X84" i="2" s="1"/>
  <c r="P79" i="2"/>
  <c r="L79" i="2"/>
  <c r="M73" i="2"/>
  <c r="X73" i="2" s="1"/>
  <c r="M70" i="2"/>
  <c r="X70" i="2" s="1"/>
  <c r="M69" i="2"/>
  <c r="X69" i="2" s="1"/>
  <c r="M68" i="2"/>
  <c r="X68" i="2" s="1"/>
  <c r="G66" i="2"/>
  <c r="G65" i="2" s="1"/>
  <c r="L64" i="2"/>
  <c r="M64" i="2" s="1"/>
  <c r="X64" i="2" s="1"/>
  <c r="M63" i="2"/>
  <c r="X63" i="2" s="1"/>
  <c r="X54" i="2"/>
  <c r="N226" i="1"/>
  <c r="Z226" i="1" s="1"/>
  <c r="N222" i="1"/>
  <c r="Z222" i="1" s="1"/>
  <c r="N221" i="1"/>
  <c r="Z221" i="1" s="1"/>
  <c r="N220" i="1"/>
  <c r="Z220" i="1" s="1"/>
  <c r="N217" i="1"/>
  <c r="Z217" i="1" s="1"/>
  <c r="Z215" i="1"/>
  <c r="M209" i="1"/>
  <c r="Z211" i="1"/>
  <c r="Y193" i="1"/>
  <c r="Q193" i="1"/>
  <c r="Z190" i="1"/>
  <c r="Z189" i="1"/>
  <c r="Z185" i="1"/>
  <c r="Z184" i="1"/>
  <c r="U172" i="1"/>
  <c r="N174" i="1"/>
  <c r="Q157" i="1"/>
  <c r="M157" i="1"/>
  <c r="N155" i="1"/>
  <c r="Z155" i="1" s="1"/>
  <c r="N153" i="1"/>
  <c r="Z153" i="1" s="1"/>
  <c r="N151" i="1"/>
  <c r="Z151" i="1" s="1"/>
  <c r="N149" i="1"/>
  <c r="Z149" i="1" s="1"/>
  <c r="N147" i="1"/>
  <c r="Z147" i="1" s="1"/>
  <c r="N145" i="1"/>
  <c r="Z145" i="1" s="1"/>
  <c r="U142" i="1"/>
  <c r="H142" i="1"/>
  <c r="Q127" i="1"/>
  <c r="N125" i="1"/>
  <c r="N124" i="1"/>
  <c r="Z124" i="1" s="1"/>
  <c r="N123" i="1"/>
  <c r="Z123" i="1" s="1"/>
  <c r="N122" i="1"/>
  <c r="Z122" i="1" s="1"/>
  <c r="N121" i="1"/>
  <c r="Z121" i="1" s="1"/>
  <c r="N120" i="1"/>
  <c r="Z120" i="1" s="1"/>
  <c r="N119" i="1"/>
  <c r="Z119" i="1" s="1"/>
  <c r="N118" i="1"/>
  <c r="Z118" i="1" s="1"/>
  <c r="N117" i="1"/>
  <c r="Z117" i="1" s="1"/>
  <c r="N116" i="1"/>
  <c r="Z116" i="1" s="1"/>
  <c r="N115" i="1"/>
  <c r="Z115" i="1" s="1"/>
  <c r="M112" i="1"/>
  <c r="N101" i="1"/>
  <c r="Z101" i="1" s="1"/>
  <c r="Q97" i="1"/>
  <c r="H97" i="1"/>
  <c r="U97" i="1"/>
  <c r="N95" i="1"/>
  <c r="Z95" i="1" s="1"/>
  <c r="N94" i="1"/>
  <c r="Z94" i="1" s="1"/>
  <c r="N93" i="1"/>
  <c r="Z93" i="1" s="1"/>
  <c r="M92" i="1"/>
  <c r="N92" i="1" s="1"/>
  <c r="Z92" i="1" s="1"/>
  <c r="Q91" i="1"/>
  <c r="Z89" i="1"/>
  <c r="N88" i="1"/>
  <c r="Z88" i="1" s="1"/>
  <c r="N79" i="1"/>
  <c r="Z79" i="1" s="1"/>
  <c r="N78" i="1"/>
  <c r="Z78" i="1" s="1"/>
  <c r="M76" i="1"/>
  <c r="N76" i="1" s="1"/>
  <c r="Z76" i="1" s="1"/>
  <c r="N73" i="1"/>
  <c r="Z73" i="1" s="1"/>
  <c r="Q68" i="1"/>
  <c r="N66" i="1"/>
  <c r="Z66" i="1" s="1"/>
  <c r="N65" i="1"/>
  <c r="Z65" i="1" s="1"/>
  <c r="N64" i="1"/>
  <c r="Z64" i="1" s="1"/>
  <c r="N63" i="1"/>
  <c r="Z63" i="1" s="1"/>
  <c r="I54" i="1"/>
  <c r="U57" i="1"/>
  <c r="Y54" i="1"/>
  <c r="Q54" i="1"/>
  <c r="G54" i="1"/>
  <c r="M53" i="1"/>
  <c r="N53" i="1" s="1"/>
  <c r="Z53" i="1" s="1"/>
  <c r="N52" i="1"/>
  <c r="Z52" i="1" s="1"/>
  <c r="L41" i="1"/>
  <c r="M41" i="1" s="1"/>
  <c r="U45" i="1"/>
  <c r="Z45" i="1" s="1"/>
  <c r="N235" i="1"/>
  <c r="Z235" i="1" s="1"/>
  <c r="N236" i="1"/>
  <c r="Z236" i="1" s="1"/>
  <c r="N237" i="1"/>
  <c r="Z237" i="1" s="1"/>
  <c r="X95" i="2"/>
  <c r="M79" i="2"/>
  <c r="P93" i="2"/>
  <c r="X92" i="2"/>
  <c r="X81" i="2"/>
  <c r="X77" i="2"/>
  <c r="M61" i="2"/>
  <c r="X61" i="2" s="1"/>
  <c r="X60" i="2"/>
  <c r="X58" i="2"/>
  <c r="E93" i="2"/>
  <c r="G93" i="2" s="1"/>
  <c r="W79" i="2"/>
  <c r="L65" i="2"/>
  <c r="H65" i="2"/>
  <c r="K52" i="2"/>
  <c r="L52" i="2" s="1"/>
  <c r="G52" i="2"/>
  <c r="F52" i="2"/>
  <c r="N93" i="2"/>
  <c r="L103" i="2"/>
  <c r="M103" i="2" s="1"/>
  <c r="X103" i="2" s="1"/>
  <c r="T85" i="2"/>
  <c r="X85" i="2" s="1"/>
  <c r="L59" i="2"/>
  <c r="M59" i="2" s="1"/>
  <c r="X59" i="2" s="1"/>
  <c r="W52" i="2"/>
  <c r="R52" i="2"/>
  <c r="T52" i="2" s="1"/>
  <c r="H209" i="1"/>
  <c r="Z197" i="1"/>
  <c r="H193" i="1"/>
  <c r="Z164" i="1"/>
  <c r="N90" i="1"/>
  <c r="N87" i="1"/>
  <c r="Z87" i="1" s="1"/>
  <c r="N85" i="1"/>
  <c r="Z85" i="1" s="1"/>
  <c r="N84" i="1"/>
  <c r="Z60" i="1"/>
  <c r="M54" i="1"/>
  <c r="N50" i="1"/>
  <c r="Z50" i="1" s="1"/>
  <c r="Z47" i="1"/>
  <c r="H41" i="1"/>
  <c r="U209" i="1"/>
  <c r="G209" i="1"/>
  <c r="M193" i="1"/>
  <c r="G193" i="1"/>
  <c r="Y157" i="1"/>
  <c r="M142" i="1"/>
  <c r="Y127" i="1"/>
  <c r="Y112" i="1"/>
  <c r="S82" i="1"/>
  <c r="U82" i="1" s="1"/>
  <c r="E82" i="1"/>
  <c r="C82" i="1"/>
  <c r="Y68" i="1"/>
  <c r="G41" i="1"/>
  <c r="H229" i="1"/>
  <c r="N229" i="1" s="1"/>
  <c r="N129" i="1"/>
  <c r="N114" i="1"/>
  <c r="N99" i="1"/>
  <c r="Q90" i="1"/>
  <c r="U74" i="1"/>
  <c r="M48" i="1"/>
  <c r="N48" i="1" s="1"/>
  <c r="Z48" i="1" s="1"/>
  <c r="Z74" i="1" l="1"/>
  <c r="N157" i="1"/>
  <c r="Z57" i="1"/>
  <c r="Z90" i="1"/>
  <c r="M82" i="1"/>
  <c r="N142" i="1"/>
  <c r="N172" i="1"/>
  <c r="Z91" i="1"/>
  <c r="N112" i="1"/>
  <c r="N127" i="1"/>
  <c r="N193" i="1"/>
  <c r="Z174" i="1"/>
  <c r="Z172" i="1" s="1"/>
  <c r="N209" i="1"/>
  <c r="Z125" i="1"/>
  <c r="M68" i="1"/>
  <c r="Z209" i="1"/>
  <c r="N54" i="1"/>
  <c r="Z54" i="1" s="1"/>
  <c r="N68" i="1"/>
  <c r="Z68" i="1" s="1"/>
  <c r="Z193" i="1"/>
  <c r="X79" i="2"/>
  <c r="Z142" i="1"/>
  <c r="N224" i="1"/>
  <c r="H224" i="1"/>
  <c r="M66" i="2"/>
  <c r="N41" i="1"/>
  <c r="Z41" i="1" s="1"/>
  <c r="Z157" i="1"/>
  <c r="M52" i="2"/>
  <c r="X52" i="2" s="1"/>
  <c r="N82" i="1"/>
  <c r="Z84" i="1"/>
  <c r="AC84" i="1" s="1"/>
  <c r="H82" i="1"/>
  <c r="Z129" i="1"/>
  <c r="Z127" i="1" s="1"/>
  <c r="Z229" i="1"/>
  <c r="Z224" i="1" s="1"/>
  <c r="L93" i="2"/>
  <c r="Q82" i="1"/>
  <c r="M93" i="2"/>
  <c r="X93" i="2" s="1"/>
  <c r="N97" i="1"/>
  <c r="Z99" i="1"/>
  <c r="Z97" i="1" s="1"/>
  <c r="Z114" i="1"/>
  <c r="Z112" i="1" s="1"/>
  <c r="Z82" i="1" l="1"/>
  <c r="M65" i="2"/>
  <c r="X65" i="2" s="1"/>
  <c r="X66" i="2"/>
</calcChain>
</file>

<file path=xl/comments1.xml><?xml version="1.0" encoding="utf-8"?>
<comments xmlns="http://schemas.openxmlformats.org/spreadsheetml/2006/main">
  <authors>
    <author>Tatiana Renjel</author>
    <author>Denise Salazar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Tatiana Renjel:  Incluye YPFB libre disponibilidad y YPFB otros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74" authorId="1">
      <text>
        <r>
          <rPr>
            <b/>
            <sz val="8"/>
            <color indexed="81"/>
            <rFont val="Tahoma"/>
            <family val="2"/>
          </rPr>
          <t>Denise Salazar:</t>
        </r>
        <r>
          <rPr>
            <sz val="8"/>
            <color indexed="81"/>
            <rFont val="Tahoma"/>
            <family val="2"/>
          </rPr>
          <t xml:space="preserve">
debe ser verficado</t>
        </r>
      </text>
    </comment>
  </commentList>
</comments>
</file>

<file path=xl/sharedStrings.xml><?xml version="1.0" encoding="utf-8"?>
<sst xmlns="http://schemas.openxmlformats.org/spreadsheetml/2006/main" count="450" uniqueCount="90">
  <si>
    <t>INGRESO DE DIVISAS</t>
  </si>
  <si>
    <t xml:space="preserve"> </t>
  </si>
  <si>
    <t xml:space="preserve">               SECTOR  PRIVADO</t>
  </si>
  <si>
    <t xml:space="preserve">              SERVICIOS</t>
  </si>
  <si>
    <t>TOTAL</t>
  </si>
  <si>
    <t>INGRESOS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</si>
  <si>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</si>
  <si>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</si>
  <si>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</si>
  <si>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</si>
  <si>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</si>
  <si>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</si>
  <si>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</si>
  <si>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</si>
  <si>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</si>
  <si>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</si>
  <si>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</si>
  <si>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</si>
  <si>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FUENTE</t>
  </si>
  <si>
    <t>ELABORACIÓN</t>
  </si>
  <si>
    <t>NOTAS</t>
  </si>
  <si>
    <t xml:space="preserve">                                             B I E N E S   O   M E R C A N C Í A S</t>
  </si>
  <si>
    <t xml:space="preserve">                    SECTOR  PÚBLICO</t>
  </si>
  <si>
    <t>S  E  C  T  O  R       P  Ú  B  L  I  C  O</t>
  </si>
  <si>
    <t xml:space="preserve">        ENE</t>
  </si>
  <si>
    <t xml:space="preserve">        FEB</t>
  </si>
  <si>
    <t xml:space="preserve">        MAR</t>
  </si>
  <si>
    <t xml:space="preserve">        ABR</t>
  </si>
  <si>
    <t xml:space="preserve">        MAY</t>
  </si>
  <si>
    <t xml:space="preserve">        JUN</t>
  </si>
  <si>
    <t xml:space="preserve">        JUL</t>
  </si>
  <si>
    <t xml:space="preserve">        AGO</t>
  </si>
  <si>
    <t xml:space="preserve">        SEP</t>
  </si>
  <si>
    <t xml:space="preserve">        OCT</t>
  </si>
  <si>
    <t xml:space="preserve">        NOV</t>
  </si>
  <si>
    <t xml:space="preserve">        DIC</t>
  </si>
  <si>
    <t>1998</t>
  </si>
  <si>
    <t>1999</t>
  </si>
  <si>
    <t>Minería</t>
  </si>
  <si>
    <t>Agrope-</t>
  </si>
  <si>
    <t>cuario</t>
  </si>
  <si>
    <t>Otros</t>
  </si>
  <si>
    <t>Productos</t>
  </si>
  <si>
    <t>Total</t>
  </si>
  <si>
    <t>Petróleo y</t>
  </si>
  <si>
    <t>Derivados</t>
  </si>
  <si>
    <t>Corrien-</t>
  </si>
  <si>
    <t>tes</t>
  </si>
  <si>
    <t>Finan-</t>
  </si>
  <si>
    <t>cieros</t>
  </si>
  <si>
    <t>Corto</t>
  </si>
  <si>
    <t>Plazo</t>
  </si>
  <si>
    <t>Largo</t>
  </si>
  <si>
    <t>Venta-</t>
  </si>
  <si>
    <t>nilla</t>
  </si>
  <si>
    <t>Dona-</t>
  </si>
  <si>
    <t>ciones</t>
  </si>
  <si>
    <t xml:space="preserve">A fin </t>
  </si>
  <si>
    <t>de:</t>
  </si>
  <si>
    <r>
      <t xml:space="preserve">Otros </t>
    </r>
    <r>
      <rPr>
        <b/>
        <vertAlign val="superscript"/>
        <sz val="12"/>
        <color indexed="8"/>
        <rFont val="Arial"/>
        <family val="2"/>
      </rPr>
      <t>(1)</t>
    </r>
  </si>
  <si>
    <r>
      <t xml:space="preserve">Otros </t>
    </r>
    <r>
      <rPr>
        <b/>
        <vertAlign val="superscript"/>
        <sz val="12"/>
        <color indexed="8"/>
        <rFont val="Arial"/>
        <family val="2"/>
      </rPr>
      <t>(2)</t>
    </r>
  </si>
  <si>
    <t xml:space="preserve">  (2) Incluye bancos cheques, agencias, cedes, reversión bolsín y otros </t>
  </si>
  <si>
    <t>1997*</t>
  </si>
  <si>
    <t>: (1)  Incluye convenio crédito recíproco</t>
  </si>
  <si>
    <t xml:space="preserve">  */  Desde ene/97, se revisaron los datos por actualización de cifras referidas a operaciones con títulos valores, que modificaron ingresos y egresos.</t>
  </si>
  <si>
    <t xml:space="preserve">  ingresos menos egresos.</t>
  </si>
  <si>
    <t>Petróleo y (3)</t>
  </si>
  <si>
    <t>: BANCO CENTRAL DE BOLIVIA - ASESORÍA DE POLÍTICA ECONÓMICA - SECTOR EXTERNO</t>
  </si>
  <si>
    <t xml:space="preserve">  (3) A partir de agosto de 1999 las exportaciones de Petróleo y Derivados corresponden al Sector Privado  </t>
  </si>
  <si>
    <t xml:space="preserve">  Cifras de Bancos-cheques revisadas. A partir del boletín N° 298 (junio de 1998) hasta el boletín N° 300 (diciembre de 1998) las cifras de abril a diciembre de1998 fueron registradas con base en operaciones netas diarias </t>
  </si>
  <si>
    <t xml:space="preserve">  A partir del boletín N° 301 dichos rubros se registran en términos brutos.</t>
  </si>
  <si>
    <t>RMD/DSG</t>
  </si>
  <si>
    <t>(En millones de $us)</t>
  </si>
  <si>
    <t>FMI</t>
  </si>
  <si>
    <t xml:space="preserve">  (4) A partir del boletín N° 321 (marzo de 2004) incluye operaciones de corto plazo y FMI.</t>
  </si>
  <si>
    <t xml:space="preserve"> DESEMBOLSO DEUDA EXTERNA </t>
  </si>
  <si>
    <t>FUENTE:</t>
  </si>
  <si>
    <t>ELABORACIÓN:</t>
  </si>
  <si>
    <t>NOTAS:</t>
  </si>
  <si>
    <t>BANCO CENTRAL DE BOLIVIA - ASESORÍA DE POLÍTICA ECONÓMICA - SECTOR EXTERNO</t>
  </si>
  <si>
    <t>,</t>
  </si>
  <si>
    <t>Renta</t>
  </si>
  <si>
    <t>Remesas</t>
  </si>
  <si>
    <t xml:space="preserve">Petróleo y </t>
  </si>
  <si>
    <t xml:space="preserve">Otros </t>
  </si>
  <si>
    <r>
      <t xml:space="preserve">SECTOR  PÚBLICO </t>
    </r>
    <r>
      <rPr>
        <b/>
        <vertAlign val="superscript"/>
        <sz val="11"/>
        <color indexed="8"/>
        <rFont val="Arial"/>
        <family val="2"/>
      </rPr>
      <t>(2)</t>
    </r>
  </si>
  <si>
    <r>
      <t xml:space="preserve">SECTOR  PRIVADO </t>
    </r>
    <r>
      <rPr>
        <b/>
        <vertAlign val="superscript"/>
        <sz val="11"/>
        <color indexed="8"/>
        <rFont val="Arial"/>
        <family val="2"/>
      </rPr>
      <t>(1)</t>
    </r>
  </si>
  <si>
    <t>SERVICIOS</t>
  </si>
  <si>
    <t xml:space="preserve">  (2) Incluye Saldos del Convenio de Pagos y Créditos Recíprocos ALADI por lo que difiere del cuadro 8.04</t>
  </si>
  <si>
    <t xml:space="preserve">  (1) Incluye remesas familiares por lo que difiere del cuadro 8.04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</si>
</sst>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_);\(#,##0.0\)"/>
    <numFmt numFmtId="165" formatCode="#,##0.0"/>
    <numFmt numFmtId="166" formatCode="0.0"/>
    <numFmt numFmtId="167" formatCode="0.000"/>
    <numFmt numFmtId="168" formatCode="#,##0.0000"/>
    <numFmt numFmtId="169" formatCode="#,##0.00000"/>
  </numFmts>
  <fonts count="39" x14ac:knownFonts="1">
    <font>
      <sz val="12"/>
      <name val="Courier"/>
    </font>
    <font>
      <sz val="10"/>
      <name val="Arial"/>
      <family val="2"/>
    </font>
    <font>
      <sz val="1"/>
      <color indexed="8"/>
      <name val="Courier"/>
      <family val="3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Courier"/>
      <family val="3"/>
    </font>
    <font>
      <b/>
      <vertAlign val="superscript"/>
      <sz val="12"/>
      <color indexed="8"/>
      <name val="Arial"/>
      <family val="2"/>
    </font>
    <font>
      <sz val="8"/>
      <name val="Arial"/>
      <family val="2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8"/>
      <color indexed="8"/>
      <name val="Times New Roman"/>
      <family val="1"/>
    </font>
    <font>
      <b/>
      <sz val="18"/>
      <color indexed="8"/>
      <name val="Times New Roman"/>
      <family val="1"/>
    </font>
    <font>
      <sz val="18"/>
      <name val="Times New Roman"/>
      <family val="1"/>
    </font>
    <font>
      <b/>
      <sz val="15"/>
      <color indexed="8"/>
      <name val="Times New Roman"/>
      <family val="1"/>
    </font>
    <font>
      <sz val="22"/>
      <color indexed="8"/>
      <name val="Times New Roman"/>
      <family val="1"/>
    </font>
    <font>
      <b/>
      <sz val="22"/>
      <color indexed="8"/>
      <name val="Times New Roman"/>
      <family val="1"/>
    </font>
    <font>
      <sz val="22"/>
      <name val="Times New Roman"/>
      <family val="1"/>
    </font>
    <font>
      <b/>
      <vertAlign val="superscript"/>
      <sz val="11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  <font>
      <sz val="18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</cellStyleXfs>
  <cellXfs count="206">
    <xf numFmtId="0" fontId="0" fillId="0" borderId="0" xfId="0"/>
    <xf numFmtId="164" fontId="3" fillId="0" borderId="0" xfId="0" applyNumberFormat="1" applyFont="1" applyFill="1" applyProtection="1"/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 applyProtection="1"/>
    <xf numFmtId="0" fontId="5" fillId="0" borderId="0" xfId="0" applyFont="1" applyFill="1"/>
    <xf numFmtId="0" fontId="6" fillId="0" borderId="0" xfId="0" applyFont="1"/>
    <xf numFmtId="164" fontId="5" fillId="0" borderId="0" xfId="0" applyNumberFormat="1" applyFont="1" applyFill="1" applyProtection="1"/>
    <xf numFmtId="0" fontId="9" fillId="0" borderId="1" xfId="0" applyFont="1" applyFill="1" applyBorder="1" applyAlignment="1" applyProtection="1">
      <alignment horizontal="center" vertical="center"/>
    </xf>
    <xf numFmtId="165" fontId="9" fillId="0" borderId="2" xfId="0" applyNumberFormat="1" applyFont="1" applyFill="1" applyBorder="1" applyAlignment="1" applyProtection="1">
      <alignment vertical="center"/>
    </xf>
    <xf numFmtId="165" fontId="9" fillId="0" borderId="3" xfId="0" applyNumberFormat="1" applyFont="1" applyFill="1" applyBorder="1" applyAlignment="1" applyProtection="1">
      <alignment vertical="center"/>
    </xf>
    <xf numFmtId="165" fontId="9" fillId="0" borderId="3" xfId="0" applyNumberFormat="1" applyFont="1" applyFill="1" applyBorder="1" applyAlignment="1">
      <alignment vertical="center"/>
    </xf>
    <xf numFmtId="0" fontId="9" fillId="0" borderId="1" xfId="0" applyFont="1" applyFill="1" applyBorder="1" applyAlignment="1" applyProtection="1">
      <alignment vertical="center"/>
    </xf>
    <xf numFmtId="165" fontId="9" fillId="0" borderId="1" xfId="0" applyNumberFormat="1" applyFont="1" applyFill="1" applyBorder="1" applyAlignment="1" applyProtection="1">
      <alignment vertical="center"/>
    </xf>
    <xf numFmtId="165" fontId="9" fillId="0" borderId="0" xfId="0" applyNumberFormat="1" applyFont="1" applyFill="1" applyAlignment="1" applyProtection="1">
      <alignment vertical="center"/>
    </xf>
    <xf numFmtId="165" fontId="9" fillId="0" borderId="1" xfId="0" applyNumberFormat="1" applyFont="1" applyFill="1" applyBorder="1" applyAlignment="1">
      <alignment vertical="center"/>
    </xf>
    <xf numFmtId="165" fontId="10" fillId="0" borderId="0" xfId="0" applyNumberFormat="1" applyFont="1" applyAlignment="1" applyProtection="1">
      <alignment vertical="center"/>
    </xf>
    <xf numFmtId="165" fontId="10" fillId="0" borderId="0" xfId="0" applyNumberFormat="1" applyFont="1" applyAlignment="1">
      <alignment vertical="center"/>
    </xf>
    <xf numFmtId="0" fontId="9" fillId="0" borderId="1" xfId="0" applyFont="1" applyFill="1" applyBorder="1" applyAlignment="1" applyProtection="1">
      <alignment horizontal="left" vertical="center"/>
    </xf>
    <xf numFmtId="0" fontId="9" fillId="0" borderId="2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/>
    <xf numFmtId="0" fontId="11" fillId="0" borderId="0" xfId="0" applyFont="1" applyFill="1"/>
    <xf numFmtId="165" fontId="12" fillId="0" borderId="1" xfId="0" applyNumberFormat="1" applyFont="1" applyFill="1" applyBorder="1" applyAlignment="1" applyProtection="1">
      <alignment vertical="center"/>
    </xf>
    <xf numFmtId="0" fontId="1" fillId="0" borderId="0" xfId="0" applyFont="1"/>
    <xf numFmtId="0" fontId="9" fillId="0" borderId="0" xfId="0" applyFont="1" applyFill="1" applyAlignment="1" applyProtection="1"/>
    <xf numFmtId="0" fontId="10" fillId="0" borderId="0" xfId="0" applyFont="1"/>
    <xf numFmtId="0" fontId="5" fillId="0" borderId="0" xfId="0" applyFont="1" applyFill="1" applyBorder="1"/>
    <xf numFmtId="0" fontId="12" fillId="0" borderId="1" xfId="0" applyFont="1" applyFill="1" applyBorder="1" applyAlignment="1" applyProtection="1">
      <alignment horizontal="left" vertical="center"/>
    </xf>
    <xf numFmtId="49" fontId="9" fillId="0" borderId="1" xfId="0" applyNumberFormat="1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vertical="center"/>
    </xf>
    <xf numFmtId="165" fontId="10" fillId="0" borderId="5" xfId="0" applyNumberFormat="1" applyFont="1" applyBorder="1" applyAlignment="1" applyProtection="1">
      <alignment vertical="center"/>
    </xf>
    <xf numFmtId="165" fontId="5" fillId="0" borderId="0" xfId="0" applyNumberFormat="1" applyFont="1" applyFill="1"/>
    <xf numFmtId="165" fontId="9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0" fontId="4" fillId="0" borderId="0" xfId="0" applyFont="1" applyBorder="1"/>
    <xf numFmtId="164" fontId="4" fillId="0" borderId="0" xfId="0" applyNumberFormat="1" applyFont="1" applyBorder="1" applyProtection="1"/>
    <xf numFmtId="0" fontId="15" fillId="0" borderId="6" xfId="0" applyFont="1" applyFill="1" applyBorder="1" applyAlignment="1">
      <alignment vertical="center"/>
    </xf>
    <xf numFmtId="0" fontId="15" fillId="0" borderId="2" xfId="0" applyFont="1" applyFill="1" applyBorder="1" applyAlignment="1" applyProtection="1">
      <alignment horizontal="centerContinuous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1" xfId="0" applyFont="1" applyFill="1" applyBorder="1" applyAlignment="1" applyProtection="1">
      <alignment horizontal="centerContinuous" vertical="center"/>
    </xf>
    <xf numFmtId="0" fontId="15" fillId="0" borderId="1" xfId="0" applyFont="1" applyFill="1" applyBorder="1" applyAlignment="1" applyProtection="1">
      <alignment horizontal="center" vertical="center"/>
    </xf>
    <xf numFmtId="0" fontId="15" fillId="0" borderId="2" xfId="0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7" xfId="0" applyFont="1" applyFill="1" applyBorder="1" applyAlignment="1" applyProtection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Continuous" vertical="center"/>
    </xf>
    <xf numFmtId="164" fontId="8" fillId="0" borderId="0" xfId="0" applyNumberFormat="1" applyFont="1" applyFill="1" applyBorder="1" applyAlignment="1" applyProtection="1">
      <alignment vertical="center"/>
    </xf>
    <xf numFmtId="167" fontId="6" fillId="0" borderId="0" xfId="0" applyNumberFormat="1" applyFont="1"/>
    <xf numFmtId="0" fontId="7" fillId="0" borderId="4" xfId="0" applyFont="1" applyFill="1" applyBorder="1" applyAlignment="1" applyProtection="1">
      <alignment horizontal="left" vertical="center"/>
    </xf>
    <xf numFmtId="0" fontId="7" fillId="0" borderId="4" xfId="0" applyFont="1" applyFill="1" applyBorder="1" applyAlignment="1" applyProtection="1">
      <alignment horizontal="left" vertical="center" indent="1"/>
    </xf>
    <xf numFmtId="168" fontId="4" fillId="0" borderId="0" xfId="0" applyNumberFormat="1" applyFont="1"/>
    <xf numFmtId="169" fontId="4" fillId="0" borderId="0" xfId="0" applyNumberFormat="1" applyFont="1"/>
    <xf numFmtId="4" fontId="4" fillId="0" borderId="0" xfId="0" applyNumberFormat="1" applyFont="1"/>
    <xf numFmtId="165" fontId="9" fillId="0" borderId="6" xfId="0" applyNumberFormat="1" applyFont="1" applyFill="1" applyBorder="1" applyAlignment="1" applyProtection="1">
      <alignment vertical="center"/>
    </xf>
    <xf numFmtId="165" fontId="9" fillId="0" borderId="4" xfId="0" applyNumberFormat="1" applyFont="1" applyFill="1" applyBorder="1" applyAlignment="1" applyProtection="1">
      <alignment vertical="center"/>
    </xf>
    <xf numFmtId="165" fontId="9" fillId="0" borderId="4" xfId="0" applyNumberFormat="1" applyFont="1" applyFill="1" applyBorder="1" applyAlignment="1">
      <alignment vertical="center"/>
    </xf>
    <xf numFmtId="165" fontId="12" fillId="0" borderId="6" xfId="0" applyNumberFormat="1" applyFont="1" applyFill="1" applyBorder="1" applyAlignment="1" applyProtection="1">
      <alignment vertical="center"/>
    </xf>
    <xf numFmtId="165" fontId="10" fillId="0" borderId="0" xfId="0" applyNumberFormat="1" applyFont="1" applyBorder="1" applyAlignment="1" applyProtection="1">
      <alignment vertical="center"/>
    </xf>
    <xf numFmtId="165" fontId="10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Protection="1"/>
    <xf numFmtId="0" fontId="15" fillId="0" borderId="8" xfId="0" applyFont="1" applyFill="1" applyBorder="1" applyAlignment="1" applyProtection="1">
      <alignment horizontal="left" vertical="center"/>
    </xf>
    <xf numFmtId="0" fontId="16" fillId="0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3" fillId="0" borderId="11" xfId="0" applyFont="1" applyFill="1" applyBorder="1"/>
    <xf numFmtId="165" fontId="9" fillId="0" borderId="0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Protection="1"/>
    <xf numFmtId="0" fontId="11" fillId="0" borderId="11" xfId="0" applyFont="1" applyFill="1" applyBorder="1"/>
    <xf numFmtId="165" fontId="10" fillId="0" borderId="0" xfId="0" applyNumberFormat="1" applyFont="1" applyBorder="1" applyAlignment="1" applyProtection="1">
      <alignment horizontal="right" vertical="center"/>
    </xf>
    <xf numFmtId="0" fontId="19" fillId="0" borderId="0" xfId="0" applyFont="1" applyAlignment="1">
      <alignment horizontal="right"/>
    </xf>
    <xf numFmtId="2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4" fillId="2" borderId="0" xfId="0" applyFont="1" applyFill="1"/>
    <xf numFmtId="165" fontId="10" fillId="0" borderId="0" xfId="0" applyNumberFormat="1" applyFont="1" applyFill="1" applyBorder="1" applyAlignment="1" applyProtection="1">
      <alignment vertical="center"/>
    </xf>
    <xf numFmtId="0" fontId="20" fillId="0" borderId="0" xfId="0" applyFont="1" applyFill="1"/>
    <xf numFmtId="0" fontId="22" fillId="0" borderId="0" xfId="0" applyFont="1"/>
    <xf numFmtId="0" fontId="23" fillId="0" borderId="0" xfId="0" applyFont="1" applyFill="1"/>
    <xf numFmtId="0" fontId="24" fillId="0" borderId="0" xfId="0" applyFont="1" applyFill="1" applyAlignment="1" applyProtection="1">
      <alignment horizontal="centerContinuous"/>
    </xf>
    <xf numFmtId="0" fontId="23" fillId="0" borderId="0" xfId="0" applyFont="1" applyFill="1" applyAlignment="1">
      <alignment horizontal="centerContinuous"/>
    </xf>
    <xf numFmtId="0" fontId="24" fillId="0" borderId="0" xfId="0" applyFont="1" applyFill="1" applyAlignment="1">
      <alignment horizontal="centerContinuous"/>
    </xf>
    <xf numFmtId="0" fontId="25" fillId="0" borderId="0" xfId="0" applyFont="1" applyAlignment="1">
      <alignment horizontal="centerContinuous"/>
    </xf>
    <xf numFmtId="0" fontId="25" fillId="0" borderId="0" xfId="0" applyFont="1"/>
    <xf numFmtId="0" fontId="26" fillId="0" borderId="0" xfId="0" applyFont="1" applyFill="1" applyAlignment="1" applyProtection="1"/>
    <xf numFmtId="0" fontId="27" fillId="0" borderId="0" xfId="0" applyFont="1" applyFill="1"/>
    <xf numFmtId="0" fontId="28" fillId="0" borderId="0" xfId="0" applyFont="1" applyFill="1" applyAlignment="1" applyProtection="1">
      <alignment horizontal="centerContinuous"/>
    </xf>
    <xf numFmtId="0" fontId="29" fillId="0" borderId="0" xfId="0" applyFont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Fill="1" applyAlignment="1" applyProtection="1">
      <alignment vertical="center"/>
    </xf>
    <xf numFmtId="0" fontId="21" fillId="0" borderId="0" xfId="0" applyFont="1" applyFill="1" applyAlignment="1" applyProtection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3" fillId="0" borderId="0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vertical="center"/>
    </xf>
    <xf numFmtId="0" fontId="22" fillId="3" borderId="0" xfId="0" applyFont="1" applyFill="1"/>
    <xf numFmtId="0" fontId="29" fillId="3" borderId="0" xfId="0" applyFont="1" applyFill="1"/>
    <xf numFmtId="0" fontId="25" fillId="3" borderId="0" xfId="0" applyFont="1" applyFill="1"/>
    <xf numFmtId="0" fontId="22" fillId="3" borderId="0" xfId="0" applyFont="1" applyFill="1" applyAlignment="1">
      <alignment vertical="center"/>
    </xf>
    <xf numFmtId="0" fontId="4" fillId="3" borderId="0" xfId="0" applyFont="1" applyFill="1"/>
    <xf numFmtId="0" fontId="9" fillId="0" borderId="4" xfId="0" applyFont="1" applyFill="1" applyBorder="1" applyAlignment="1" applyProtection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9" fillId="0" borderId="1" xfId="0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165" fontId="9" fillId="0" borderId="5" xfId="0" applyNumberFormat="1" applyFont="1" applyFill="1" applyBorder="1" applyAlignment="1" applyProtection="1">
      <alignment vertical="center"/>
    </xf>
    <xf numFmtId="165" fontId="9" fillId="3" borderId="0" xfId="0" applyNumberFormat="1" applyFont="1" applyFill="1" applyBorder="1" applyAlignment="1" applyProtection="1">
      <alignment vertical="center"/>
    </xf>
    <xf numFmtId="165" fontId="12" fillId="3" borderId="0" xfId="0" applyNumberFormat="1" applyFont="1" applyFill="1" applyBorder="1" applyAlignment="1" applyProtection="1">
      <alignment vertical="center"/>
    </xf>
    <xf numFmtId="0" fontId="4" fillId="3" borderId="0" xfId="0" applyFont="1" applyFill="1" applyBorder="1"/>
    <xf numFmtId="164" fontId="4" fillId="3" borderId="0" xfId="0" applyNumberFormat="1" applyFont="1" applyFill="1" applyBorder="1" applyProtection="1"/>
    <xf numFmtId="165" fontId="10" fillId="0" borderId="5" xfId="0" applyNumberFormat="1" applyFont="1" applyBorder="1" applyAlignment="1" applyProtection="1">
      <alignment horizontal="right" vertical="center"/>
    </xf>
    <xf numFmtId="169" fontId="4" fillId="3" borderId="0" xfId="0" applyNumberFormat="1" applyFont="1" applyFill="1"/>
    <xf numFmtId="168" fontId="4" fillId="3" borderId="0" xfId="0" applyNumberFormat="1" applyFont="1" applyFill="1"/>
    <xf numFmtId="4" fontId="4" fillId="3" borderId="0" xfId="0" applyNumberFormat="1" applyFont="1" applyFill="1"/>
    <xf numFmtId="0" fontId="7" fillId="0" borderId="9" xfId="0" applyFont="1" applyFill="1" applyBorder="1" applyAlignment="1" applyProtection="1">
      <alignment horizontal="left" vertical="center" indent="1"/>
    </xf>
    <xf numFmtId="165" fontId="9" fillId="0" borderId="7" xfId="0" applyNumberFormat="1" applyFont="1" applyFill="1" applyBorder="1" applyAlignment="1" applyProtection="1">
      <alignment vertical="center"/>
    </xf>
    <xf numFmtId="165" fontId="10" fillId="0" borderId="8" xfId="0" applyNumberFormat="1" applyFont="1" applyBorder="1" applyAlignment="1" applyProtection="1">
      <alignment vertical="center"/>
    </xf>
    <xf numFmtId="165" fontId="9" fillId="0" borderId="8" xfId="0" applyNumberFormat="1" applyFont="1" applyFill="1" applyBorder="1" applyAlignment="1" applyProtection="1">
      <alignment vertical="center"/>
    </xf>
    <xf numFmtId="165" fontId="9" fillId="0" borderId="9" xfId="0" applyNumberFormat="1" applyFont="1" applyFill="1" applyBorder="1" applyAlignment="1" applyProtection="1">
      <alignment vertical="center"/>
    </xf>
    <xf numFmtId="165" fontId="10" fillId="0" borderId="8" xfId="0" applyNumberFormat="1" applyFont="1" applyBorder="1" applyAlignment="1">
      <alignment vertical="center"/>
    </xf>
    <xf numFmtId="165" fontId="9" fillId="0" borderId="9" xfId="0" applyNumberFormat="1" applyFont="1" applyFill="1" applyBorder="1" applyAlignment="1">
      <alignment vertical="center"/>
    </xf>
    <xf numFmtId="165" fontId="9" fillId="0" borderId="7" xfId="0" applyNumberFormat="1" applyFont="1" applyFill="1" applyBorder="1" applyAlignment="1">
      <alignment vertical="center"/>
    </xf>
    <xf numFmtId="165" fontId="10" fillId="0" borderId="13" xfId="0" applyNumberFormat="1" applyFont="1" applyBorder="1" applyAlignment="1" applyProtection="1">
      <alignment vertical="center"/>
    </xf>
    <xf numFmtId="0" fontId="6" fillId="3" borderId="0" xfId="0" applyFont="1" applyFill="1"/>
    <xf numFmtId="165" fontId="9" fillId="0" borderId="8" xfId="0" applyNumberFormat="1" applyFont="1" applyFill="1" applyBorder="1" applyAlignment="1">
      <alignment vertical="center"/>
    </xf>
    <xf numFmtId="165" fontId="9" fillId="0" borderId="5" xfId="0" applyNumberFormat="1" applyFont="1" applyFill="1" applyBorder="1" applyAlignment="1">
      <alignment vertical="center"/>
    </xf>
    <xf numFmtId="165" fontId="10" fillId="0" borderId="5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7" fillId="0" borderId="0" xfId="0" applyNumberFormat="1" applyFont="1" applyFill="1" applyBorder="1" applyAlignment="1">
      <alignment horizontal="right"/>
    </xf>
    <xf numFmtId="166" fontId="8" fillId="0" borderId="5" xfId="0" applyNumberFormat="1" applyFont="1" applyBorder="1" applyAlignment="1">
      <alignment vertical="center"/>
    </xf>
    <xf numFmtId="166" fontId="8" fillId="0" borderId="0" xfId="0" applyNumberFormat="1" applyFont="1" applyBorder="1" applyAlignment="1">
      <alignment vertical="center"/>
    </xf>
    <xf numFmtId="166" fontId="7" fillId="0" borderId="5" xfId="0" applyNumberFormat="1" applyFont="1" applyFill="1" applyBorder="1" applyAlignment="1">
      <alignment horizontal="right"/>
    </xf>
    <xf numFmtId="0" fontId="7" fillId="0" borderId="9" xfId="0" applyFont="1" applyFill="1" applyBorder="1" applyAlignment="1" applyProtection="1">
      <alignment horizontal="left" vertical="center"/>
    </xf>
    <xf numFmtId="0" fontId="4" fillId="0" borderId="1" xfId="0" applyFont="1" applyBorder="1"/>
    <xf numFmtId="166" fontId="8" fillId="0" borderId="13" xfId="0" applyNumberFormat="1" applyFont="1" applyBorder="1" applyAlignment="1">
      <alignment vertical="center"/>
    </xf>
    <xf numFmtId="166" fontId="8" fillId="0" borderId="7" xfId="0" applyNumberFormat="1" applyFont="1" applyBorder="1" applyAlignment="1">
      <alignment vertical="center"/>
    </xf>
    <xf numFmtId="166" fontId="8" fillId="0" borderId="8" xfId="0" applyNumberFormat="1" applyFont="1" applyBorder="1" applyAlignment="1">
      <alignment vertical="center"/>
    </xf>
    <xf numFmtId="165" fontId="4" fillId="0" borderId="0" xfId="0" applyNumberFormat="1" applyFont="1" applyBorder="1"/>
    <xf numFmtId="0" fontId="7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/>
    <xf numFmtId="0" fontId="3" fillId="0" borderId="12" xfId="0" applyFont="1" applyFill="1" applyBorder="1"/>
    <xf numFmtId="166" fontId="10" fillId="0" borderId="0" xfId="0" applyNumberFormat="1" applyFont="1" applyBorder="1" applyAlignment="1">
      <alignment vertical="center"/>
    </xf>
    <xf numFmtId="166" fontId="9" fillId="0" borderId="0" xfId="0" applyNumberFormat="1" applyFont="1" applyFill="1" applyBorder="1" applyAlignment="1">
      <alignment horizontal="right"/>
    </xf>
    <xf numFmtId="166" fontId="10" fillId="0" borderId="5" xfId="0" applyNumberFormat="1" applyFont="1" applyBorder="1" applyAlignment="1">
      <alignment vertical="center"/>
    </xf>
    <xf numFmtId="0" fontId="15" fillId="0" borderId="3" xfId="0" applyFont="1" applyFill="1" applyBorder="1" applyAlignment="1" applyProtection="1">
      <alignment horizontal="right" vertical="center"/>
    </xf>
    <xf numFmtId="0" fontId="15" fillId="0" borderId="8" xfId="0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right" vertical="center"/>
    </xf>
    <xf numFmtId="165" fontId="10" fillId="0" borderId="0" xfId="0" applyNumberFormat="1" applyFont="1" applyFill="1" applyBorder="1" applyAlignment="1">
      <alignment vertical="center"/>
    </xf>
    <xf numFmtId="166" fontId="8" fillId="0" borderId="5" xfId="0" applyNumberFormat="1" applyFont="1" applyFill="1" applyBorder="1" applyAlignment="1">
      <alignment vertical="center"/>
    </xf>
    <xf numFmtId="166" fontId="8" fillId="0" borderId="1" xfId="0" applyNumberFormat="1" applyFont="1" applyFill="1" applyBorder="1" applyAlignment="1">
      <alignment vertical="center"/>
    </xf>
    <xf numFmtId="166" fontId="8" fillId="0" borderId="0" xfId="0" applyNumberFormat="1" applyFont="1" applyFill="1" applyBorder="1" applyAlignment="1">
      <alignment vertical="center"/>
    </xf>
    <xf numFmtId="0" fontId="31" fillId="0" borderId="0" xfId="0" applyFont="1" applyFill="1"/>
    <xf numFmtId="0" fontId="32" fillId="0" borderId="0" xfId="0" applyFont="1"/>
    <xf numFmtId="0" fontId="33" fillId="0" borderId="0" xfId="0" applyFont="1" applyFill="1" applyAlignment="1" applyProtection="1">
      <alignment horizontal="centerContinuous"/>
    </xf>
    <xf numFmtId="0" fontId="34" fillId="0" borderId="0" xfId="0" applyFont="1" applyFill="1" applyAlignment="1" applyProtection="1">
      <alignment horizontal="centerContinuous"/>
    </xf>
    <xf numFmtId="0" fontId="35" fillId="0" borderId="0" xfId="0" applyFont="1" applyFill="1" applyAlignment="1">
      <alignment horizontal="centerContinuous"/>
    </xf>
    <xf numFmtId="0" fontId="34" fillId="0" borderId="0" xfId="0" applyFont="1" applyFill="1" applyAlignment="1">
      <alignment horizontal="centerContinuous"/>
    </xf>
    <xf numFmtId="0" fontId="36" fillId="0" borderId="0" xfId="0" applyFont="1" applyAlignment="1">
      <alignment horizontal="centerContinuous"/>
    </xf>
    <xf numFmtId="0" fontId="35" fillId="0" borderId="0" xfId="0" applyFont="1" applyFill="1"/>
    <xf numFmtId="0" fontId="37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37" fillId="0" borderId="0" xfId="0" applyFont="1" applyFill="1" applyAlignment="1" applyProtection="1">
      <alignment vertical="center"/>
    </xf>
    <xf numFmtId="0" fontId="31" fillId="0" borderId="0" xfId="0" applyFont="1" applyFill="1" applyAlignment="1">
      <alignment horizontal="right" vertical="center"/>
    </xf>
    <xf numFmtId="0" fontId="38" fillId="0" borderId="0" xfId="0" applyFont="1" applyFill="1" applyAlignment="1" applyProtection="1"/>
    <xf numFmtId="0" fontId="38" fillId="0" borderId="0" xfId="0" applyFont="1" applyFill="1" applyAlignment="1" applyProtection="1">
      <alignment horizontal="right" vertical="center"/>
    </xf>
    <xf numFmtId="0" fontId="15" fillId="0" borderId="14" xfId="0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6" xfId="0" applyFont="1" applyFill="1" applyBorder="1" applyAlignment="1" applyProtection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15" xfId="0" applyFont="1" applyFill="1" applyBorder="1" applyAlignment="1" applyProtection="1">
      <alignment horizontal="center" vertical="center"/>
    </xf>
    <xf numFmtId="0" fontId="15" fillId="0" borderId="16" xfId="0" applyFont="1" applyFill="1" applyBorder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right" vertical="center"/>
    </xf>
    <xf numFmtId="0" fontId="15" fillId="0" borderId="5" xfId="0" applyFont="1" applyFill="1" applyBorder="1" applyAlignment="1" applyProtection="1">
      <alignment horizontal="right" vertical="center"/>
    </xf>
    <xf numFmtId="0" fontId="15" fillId="0" borderId="13" xfId="0" applyFont="1" applyFill="1" applyBorder="1" applyAlignment="1" applyProtection="1">
      <alignment horizontal="right" vertical="center"/>
    </xf>
    <xf numFmtId="0" fontId="15" fillId="0" borderId="3" xfId="0" applyFont="1" applyFill="1" applyBorder="1" applyAlignment="1" applyProtection="1">
      <alignment horizontal="right" vertical="center"/>
    </xf>
    <xf numFmtId="0" fontId="17" fillId="0" borderId="8" xfId="0" applyFont="1" applyBorder="1" applyAlignment="1">
      <alignment horizontal="right" vertical="center"/>
    </xf>
    <xf numFmtId="0" fontId="15" fillId="0" borderId="2" xfId="0" applyFont="1" applyFill="1" applyBorder="1" applyAlignment="1" applyProtection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5" fillId="0" borderId="3" xfId="0" applyFont="1" applyFill="1" applyBorder="1" applyAlignment="1" applyProtection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15" fillId="0" borderId="5" xfId="0" applyFont="1" applyFill="1" applyBorder="1" applyAlignment="1" applyProtection="1">
      <alignment horizontal="center" vertical="center"/>
    </xf>
    <xf numFmtId="0" fontId="15" fillId="0" borderId="13" xfId="0" applyFont="1" applyFill="1" applyBorder="1" applyAlignment="1" applyProtection="1">
      <alignment horizontal="center" vertical="center"/>
    </xf>
    <xf numFmtId="0" fontId="15" fillId="0" borderId="14" xfId="0" applyFont="1" applyFill="1" applyBorder="1" applyAlignment="1" applyProtection="1">
      <alignment vertical="center"/>
    </xf>
    <xf numFmtId="0" fontId="15" fillId="0" borderId="15" xfId="0" applyFont="1" applyFill="1" applyBorder="1" applyAlignment="1" applyProtection="1">
      <alignment vertical="center"/>
    </xf>
    <xf numFmtId="0" fontId="15" fillId="0" borderId="16" xfId="0" applyFont="1" applyFill="1" applyBorder="1" applyAlignment="1" applyProtection="1">
      <alignment vertical="center"/>
    </xf>
    <xf numFmtId="0" fontId="15" fillId="0" borderId="2" xfId="0" applyFont="1" applyFill="1" applyBorder="1" applyAlignment="1" applyProtection="1">
      <alignment horizontal="center" vertical="center"/>
    </xf>
    <xf numFmtId="0" fontId="17" fillId="0" borderId="7" xfId="0" applyFont="1" applyBorder="1" applyAlignment="1">
      <alignment horizontal="center" vertical="center"/>
    </xf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Hoja1"/>
  <dimension ref="A1:AF366"/>
  <sheetViews>
    <sheetView showGridLines="0" showZeros="0" tabSelected="1" view="pageBreakPreview" zoomScale="60" zoomScaleNormal="70" workbookViewId="0">
      <selection activeCell="B1" sqref="B1"/>
    </sheetView>
  </sheetViews>
  <sheetFormatPr baseColWidth="10" defaultColWidth="5.77734375" defaultRowHeight="12.75" outlineLevelRow="1" outlineLevelCol="1" x14ac:dyDescent="0.2"/>
  <cols>
    <col min="1" max="1" width="2.77734375" style="3" customWidth="1"/>
    <col min="2" max="2" width="11.6640625" style="3" customWidth="1"/>
    <col min="3" max="3" width="7.88671875" style="3" customWidth="1"/>
    <col min="4" max="4" width="7.6640625" style="3" customWidth="1"/>
    <col min="5" max="5" width="11.88671875" style="3" hidden="1" customWidth="1" outlineLevel="1"/>
    <col min="6" max="6" width="9.77734375" style="3" customWidth="1" collapsed="1"/>
    <col min="7" max="7" width="11.6640625" style="3" customWidth="1"/>
    <col min="8" max="8" width="7.6640625" style="3" customWidth="1"/>
    <col min="9" max="9" width="11.109375" style="3" customWidth="1"/>
    <col min="10" max="10" width="1.5546875" style="3" customWidth="1"/>
    <col min="11" max="11" width="7.77734375" style="3" customWidth="1"/>
    <col min="12" max="12" width="7.44140625" style="3" customWidth="1"/>
    <col min="13" max="13" width="7.77734375" style="3" customWidth="1"/>
    <col min="14" max="14" width="7.5546875" style="3" customWidth="1"/>
    <col min="15" max="15" width="8.44140625" style="3" customWidth="1"/>
    <col min="16" max="16" width="7.88671875" style="3" customWidth="1"/>
    <col min="17" max="17" width="7.109375" style="3" customWidth="1"/>
    <col min="18" max="18" width="9.21875" style="3" customWidth="1"/>
    <col min="19" max="19" width="10.21875" style="3" customWidth="1"/>
    <col min="20" max="20" width="10.21875" style="3" customWidth="1" outlineLevel="1"/>
    <col min="21" max="21" width="8.44140625" style="3" customWidth="1"/>
    <col min="22" max="22" width="6.5546875" style="3" customWidth="1" outlineLevel="1"/>
    <col min="23" max="24" width="8.109375" style="3" customWidth="1"/>
    <col min="25" max="25" width="8.88671875" style="3" customWidth="1"/>
    <col min="26" max="26" width="10.77734375" style="3" customWidth="1"/>
    <col min="27" max="27" width="1" style="3" customWidth="1"/>
    <col min="28" max="28" width="2.77734375" style="3" customWidth="1"/>
    <col min="29" max="29" width="9.109375" style="3" customWidth="1"/>
    <col min="30" max="30" width="5.77734375" style="3"/>
    <col min="31" max="31" width="6.77734375" style="3" bestFit="1" customWidth="1"/>
    <col min="32" max="16384" width="5.77734375" style="3"/>
  </cols>
  <sheetData>
    <row r="1" spans="1:29" s="86" customFormat="1" ht="27" customHeight="1" x14ac:dyDescent="0.3">
      <c r="A1" s="85"/>
      <c r="B1" s="179"/>
      <c r="C1" s="166"/>
      <c r="D1" s="166"/>
      <c r="E1" s="166"/>
      <c r="F1" s="166"/>
      <c r="G1" s="166"/>
      <c r="H1" s="166"/>
      <c r="I1" s="167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85"/>
    </row>
    <row r="2" spans="1:29" s="96" customFormat="1" ht="35.25" customHeight="1" x14ac:dyDescent="0.4">
      <c r="A2" s="94"/>
      <c r="B2" s="168" t="s">
        <v>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94"/>
    </row>
    <row r="3" spans="1:29" s="92" customFormat="1" ht="12" customHeight="1" x14ac:dyDescent="0.35">
      <c r="A3" s="87"/>
      <c r="B3" s="169"/>
      <c r="C3" s="170"/>
      <c r="D3" s="170"/>
      <c r="E3" s="170"/>
      <c r="F3" s="170"/>
      <c r="G3" s="170"/>
      <c r="H3" s="170"/>
      <c r="I3" s="171"/>
      <c r="J3" s="171"/>
      <c r="K3" s="171"/>
      <c r="L3" s="172"/>
      <c r="M3" s="172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3"/>
      <c r="AB3" s="87"/>
    </row>
    <row r="4" spans="1:29" s="99" customFormat="1" ht="24" customHeight="1" x14ac:dyDescent="0.2">
      <c r="A4" s="97"/>
      <c r="B4" s="174"/>
      <c r="C4" s="175"/>
      <c r="D4" s="175"/>
      <c r="E4" s="175"/>
      <c r="F4" s="175"/>
      <c r="G4" s="175"/>
      <c r="H4" s="175"/>
      <c r="I4" s="175"/>
      <c r="J4" s="175"/>
      <c r="K4" s="176"/>
      <c r="L4" s="175"/>
      <c r="M4" s="175"/>
      <c r="N4" s="175"/>
      <c r="O4" s="175"/>
      <c r="P4" s="175"/>
      <c r="Q4" s="175"/>
      <c r="R4" s="175"/>
      <c r="S4" s="175"/>
      <c r="T4" s="175"/>
      <c r="U4" s="176"/>
      <c r="V4" s="175"/>
      <c r="W4" s="177"/>
      <c r="X4" s="177"/>
      <c r="Y4" s="175"/>
      <c r="Z4" s="180" t="s">
        <v>72</v>
      </c>
      <c r="AA4" s="178"/>
      <c r="AB4" s="97"/>
    </row>
    <row r="5" spans="1:29" ht="18.95" customHeight="1" x14ac:dyDescent="0.2">
      <c r="A5" s="2"/>
      <c r="B5" s="36"/>
      <c r="C5" s="181" t="s">
        <v>21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3"/>
      <c r="O5" s="181" t="s">
        <v>23</v>
      </c>
      <c r="P5" s="182"/>
      <c r="Q5" s="182"/>
      <c r="R5" s="182"/>
      <c r="S5" s="182"/>
      <c r="T5" s="182"/>
      <c r="U5" s="182"/>
      <c r="V5" s="182"/>
      <c r="W5" s="182"/>
      <c r="X5" s="182"/>
      <c r="Y5" s="183"/>
      <c r="Z5" s="37" t="s">
        <v>1</v>
      </c>
      <c r="AA5" s="71"/>
      <c r="AB5" s="2"/>
    </row>
    <row r="6" spans="1:29" ht="18.95" customHeight="1" x14ac:dyDescent="0.2">
      <c r="A6" s="2"/>
      <c r="B6" s="38" t="s">
        <v>57</v>
      </c>
      <c r="C6" s="181" t="s">
        <v>86</v>
      </c>
      <c r="D6" s="186"/>
      <c r="E6" s="186"/>
      <c r="F6" s="186"/>
      <c r="G6" s="186"/>
      <c r="H6" s="187"/>
      <c r="I6" s="181" t="s">
        <v>85</v>
      </c>
      <c r="J6" s="186"/>
      <c r="K6" s="186"/>
      <c r="L6" s="186"/>
      <c r="M6" s="187"/>
      <c r="N6" s="40"/>
      <c r="O6" s="181" t="s">
        <v>87</v>
      </c>
      <c r="P6" s="186"/>
      <c r="Q6" s="187"/>
      <c r="R6" s="181" t="s">
        <v>75</v>
      </c>
      <c r="S6" s="186"/>
      <c r="T6" s="186"/>
      <c r="U6" s="187"/>
      <c r="V6" s="41"/>
      <c r="W6" s="39"/>
      <c r="X6" s="39"/>
      <c r="Y6" s="188" t="s">
        <v>84</v>
      </c>
      <c r="Z6" s="42" t="s">
        <v>4</v>
      </c>
      <c r="AA6" s="72"/>
      <c r="AB6" s="2"/>
    </row>
    <row r="7" spans="1:29" ht="18.95" customHeight="1" x14ac:dyDescent="0.2">
      <c r="A7" s="2"/>
      <c r="B7" s="43" t="s">
        <v>58</v>
      </c>
      <c r="C7" s="193" t="s">
        <v>38</v>
      </c>
      <c r="D7" s="159" t="s">
        <v>39</v>
      </c>
      <c r="E7" s="159" t="s">
        <v>83</v>
      </c>
      <c r="F7" s="191" t="s">
        <v>82</v>
      </c>
      <c r="G7" s="45" t="s">
        <v>41</v>
      </c>
      <c r="H7" s="184" t="s">
        <v>43</v>
      </c>
      <c r="I7" s="44" t="s">
        <v>44</v>
      </c>
      <c r="J7" s="46"/>
      <c r="K7" s="195" t="s">
        <v>38</v>
      </c>
      <c r="L7" s="195" t="s">
        <v>84</v>
      </c>
      <c r="M7" s="184" t="s">
        <v>43</v>
      </c>
      <c r="N7" s="47" t="s">
        <v>4</v>
      </c>
      <c r="O7" s="44" t="s">
        <v>46</v>
      </c>
      <c r="P7" s="45" t="s">
        <v>48</v>
      </c>
      <c r="Q7" s="184" t="s">
        <v>43</v>
      </c>
      <c r="R7" s="44" t="s">
        <v>50</v>
      </c>
      <c r="S7" s="45" t="s">
        <v>52</v>
      </c>
      <c r="T7" s="45" t="s">
        <v>73</v>
      </c>
      <c r="U7" s="184" t="s">
        <v>43</v>
      </c>
      <c r="V7" s="43" t="s">
        <v>53</v>
      </c>
      <c r="W7" s="48" t="s">
        <v>55</v>
      </c>
      <c r="X7" s="161" t="s">
        <v>81</v>
      </c>
      <c r="Y7" s="189"/>
      <c r="Z7" s="49" t="s">
        <v>5</v>
      </c>
      <c r="AA7" s="72"/>
      <c r="AB7" s="2"/>
    </row>
    <row r="8" spans="1:29" ht="18.95" customHeight="1" x14ac:dyDescent="0.2">
      <c r="A8" s="2"/>
      <c r="B8" s="50"/>
      <c r="C8" s="194"/>
      <c r="D8" s="160" t="s">
        <v>40</v>
      </c>
      <c r="E8" s="160" t="s">
        <v>45</v>
      </c>
      <c r="F8" s="192"/>
      <c r="G8" s="51" t="s">
        <v>42</v>
      </c>
      <c r="H8" s="185"/>
      <c r="I8" s="52" t="s">
        <v>45</v>
      </c>
      <c r="J8" s="53"/>
      <c r="K8" s="196"/>
      <c r="L8" s="197"/>
      <c r="M8" s="185"/>
      <c r="N8" s="54"/>
      <c r="O8" s="52" t="s">
        <v>47</v>
      </c>
      <c r="P8" s="51" t="s">
        <v>49</v>
      </c>
      <c r="Q8" s="185"/>
      <c r="R8" s="52" t="s">
        <v>51</v>
      </c>
      <c r="S8" s="51" t="s">
        <v>51</v>
      </c>
      <c r="T8" s="51"/>
      <c r="U8" s="185"/>
      <c r="V8" s="50" t="s">
        <v>54</v>
      </c>
      <c r="W8" s="53" t="s">
        <v>56</v>
      </c>
      <c r="X8" s="53"/>
      <c r="Y8" s="190"/>
      <c r="Z8" s="55"/>
      <c r="AA8" s="73"/>
      <c r="AB8" s="2"/>
    </row>
    <row r="9" spans="1:29" ht="24.95" hidden="1" customHeight="1" x14ac:dyDescent="0.2">
      <c r="A9" s="2"/>
      <c r="B9" s="19">
        <v>1990</v>
      </c>
      <c r="C9" s="9">
        <v>128.19999999999999</v>
      </c>
      <c r="D9" s="10">
        <v>85.3</v>
      </c>
      <c r="E9" s="10"/>
      <c r="F9" s="10"/>
      <c r="G9" s="10">
        <v>66.2</v>
      </c>
      <c r="H9" s="63">
        <v>279.7</v>
      </c>
      <c r="I9" s="9">
        <v>159</v>
      </c>
      <c r="J9" s="11"/>
      <c r="K9" s="10">
        <v>70.2</v>
      </c>
      <c r="L9" s="10">
        <v>63.9</v>
      </c>
      <c r="M9" s="63">
        <v>293.10000000000002</v>
      </c>
      <c r="N9" s="9">
        <v>572.79999999999995</v>
      </c>
      <c r="O9" s="9">
        <v>16.8</v>
      </c>
      <c r="P9" s="10">
        <v>11.7</v>
      </c>
      <c r="Q9" s="63">
        <v>28.5</v>
      </c>
      <c r="R9" s="9">
        <v>109.6</v>
      </c>
      <c r="S9" s="10">
        <v>247.2</v>
      </c>
      <c r="T9" s="10"/>
      <c r="U9" s="63">
        <v>356.8</v>
      </c>
      <c r="V9" s="9">
        <v>8</v>
      </c>
      <c r="W9" s="10">
        <v>31.7</v>
      </c>
      <c r="X9" s="10"/>
      <c r="Y9" s="10">
        <v>935.5</v>
      </c>
      <c r="Z9" s="13">
        <v>1933.3</v>
      </c>
      <c r="AA9" s="74"/>
      <c r="AB9" s="2"/>
    </row>
    <row r="10" spans="1:29" ht="24.95" hidden="1" customHeight="1" x14ac:dyDescent="0.2">
      <c r="A10" s="2"/>
      <c r="B10" s="18">
        <v>1991</v>
      </c>
      <c r="C10" s="13">
        <v>84.2</v>
      </c>
      <c r="D10" s="32">
        <v>53.5</v>
      </c>
      <c r="E10" s="32"/>
      <c r="F10" s="32"/>
      <c r="G10" s="32">
        <v>57.7</v>
      </c>
      <c r="H10" s="64">
        <v>195.4</v>
      </c>
      <c r="I10" s="13">
        <v>197.5</v>
      </c>
      <c r="J10" s="32"/>
      <c r="K10" s="32">
        <v>92.9</v>
      </c>
      <c r="L10" s="32">
        <v>21</v>
      </c>
      <c r="M10" s="64">
        <v>311.39999999999998</v>
      </c>
      <c r="N10" s="13">
        <v>506.8</v>
      </c>
      <c r="O10" s="13">
        <v>29.6</v>
      </c>
      <c r="P10" s="32">
        <v>15.4</v>
      </c>
      <c r="Q10" s="64">
        <v>45</v>
      </c>
      <c r="R10" s="13">
        <v>49</v>
      </c>
      <c r="S10" s="32">
        <v>152.19999999999999</v>
      </c>
      <c r="T10" s="32"/>
      <c r="U10" s="64">
        <v>201.2</v>
      </c>
      <c r="V10" s="13">
        <v>34.700000000000003</v>
      </c>
      <c r="W10" s="32">
        <v>61.5</v>
      </c>
      <c r="X10" s="32"/>
      <c r="Y10" s="32">
        <v>915.4</v>
      </c>
      <c r="Z10" s="13">
        <v>1764.6</v>
      </c>
      <c r="AA10" s="74"/>
      <c r="AB10" s="2"/>
    </row>
    <row r="11" spans="1:29" ht="24.95" hidden="1" customHeight="1" x14ac:dyDescent="0.2">
      <c r="A11" s="2"/>
      <c r="B11" s="18">
        <v>1992</v>
      </c>
      <c r="C11" s="13">
        <v>69.599999999999994</v>
      </c>
      <c r="D11" s="32">
        <v>7.8</v>
      </c>
      <c r="E11" s="32"/>
      <c r="F11" s="32"/>
      <c r="G11" s="32">
        <v>15.5</v>
      </c>
      <c r="H11" s="64">
        <v>92.9</v>
      </c>
      <c r="I11" s="13">
        <v>136.1</v>
      </c>
      <c r="J11" s="32"/>
      <c r="K11" s="32">
        <v>86.6</v>
      </c>
      <c r="L11" s="32">
        <v>29.8</v>
      </c>
      <c r="M11" s="64">
        <v>252.5</v>
      </c>
      <c r="N11" s="13">
        <v>345.4</v>
      </c>
      <c r="O11" s="13">
        <v>118.2</v>
      </c>
      <c r="P11" s="32">
        <v>8.6</v>
      </c>
      <c r="Q11" s="64">
        <v>126.8</v>
      </c>
      <c r="R11" s="13">
        <v>11.1</v>
      </c>
      <c r="S11" s="32">
        <v>221</v>
      </c>
      <c r="T11" s="32"/>
      <c r="U11" s="64">
        <v>232.1</v>
      </c>
      <c r="V11" s="13">
        <v>9.6999999999999993</v>
      </c>
      <c r="W11" s="32">
        <v>81.5</v>
      </c>
      <c r="X11" s="32"/>
      <c r="Y11" s="32">
        <v>678.3</v>
      </c>
      <c r="Z11" s="13">
        <v>1473.8</v>
      </c>
      <c r="AA11" s="74"/>
      <c r="AB11" s="2"/>
    </row>
    <row r="12" spans="1:29" ht="20.100000000000001" hidden="1" customHeight="1" x14ac:dyDescent="0.2">
      <c r="A12" s="2"/>
      <c r="B12" s="18">
        <v>1993</v>
      </c>
      <c r="C12" s="13">
        <v>130.69999999999999</v>
      </c>
      <c r="D12" s="32">
        <v>16.3</v>
      </c>
      <c r="E12" s="32"/>
      <c r="F12" s="32"/>
      <c r="G12" s="32">
        <v>25.1</v>
      </c>
      <c r="H12" s="64">
        <v>172.1</v>
      </c>
      <c r="I12" s="13">
        <v>110.9</v>
      </c>
      <c r="J12" s="32"/>
      <c r="K12" s="32">
        <v>76.7</v>
      </c>
      <c r="L12" s="32">
        <v>22.5</v>
      </c>
      <c r="M12" s="64">
        <v>210.1</v>
      </c>
      <c r="N12" s="13">
        <v>382.2</v>
      </c>
      <c r="O12" s="13">
        <v>41.3</v>
      </c>
      <c r="P12" s="32">
        <v>5.9</v>
      </c>
      <c r="Q12" s="64">
        <v>47.2</v>
      </c>
      <c r="R12" s="13">
        <v>20</v>
      </c>
      <c r="S12" s="32">
        <v>132.30000000000001</v>
      </c>
      <c r="T12" s="32"/>
      <c r="U12" s="64">
        <v>152.30000000000001</v>
      </c>
      <c r="V12" s="13">
        <v>0</v>
      </c>
      <c r="W12" s="32">
        <v>29.2</v>
      </c>
      <c r="X12" s="32"/>
      <c r="Y12" s="32">
        <v>1050.2</v>
      </c>
      <c r="Z12" s="13">
        <f t="shared" ref="Z12:Z53" si="0">Y12+W12+V12+U12+Q12+N12</f>
        <v>1661.1000000000001</v>
      </c>
      <c r="AA12" s="74"/>
      <c r="AB12" s="2"/>
    </row>
    <row r="13" spans="1:29" ht="20.100000000000001" hidden="1" customHeight="1" x14ac:dyDescent="0.2">
      <c r="A13" s="2"/>
      <c r="B13" s="18">
        <v>1994</v>
      </c>
      <c r="C13" s="13">
        <v>169.1</v>
      </c>
      <c r="D13" s="32">
        <v>11.5</v>
      </c>
      <c r="E13" s="32"/>
      <c r="F13" s="32"/>
      <c r="G13" s="32">
        <v>8.6999999999999993</v>
      </c>
      <c r="H13" s="64">
        <v>189.3</v>
      </c>
      <c r="I13" s="13">
        <v>90.4</v>
      </c>
      <c r="J13" s="32"/>
      <c r="K13" s="32">
        <v>90.9</v>
      </c>
      <c r="L13" s="32">
        <v>31.7</v>
      </c>
      <c r="M13" s="64">
        <v>213</v>
      </c>
      <c r="N13" s="13">
        <v>402.3</v>
      </c>
      <c r="O13" s="13">
        <v>34.799999999999997</v>
      </c>
      <c r="P13" s="32">
        <v>11.2</v>
      </c>
      <c r="Q13" s="64">
        <v>46</v>
      </c>
      <c r="R13" s="13">
        <v>0</v>
      </c>
      <c r="S13" s="32">
        <v>237.8</v>
      </c>
      <c r="T13" s="32"/>
      <c r="U13" s="64">
        <v>237.8</v>
      </c>
      <c r="V13" s="13">
        <v>0.1</v>
      </c>
      <c r="W13" s="32">
        <v>81.8</v>
      </c>
      <c r="X13" s="32"/>
      <c r="Y13" s="32">
        <v>1019.7</v>
      </c>
      <c r="Z13" s="13">
        <f t="shared" si="0"/>
        <v>1787.6999999999998</v>
      </c>
      <c r="AA13" s="74"/>
      <c r="AB13" s="2"/>
      <c r="AC13" s="32">
        <v>1787.7</v>
      </c>
    </row>
    <row r="14" spans="1:29" ht="20.100000000000001" hidden="1" customHeight="1" x14ac:dyDescent="0.2">
      <c r="A14" s="2"/>
      <c r="B14" s="18">
        <v>1995</v>
      </c>
      <c r="C14" s="13">
        <v>208.3</v>
      </c>
      <c r="D14" s="32">
        <v>49</v>
      </c>
      <c r="E14" s="32"/>
      <c r="F14" s="32"/>
      <c r="G14" s="32">
        <v>293.3</v>
      </c>
      <c r="H14" s="64">
        <v>550.6</v>
      </c>
      <c r="I14" s="13">
        <v>102.6</v>
      </c>
      <c r="J14" s="32"/>
      <c r="K14" s="32">
        <v>84.4</v>
      </c>
      <c r="L14" s="32">
        <v>58</v>
      </c>
      <c r="M14" s="64">
        <v>245</v>
      </c>
      <c r="N14" s="13">
        <v>795.6</v>
      </c>
      <c r="O14" s="13">
        <v>48.9</v>
      </c>
      <c r="P14" s="32">
        <v>28.4</v>
      </c>
      <c r="Q14" s="64">
        <v>77.3</v>
      </c>
      <c r="R14" s="13">
        <v>0</v>
      </c>
      <c r="S14" s="32">
        <v>316.10000000000002</v>
      </c>
      <c r="T14" s="32"/>
      <c r="U14" s="64">
        <v>316.10000000000002</v>
      </c>
      <c r="V14" s="13">
        <v>0.5</v>
      </c>
      <c r="W14" s="32">
        <v>65</v>
      </c>
      <c r="X14" s="32"/>
      <c r="Y14" s="32">
        <v>1140.0999999999999</v>
      </c>
      <c r="Z14" s="13">
        <f t="shared" si="0"/>
        <v>2394.6</v>
      </c>
      <c r="AA14" s="74"/>
      <c r="AB14" s="2"/>
      <c r="AC14" s="32">
        <v>2394.6</v>
      </c>
    </row>
    <row r="15" spans="1:29" ht="24.95" hidden="1" customHeight="1" x14ac:dyDescent="0.2">
      <c r="A15" s="2"/>
      <c r="B15" s="18" t="s">
        <v>6</v>
      </c>
      <c r="C15" s="13">
        <v>17.100000000000001</v>
      </c>
      <c r="D15" s="32">
        <v>4.7</v>
      </c>
      <c r="E15" s="32"/>
      <c r="F15" s="32"/>
      <c r="G15" s="32">
        <v>16.8</v>
      </c>
      <c r="H15" s="64">
        <v>38.6</v>
      </c>
      <c r="I15" s="13">
        <v>11</v>
      </c>
      <c r="J15" s="32"/>
      <c r="K15" s="32">
        <v>6.9</v>
      </c>
      <c r="L15" s="32">
        <v>2.7</v>
      </c>
      <c r="M15" s="64">
        <v>20.6</v>
      </c>
      <c r="N15" s="13">
        <v>59.2</v>
      </c>
      <c r="O15" s="13">
        <v>1.6</v>
      </c>
      <c r="P15" s="32">
        <v>2.9</v>
      </c>
      <c r="Q15" s="64">
        <v>4.5</v>
      </c>
      <c r="R15" s="13">
        <v>0</v>
      </c>
      <c r="S15" s="32">
        <v>6.3</v>
      </c>
      <c r="T15" s="32"/>
      <c r="U15" s="64">
        <v>6.3</v>
      </c>
      <c r="V15" s="13">
        <v>0</v>
      </c>
      <c r="W15" s="32">
        <v>10.9</v>
      </c>
      <c r="X15" s="32"/>
      <c r="Y15" s="32">
        <v>96.5</v>
      </c>
      <c r="Z15" s="13">
        <f t="shared" si="0"/>
        <v>177.4</v>
      </c>
      <c r="AA15" s="74"/>
      <c r="AB15" s="2"/>
      <c r="AC15" s="32">
        <v>177.4</v>
      </c>
    </row>
    <row r="16" spans="1:29" ht="24.95" hidden="1" customHeight="1" x14ac:dyDescent="0.2">
      <c r="A16" s="2"/>
      <c r="B16" s="18" t="s">
        <v>7</v>
      </c>
      <c r="C16" s="13">
        <v>11.7</v>
      </c>
      <c r="D16" s="32">
        <v>5.5</v>
      </c>
      <c r="E16" s="32"/>
      <c r="F16" s="32"/>
      <c r="G16" s="32">
        <v>13.2</v>
      </c>
      <c r="H16" s="64">
        <v>30.4</v>
      </c>
      <c r="I16" s="13">
        <v>0</v>
      </c>
      <c r="J16" s="32"/>
      <c r="K16" s="32">
        <v>6.9</v>
      </c>
      <c r="L16" s="32">
        <v>0.8</v>
      </c>
      <c r="M16" s="64">
        <v>7.7</v>
      </c>
      <c r="N16" s="13">
        <v>38.1</v>
      </c>
      <c r="O16" s="13">
        <v>1.8</v>
      </c>
      <c r="P16" s="32">
        <v>0.6</v>
      </c>
      <c r="Q16" s="64">
        <v>2.4</v>
      </c>
      <c r="R16" s="13">
        <v>0</v>
      </c>
      <c r="S16" s="32">
        <v>1.9</v>
      </c>
      <c r="T16" s="32"/>
      <c r="U16" s="64">
        <v>1.9</v>
      </c>
      <c r="V16" s="13">
        <v>0</v>
      </c>
      <c r="W16" s="32">
        <v>16.899999999999999</v>
      </c>
      <c r="X16" s="32"/>
      <c r="Y16" s="32">
        <v>86.4</v>
      </c>
      <c r="Z16" s="13">
        <f t="shared" si="0"/>
        <v>145.70000000000002</v>
      </c>
      <c r="AA16" s="74"/>
      <c r="AB16" s="2"/>
      <c r="AC16" s="32">
        <v>145.69999999999999</v>
      </c>
    </row>
    <row r="17" spans="1:29" ht="24.95" hidden="1" customHeight="1" x14ac:dyDescent="0.2">
      <c r="A17" s="2"/>
      <c r="B17" s="18" t="s">
        <v>8</v>
      </c>
      <c r="C17" s="13">
        <v>14.8</v>
      </c>
      <c r="D17" s="32">
        <v>1</v>
      </c>
      <c r="E17" s="32"/>
      <c r="F17" s="32"/>
      <c r="G17" s="32">
        <v>47.9</v>
      </c>
      <c r="H17" s="64">
        <v>63.7</v>
      </c>
      <c r="I17" s="13">
        <v>5.6</v>
      </c>
      <c r="J17" s="32"/>
      <c r="K17" s="32">
        <v>5.6</v>
      </c>
      <c r="L17" s="32">
        <v>3.4</v>
      </c>
      <c r="M17" s="64">
        <v>14.6</v>
      </c>
      <c r="N17" s="13">
        <v>78.3</v>
      </c>
      <c r="O17" s="13">
        <v>4.0999999999999996</v>
      </c>
      <c r="P17" s="32">
        <v>3.3</v>
      </c>
      <c r="Q17" s="64">
        <v>7.4</v>
      </c>
      <c r="R17" s="13">
        <v>0</v>
      </c>
      <c r="S17" s="32">
        <v>17.899999999999999</v>
      </c>
      <c r="T17" s="32"/>
      <c r="U17" s="64">
        <v>17.899999999999999</v>
      </c>
      <c r="V17" s="13">
        <v>0</v>
      </c>
      <c r="W17" s="32">
        <v>0.8</v>
      </c>
      <c r="X17" s="32"/>
      <c r="Y17" s="32">
        <v>110.5</v>
      </c>
      <c r="Z17" s="13">
        <f t="shared" si="0"/>
        <v>214.89999999999998</v>
      </c>
      <c r="AA17" s="74"/>
      <c r="AB17" s="2"/>
      <c r="AC17" s="32">
        <v>214.9</v>
      </c>
    </row>
    <row r="18" spans="1:29" ht="24.95" hidden="1" customHeight="1" x14ac:dyDescent="0.2">
      <c r="A18" s="2"/>
      <c r="B18" s="18" t="s">
        <v>9</v>
      </c>
      <c r="C18" s="13">
        <v>14.3</v>
      </c>
      <c r="D18" s="32">
        <v>1</v>
      </c>
      <c r="E18" s="32"/>
      <c r="F18" s="32"/>
      <c r="G18" s="32">
        <v>28.8</v>
      </c>
      <c r="H18" s="64">
        <v>44.1</v>
      </c>
      <c r="I18" s="13">
        <v>13.5</v>
      </c>
      <c r="J18" s="75"/>
      <c r="K18" s="32">
        <v>3.9</v>
      </c>
      <c r="L18" s="32">
        <v>6.4</v>
      </c>
      <c r="M18" s="64">
        <v>23.8</v>
      </c>
      <c r="N18" s="13">
        <v>67.900000000000006</v>
      </c>
      <c r="O18" s="13">
        <v>5</v>
      </c>
      <c r="P18" s="32">
        <v>2.2000000000000002</v>
      </c>
      <c r="Q18" s="64">
        <v>7.2</v>
      </c>
      <c r="R18" s="13">
        <v>0</v>
      </c>
      <c r="S18" s="32">
        <v>6.1</v>
      </c>
      <c r="T18" s="32"/>
      <c r="U18" s="64">
        <v>6.1</v>
      </c>
      <c r="V18" s="13">
        <v>0.1</v>
      </c>
      <c r="W18" s="32">
        <v>4.7</v>
      </c>
      <c r="X18" s="32"/>
      <c r="Y18" s="32">
        <v>122.1</v>
      </c>
      <c r="Z18" s="13">
        <f t="shared" si="0"/>
        <v>208.1</v>
      </c>
      <c r="AA18" s="74"/>
      <c r="AB18" s="2"/>
      <c r="AC18" s="32">
        <v>208.1</v>
      </c>
    </row>
    <row r="19" spans="1:29" ht="24.95" hidden="1" customHeight="1" x14ac:dyDescent="0.2">
      <c r="A19" s="2"/>
      <c r="B19" s="18" t="s">
        <v>10</v>
      </c>
      <c r="C19" s="13">
        <v>12.9</v>
      </c>
      <c r="D19" s="32">
        <v>0.7</v>
      </c>
      <c r="E19" s="32"/>
      <c r="F19" s="32"/>
      <c r="G19" s="32">
        <v>19.899999999999999</v>
      </c>
      <c r="H19" s="64">
        <v>33.5</v>
      </c>
      <c r="I19" s="13">
        <v>11.2</v>
      </c>
      <c r="J19" s="75"/>
      <c r="K19" s="32">
        <v>8.4</v>
      </c>
      <c r="L19" s="32">
        <v>2.5</v>
      </c>
      <c r="M19" s="64">
        <v>22.1</v>
      </c>
      <c r="N19" s="13">
        <v>55.6</v>
      </c>
      <c r="O19" s="13">
        <v>3.6</v>
      </c>
      <c r="P19" s="32">
        <v>1.7</v>
      </c>
      <c r="Q19" s="64">
        <v>5.3</v>
      </c>
      <c r="R19" s="13">
        <v>0</v>
      </c>
      <c r="S19" s="32">
        <v>25.8</v>
      </c>
      <c r="T19" s="32"/>
      <c r="U19" s="64">
        <v>25.8</v>
      </c>
      <c r="V19" s="13">
        <v>0.1</v>
      </c>
      <c r="W19" s="32">
        <v>1</v>
      </c>
      <c r="X19" s="32"/>
      <c r="Y19" s="32">
        <v>103.9</v>
      </c>
      <c r="Z19" s="13">
        <f t="shared" si="0"/>
        <v>191.70000000000002</v>
      </c>
      <c r="AA19" s="74"/>
      <c r="AB19" s="2"/>
      <c r="AC19" s="32">
        <v>191.7</v>
      </c>
    </row>
    <row r="20" spans="1:29" ht="24.95" hidden="1" customHeight="1" x14ac:dyDescent="0.2">
      <c r="A20" s="2"/>
      <c r="B20" s="18" t="s">
        <v>11</v>
      </c>
      <c r="C20" s="13">
        <v>18.5</v>
      </c>
      <c r="D20" s="32">
        <v>1.7</v>
      </c>
      <c r="E20" s="32"/>
      <c r="F20" s="32"/>
      <c r="G20" s="32">
        <v>16.600000000000001</v>
      </c>
      <c r="H20" s="64">
        <v>36.799999999999997</v>
      </c>
      <c r="I20" s="13">
        <v>7.6</v>
      </c>
      <c r="J20" s="75"/>
      <c r="K20" s="32">
        <v>6.6</v>
      </c>
      <c r="L20" s="32">
        <v>1.3</v>
      </c>
      <c r="M20" s="64">
        <v>15.5</v>
      </c>
      <c r="N20" s="13">
        <v>52.3</v>
      </c>
      <c r="O20" s="13">
        <v>7.5</v>
      </c>
      <c r="P20" s="32">
        <v>2.6</v>
      </c>
      <c r="Q20" s="64">
        <v>10.1</v>
      </c>
      <c r="R20" s="13">
        <v>0</v>
      </c>
      <c r="S20" s="32">
        <v>17.3</v>
      </c>
      <c r="T20" s="32"/>
      <c r="U20" s="64">
        <v>17.3</v>
      </c>
      <c r="V20" s="13">
        <v>0.1</v>
      </c>
      <c r="W20" s="32">
        <v>1.4</v>
      </c>
      <c r="X20" s="32"/>
      <c r="Y20" s="32">
        <v>82.2</v>
      </c>
      <c r="Z20" s="13">
        <f t="shared" si="0"/>
        <v>163.39999999999998</v>
      </c>
      <c r="AA20" s="74"/>
      <c r="AB20" s="2"/>
      <c r="AC20" s="32">
        <v>163.4</v>
      </c>
    </row>
    <row r="21" spans="1:29" ht="24.95" hidden="1" customHeight="1" x14ac:dyDescent="0.2">
      <c r="A21" s="2"/>
      <c r="B21" s="18" t="s">
        <v>12</v>
      </c>
      <c r="C21" s="13">
        <v>16.7</v>
      </c>
      <c r="D21" s="32">
        <v>1.5</v>
      </c>
      <c r="E21" s="32"/>
      <c r="F21" s="32"/>
      <c r="G21" s="32">
        <v>27</v>
      </c>
      <c r="H21" s="64">
        <v>45.2</v>
      </c>
      <c r="I21" s="13">
        <v>9.6</v>
      </c>
      <c r="J21" s="75"/>
      <c r="K21" s="32">
        <v>8</v>
      </c>
      <c r="L21" s="32">
        <v>3.1</v>
      </c>
      <c r="M21" s="64">
        <v>20.7</v>
      </c>
      <c r="N21" s="13">
        <v>65.900000000000006</v>
      </c>
      <c r="O21" s="13">
        <v>4.4000000000000004</v>
      </c>
      <c r="P21" s="32">
        <v>2.5</v>
      </c>
      <c r="Q21" s="64">
        <v>6.9</v>
      </c>
      <c r="R21" s="13">
        <v>0</v>
      </c>
      <c r="S21" s="32">
        <v>14.6</v>
      </c>
      <c r="T21" s="32"/>
      <c r="U21" s="64">
        <v>14.6</v>
      </c>
      <c r="V21" s="13">
        <v>0.2</v>
      </c>
      <c r="W21" s="32">
        <v>6.2</v>
      </c>
      <c r="X21" s="32"/>
      <c r="Y21" s="32">
        <v>125</v>
      </c>
      <c r="Z21" s="13">
        <f t="shared" si="0"/>
        <v>218.79999999999998</v>
      </c>
      <c r="AA21" s="74"/>
      <c r="AB21" s="2"/>
      <c r="AC21" s="32">
        <v>218.8</v>
      </c>
    </row>
    <row r="22" spans="1:29" ht="24.95" hidden="1" customHeight="1" x14ac:dyDescent="0.2">
      <c r="A22" s="2"/>
      <c r="B22" s="18" t="s">
        <v>13</v>
      </c>
      <c r="C22" s="13">
        <v>17.100000000000001</v>
      </c>
      <c r="D22" s="32">
        <v>4.4000000000000004</v>
      </c>
      <c r="E22" s="32"/>
      <c r="F22" s="32"/>
      <c r="G22" s="32">
        <v>26.1</v>
      </c>
      <c r="H22" s="64">
        <v>47.6</v>
      </c>
      <c r="I22" s="13">
        <v>8.9</v>
      </c>
      <c r="J22" s="75"/>
      <c r="K22" s="32">
        <v>6</v>
      </c>
      <c r="L22" s="32">
        <v>6.2</v>
      </c>
      <c r="M22" s="64">
        <v>21.1</v>
      </c>
      <c r="N22" s="13">
        <v>68.7</v>
      </c>
      <c r="O22" s="13">
        <v>1.2</v>
      </c>
      <c r="P22" s="32">
        <v>2.2000000000000002</v>
      </c>
      <c r="Q22" s="64">
        <v>3.4</v>
      </c>
      <c r="R22" s="13">
        <v>0</v>
      </c>
      <c r="S22" s="32">
        <v>35.1</v>
      </c>
      <c r="T22" s="32"/>
      <c r="U22" s="64">
        <v>35.1</v>
      </c>
      <c r="V22" s="13">
        <v>0</v>
      </c>
      <c r="W22" s="32">
        <v>3.5</v>
      </c>
      <c r="X22" s="32"/>
      <c r="Y22" s="32">
        <v>135.4</v>
      </c>
      <c r="Z22" s="13">
        <f t="shared" si="0"/>
        <v>246.10000000000002</v>
      </c>
      <c r="AA22" s="74"/>
      <c r="AB22" s="2"/>
      <c r="AC22" s="32">
        <v>246.1</v>
      </c>
    </row>
    <row r="23" spans="1:29" ht="24.95" hidden="1" customHeight="1" x14ac:dyDescent="0.2">
      <c r="A23" s="2"/>
      <c r="B23" s="18" t="s">
        <v>14</v>
      </c>
      <c r="C23" s="13">
        <v>18.2</v>
      </c>
      <c r="D23" s="32">
        <v>8.1999999999999993</v>
      </c>
      <c r="E23" s="32"/>
      <c r="F23" s="32"/>
      <c r="G23" s="32">
        <v>17.100000000000001</v>
      </c>
      <c r="H23" s="64">
        <v>43.5</v>
      </c>
      <c r="I23" s="13">
        <v>13.5</v>
      </c>
      <c r="J23" s="75"/>
      <c r="K23" s="32">
        <v>7.9</v>
      </c>
      <c r="L23" s="32">
        <v>6.2</v>
      </c>
      <c r="M23" s="64">
        <v>27.6</v>
      </c>
      <c r="N23" s="13">
        <v>71.099999999999994</v>
      </c>
      <c r="O23" s="13">
        <v>3.6</v>
      </c>
      <c r="P23" s="32">
        <v>2.7</v>
      </c>
      <c r="Q23" s="64">
        <v>6.3</v>
      </c>
      <c r="R23" s="13">
        <v>0</v>
      </c>
      <c r="S23" s="32">
        <v>38.6</v>
      </c>
      <c r="T23" s="32"/>
      <c r="U23" s="64">
        <v>38.6</v>
      </c>
      <c r="V23" s="13">
        <v>0</v>
      </c>
      <c r="W23" s="32">
        <v>1.8</v>
      </c>
      <c r="X23" s="32"/>
      <c r="Y23" s="32">
        <v>94.7</v>
      </c>
      <c r="Z23" s="13">
        <f t="shared" si="0"/>
        <v>212.5</v>
      </c>
      <c r="AA23" s="74"/>
      <c r="AB23" s="2"/>
      <c r="AC23" s="32">
        <v>212.5</v>
      </c>
    </row>
    <row r="24" spans="1:29" ht="24.95" hidden="1" customHeight="1" x14ac:dyDescent="0.2">
      <c r="A24" s="2"/>
      <c r="B24" s="18" t="s">
        <v>15</v>
      </c>
      <c r="C24" s="13">
        <v>22.4</v>
      </c>
      <c r="D24" s="32">
        <v>4.7</v>
      </c>
      <c r="E24" s="32"/>
      <c r="F24" s="32"/>
      <c r="G24" s="32">
        <v>29.2</v>
      </c>
      <c r="H24" s="64">
        <v>56.3</v>
      </c>
      <c r="I24" s="13">
        <v>9.6</v>
      </c>
      <c r="J24" s="32"/>
      <c r="K24" s="32">
        <v>5.4</v>
      </c>
      <c r="L24" s="32">
        <v>12.6</v>
      </c>
      <c r="M24" s="64">
        <v>27.6</v>
      </c>
      <c r="N24" s="13">
        <v>83.9</v>
      </c>
      <c r="O24" s="13">
        <v>6.8</v>
      </c>
      <c r="P24" s="32">
        <v>1.9</v>
      </c>
      <c r="Q24" s="64">
        <v>8.6999999999999993</v>
      </c>
      <c r="R24" s="13">
        <v>0</v>
      </c>
      <c r="S24" s="32">
        <v>3.8</v>
      </c>
      <c r="T24" s="32"/>
      <c r="U24" s="64">
        <v>3.8</v>
      </c>
      <c r="V24" s="13">
        <v>0</v>
      </c>
      <c r="W24" s="32">
        <v>6</v>
      </c>
      <c r="X24" s="32"/>
      <c r="Y24" s="32">
        <v>73</v>
      </c>
      <c r="Z24" s="13">
        <f t="shared" si="0"/>
        <v>175.4</v>
      </c>
      <c r="AA24" s="76"/>
      <c r="AB24" s="1"/>
      <c r="AC24" s="32">
        <v>175.4</v>
      </c>
    </row>
    <row r="25" spans="1:29" ht="24.95" hidden="1" customHeight="1" x14ac:dyDescent="0.2">
      <c r="A25" s="2"/>
      <c r="B25" s="18" t="s">
        <v>16</v>
      </c>
      <c r="C25" s="13">
        <v>19</v>
      </c>
      <c r="D25" s="32">
        <v>13.1</v>
      </c>
      <c r="E25" s="32"/>
      <c r="F25" s="32"/>
      <c r="G25" s="32">
        <v>27.7</v>
      </c>
      <c r="H25" s="64">
        <v>59.8</v>
      </c>
      <c r="I25" s="13">
        <v>0.3</v>
      </c>
      <c r="J25" s="32"/>
      <c r="K25" s="32">
        <v>11.1</v>
      </c>
      <c r="L25" s="32">
        <v>7.4</v>
      </c>
      <c r="M25" s="64">
        <v>18.8</v>
      </c>
      <c r="N25" s="13">
        <v>78.599999999999994</v>
      </c>
      <c r="O25" s="13">
        <v>4.3</v>
      </c>
      <c r="P25" s="32">
        <v>2.6</v>
      </c>
      <c r="Q25" s="64">
        <v>6.9</v>
      </c>
      <c r="R25" s="13">
        <v>0</v>
      </c>
      <c r="S25" s="32">
        <v>24.6</v>
      </c>
      <c r="T25" s="32"/>
      <c r="U25" s="64">
        <v>24.6</v>
      </c>
      <c r="V25" s="13">
        <v>0</v>
      </c>
      <c r="W25" s="32">
        <v>7.4</v>
      </c>
      <c r="X25" s="32"/>
      <c r="Y25" s="32">
        <v>39.1</v>
      </c>
      <c r="Z25" s="13">
        <f t="shared" si="0"/>
        <v>156.6</v>
      </c>
      <c r="AA25" s="76"/>
      <c r="AB25" s="1"/>
      <c r="AC25" s="32">
        <v>156.6</v>
      </c>
    </row>
    <row r="26" spans="1:29" ht="24.95" hidden="1" customHeight="1" x14ac:dyDescent="0.2">
      <c r="A26" s="2"/>
      <c r="B26" s="18" t="s">
        <v>17</v>
      </c>
      <c r="C26" s="13">
        <v>25.6</v>
      </c>
      <c r="D26" s="32">
        <v>2.5</v>
      </c>
      <c r="E26" s="32"/>
      <c r="F26" s="32"/>
      <c r="G26" s="32">
        <v>23</v>
      </c>
      <c r="H26" s="64">
        <v>51.1</v>
      </c>
      <c r="I26" s="13">
        <v>11.8</v>
      </c>
      <c r="J26" s="32"/>
      <c r="K26" s="32">
        <v>7.7</v>
      </c>
      <c r="L26" s="32">
        <v>5.4</v>
      </c>
      <c r="M26" s="64">
        <v>24.9</v>
      </c>
      <c r="N26" s="13">
        <v>76</v>
      </c>
      <c r="O26" s="13">
        <v>5</v>
      </c>
      <c r="P26" s="32">
        <v>3.2</v>
      </c>
      <c r="Q26" s="64">
        <v>8.1999999999999993</v>
      </c>
      <c r="R26" s="13">
        <v>0</v>
      </c>
      <c r="S26" s="32">
        <v>124.1</v>
      </c>
      <c r="T26" s="32"/>
      <c r="U26" s="64">
        <v>124.1</v>
      </c>
      <c r="V26" s="13">
        <v>0</v>
      </c>
      <c r="W26" s="32">
        <v>4.4000000000000004</v>
      </c>
      <c r="X26" s="32"/>
      <c r="Y26" s="32">
        <v>71.3</v>
      </c>
      <c r="Z26" s="13">
        <f t="shared" si="0"/>
        <v>284</v>
      </c>
      <c r="AA26" s="76"/>
      <c r="AB26" s="1"/>
      <c r="AC26" s="32">
        <v>284</v>
      </c>
    </row>
    <row r="27" spans="1:29" s="23" customFormat="1" ht="20.100000000000001" hidden="1" customHeight="1" x14ac:dyDescent="0.2">
      <c r="A27" s="21"/>
      <c r="B27" s="27">
        <v>1996</v>
      </c>
      <c r="C27" s="22">
        <v>213</v>
      </c>
      <c r="D27" s="33">
        <v>82.9</v>
      </c>
      <c r="E27" s="33"/>
      <c r="F27" s="33"/>
      <c r="G27" s="33">
        <v>270.7</v>
      </c>
      <c r="H27" s="66">
        <v>566.6</v>
      </c>
      <c r="I27" s="22">
        <v>103.2</v>
      </c>
      <c r="J27" s="33"/>
      <c r="K27" s="33">
        <v>69.400000000000006</v>
      </c>
      <c r="L27" s="33">
        <v>71.2</v>
      </c>
      <c r="M27" s="66">
        <v>243.8</v>
      </c>
      <c r="N27" s="22">
        <v>810.4</v>
      </c>
      <c r="O27" s="22">
        <v>15.4</v>
      </c>
      <c r="P27" s="33">
        <v>37.78</v>
      </c>
      <c r="Q27" s="66">
        <v>53.18</v>
      </c>
      <c r="R27" s="22">
        <v>48.58</v>
      </c>
      <c r="S27" s="33">
        <v>213.48</v>
      </c>
      <c r="T27" s="33"/>
      <c r="U27" s="66">
        <v>262.06</v>
      </c>
      <c r="V27" s="22">
        <v>0</v>
      </c>
      <c r="W27" s="33">
        <v>53.4</v>
      </c>
      <c r="X27" s="33"/>
      <c r="Y27" s="33">
        <v>2599</v>
      </c>
      <c r="Z27" s="13">
        <f t="shared" si="0"/>
        <v>3778.04</v>
      </c>
      <c r="AA27" s="77"/>
      <c r="AB27" s="21"/>
      <c r="AC27" s="33"/>
    </row>
    <row r="28" spans="1:29" ht="24.95" hidden="1" customHeight="1" x14ac:dyDescent="0.2">
      <c r="A28" s="2"/>
      <c r="B28" s="8" t="s">
        <v>6</v>
      </c>
      <c r="C28" s="13">
        <v>20</v>
      </c>
      <c r="D28" s="32">
        <v>10.7</v>
      </c>
      <c r="E28" s="32"/>
      <c r="F28" s="32"/>
      <c r="G28" s="32">
        <v>29.2</v>
      </c>
      <c r="H28" s="64">
        <v>59.9</v>
      </c>
      <c r="I28" s="13">
        <v>15.3</v>
      </c>
      <c r="J28" s="32"/>
      <c r="K28" s="32">
        <v>4.9000000000000004</v>
      </c>
      <c r="L28" s="32">
        <v>10.5</v>
      </c>
      <c r="M28" s="64">
        <v>30.7</v>
      </c>
      <c r="N28" s="13">
        <v>90.6</v>
      </c>
      <c r="O28" s="13">
        <v>1.2</v>
      </c>
      <c r="P28" s="32">
        <v>2.5</v>
      </c>
      <c r="Q28" s="64">
        <v>3.7</v>
      </c>
      <c r="R28" s="13">
        <v>0</v>
      </c>
      <c r="S28" s="32">
        <v>4.9000000000000004</v>
      </c>
      <c r="T28" s="32"/>
      <c r="U28" s="64">
        <v>4.9000000000000004</v>
      </c>
      <c r="V28" s="13">
        <v>0</v>
      </c>
      <c r="W28" s="32">
        <v>0.7</v>
      </c>
      <c r="X28" s="32"/>
      <c r="Y28" s="32">
        <v>122.9</v>
      </c>
      <c r="Z28" s="13">
        <f t="shared" si="0"/>
        <v>222.79999999999998</v>
      </c>
      <c r="AA28" s="74"/>
      <c r="AB28" s="2"/>
      <c r="AC28" s="32">
        <v>222.8</v>
      </c>
    </row>
    <row r="29" spans="1:29" ht="24.95" hidden="1" customHeight="1" x14ac:dyDescent="0.2">
      <c r="A29" s="2"/>
      <c r="B29" s="8" t="s">
        <v>7</v>
      </c>
      <c r="C29" s="13">
        <v>21.4</v>
      </c>
      <c r="D29" s="32">
        <v>7.6</v>
      </c>
      <c r="E29" s="32"/>
      <c r="F29" s="32"/>
      <c r="G29" s="32">
        <v>19.8</v>
      </c>
      <c r="H29" s="64">
        <v>48.8</v>
      </c>
      <c r="I29" s="13">
        <v>7.4</v>
      </c>
      <c r="J29" s="32"/>
      <c r="K29" s="32">
        <v>2.4</v>
      </c>
      <c r="L29" s="32">
        <v>2.5</v>
      </c>
      <c r="M29" s="64">
        <v>12.3</v>
      </c>
      <c r="N29" s="13">
        <v>61.1</v>
      </c>
      <c r="O29" s="13">
        <v>2.4</v>
      </c>
      <c r="P29" s="32">
        <v>1.8</v>
      </c>
      <c r="Q29" s="64">
        <v>4.2</v>
      </c>
      <c r="R29" s="13">
        <v>0</v>
      </c>
      <c r="S29" s="32">
        <v>9.4</v>
      </c>
      <c r="T29" s="32"/>
      <c r="U29" s="64">
        <v>9.4</v>
      </c>
      <c r="V29" s="13">
        <v>0</v>
      </c>
      <c r="W29" s="32">
        <v>0.8</v>
      </c>
      <c r="X29" s="32"/>
      <c r="Y29" s="32">
        <v>205.3</v>
      </c>
      <c r="Z29" s="13">
        <f t="shared" si="0"/>
        <v>280.8</v>
      </c>
      <c r="AA29" s="74"/>
      <c r="AB29" s="2"/>
      <c r="AC29" s="32">
        <v>280.8</v>
      </c>
    </row>
    <row r="30" spans="1:29" ht="24.95" hidden="1" customHeight="1" x14ac:dyDescent="0.2">
      <c r="A30" s="2"/>
      <c r="B30" s="8" t="s">
        <v>8</v>
      </c>
      <c r="C30" s="13">
        <v>18.5</v>
      </c>
      <c r="D30" s="32">
        <v>1.9</v>
      </c>
      <c r="E30" s="32"/>
      <c r="F30" s="32"/>
      <c r="G30" s="32">
        <v>24.5</v>
      </c>
      <c r="H30" s="64">
        <v>44.9</v>
      </c>
      <c r="I30" s="13">
        <v>7.7</v>
      </c>
      <c r="J30" s="32"/>
      <c r="K30" s="32">
        <v>6.1</v>
      </c>
      <c r="L30" s="32">
        <v>3.4</v>
      </c>
      <c r="M30" s="64">
        <v>17.2</v>
      </c>
      <c r="N30" s="13">
        <v>62.1</v>
      </c>
      <c r="O30" s="13">
        <v>0.2</v>
      </c>
      <c r="P30" s="32">
        <v>3</v>
      </c>
      <c r="Q30" s="64">
        <v>3.2</v>
      </c>
      <c r="R30" s="13">
        <v>0</v>
      </c>
      <c r="S30" s="32">
        <v>20.5</v>
      </c>
      <c r="T30" s="32"/>
      <c r="U30" s="64">
        <v>20.5</v>
      </c>
      <c r="V30" s="13">
        <v>0</v>
      </c>
      <c r="W30" s="32">
        <v>15.8</v>
      </c>
      <c r="X30" s="32"/>
      <c r="Y30" s="32">
        <v>198</v>
      </c>
      <c r="Z30" s="13">
        <f t="shared" si="0"/>
        <v>299.60000000000002</v>
      </c>
      <c r="AA30" s="74"/>
      <c r="AB30" s="2"/>
      <c r="AC30" s="32">
        <v>299.60000000000002</v>
      </c>
    </row>
    <row r="31" spans="1:29" ht="24.95" hidden="1" customHeight="1" x14ac:dyDescent="0.2">
      <c r="A31" s="2"/>
      <c r="B31" s="8" t="s">
        <v>9</v>
      </c>
      <c r="C31" s="13">
        <v>18.8</v>
      </c>
      <c r="D31" s="32">
        <v>8.1999999999999993</v>
      </c>
      <c r="E31" s="32"/>
      <c r="F31" s="32"/>
      <c r="G31" s="32">
        <v>14.8</v>
      </c>
      <c r="H31" s="64">
        <v>41.8</v>
      </c>
      <c r="I31" s="13">
        <v>6.6</v>
      </c>
      <c r="J31" s="32"/>
      <c r="K31" s="32">
        <v>6.7</v>
      </c>
      <c r="L31" s="32">
        <v>3.3</v>
      </c>
      <c r="M31" s="64">
        <v>16.600000000000001</v>
      </c>
      <c r="N31" s="13">
        <v>58.4</v>
      </c>
      <c r="O31" s="13">
        <v>0.8</v>
      </c>
      <c r="P31" s="32">
        <v>1.9</v>
      </c>
      <c r="Q31" s="64">
        <v>2.7</v>
      </c>
      <c r="R31" s="13">
        <v>24.4</v>
      </c>
      <c r="S31" s="32">
        <v>33</v>
      </c>
      <c r="T31" s="32"/>
      <c r="U31" s="64">
        <v>57.4</v>
      </c>
      <c r="V31" s="13">
        <v>0</v>
      </c>
      <c r="W31" s="32">
        <v>1.6</v>
      </c>
      <c r="X31" s="32"/>
      <c r="Y31" s="32">
        <v>227.7</v>
      </c>
      <c r="Z31" s="13">
        <f t="shared" si="0"/>
        <v>347.79999999999995</v>
      </c>
      <c r="AA31" s="74"/>
      <c r="AB31" s="2"/>
      <c r="AC31" s="32">
        <v>347.8</v>
      </c>
    </row>
    <row r="32" spans="1:29" ht="24.95" hidden="1" customHeight="1" x14ac:dyDescent="0.2">
      <c r="A32" s="2"/>
      <c r="B32" s="8" t="s">
        <v>10</v>
      </c>
      <c r="C32" s="13">
        <v>16.600000000000001</v>
      </c>
      <c r="D32" s="32">
        <v>4.9000000000000004</v>
      </c>
      <c r="E32" s="32"/>
      <c r="F32" s="32"/>
      <c r="G32" s="32">
        <v>19.8</v>
      </c>
      <c r="H32" s="64">
        <v>41.3</v>
      </c>
      <c r="I32" s="13">
        <v>7.2</v>
      </c>
      <c r="J32" s="32"/>
      <c r="K32" s="32">
        <v>6.7</v>
      </c>
      <c r="L32" s="32">
        <v>7</v>
      </c>
      <c r="M32" s="64">
        <v>20.9</v>
      </c>
      <c r="N32" s="13">
        <v>62.2</v>
      </c>
      <c r="O32" s="13">
        <v>1.5</v>
      </c>
      <c r="P32" s="32">
        <v>3</v>
      </c>
      <c r="Q32" s="64">
        <v>4.5</v>
      </c>
      <c r="R32" s="13">
        <v>0</v>
      </c>
      <c r="S32" s="32">
        <v>11.5</v>
      </c>
      <c r="T32" s="32"/>
      <c r="U32" s="64">
        <v>11.5</v>
      </c>
      <c r="V32" s="13">
        <v>0</v>
      </c>
      <c r="W32" s="32">
        <v>0.7</v>
      </c>
      <c r="X32" s="32"/>
      <c r="Y32" s="32">
        <v>244.3</v>
      </c>
      <c r="Z32" s="13">
        <f t="shared" si="0"/>
        <v>323.2</v>
      </c>
      <c r="AA32" s="74"/>
      <c r="AB32" s="2"/>
      <c r="AC32" s="32">
        <v>323.2</v>
      </c>
    </row>
    <row r="33" spans="1:31" ht="24.95" hidden="1" customHeight="1" x14ac:dyDescent="0.2">
      <c r="A33" s="2"/>
      <c r="B33" s="8" t="s">
        <v>11</v>
      </c>
      <c r="C33" s="13">
        <v>16.7</v>
      </c>
      <c r="D33" s="32">
        <v>3.4</v>
      </c>
      <c r="E33" s="32"/>
      <c r="F33" s="32"/>
      <c r="G33" s="32">
        <v>10.199999999999999</v>
      </c>
      <c r="H33" s="64">
        <v>30.3</v>
      </c>
      <c r="I33" s="13">
        <v>0</v>
      </c>
      <c r="J33" s="32"/>
      <c r="K33" s="32">
        <v>5.3</v>
      </c>
      <c r="L33" s="32">
        <v>5.3</v>
      </c>
      <c r="M33" s="64">
        <v>10.6</v>
      </c>
      <c r="N33" s="13">
        <v>40.9</v>
      </c>
      <c r="O33" s="13">
        <v>1.2</v>
      </c>
      <c r="P33" s="32">
        <v>3</v>
      </c>
      <c r="Q33" s="64">
        <v>4.2</v>
      </c>
      <c r="R33" s="13">
        <v>0</v>
      </c>
      <c r="S33" s="32">
        <v>7.8</v>
      </c>
      <c r="T33" s="32"/>
      <c r="U33" s="64">
        <v>7.8</v>
      </c>
      <c r="V33" s="13">
        <v>0</v>
      </c>
      <c r="W33" s="32">
        <v>2</v>
      </c>
      <c r="X33" s="32"/>
      <c r="Y33" s="32">
        <v>191</v>
      </c>
      <c r="Z33" s="13">
        <f t="shared" si="0"/>
        <v>245.9</v>
      </c>
      <c r="AA33" s="74"/>
      <c r="AB33" s="2"/>
      <c r="AC33" s="32">
        <v>245.9</v>
      </c>
    </row>
    <row r="34" spans="1:31" ht="24.95" hidden="1" customHeight="1" x14ac:dyDescent="0.2">
      <c r="A34" s="2"/>
      <c r="B34" s="8" t="s">
        <v>12</v>
      </c>
      <c r="C34" s="13">
        <v>16.100000000000001</v>
      </c>
      <c r="D34" s="32">
        <v>3.3</v>
      </c>
      <c r="E34" s="32"/>
      <c r="F34" s="32"/>
      <c r="G34" s="32">
        <v>16.5</v>
      </c>
      <c r="H34" s="64">
        <v>35.9</v>
      </c>
      <c r="I34" s="13">
        <v>15.7</v>
      </c>
      <c r="J34" s="32"/>
      <c r="K34" s="32">
        <v>5.9</v>
      </c>
      <c r="L34" s="32">
        <v>7.2</v>
      </c>
      <c r="M34" s="64">
        <v>28.8</v>
      </c>
      <c r="N34" s="13">
        <v>64.7</v>
      </c>
      <c r="O34" s="13">
        <v>2.2999999999999998</v>
      </c>
      <c r="P34" s="32">
        <v>5.8</v>
      </c>
      <c r="Q34" s="64">
        <v>8.1</v>
      </c>
      <c r="R34" s="13">
        <v>0</v>
      </c>
      <c r="S34" s="32">
        <v>13.9</v>
      </c>
      <c r="T34" s="32"/>
      <c r="U34" s="64">
        <v>13.9</v>
      </c>
      <c r="V34" s="13">
        <v>0</v>
      </c>
      <c r="W34" s="32">
        <v>0</v>
      </c>
      <c r="X34" s="32"/>
      <c r="Y34" s="32">
        <v>238.4</v>
      </c>
      <c r="Z34" s="13">
        <f t="shared" si="0"/>
        <v>325.10000000000002</v>
      </c>
      <c r="AA34" s="74"/>
      <c r="AB34" s="2"/>
      <c r="AC34" s="32">
        <v>325.10000000000002</v>
      </c>
    </row>
    <row r="35" spans="1:31" ht="24.95" hidden="1" customHeight="1" x14ac:dyDescent="0.2">
      <c r="A35" s="2"/>
      <c r="B35" s="8" t="s">
        <v>13</v>
      </c>
      <c r="C35" s="13">
        <v>14.6</v>
      </c>
      <c r="D35" s="32">
        <v>5.9</v>
      </c>
      <c r="E35" s="32"/>
      <c r="F35" s="32"/>
      <c r="G35" s="32">
        <v>24.6</v>
      </c>
      <c r="H35" s="64">
        <v>45.1</v>
      </c>
      <c r="I35" s="13">
        <v>9.3000000000000007</v>
      </c>
      <c r="J35" s="32"/>
      <c r="K35" s="32">
        <v>5.2</v>
      </c>
      <c r="L35" s="32">
        <v>7.1</v>
      </c>
      <c r="M35" s="64">
        <v>21.6</v>
      </c>
      <c r="N35" s="13">
        <v>66.7</v>
      </c>
      <c r="O35" s="13">
        <v>1.5</v>
      </c>
      <c r="P35" s="32">
        <v>3.2</v>
      </c>
      <c r="Q35" s="64">
        <v>4.7</v>
      </c>
      <c r="R35" s="13">
        <v>0</v>
      </c>
      <c r="S35" s="32">
        <v>14.1</v>
      </c>
      <c r="T35" s="32"/>
      <c r="U35" s="64">
        <v>14.1</v>
      </c>
      <c r="V35" s="13">
        <v>0</v>
      </c>
      <c r="W35" s="32">
        <v>6.1</v>
      </c>
      <c r="X35" s="32"/>
      <c r="Y35" s="32">
        <v>231.1</v>
      </c>
      <c r="Z35" s="13">
        <f t="shared" si="0"/>
        <v>322.7</v>
      </c>
      <c r="AA35" s="74"/>
      <c r="AB35" s="2"/>
      <c r="AC35" s="32">
        <v>322.7</v>
      </c>
    </row>
    <row r="36" spans="1:31" ht="24.95" hidden="1" customHeight="1" x14ac:dyDescent="0.2">
      <c r="A36" s="2"/>
      <c r="B36" s="8" t="s">
        <v>14</v>
      </c>
      <c r="C36" s="13">
        <v>18.100000000000001</v>
      </c>
      <c r="D36" s="32">
        <v>7.3</v>
      </c>
      <c r="E36" s="32"/>
      <c r="F36" s="32"/>
      <c r="G36" s="32">
        <v>54.8</v>
      </c>
      <c r="H36" s="64">
        <v>80.2</v>
      </c>
      <c r="I36" s="13">
        <v>10</v>
      </c>
      <c r="J36" s="32"/>
      <c r="K36" s="32">
        <v>4.9000000000000004</v>
      </c>
      <c r="L36" s="32">
        <v>5.6</v>
      </c>
      <c r="M36" s="64">
        <v>20.5</v>
      </c>
      <c r="N36" s="13">
        <v>100.7</v>
      </c>
      <c r="O36" s="13">
        <v>0.4</v>
      </c>
      <c r="P36" s="32">
        <v>3.4</v>
      </c>
      <c r="Q36" s="64">
        <v>3.8</v>
      </c>
      <c r="R36" s="13">
        <v>0</v>
      </c>
      <c r="S36" s="32">
        <v>8.6</v>
      </c>
      <c r="T36" s="32"/>
      <c r="U36" s="64">
        <v>8.6</v>
      </c>
      <c r="V36" s="13">
        <v>0</v>
      </c>
      <c r="W36" s="32">
        <v>1.1000000000000001</v>
      </c>
      <c r="X36" s="32"/>
      <c r="Y36" s="32">
        <v>203.7</v>
      </c>
      <c r="Z36" s="13">
        <f t="shared" si="0"/>
        <v>317.89999999999998</v>
      </c>
      <c r="AA36" s="74"/>
      <c r="AB36" s="2"/>
      <c r="AC36" s="32">
        <v>317.89999999999998</v>
      </c>
    </row>
    <row r="37" spans="1:31" ht="24.95" hidden="1" customHeight="1" x14ac:dyDescent="0.2">
      <c r="A37" s="2"/>
      <c r="B37" s="8" t="s">
        <v>15</v>
      </c>
      <c r="C37" s="13">
        <v>21.1</v>
      </c>
      <c r="D37" s="32">
        <v>9.1</v>
      </c>
      <c r="E37" s="32"/>
      <c r="F37" s="32"/>
      <c r="G37" s="32">
        <v>24.4</v>
      </c>
      <c r="H37" s="64">
        <v>54.6</v>
      </c>
      <c r="I37" s="13">
        <v>8.5</v>
      </c>
      <c r="J37" s="32"/>
      <c r="K37" s="32">
        <v>7.6</v>
      </c>
      <c r="L37" s="32">
        <v>8.3000000000000007</v>
      </c>
      <c r="M37" s="64">
        <v>24.4</v>
      </c>
      <c r="N37" s="13">
        <v>79</v>
      </c>
      <c r="O37" s="13">
        <v>1.4</v>
      </c>
      <c r="P37" s="32">
        <v>2.4</v>
      </c>
      <c r="Q37" s="64">
        <v>3.8</v>
      </c>
      <c r="R37" s="13">
        <v>0</v>
      </c>
      <c r="S37" s="32">
        <v>15.6</v>
      </c>
      <c r="T37" s="32"/>
      <c r="U37" s="64">
        <v>15.6</v>
      </c>
      <c r="V37" s="13">
        <v>0</v>
      </c>
      <c r="W37" s="32">
        <v>4.0999999999999996</v>
      </c>
      <c r="X37" s="32"/>
      <c r="Y37" s="32">
        <v>257.10000000000002</v>
      </c>
      <c r="Z37" s="13">
        <f t="shared" si="0"/>
        <v>359.60000000000008</v>
      </c>
      <c r="AA37" s="74"/>
      <c r="AB37" s="2"/>
      <c r="AC37" s="32">
        <v>359.6</v>
      </c>
    </row>
    <row r="38" spans="1:31" ht="24.95" hidden="1" customHeight="1" x14ac:dyDescent="0.2">
      <c r="A38" s="2"/>
      <c r="B38" s="8" t="s">
        <v>16</v>
      </c>
      <c r="C38" s="13">
        <v>15.9</v>
      </c>
      <c r="D38" s="32">
        <v>10.3</v>
      </c>
      <c r="E38" s="32"/>
      <c r="F38" s="32"/>
      <c r="G38" s="32">
        <v>18.5</v>
      </c>
      <c r="H38" s="64">
        <v>44.7</v>
      </c>
      <c r="I38" s="13">
        <v>0</v>
      </c>
      <c r="J38" s="32"/>
      <c r="K38" s="32">
        <v>8.8000000000000007</v>
      </c>
      <c r="L38" s="32">
        <v>6.2</v>
      </c>
      <c r="M38" s="64">
        <v>15</v>
      </c>
      <c r="N38" s="13">
        <v>59.7</v>
      </c>
      <c r="O38" s="13">
        <v>0.2</v>
      </c>
      <c r="P38" s="32">
        <v>2.1</v>
      </c>
      <c r="Q38" s="64">
        <v>2.2999999999999998</v>
      </c>
      <c r="R38" s="13">
        <v>0</v>
      </c>
      <c r="S38" s="32">
        <v>7</v>
      </c>
      <c r="T38" s="32"/>
      <c r="U38" s="64">
        <v>7</v>
      </c>
      <c r="V38" s="13">
        <v>0</v>
      </c>
      <c r="W38" s="32">
        <v>11.7</v>
      </c>
      <c r="X38" s="32"/>
      <c r="Y38" s="32">
        <v>239.1</v>
      </c>
      <c r="Z38" s="13">
        <f t="shared" si="0"/>
        <v>319.79999999999995</v>
      </c>
      <c r="AA38" s="74"/>
      <c r="AB38" s="2"/>
      <c r="AC38" s="32">
        <v>319.8</v>
      </c>
    </row>
    <row r="39" spans="1:31" ht="24.95" hidden="1" customHeight="1" x14ac:dyDescent="0.2">
      <c r="A39" s="2"/>
      <c r="B39" s="8" t="s">
        <v>17</v>
      </c>
      <c r="C39" s="13">
        <v>15.2</v>
      </c>
      <c r="D39" s="32">
        <v>10.3</v>
      </c>
      <c r="E39" s="32"/>
      <c r="F39" s="32"/>
      <c r="G39" s="32">
        <v>13.6</v>
      </c>
      <c r="H39" s="64">
        <v>39.1</v>
      </c>
      <c r="I39" s="13">
        <v>15.5</v>
      </c>
      <c r="J39" s="32"/>
      <c r="K39" s="32">
        <v>4.9000000000000004</v>
      </c>
      <c r="L39" s="32">
        <v>4.8</v>
      </c>
      <c r="M39" s="64">
        <v>25.2</v>
      </c>
      <c r="N39" s="13">
        <v>64.3</v>
      </c>
      <c r="O39" s="13">
        <v>2.2999999999999998</v>
      </c>
      <c r="P39" s="32">
        <v>5.68</v>
      </c>
      <c r="Q39" s="64">
        <v>7.98</v>
      </c>
      <c r="R39" s="13">
        <v>24.18</v>
      </c>
      <c r="S39" s="32">
        <v>67.180000000000007</v>
      </c>
      <c r="T39" s="32"/>
      <c r="U39" s="64">
        <f>R39+S39</f>
        <v>91.360000000000014</v>
      </c>
      <c r="V39" s="13">
        <v>0</v>
      </c>
      <c r="W39" s="32">
        <v>8.8000000000000007</v>
      </c>
      <c r="X39" s="32"/>
      <c r="Y39" s="32">
        <v>240.4</v>
      </c>
      <c r="Z39" s="13">
        <f t="shared" si="0"/>
        <v>412.84000000000009</v>
      </c>
      <c r="AA39" s="74"/>
      <c r="AB39" s="2"/>
      <c r="AC39" s="32">
        <v>412.84</v>
      </c>
    </row>
    <row r="40" spans="1:31" ht="16.5" hidden="1" customHeight="1" x14ac:dyDescent="0.2">
      <c r="A40" s="2"/>
      <c r="B40" s="8"/>
      <c r="C40" s="13"/>
      <c r="D40" s="32"/>
      <c r="E40" s="32"/>
      <c r="F40" s="32"/>
      <c r="G40" s="32"/>
      <c r="H40" s="64"/>
      <c r="I40" s="13"/>
      <c r="J40" s="32"/>
      <c r="K40" s="32"/>
      <c r="L40" s="32"/>
      <c r="M40" s="64"/>
      <c r="N40" s="13"/>
      <c r="O40" s="13"/>
      <c r="P40" s="32"/>
      <c r="Q40" s="64"/>
      <c r="R40" s="13"/>
      <c r="S40" s="32"/>
      <c r="T40" s="32"/>
      <c r="U40" s="64"/>
      <c r="V40" s="13"/>
      <c r="W40" s="32"/>
      <c r="X40" s="32"/>
      <c r="Y40" s="32"/>
      <c r="Z40" s="13">
        <f t="shared" si="0"/>
        <v>0</v>
      </c>
      <c r="AA40" s="74"/>
      <c r="AB40" s="2"/>
      <c r="AC40" s="32"/>
    </row>
    <row r="41" spans="1:31" ht="20.100000000000001" hidden="1" customHeight="1" x14ac:dyDescent="0.2">
      <c r="A41" s="2"/>
      <c r="B41" s="28" t="s">
        <v>62</v>
      </c>
      <c r="C41" s="13">
        <f>SUM(C42:C53)</f>
        <v>175.4</v>
      </c>
      <c r="D41" s="32">
        <f>SUM(D42:D53)</f>
        <v>90.9</v>
      </c>
      <c r="E41" s="32"/>
      <c r="F41" s="32"/>
      <c r="G41" s="32">
        <f t="shared" ref="G41:L41" si="1">SUM(G42:G53)</f>
        <v>191.6</v>
      </c>
      <c r="H41" s="64">
        <f t="shared" si="1"/>
        <v>457.90000000000003</v>
      </c>
      <c r="I41" s="32">
        <f t="shared" si="1"/>
        <v>71.700000000000017</v>
      </c>
      <c r="J41" s="32">
        <f t="shared" si="1"/>
        <v>0</v>
      </c>
      <c r="K41" s="32">
        <f t="shared" si="1"/>
        <v>67.400000000000006</v>
      </c>
      <c r="L41" s="32">
        <f t="shared" si="1"/>
        <v>52.05</v>
      </c>
      <c r="M41" s="64">
        <f t="shared" ref="M41:M53" si="2">I41+K41+L41</f>
        <v>191.15000000000003</v>
      </c>
      <c r="N41" s="13">
        <f>M41+H41</f>
        <v>649.05000000000007</v>
      </c>
      <c r="O41" s="13">
        <f>SUM(O42:O53)</f>
        <v>7.1000000000000005</v>
      </c>
      <c r="P41" s="32">
        <f>SUM(P42:P53)</f>
        <v>57.2</v>
      </c>
      <c r="Q41" s="64">
        <f t="shared" ref="Q41:Q53" si="3">P41+O41</f>
        <v>64.3</v>
      </c>
      <c r="R41" s="32">
        <f>SUM(R42:R53)</f>
        <v>0</v>
      </c>
      <c r="S41" s="32">
        <f>SUM(S42:S53)</f>
        <v>247.60000000000002</v>
      </c>
      <c r="T41" s="32">
        <f>SUM(T42:T53)</f>
        <v>22.9</v>
      </c>
      <c r="U41" s="65">
        <f t="shared" ref="U41:U97" si="4">S41+R41+T41</f>
        <v>270.5</v>
      </c>
      <c r="V41" s="13">
        <v>0</v>
      </c>
      <c r="W41" s="32">
        <f>SUM(W42:W53)</f>
        <v>73.799999999999983</v>
      </c>
      <c r="X41" s="32"/>
      <c r="Y41" s="32">
        <f>SUM(Y42:Y53)</f>
        <v>4053.1</v>
      </c>
      <c r="Z41" s="13">
        <f t="shared" si="0"/>
        <v>5110.75</v>
      </c>
      <c r="AA41" s="74"/>
      <c r="AC41" s="32">
        <f>SUM(AC42:AC53)</f>
        <v>0</v>
      </c>
    </row>
    <row r="42" spans="1:31" ht="20.100000000000001" hidden="1" customHeight="1" x14ac:dyDescent="0.2">
      <c r="A42" s="2"/>
      <c r="B42" s="29" t="s">
        <v>24</v>
      </c>
      <c r="C42" s="13">
        <v>17.2</v>
      </c>
      <c r="D42" s="32">
        <v>7.3</v>
      </c>
      <c r="E42" s="32"/>
      <c r="F42" s="32"/>
      <c r="G42" s="32">
        <v>20.6</v>
      </c>
      <c r="H42" s="64">
        <f t="shared" ref="H42:H53" si="5">C42+D42+G42</f>
        <v>45.1</v>
      </c>
      <c r="I42" s="13">
        <v>9.6</v>
      </c>
      <c r="J42" s="32"/>
      <c r="K42" s="32">
        <v>6.7</v>
      </c>
      <c r="L42" s="32">
        <v>3.8</v>
      </c>
      <c r="M42" s="64">
        <f t="shared" si="2"/>
        <v>20.100000000000001</v>
      </c>
      <c r="N42" s="13">
        <f t="shared" ref="N42:N53" si="6">M42+H42</f>
        <v>65.2</v>
      </c>
      <c r="O42" s="13">
        <v>0.7</v>
      </c>
      <c r="P42" s="32">
        <v>4.3</v>
      </c>
      <c r="Q42" s="64">
        <f t="shared" si="3"/>
        <v>5</v>
      </c>
      <c r="R42" s="13">
        <v>0</v>
      </c>
      <c r="S42" s="32">
        <v>6.3</v>
      </c>
      <c r="T42" s="32"/>
      <c r="U42" s="65">
        <f t="shared" si="4"/>
        <v>6.3</v>
      </c>
      <c r="V42" s="13">
        <v>0</v>
      </c>
      <c r="W42" s="32">
        <v>1.5</v>
      </c>
      <c r="X42" s="32"/>
      <c r="Y42" s="32">
        <v>310.5</v>
      </c>
      <c r="Z42" s="13">
        <f t="shared" si="0"/>
        <v>388.5</v>
      </c>
      <c r="AA42" s="74"/>
      <c r="AC42" s="34"/>
    </row>
    <row r="43" spans="1:31" ht="20.100000000000001" hidden="1" customHeight="1" x14ac:dyDescent="0.2">
      <c r="A43" s="2"/>
      <c r="B43" s="29" t="s">
        <v>25</v>
      </c>
      <c r="C43" s="13">
        <v>11.8</v>
      </c>
      <c r="D43" s="32">
        <v>3.5</v>
      </c>
      <c r="E43" s="32"/>
      <c r="F43" s="32"/>
      <c r="G43" s="32">
        <v>25.3</v>
      </c>
      <c r="H43" s="64">
        <f t="shared" si="5"/>
        <v>40.6</v>
      </c>
      <c r="I43" s="13">
        <v>6.9</v>
      </c>
      <c r="J43" s="32"/>
      <c r="K43" s="32">
        <v>2.4</v>
      </c>
      <c r="L43" s="32">
        <v>1.1000000000000001</v>
      </c>
      <c r="M43" s="64">
        <f t="shared" si="2"/>
        <v>10.4</v>
      </c>
      <c r="N43" s="13">
        <f t="shared" si="6"/>
        <v>51</v>
      </c>
      <c r="O43" s="13">
        <v>0.8</v>
      </c>
      <c r="P43" s="32">
        <v>5.6</v>
      </c>
      <c r="Q43" s="64">
        <f t="shared" si="3"/>
        <v>6.3999999999999995</v>
      </c>
      <c r="R43" s="13">
        <v>0</v>
      </c>
      <c r="S43" s="32">
        <v>2.8</v>
      </c>
      <c r="T43" s="32"/>
      <c r="U43" s="65">
        <f t="shared" si="4"/>
        <v>2.8</v>
      </c>
      <c r="V43" s="13">
        <v>0</v>
      </c>
      <c r="W43" s="32">
        <v>3.9</v>
      </c>
      <c r="X43" s="32"/>
      <c r="Y43" s="32">
        <v>269.5</v>
      </c>
      <c r="Z43" s="13">
        <f t="shared" si="0"/>
        <v>333.59999999999997</v>
      </c>
      <c r="AA43" s="74"/>
      <c r="AC43" s="34"/>
    </row>
    <row r="44" spans="1:31" ht="20.100000000000001" hidden="1" customHeight="1" x14ac:dyDescent="0.2">
      <c r="A44" s="2"/>
      <c r="B44" s="29" t="s">
        <v>26</v>
      </c>
      <c r="C44" s="13">
        <v>14.3</v>
      </c>
      <c r="D44" s="32">
        <v>6.5</v>
      </c>
      <c r="E44" s="32"/>
      <c r="F44" s="32"/>
      <c r="G44" s="32">
        <v>25.2</v>
      </c>
      <c r="H44" s="64">
        <f t="shared" si="5"/>
        <v>46</v>
      </c>
      <c r="I44" s="13">
        <v>3.5</v>
      </c>
      <c r="J44" s="32"/>
      <c r="K44" s="32">
        <v>5.9</v>
      </c>
      <c r="L44" s="32">
        <v>4.0999999999999996</v>
      </c>
      <c r="M44" s="64">
        <f t="shared" si="2"/>
        <v>13.5</v>
      </c>
      <c r="N44" s="13">
        <f t="shared" si="6"/>
        <v>59.5</v>
      </c>
      <c r="O44" s="13">
        <v>0.1</v>
      </c>
      <c r="P44" s="32">
        <v>5.0999999999999996</v>
      </c>
      <c r="Q44" s="64">
        <f t="shared" si="3"/>
        <v>5.1999999999999993</v>
      </c>
      <c r="R44" s="13">
        <v>0</v>
      </c>
      <c r="S44" s="32">
        <v>12.2</v>
      </c>
      <c r="T44" s="32"/>
      <c r="U44" s="65">
        <f t="shared" si="4"/>
        <v>12.2</v>
      </c>
      <c r="V44" s="13">
        <v>0</v>
      </c>
      <c r="W44" s="32">
        <v>12.5</v>
      </c>
      <c r="X44" s="32"/>
      <c r="Y44" s="32">
        <v>293.3</v>
      </c>
      <c r="Z44" s="13">
        <f t="shared" si="0"/>
        <v>382.7</v>
      </c>
      <c r="AA44" s="74"/>
      <c r="AC44" s="34"/>
    </row>
    <row r="45" spans="1:31" ht="20.100000000000001" hidden="1" customHeight="1" x14ac:dyDescent="0.2">
      <c r="B45" s="29" t="s">
        <v>27</v>
      </c>
      <c r="C45" s="13">
        <v>30.2</v>
      </c>
      <c r="D45" s="32">
        <v>10.6</v>
      </c>
      <c r="E45" s="32"/>
      <c r="F45" s="32"/>
      <c r="G45" s="32">
        <v>23.1</v>
      </c>
      <c r="H45" s="64">
        <f t="shared" si="5"/>
        <v>63.9</v>
      </c>
      <c r="I45" s="13">
        <v>6.1</v>
      </c>
      <c r="J45" s="75"/>
      <c r="K45" s="32">
        <v>6.4</v>
      </c>
      <c r="L45" s="32">
        <v>4.7</v>
      </c>
      <c r="M45" s="64">
        <f t="shared" si="2"/>
        <v>17.2</v>
      </c>
      <c r="N45" s="13">
        <f t="shared" si="6"/>
        <v>81.099999999999994</v>
      </c>
      <c r="O45" s="13">
        <v>0.2</v>
      </c>
      <c r="P45" s="32">
        <v>3.4</v>
      </c>
      <c r="Q45" s="64">
        <f t="shared" si="3"/>
        <v>3.6</v>
      </c>
      <c r="R45" s="15"/>
      <c r="S45" s="32">
        <f>32.5-10</f>
        <v>22.5</v>
      </c>
      <c r="T45" s="32"/>
      <c r="U45" s="65">
        <f t="shared" si="4"/>
        <v>22.5</v>
      </c>
      <c r="V45" s="15"/>
      <c r="W45" s="32">
        <v>2.4</v>
      </c>
      <c r="X45" s="32"/>
      <c r="Y45" s="32">
        <f>1.5+0.1+2+343.6</f>
        <v>347.20000000000005</v>
      </c>
      <c r="Z45" s="13">
        <f t="shared" si="0"/>
        <v>456.80000000000007</v>
      </c>
      <c r="AA45" s="74"/>
      <c r="AC45" s="34"/>
    </row>
    <row r="46" spans="1:31" ht="20.100000000000001" hidden="1" customHeight="1" x14ac:dyDescent="0.2">
      <c r="B46" s="29" t="s">
        <v>28</v>
      </c>
      <c r="C46" s="13">
        <v>36.1</v>
      </c>
      <c r="D46" s="32">
        <v>8.1</v>
      </c>
      <c r="E46" s="32"/>
      <c r="F46" s="32"/>
      <c r="G46" s="32">
        <v>14.7</v>
      </c>
      <c r="H46" s="64">
        <f t="shared" si="5"/>
        <v>58.900000000000006</v>
      </c>
      <c r="I46" s="13">
        <v>4.8</v>
      </c>
      <c r="J46" s="75"/>
      <c r="K46" s="32">
        <v>4.8</v>
      </c>
      <c r="L46" s="32">
        <v>3.2</v>
      </c>
      <c r="M46" s="64">
        <f t="shared" si="2"/>
        <v>12.8</v>
      </c>
      <c r="N46" s="13">
        <f t="shared" si="6"/>
        <v>71.7</v>
      </c>
      <c r="O46" s="13">
        <v>0.2</v>
      </c>
      <c r="P46" s="32">
        <v>3.9</v>
      </c>
      <c r="Q46" s="64">
        <f t="shared" si="3"/>
        <v>4.0999999999999996</v>
      </c>
      <c r="R46" s="15"/>
      <c r="S46" s="32">
        <f>42.1+10</f>
        <v>52.1</v>
      </c>
      <c r="T46" s="32"/>
      <c r="U46" s="65">
        <f t="shared" si="4"/>
        <v>52.1</v>
      </c>
      <c r="V46" s="15"/>
      <c r="W46" s="32">
        <v>0.5</v>
      </c>
      <c r="X46" s="32"/>
      <c r="Y46" s="32">
        <f>5.5+23.3+34.4+321.1</f>
        <v>384.3</v>
      </c>
      <c r="Z46" s="13">
        <f t="shared" si="0"/>
        <v>512.70000000000005</v>
      </c>
      <c r="AA46" s="74"/>
      <c r="AC46" s="34"/>
    </row>
    <row r="47" spans="1:31" ht="20.100000000000001" hidden="1" customHeight="1" x14ac:dyDescent="0.2">
      <c r="B47" s="29" t="s">
        <v>29</v>
      </c>
      <c r="C47" s="13">
        <v>21</v>
      </c>
      <c r="D47" s="32">
        <v>17.100000000000001</v>
      </c>
      <c r="E47" s="32"/>
      <c r="F47" s="32"/>
      <c r="G47" s="32">
        <v>17.899999999999999</v>
      </c>
      <c r="H47" s="64">
        <f t="shared" si="5"/>
        <v>56</v>
      </c>
      <c r="I47" s="13">
        <v>1.7</v>
      </c>
      <c r="J47" s="75"/>
      <c r="K47" s="32">
        <v>5</v>
      </c>
      <c r="L47" s="32">
        <v>5.7</v>
      </c>
      <c r="M47" s="64">
        <f t="shared" si="2"/>
        <v>12.4</v>
      </c>
      <c r="N47" s="13">
        <f t="shared" si="6"/>
        <v>68.400000000000006</v>
      </c>
      <c r="O47" s="13">
        <v>0</v>
      </c>
      <c r="P47" s="32">
        <v>4.9000000000000004</v>
      </c>
      <c r="Q47" s="64">
        <f t="shared" si="3"/>
        <v>4.9000000000000004</v>
      </c>
      <c r="R47" s="15"/>
      <c r="S47" s="32">
        <v>18.600000000000001</v>
      </c>
      <c r="T47" s="32"/>
      <c r="U47" s="65">
        <f t="shared" si="4"/>
        <v>18.600000000000001</v>
      </c>
      <c r="V47" s="15"/>
      <c r="W47" s="32">
        <v>2.7</v>
      </c>
      <c r="X47" s="32"/>
      <c r="Y47" s="32">
        <f>0.1+10+22.6+276.9</f>
        <v>309.59999999999997</v>
      </c>
      <c r="Z47" s="13">
        <f t="shared" si="0"/>
        <v>404.19999999999993</v>
      </c>
      <c r="AA47" s="74"/>
      <c r="AC47" s="34"/>
    </row>
    <row r="48" spans="1:31" ht="20.100000000000001" hidden="1" customHeight="1" x14ac:dyDescent="0.2">
      <c r="B48" s="29" t="s">
        <v>30</v>
      </c>
      <c r="C48" s="13">
        <v>21.5</v>
      </c>
      <c r="D48" s="32">
        <v>9.1</v>
      </c>
      <c r="E48" s="32"/>
      <c r="F48" s="32"/>
      <c r="G48" s="32">
        <f>32.4+5.2</f>
        <v>37.6</v>
      </c>
      <c r="H48" s="64">
        <f t="shared" si="5"/>
        <v>68.2</v>
      </c>
      <c r="I48" s="13">
        <v>11.9</v>
      </c>
      <c r="J48" s="75"/>
      <c r="K48" s="32">
        <v>7.7</v>
      </c>
      <c r="L48" s="32">
        <f>8.7*0.4</f>
        <v>3.48</v>
      </c>
      <c r="M48" s="64">
        <f t="shared" si="2"/>
        <v>23.080000000000002</v>
      </c>
      <c r="N48" s="13">
        <f t="shared" si="6"/>
        <v>91.28</v>
      </c>
      <c r="O48" s="13">
        <v>0.7</v>
      </c>
      <c r="P48" s="32">
        <v>3.8</v>
      </c>
      <c r="Q48" s="64">
        <f t="shared" si="3"/>
        <v>4.5</v>
      </c>
      <c r="R48" s="13">
        <v>0</v>
      </c>
      <c r="S48" s="32">
        <v>39.6</v>
      </c>
      <c r="T48" s="32"/>
      <c r="U48" s="65">
        <f t="shared" si="4"/>
        <v>39.6</v>
      </c>
      <c r="V48" s="13">
        <v>0</v>
      </c>
      <c r="W48" s="32">
        <v>1.5</v>
      </c>
      <c r="X48" s="32"/>
      <c r="Y48" s="32">
        <f>1+3.9+45.2+358.8</f>
        <v>408.90000000000003</v>
      </c>
      <c r="Z48" s="13">
        <f t="shared" si="0"/>
        <v>545.78000000000009</v>
      </c>
      <c r="AA48" s="76"/>
      <c r="AB48" s="4"/>
      <c r="AC48" s="35"/>
      <c r="AD48" s="4"/>
      <c r="AE48" s="4"/>
    </row>
    <row r="49" spans="2:31" ht="20.100000000000001" hidden="1" customHeight="1" x14ac:dyDescent="0.2">
      <c r="B49" s="29" t="s">
        <v>31</v>
      </c>
      <c r="C49" s="13">
        <v>10.5</v>
      </c>
      <c r="D49" s="32">
        <v>21.7</v>
      </c>
      <c r="E49" s="32"/>
      <c r="F49" s="32"/>
      <c r="G49" s="32">
        <f>14.4+4.2</f>
        <v>18.600000000000001</v>
      </c>
      <c r="H49" s="64">
        <f t="shared" si="5"/>
        <v>50.800000000000004</v>
      </c>
      <c r="I49" s="13">
        <v>0.1</v>
      </c>
      <c r="J49" s="75"/>
      <c r="K49" s="32">
        <v>6.4</v>
      </c>
      <c r="L49" s="32">
        <f>7*0.4</f>
        <v>2.8000000000000003</v>
      </c>
      <c r="M49" s="64">
        <f t="shared" si="2"/>
        <v>9.3000000000000007</v>
      </c>
      <c r="N49" s="13">
        <f t="shared" si="6"/>
        <v>60.100000000000009</v>
      </c>
      <c r="O49" s="13">
        <v>0.8</v>
      </c>
      <c r="P49" s="32">
        <v>4.5</v>
      </c>
      <c r="Q49" s="64">
        <f t="shared" si="3"/>
        <v>5.3</v>
      </c>
      <c r="R49" s="13">
        <v>0</v>
      </c>
      <c r="S49" s="32">
        <v>21.9</v>
      </c>
      <c r="T49" s="32"/>
      <c r="U49" s="65">
        <f t="shared" si="4"/>
        <v>21.9</v>
      </c>
      <c r="V49" s="13">
        <v>0</v>
      </c>
      <c r="W49" s="32">
        <v>20.9</v>
      </c>
      <c r="X49" s="32"/>
      <c r="Y49" s="32">
        <f>267.5+21.2+4.5</f>
        <v>293.2</v>
      </c>
      <c r="Z49" s="13">
        <f t="shared" si="0"/>
        <v>401.4</v>
      </c>
      <c r="AA49" s="76"/>
      <c r="AB49" s="4"/>
      <c r="AC49" s="35"/>
      <c r="AD49" s="4"/>
      <c r="AE49" s="4"/>
    </row>
    <row r="50" spans="2:31" ht="20.100000000000001" hidden="1" customHeight="1" x14ac:dyDescent="0.2">
      <c r="B50" s="29" t="s">
        <v>32</v>
      </c>
      <c r="C50" s="13">
        <v>5.9</v>
      </c>
      <c r="D50" s="32">
        <v>2.7</v>
      </c>
      <c r="E50" s="32"/>
      <c r="F50" s="32"/>
      <c r="G50" s="32">
        <f>1.3+5.3</f>
        <v>6.6</v>
      </c>
      <c r="H50" s="64">
        <f t="shared" si="5"/>
        <v>15.200000000000001</v>
      </c>
      <c r="I50" s="13">
        <v>7.2</v>
      </c>
      <c r="J50" s="75"/>
      <c r="K50" s="32">
        <v>4.9000000000000004</v>
      </c>
      <c r="L50" s="32">
        <f>8.8*0.4</f>
        <v>3.5200000000000005</v>
      </c>
      <c r="M50" s="64">
        <f t="shared" si="2"/>
        <v>15.620000000000001</v>
      </c>
      <c r="N50" s="13">
        <f t="shared" si="6"/>
        <v>30.82</v>
      </c>
      <c r="O50" s="13">
        <v>0.2</v>
      </c>
      <c r="P50" s="32">
        <v>7.6</v>
      </c>
      <c r="Q50" s="64">
        <f t="shared" si="3"/>
        <v>7.8</v>
      </c>
      <c r="R50" s="13">
        <v>0</v>
      </c>
      <c r="S50" s="32">
        <f>30.3-22.9</f>
        <v>7.4000000000000021</v>
      </c>
      <c r="T50" s="32">
        <v>22.9</v>
      </c>
      <c r="U50" s="65">
        <f t="shared" si="4"/>
        <v>30.3</v>
      </c>
      <c r="V50" s="13">
        <v>0</v>
      </c>
      <c r="W50" s="32">
        <v>1.4</v>
      </c>
      <c r="X50" s="32"/>
      <c r="Y50" s="32">
        <f>330.2+14+4.8</f>
        <v>349</v>
      </c>
      <c r="Z50" s="13">
        <f t="shared" si="0"/>
        <v>419.32</v>
      </c>
      <c r="AA50" s="76"/>
      <c r="AB50" s="4"/>
      <c r="AC50" s="35"/>
      <c r="AD50" s="4"/>
      <c r="AE50" s="4"/>
    </row>
    <row r="51" spans="2:31" ht="20.100000000000001" hidden="1" customHeight="1" x14ac:dyDescent="0.2">
      <c r="B51" s="29" t="s">
        <v>33</v>
      </c>
      <c r="C51" s="13">
        <v>2.4</v>
      </c>
      <c r="D51" s="32">
        <v>1.2</v>
      </c>
      <c r="E51" s="32"/>
      <c r="F51" s="32"/>
      <c r="G51" s="32">
        <v>1.2</v>
      </c>
      <c r="H51" s="64">
        <f t="shared" si="5"/>
        <v>4.8</v>
      </c>
      <c r="I51" s="13">
        <v>7</v>
      </c>
      <c r="J51" s="75"/>
      <c r="K51" s="32">
        <v>6.2</v>
      </c>
      <c r="L51" s="32">
        <v>7.4</v>
      </c>
      <c r="M51" s="64">
        <f t="shared" si="2"/>
        <v>20.6</v>
      </c>
      <c r="N51" s="13">
        <f t="shared" si="6"/>
        <v>25.400000000000002</v>
      </c>
      <c r="O51" s="13">
        <v>1.1000000000000001</v>
      </c>
      <c r="P51" s="32">
        <v>5.2</v>
      </c>
      <c r="Q51" s="64">
        <f t="shared" si="3"/>
        <v>6.3000000000000007</v>
      </c>
      <c r="R51" s="13">
        <v>0</v>
      </c>
      <c r="S51" s="32">
        <v>7.4</v>
      </c>
      <c r="T51" s="32"/>
      <c r="U51" s="65">
        <f t="shared" si="4"/>
        <v>7.4</v>
      </c>
      <c r="V51" s="13">
        <v>0</v>
      </c>
      <c r="W51" s="32">
        <v>9.5</v>
      </c>
      <c r="X51" s="32"/>
      <c r="Y51" s="32">
        <f>8.4+374.5</f>
        <v>382.9</v>
      </c>
      <c r="Z51" s="13">
        <f t="shared" si="0"/>
        <v>431.49999999999994</v>
      </c>
      <c r="AA51" s="74"/>
      <c r="AC51" s="34"/>
    </row>
    <row r="52" spans="2:31" ht="20.100000000000001" hidden="1" customHeight="1" x14ac:dyDescent="0.2">
      <c r="B52" s="29" t="s">
        <v>34</v>
      </c>
      <c r="C52" s="13">
        <v>2.7</v>
      </c>
      <c r="D52" s="32">
        <v>2.8</v>
      </c>
      <c r="E52" s="32"/>
      <c r="F52" s="32"/>
      <c r="G52" s="32">
        <v>0.8</v>
      </c>
      <c r="H52" s="64">
        <f t="shared" si="5"/>
        <v>6.3</v>
      </c>
      <c r="I52" s="13">
        <v>6.5</v>
      </c>
      <c r="J52" s="75"/>
      <c r="K52" s="32">
        <v>5.2</v>
      </c>
      <c r="L52" s="32">
        <v>5.6</v>
      </c>
      <c r="M52" s="64">
        <f t="shared" si="2"/>
        <v>17.299999999999997</v>
      </c>
      <c r="N52" s="13">
        <f t="shared" si="6"/>
        <v>23.599999999999998</v>
      </c>
      <c r="O52" s="13">
        <v>1.5</v>
      </c>
      <c r="P52" s="32">
        <v>4.9000000000000004</v>
      </c>
      <c r="Q52" s="64">
        <f t="shared" si="3"/>
        <v>6.4</v>
      </c>
      <c r="R52" s="13">
        <v>0</v>
      </c>
      <c r="S52" s="32">
        <v>12.8</v>
      </c>
      <c r="T52" s="32"/>
      <c r="U52" s="65">
        <f t="shared" si="4"/>
        <v>12.8</v>
      </c>
      <c r="V52" s="13">
        <v>0</v>
      </c>
      <c r="W52" s="32">
        <v>1.8</v>
      </c>
      <c r="X52" s="32"/>
      <c r="Y52" s="32">
        <f>0.2+1.2+296.9</f>
        <v>298.29999999999995</v>
      </c>
      <c r="Z52" s="13">
        <f t="shared" si="0"/>
        <v>342.9</v>
      </c>
      <c r="AA52" s="74"/>
      <c r="AC52" s="34"/>
    </row>
    <row r="53" spans="2:31" ht="20.100000000000001" hidden="1" customHeight="1" x14ac:dyDescent="0.2">
      <c r="B53" s="29" t="s">
        <v>35</v>
      </c>
      <c r="C53" s="13">
        <v>1.8</v>
      </c>
      <c r="D53" s="32">
        <v>0.3</v>
      </c>
      <c r="E53" s="32"/>
      <c r="F53" s="32"/>
      <c r="G53" s="32">
        <v>0</v>
      </c>
      <c r="H53" s="64">
        <f t="shared" si="5"/>
        <v>2.1</v>
      </c>
      <c r="I53" s="13">
        <f>5.9+0.5</f>
        <v>6.4</v>
      </c>
      <c r="J53" s="75"/>
      <c r="K53" s="32">
        <v>5.8</v>
      </c>
      <c r="L53" s="32">
        <v>6.65</v>
      </c>
      <c r="M53" s="64">
        <f t="shared" si="2"/>
        <v>18.850000000000001</v>
      </c>
      <c r="N53" s="13">
        <f t="shared" si="6"/>
        <v>20.950000000000003</v>
      </c>
      <c r="O53" s="13">
        <v>0.8</v>
      </c>
      <c r="P53" s="32">
        <v>4</v>
      </c>
      <c r="Q53" s="64">
        <f t="shared" si="3"/>
        <v>4.8</v>
      </c>
      <c r="R53" s="13">
        <v>0</v>
      </c>
      <c r="S53" s="32">
        <v>44</v>
      </c>
      <c r="T53" s="32"/>
      <c r="U53" s="65">
        <f t="shared" si="4"/>
        <v>44</v>
      </c>
      <c r="V53" s="13">
        <v>0</v>
      </c>
      <c r="W53" s="32">
        <v>15.2</v>
      </c>
      <c r="X53" s="32"/>
      <c r="Y53" s="32">
        <f>2+4.1+400.3</f>
        <v>406.40000000000003</v>
      </c>
      <c r="Z53" s="13">
        <f t="shared" si="0"/>
        <v>491.35</v>
      </c>
      <c r="AA53" s="74"/>
      <c r="AC53" s="34"/>
    </row>
    <row r="54" spans="2:31" ht="20.100000000000001" hidden="1" customHeight="1" x14ac:dyDescent="0.2">
      <c r="B54" s="28" t="s">
        <v>36</v>
      </c>
      <c r="C54" s="13">
        <f>SUM(C55:C66)</f>
        <v>10.84</v>
      </c>
      <c r="D54" s="32">
        <f>SUM(D55:D66)</f>
        <v>3.38</v>
      </c>
      <c r="E54" s="32"/>
      <c r="F54" s="32"/>
      <c r="G54" s="32">
        <f t="shared" ref="G54:T54" si="7">SUM(G55:G66)</f>
        <v>4.1400000000000006</v>
      </c>
      <c r="H54" s="64">
        <f t="shared" si="7"/>
        <v>18.36</v>
      </c>
      <c r="I54" s="13">
        <f t="shared" si="7"/>
        <v>75.099999999999994</v>
      </c>
      <c r="J54" s="75">
        <f t="shared" si="7"/>
        <v>0</v>
      </c>
      <c r="K54" s="32">
        <f t="shared" si="7"/>
        <v>35.76</v>
      </c>
      <c r="L54" s="32">
        <f t="shared" si="7"/>
        <v>35.5</v>
      </c>
      <c r="M54" s="64">
        <f t="shared" si="7"/>
        <v>146.36000000000001</v>
      </c>
      <c r="N54" s="13">
        <f t="shared" si="7"/>
        <v>164.72</v>
      </c>
      <c r="O54" s="13">
        <f t="shared" si="7"/>
        <v>2.5</v>
      </c>
      <c r="P54" s="32">
        <f t="shared" si="7"/>
        <v>43.39</v>
      </c>
      <c r="Q54" s="64">
        <f t="shared" si="7"/>
        <v>45.89</v>
      </c>
      <c r="R54" s="32">
        <f t="shared" si="7"/>
        <v>0</v>
      </c>
      <c r="S54" s="32">
        <f t="shared" si="7"/>
        <v>191.88</v>
      </c>
      <c r="T54" s="32">
        <f t="shared" si="7"/>
        <v>46</v>
      </c>
      <c r="U54" s="65">
        <f t="shared" si="4"/>
        <v>237.88</v>
      </c>
      <c r="V54" s="13">
        <f>SUM(V55:V66)</f>
        <v>0</v>
      </c>
      <c r="W54" s="32">
        <f>SUM(W55:W66)</f>
        <v>72.249999999999986</v>
      </c>
      <c r="X54" s="32"/>
      <c r="Y54" s="32">
        <f>SUM(Y55:Y66)</f>
        <v>2723.7900000000009</v>
      </c>
      <c r="Z54" s="13">
        <f>Y54+W54+V54+U54+Q54+N54-0.07</f>
        <v>3244.4600000000005</v>
      </c>
      <c r="AA54" s="74"/>
    </row>
    <row r="55" spans="2:31" ht="20.100000000000001" hidden="1" customHeight="1" x14ac:dyDescent="0.2">
      <c r="B55" s="29" t="s">
        <v>24</v>
      </c>
      <c r="C55" s="13">
        <v>1.1000000000000001</v>
      </c>
      <c r="D55" s="32">
        <v>2.2999999999999998</v>
      </c>
      <c r="E55" s="32"/>
      <c r="F55" s="32"/>
      <c r="G55" s="32">
        <f>3.2</f>
        <v>3.2</v>
      </c>
      <c r="H55" s="64">
        <f t="shared" ref="H55:H66" si="8">C55+D55+G55</f>
        <v>6.6</v>
      </c>
      <c r="I55" s="13">
        <v>4.5</v>
      </c>
      <c r="J55" s="75"/>
      <c r="K55" s="32">
        <v>2.6</v>
      </c>
      <c r="L55" s="32">
        <v>11</v>
      </c>
      <c r="M55" s="65">
        <f t="shared" ref="M55:M66" si="9">L55+K55+I55</f>
        <v>18.100000000000001</v>
      </c>
      <c r="N55" s="13">
        <f t="shared" ref="N55:N70" si="10">M55+H55</f>
        <v>24.700000000000003</v>
      </c>
      <c r="O55" s="13">
        <v>0.2</v>
      </c>
      <c r="P55" s="32">
        <v>7.84</v>
      </c>
      <c r="Q55" s="65">
        <f t="shared" ref="Q55:Q66" si="11">P55+O55</f>
        <v>8.0399999999999991</v>
      </c>
      <c r="R55" s="15"/>
      <c r="S55" s="32">
        <v>4.6500000000000004</v>
      </c>
      <c r="T55" s="32"/>
      <c r="U55" s="65">
        <f t="shared" si="4"/>
        <v>4.6500000000000004</v>
      </c>
      <c r="V55" s="15"/>
      <c r="W55" s="32">
        <v>11.14</v>
      </c>
      <c r="X55" s="32"/>
      <c r="Y55" s="32">
        <f>367.9+16.2+0.04</f>
        <v>384.14</v>
      </c>
      <c r="Z55" s="13">
        <f t="shared" ref="Z55:Z66" si="12">Y55+W55+V55+U55+Q55+N55</f>
        <v>432.66999999999996</v>
      </c>
      <c r="AA55" s="74"/>
    </row>
    <row r="56" spans="2:31" ht="20.100000000000001" hidden="1" customHeight="1" x14ac:dyDescent="0.2">
      <c r="B56" s="29" t="s">
        <v>25</v>
      </c>
      <c r="C56" s="13">
        <v>1</v>
      </c>
      <c r="D56" s="32">
        <v>0.3</v>
      </c>
      <c r="E56" s="32"/>
      <c r="F56" s="32"/>
      <c r="G56" s="32">
        <f>0.7</f>
        <v>0.7</v>
      </c>
      <c r="H56" s="64">
        <f t="shared" si="8"/>
        <v>2</v>
      </c>
      <c r="I56" s="13">
        <v>5</v>
      </c>
      <c r="J56" s="75"/>
      <c r="K56" s="32">
        <v>2.9</v>
      </c>
      <c r="L56" s="75">
        <v>4.5</v>
      </c>
      <c r="M56" s="65">
        <f t="shared" si="9"/>
        <v>12.4</v>
      </c>
      <c r="N56" s="13">
        <f t="shared" si="10"/>
        <v>14.4</v>
      </c>
      <c r="O56" s="13">
        <v>0.5</v>
      </c>
      <c r="P56" s="32">
        <v>3.5</v>
      </c>
      <c r="Q56" s="65">
        <f t="shared" si="11"/>
        <v>4</v>
      </c>
      <c r="R56" s="15"/>
      <c r="S56" s="32">
        <v>9.26</v>
      </c>
      <c r="T56" s="32"/>
      <c r="U56" s="65">
        <f t="shared" si="4"/>
        <v>9.26</v>
      </c>
      <c r="V56" s="15"/>
      <c r="W56" s="32">
        <v>6.2</v>
      </c>
      <c r="X56" s="32"/>
      <c r="Y56" s="32">
        <f>331+1.3</f>
        <v>332.3</v>
      </c>
      <c r="Z56" s="13">
        <f t="shared" si="12"/>
        <v>366.15999999999997</v>
      </c>
      <c r="AA56" s="74"/>
    </row>
    <row r="57" spans="2:31" ht="20.100000000000001" hidden="1" customHeight="1" x14ac:dyDescent="0.2">
      <c r="B57" s="29" t="s">
        <v>26</v>
      </c>
      <c r="C57" s="13">
        <v>1.5</v>
      </c>
      <c r="D57" s="32">
        <v>0.2</v>
      </c>
      <c r="E57" s="32"/>
      <c r="F57" s="32"/>
      <c r="G57" s="32"/>
      <c r="H57" s="64">
        <f t="shared" si="8"/>
        <v>1.7</v>
      </c>
      <c r="I57" s="13">
        <v>6.2</v>
      </c>
      <c r="J57" s="75"/>
      <c r="K57" s="32">
        <v>5</v>
      </c>
      <c r="L57" s="75">
        <v>2.6</v>
      </c>
      <c r="M57" s="65">
        <f t="shared" si="9"/>
        <v>13.8</v>
      </c>
      <c r="N57" s="13">
        <f t="shared" si="10"/>
        <v>15.5</v>
      </c>
      <c r="O57" s="13">
        <v>0.4</v>
      </c>
      <c r="P57" s="32">
        <v>5.5</v>
      </c>
      <c r="Q57" s="65">
        <f t="shared" si="11"/>
        <v>5.9</v>
      </c>
      <c r="R57" s="15"/>
      <c r="S57" s="32">
        <f>28.36-22.7</f>
        <v>5.66</v>
      </c>
      <c r="T57" s="32">
        <v>22.7</v>
      </c>
      <c r="U57" s="65">
        <f t="shared" si="4"/>
        <v>28.36</v>
      </c>
      <c r="V57" s="15"/>
      <c r="W57" s="32">
        <v>0.4</v>
      </c>
      <c r="X57" s="32"/>
      <c r="Y57" s="32">
        <f>474.7+18.2+6</f>
        <v>498.9</v>
      </c>
      <c r="Z57" s="13">
        <f t="shared" si="12"/>
        <v>549.05999999999995</v>
      </c>
      <c r="AA57" s="74"/>
    </row>
    <row r="58" spans="2:31" ht="20.100000000000001" hidden="1" customHeight="1" x14ac:dyDescent="0.2">
      <c r="B58" s="29" t="s">
        <v>27</v>
      </c>
      <c r="C58" s="13">
        <v>1.4</v>
      </c>
      <c r="D58" s="67">
        <v>0.1</v>
      </c>
      <c r="E58" s="67"/>
      <c r="F58" s="67"/>
      <c r="G58" s="67"/>
      <c r="H58" s="64">
        <f t="shared" si="8"/>
        <v>1.5</v>
      </c>
      <c r="I58" s="15">
        <v>7.5</v>
      </c>
      <c r="J58" s="68"/>
      <c r="K58" s="67">
        <v>4</v>
      </c>
      <c r="L58" s="68">
        <v>0.9</v>
      </c>
      <c r="M58" s="65">
        <f t="shared" si="9"/>
        <v>12.4</v>
      </c>
      <c r="N58" s="13">
        <f t="shared" si="10"/>
        <v>13.9</v>
      </c>
      <c r="O58" s="13">
        <v>0.6</v>
      </c>
      <c r="P58" s="67">
        <v>3</v>
      </c>
      <c r="Q58" s="65">
        <f t="shared" si="11"/>
        <v>3.6</v>
      </c>
      <c r="R58" s="15"/>
      <c r="S58" s="67">
        <v>27.9</v>
      </c>
      <c r="T58" s="67"/>
      <c r="U58" s="65">
        <f t="shared" si="4"/>
        <v>27.9</v>
      </c>
      <c r="V58" s="15"/>
      <c r="W58" s="67">
        <f>0.1-0.04</f>
        <v>6.0000000000000005E-2</v>
      </c>
      <c r="X58" s="67"/>
      <c r="Y58" s="67">
        <f>323.5+27.9</f>
        <v>351.4</v>
      </c>
      <c r="Z58" s="13">
        <f t="shared" si="12"/>
        <v>396.85999999999996</v>
      </c>
      <c r="AA58" s="74"/>
    </row>
    <row r="59" spans="2:31" ht="20.100000000000001" hidden="1" customHeight="1" x14ac:dyDescent="0.2">
      <c r="B59" s="29" t="s">
        <v>28</v>
      </c>
      <c r="C59" s="13">
        <v>0.2</v>
      </c>
      <c r="D59" s="67">
        <v>0.04</v>
      </c>
      <c r="E59" s="67"/>
      <c r="F59" s="67"/>
      <c r="G59" s="67"/>
      <c r="H59" s="64">
        <f t="shared" si="8"/>
        <v>0.24000000000000002</v>
      </c>
      <c r="I59" s="15">
        <v>5.3</v>
      </c>
      <c r="J59" s="68"/>
      <c r="K59" s="67">
        <v>2.6</v>
      </c>
      <c r="L59" s="68">
        <v>3.3</v>
      </c>
      <c r="M59" s="65">
        <f t="shared" si="9"/>
        <v>11.2</v>
      </c>
      <c r="N59" s="13">
        <f t="shared" si="10"/>
        <v>11.44</v>
      </c>
      <c r="O59" s="13">
        <v>0.8</v>
      </c>
      <c r="P59" s="67">
        <v>0.9</v>
      </c>
      <c r="Q59" s="65">
        <f t="shared" si="11"/>
        <v>1.7000000000000002</v>
      </c>
      <c r="R59" s="15"/>
      <c r="S59" s="67">
        <v>3.7</v>
      </c>
      <c r="T59" s="67"/>
      <c r="U59" s="65">
        <f t="shared" si="4"/>
        <v>3.7</v>
      </c>
      <c r="V59" s="15"/>
      <c r="W59" s="67">
        <v>0.4</v>
      </c>
      <c r="X59" s="67"/>
      <c r="Y59" s="67">
        <f>142.5+5.9+1.6</f>
        <v>150</v>
      </c>
      <c r="Z59" s="13">
        <f t="shared" si="12"/>
        <v>167.23999999999998</v>
      </c>
      <c r="AA59" s="74"/>
    </row>
    <row r="60" spans="2:31" ht="20.100000000000001" hidden="1" customHeight="1" x14ac:dyDescent="0.2">
      <c r="B60" s="29" t="s">
        <v>29</v>
      </c>
      <c r="C60" s="13">
        <v>0.14000000000000001</v>
      </c>
      <c r="D60" s="67">
        <v>0.04</v>
      </c>
      <c r="E60" s="67"/>
      <c r="F60" s="67"/>
      <c r="G60" s="67">
        <v>0.04</v>
      </c>
      <c r="H60" s="64">
        <f t="shared" si="8"/>
        <v>0.22000000000000003</v>
      </c>
      <c r="I60" s="13">
        <f>10.2+5.5</f>
        <v>15.7</v>
      </c>
      <c r="J60" s="68"/>
      <c r="K60" s="67"/>
      <c r="L60" s="68">
        <v>1.5</v>
      </c>
      <c r="M60" s="65">
        <f t="shared" si="9"/>
        <v>17.2</v>
      </c>
      <c r="N60" s="13">
        <f t="shared" si="10"/>
        <v>17.419999999999998</v>
      </c>
      <c r="O60" s="15"/>
      <c r="P60" s="67">
        <v>3.1</v>
      </c>
      <c r="Q60" s="65">
        <f t="shared" si="11"/>
        <v>3.1</v>
      </c>
      <c r="R60" s="15"/>
      <c r="S60" s="67">
        <v>2.16</v>
      </c>
      <c r="T60" s="67"/>
      <c r="U60" s="65">
        <f t="shared" si="4"/>
        <v>2.16</v>
      </c>
      <c r="V60" s="15"/>
      <c r="W60" s="67">
        <v>2.65</v>
      </c>
      <c r="X60" s="67"/>
      <c r="Y60" s="67">
        <f>93.9+4.7+47.1+0.04</f>
        <v>145.74</v>
      </c>
      <c r="Z60" s="13">
        <f t="shared" si="12"/>
        <v>171.07</v>
      </c>
      <c r="AA60" s="74"/>
    </row>
    <row r="61" spans="2:31" ht="20.100000000000001" hidden="1" customHeight="1" x14ac:dyDescent="0.2">
      <c r="B61" s="29" t="s">
        <v>30</v>
      </c>
      <c r="C61" s="13">
        <v>0.5</v>
      </c>
      <c r="D61" s="67"/>
      <c r="E61" s="67"/>
      <c r="F61" s="67"/>
      <c r="G61" s="67"/>
      <c r="H61" s="64">
        <f t="shared" si="8"/>
        <v>0.5</v>
      </c>
      <c r="I61" s="13">
        <v>4.8</v>
      </c>
      <c r="J61" s="68"/>
      <c r="K61" s="67">
        <v>5.5</v>
      </c>
      <c r="L61" s="68">
        <v>2.6</v>
      </c>
      <c r="M61" s="65">
        <f t="shared" si="9"/>
        <v>12.899999999999999</v>
      </c>
      <c r="N61" s="13">
        <f t="shared" si="10"/>
        <v>13.399999999999999</v>
      </c>
      <c r="O61" s="15"/>
      <c r="P61" s="67">
        <v>4.0999999999999996</v>
      </c>
      <c r="Q61" s="65">
        <f t="shared" si="11"/>
        <v>4.0999999999999996</v>
      </c>
      <c r="R61" s="15"/>
      <c r="S61" s="67">
        <v>4.45</v>
      </c>
      <c r="T61" s="67"/>
      <c r="U61" s="65">
        <f t="shared" si="4"/>
        <v>4.45</v>
      </c>
      <c r="V61" s="15"/>
      <c r="W61" s="67">
        <v>14.15</v>
      </c>
      <c r="X61" s="67"/>
      <c r="Y61" s="67">
        <f>196.1+6.5</f>
        <v>202.6</v>
      </c>
      <c r="Z61" s="13">
        <f t="shared" si="12"/>
        <v>238.7</v>
      </c>
      <c r="AA61" s="74"/>
    </row>
    <row r="62" spans="2:31" ht="20.100000000000001" hidden="1" customHeight="1" x14ac:dyDescent="0.2">
      <c r="B62" s="29" t="s">
        <v>31</v>
      </c>
      <c r="C62" s="13">
        <v>1.6</v>
      </c>
      <c r="D62" s="67"/>
      <c r="E62" s="67"/>
      <c r="F62" s="67"/>
      <c r="G62" s="67"/>
      <c r="H62" s="64">
        <f t="shared" si="8"/>
        <v>1.6</v>
      </c>
      <c r="I62" s="13">
        <f>4.9+0.2</f>
        <v>5.1000000000000005</v>
      </c>
      <c r="J62" s="68"/>
      <c r="K62" s="67">
        <v>2.9</v>
      </c>
      <c r="L62" s="68">
        <v>1.8</v>
      </c>
      <c r="M62" s="65">
        <f t="shared" si="9"/>
        <v>9.8000000000000007</v>
      </c>
      <c r="N62" s="13">
        <f t="shared" si="10"/>
        <v>11.4</v>
      </c>
      <c r="O62" s="15"/>
      <c r="P62" s="67">
        <v>3.1</v>
      </c>
      <c r="Q62" s="65">
        <f t="shared" si="11"/>
        <v>3.1</v>
      </c>
      <c r="R62" s="15"/>
      <c r="S62" s="67">
        <v>8.5</v>
      </c>
      <c r="T62" s="67"/>
      <c r="U62" s="65">
        <f t="shared" si="4"/>
        <v>8.5</v>
      </c>
      <c r="V62" s="15"/>
      <c r="W62" s="67">
        <v>14.3</v>
      </c>
      <c r="X62" s="67"/>
      <c r="Y62" s="67">
        <f>73.14+8+42.6</f>
        <v>123.74000000000001</v>
      </c>
      <c r="Z62" s="13">
        <f t="shared" si="12"/>
        <v>161.04000000000002</v>
      </c>
      <c r="AA62" s="74"/>
    </row>
    <row r="63" spans="2:31" ht="20.100000000000001" hidden="1" customHeight="1" x14ac:dyDescent="0.2">
      <c r="B63" s="29" t="s">
        <v>32</v>
      </c>
      <c r="C63" s="13">
        <v>0.6</v>
      </c>
      <c r="D63" s="67">
        <v>0.1</v>
      </c>
      <c r="E63" s="67"/>
      <c r="F63" s="67"/>
      <c r="G63" s="67"/>
      <c r="H63" s="64">
        <f t="shared" si="8"/>
        <v>0.7</v>
      </c>
      <c r="I63" s="13">
        <v>5.3</v>
      </c>
      <c r="J63" s="68"/>
      <c r="K63" s="67">
        <v>3.9</v>
      </c>
      <c r="L63" s="68">
        <v>4.9000000000000004</v>
      </c>
      <c r="M63" s="65">
        <f t="shared" si="9"/>
        <v>14.100000000000001</v>
      </c>
      <c r="N63" s="13">
        <f t="shared" si="10"/>
        <v>14.8</v>
      </c>
      <c r="O63" s="15"/>
      <c r="P63" s="67">
        <v>1.6</v>
      </c>
      <c r="Q63" s="65">
        <f t="shared" si="11"/>
        <v>1.6</v>
      </c>
      <c r="R63" s="15"/>
      <c r="S63" s="67">
        <f>5.4+0.04</f>
        <v>5.44</v>
      </c>
      <c r="T63" s="67"/>
      <c r="U63" s="65">
        <f t="shared" si="4"/>
        <v>5.44</v>
      </c>
      <c r="V63" s="15"/>
      <c r="W63" s="67">
        <v>2.8</v>
      </c>
      <c r="X63" s="67"/>
      <c r="Y63" s="67">
        <f>123.34+8.9+0.04</f>
        <v>132.28</v>
      </c>
      <c r="Z63" s="13">
        <f t="shared" si="12"/>
        <v>156.92000000000002</v>
      </c>
      <c r="AA63" s="74"/>
    </row>
    <row r="64" spans="2:31" ht="20.100000000000001" hidden="1" customHeight="1" x14ac:dyDescent="0.2">
      <c r="B64" s="29" t="s">
        <v>33</v>
      </c>
      <c r="C64" s="13">
        <v>0.6</v>
      </c>
      <c r="D64" s="67">
        <v>0.3</v>
      </c>
      <c r="E64" s="67"/>
      <c r="F64" s="67"/>
      <c r="G64" s="67"/>
      <c r="H64" s="64">
        <f t="shared" si="8"/>
        <v>0.89999999999999991</v>
      </c>
      <c r="I64" s="13">
        <v>5.3</v>
      </c>
      <c r="J64" s="68"/>
      <c r="K64" s="67">
        <v>1.9</v>
      </c>
      <c r="L64" s="68">
        <v>0.9</v>
      </c>
      <c r="M64" s="65">
        <f t="shared" si="9"/>
        <v>8.1</v>
      </c>
      <c r="N64" s="13">
        <f t="shared" si="10"/>
        <v>9</v>
      </c>
      <c r="O64" s="15"/>
      <c r="P64" s="67">
        <v>4</v>
      </c>
      <c r="Q64" s="65">
        <f t="shared" si="11"/>
        <v>4</v>
      </c>
      <c r="R64" s="15"/>
      <c r="S64" s="67">
        <f>49.8-23.3</f>
        <v>26.499999999999996</v>
      </c>
      <c r="T64" s="67">
        <v>23.3</v>
      </c>
      <c r="U64" s="65">
        <f t="shared" si="4"/>
        <v>49.8</v>
      </c>
      <c r="V64" s="15"/>
      <c r="W64" s="67">
        <v>9.65</v>
      </c>
      <c r="X64" s="67"/>
      <c r="Y64" s="67">
        <f>114.54+7.25</f>
        <v>121.79</v>
      </c>
      <c r="Z64" s="13">
        <f t="shared" si="12"/>
        <v>194.24</v>
      </c>
      <c r="AA64" s="74"/>
    </row>
    <row r="65" spans="2:27" ht="20.100000000000001" hidden="1" customHeight="1" x14ac:dyDescent="0.2">
      <c r="B65" s="29" t="s">
        <v>34</v>
      </c>
      <c r="C65" s="13">
        <v>1.3</v>
      </c>
      <c r="D65" s="67"/>
      <c r="E65" s="67"/>
      <c r="F65" s="67"/>
      <c r="G65" s="32"/>
      <c r="H65" s="64">
        <f t="shared" si="8"/>
        <v>1.3</v>
      </c>
      <c r="I65" s="13">
        <v>5.3</v>
      </c>
      <c r="J65" s="68"/>
      <c r="K65" s="67">
        <v>2.36</v>
      </c>
      <c r="L65" s="68">
        <v>0.9</v>
      </c>
      <c r="M65" s="65">
        <f t="shared" si="9"/>
        <v>8.5599999999999987</v>
      </c>
      <c r="N65" s="13">
        <f t="shared" si="10"/>
        <v>9.86</v>
      </c>
      <c r="O65" s="15"/>
      <c r="P65" s="67">
        <v>1.95</v>
      </c>
      <c r="Q65" s="65">
        <f t="shared" si="11"/>
        <v>1.95</v>
      </c>
      <c r="R65" s="15"/>
      <c r="S65" s="67">
        <f>24.26</f>
        <v>24.26</v>
      </c>
      <c r="T65" s="67"/>
      <c r="U65" s="65">
        <f t="shared" si="4"/>
        <v>24.26</v>
      </c>
      <c r="V65" s="15"/>
      <c r="W65" s="67">
        <v>2.2599999999999998</v>
      </c>
      <c r="X65" s="67"/>
      <c r="Y65" s="67">
        <f>106.2+0.8+2.4</f>
        <v>109.4</v>
      </c>
      <c r="Z65" s="13">
        <f t="shared" si="12"/>
        <v>147.73000000000002</v>
      </c>
      <c r="AA65" s="74"/>
    </row>
    <row r="66" spans="2:27" ht="20.100000000000001" hidden="1" customHeight="1" x14ac:dyDescent="0.2">
      <c r="B66" s="29" t="s">
        <v>35</v>
      </c>
      <c r="C66" s="13">
        <v>0.9</v>
      </c>
      <c r="D66" s="67"/>
      <c r="E66" s="67"/>
      <c r="F66" s="67"/>
      <c r="G66" s="32">
        <v>0.2</v>
      </c>
      <c r="H66" s="64">
        <f t="shared" si="8"/>
        <v>1.1000000000000001</v>
      </c>
      <c r="I66" s="13">
        <v>5.0999999999999996</v>
      </c>
      <c r="J66" s="68"/>
      <c r="K66" s="67">
        <v>2.1</v>
      </c>
      <c r="L66" s="68">
        <v>0.6</v>
      </c>
      <c r="M66" s="65">
        <f t="shared" si="9"/>
        <v>7.8</v>
      </c>
      <c r="N66" s="13">
        <f t="shared" si="10"/>
        <v>8.9</v>
      </c>
      <c r="O66" s="15"/>
      <c r="P66" s="67">
        <v>4.8</v>
      </c>
      <c r="Q66" s="65">
        <f t="shared" si="11"/>
        <v>4.8</v>
      </c>
      <c r="R66" s="15"/>
      <c r="S66" s="67">
        <v>69.400000000000006</v>
      </c>
      <c r="T66" s="67"/>
      <c r="U66" s="65">
        <f t="shared" si="4"/>
        <v>69.400000000000006</v>
      </c>
      <c r="V66" s="15"/>
      <c r="W66" s="67">
        <v>8.24</v>
      </c>
      <c r="X66" s="67"/>
      <c r="Y66" s="78">
        <f>156.8+14.7</f>
        <v>171.5</v>
      </c>
      <c r="Z66" s="13">
        <f t="shared" si="12"/>
        <v>262.84000000000003</v>
      </c>
      <c r="AA66" s="74"/>
    </row>
    <row r="67" spans="2:27" ht="20.100000000000001" hidden="1" customHeight="1" x14ac:dyDescent="0.2">
      <c r="B67" s="12"/>
      <c r="C67" s="13"/>
      <c r="D67" s="67"/>
      <c r="E67" s="67"/>
      <c r="F67" s="67"/>
      <c r="G67" s="32"/>
      <c r="H67" s="64"/>
      <c r="I67" s="13"/>
      <c r="J67" s="68"/>
      <c r="K67" s="67"/>
      <c r="L67" s="68"/>
      <c r="M67" s="65"/>
      <c r="N67" s="13"/>
      <c r="O67" s="15"/>
      <c r="P67" s="67"/>
      <c r="Q67" s="65"/>
      <c r="R67" s="15"/>
      <c r="S67" s="67"/>
      <c r="T67" s="67"/>
      <c r="U67" s="65">
        <f t="shared" si="4"/>
        <v>0</v>
      </c>
      <c r="V67" s="15"/>
      <c r="W67" s="67"/>
      <c r="X67" s="67"/>
      <c r="Y67" s="67"/>
      <c r="Z67" s="13"/>
      <c r="AA67" s="74"/>
    </row>
    <row r="68" spans="2:27" ht="20.100000000000001" hidden="1" customHeight="1" x14ac:dyDescent="0.2">
      <c r="B68" s="28" t="s">
        <v>37</v>
      </c>
      <c r="C68" s="13">
        <f>SUM(C69:C80)</f>
        <v>11.89</v>
      </c>
      <c r="D68" s="32">
        <f>SUM(D69:D80)</f>
        <v>0</v>
      </c>
      <c r="E68" s="32"/>
      <c r="F68" s="32"/>
      <c r="G68" s="32">
        <f t="shared" ref="G68:T68" si="13">SUM(G69:G80)</f>
        <v>0.3</v>
      </c>
      <c r="H68" s="64">
        <f t="shared" si="13"/>
        <v>20.28</v>
      </c>
      <c r="I68" s="13">
        <f t="shared" si="13"/>
        <v>21.799999999999997</v>
      </c>
      <c r="J68" s="75">
        <f t="shared" si="13"/>
        <v>0</v>
      </c>
      <c r="K68" s="32">
        <f t="shared" si="13"/>
        <v>45.25</v>
      </c>
      <c r="L68" s="32">
        <f t="shared" si="13"/>
        <v>8.6000000000000014</v>
      </c>
      <c r="M68" s="64">
        <f t="shared" si="13"/>
        <v>75.650000000000006</v>
      </c>
      <c r="N68" s="13">
        <f t="shared" si="13"/>
        <v>95.93</v>
      </c>
      <c r="O68" s="13">
        <f t="shared" si="13"/>
        <v>0.7</v>
      </c>
      <c r="P68" s="32">
        <f t="shared" si="13"/>
        <v>47.750000000000007</v>
      </c>
      <c r="Q68" s="64">
        <f t="shared" si="13"/>
        <v>48.45</v>
      </c>
      <c r="R68" s="32">
        <f t="shared" si="13"/>
        <v>0</v>
      </c>
      <c r="S68" s="32">
        <f t="shared" si="13"/>
        <v>171.29053802999999</v>
      </c>
      <c r="T68" s="32">
        <f t="shared" si="13"/>
        <v>22.5</v>
      </c>
      <c r="U68" s="65">
        <f t="shared" si="4"/>
        <v>193.79053802999999</v>
      </c>
      <c r="V68" s="13">
        <f>SUM(V69:V80)</f>
        <v>0</v>
      </c>
      <c r="W68" s="32">
        <f>SUM(W69:W80)</f>
        <v>23.599243179999998</v>
      </c>
      <c r="X68" s="32"/>
      <c r="Y68" s="32">
        <f>SUM(Y69:Y80)+0.09</f>
        <v>1526.18</v>
      </c>
      <c r="Z68" s="13">
        <f>Y68+W68+V68+U68+Q68+N68-0.07</f>
        <v>1887.8797812100004</v>
      </c>
      <c r="AA68" s="74"/>
    </row>
    <row r="69" spans="2:27" ht="20.100000000000001" hidden="1" customHeight="1" x14ac:dyDescent="0.2">
      <c r="B69" s="29" t="s">
        <v>24</v>
      </c>
      <c r="C69" s="13">
        <v>0.8</v>
      </c>
      <c r="D69" s="67">
        <v>0</v>
      </c>
      <c r="E69" s="67"/>
      <c r="F69" s="67"/>
      <c r="G69" s="32"/>
      <c r="H69" s="64">
        <f t="shared" ref="H69:H75" si="14">C69+D69+G69</f>
        <v>0.8</v>
      </c>
      <c r="I69" s="13">
        <v>4.5</v>
      </c>
      <c r="J69" s="68"/>
      <c r="K69" s="67">
        <v>2.5</v>
      </c>
      <c r="L69" s="68">
        <v>0.5</v>
      </c>
      <c r="M69" s="65">
        <f t="shared" ref="M69:M81" si="15">L69+K69+I69</f>
        <v>7.5</v>
      </c>
      <c r="N69" s="13">
        <f t="shared" si="10"/>
        <v>8.3000000000000007</v>
      </c>
      <c r="O69" s="15"/>
      <c r="P69" s="67">
        <v>5.3</v>
      </c>
      <c r="Q69" s="65">
        <f t="shared" ref="Q69:Q81" si="16">P69+O69</f>
        <v>5.3</v>
      </c>
      <c r="R69" s="15"/>
      <c r="S69" s="67">
        <v>3.8</v>
      </c>
      <c r="T69" s="67"/>
      <c r="U69" s="65">
        <f t="shared" si="4"/>
        <v>3.8</v>
      </c>
      <c r="V69" s="15"/>
      <c r="W69" s="67">
        <v>2.34</v>
      </c>
      <c r="X69" s="67"/>
      <c r="Y69" s="67">
        <f>96.9+8.9</f>
        <v>105.80000000000001</v>
      </c>
      <c r="Z69" s="13">
        <f t="shared" ref="Z69:Z82" si="17">Y69+W69+V69+U69+Q69+N69</f>
        <v>125.54</v>
      </c>
      <c r="AA69" s="74"/>
    </row>
    <row r="70" spans="2:27" ht="20.100000000000001" hidden="1" customHeight="1" x14ac:dyDescent="0.2">
      <c r="B70" s="29" t="s">
        <v>25</v>
      </c>
      <c r="C70" s="13">
        <v>0.8</v>
      </c>
      <c r="D70" s="67">
        <v>0</v>
      </c>
      <c r="E70" s="67"/>
      <c r="F70" s="67"/>
      <c r="G70" s="32"/>
      <c r="H70" s="64">
        <f t="shared" si="14"/>
        <v>0.8</v>
      </c>
      <c r="I70" s="13">
        <v>3.1</v>
      </c>
      <c r="J70" s="68"/>
      <c r="K70" s="67">
        <v>1.9</v>
      </c>
      <c r="L70" s="68">
        <v>0.4</v>
      </c>
      <c r="M70" s="65">
        <f t="shared" si="15"/>
        <v>5.4</v>
      </c>
      <c r="N70" s="13">
        <f t="shared" si="10"/>
        <v>6.2</v>
      </c>
      <c r="O70" s="15"/>
      <c r="P70" s="67">
        <v>2.6</v>
      </c>
      <c r="Q70" s="65">
        <f t="shared" si="16"/>
        <v>2.6</v>
      </c>
      <c r="R70" s="15"/>
      <c r="S70" s="67">
        <v>9.1</v>
      </c>
      <c r="T70" s="67"/>
      <c r="U70" s="65">
        <f t="shared" si="4"/>
        <v>9.1</v>
      </c>
      <c r="V70" s="15"/>
      <c r="W70" s="67">
        <v>1.34</v>
      </c>
      <c r="X70" s="67"/>
      <c r="Y70" s="67">
        <f>107.7+8.44</f>
        <v>116.14</v>
      </c>
      <c r="Z70" s="13">
        <f t="shared" si="17"/>
        <v>135.38</v>
      </c>
      <c r="AA70" s="74"/>
    </row>
    <row r="71" spans="2:27" ht="20.100000000000001" hidden="1" customHeight="1" x14ac:dyDescent="0.2">
      <c r="B71" s="29" t="s">
        <v>26</v>
      </c>
      <c r="C71" s="13">
        <v>1.1000000000000001</v>
      </c>
      <c r="D71" s="67"/>
      <c r="E71" s="67"/>
      <c r="F71" s="67"/>
      <c r="G71" s="32"/>
      <c r="H71" s="64">
        <f t="shared" si="14"/>
        <v>1.1000000000000001</v>
      </c>
      <c r="I71" s="13">
        <v>2.8</v>
      </c>
      <c r="J71" s="68"/>
      <c r="K71" s="67">
        <v>3.4</v>
      </c>
      <c r="L71" s="68"/>
      <c r="M71" s="65">
        <f t="shared" si="15"/>
        <v>6.1999999999999993</v>
      </c>
      <c r="N71" s="13">
        <f t="shared" ref="N71:N81" si="18">M71+H71</f>
        <v>7.2999999999999989</v>
      </c>
      <c r="O71" s="15"/>
      <c r="P71" s="67"/>
      <c r="Q71" s="65">
        <f t="shared" si="16"/>
        <v>0</v>
      </c>
      <c r="R71" s="15"/>
      <c r="S71" s="67">
        <v>20.2</v>
      </c>
      <c r="T71" s="67"/>
      <c r="U71" s="65">
        <f t="shared" si="4"/>
        <v>20.2</v>
      </c>
      <c r="V71" s="15"/>
      <c r="W71" s="67">
        <f>2.4-0.04</f>
        <v>2.36</v>
      </c>
      <c r="X71" s="67"/>
      <c r="Y71" s="30">
        <f>97.2+12.7-0.04</f>
        <v>109.86</v>
      </c>
      <c r="Z71" s="13">
        <f t="shared" si="17"/>
        <v>139.72</v>
      </c>
      <c r="AA71" s="74"/>
    </row>
    <row r="72" spans="2:27" ht="20.100000000000001" hidden="1" customHeight="1" x14ac:dyDescent="0.2">
      <c r="B72" s="29" t="s">
        <v>27</v>
      </c>
      <c r="C72" s="13">
        <v>0.7</v>
      </c>
      <c r="D72" s="67"/>
      <c r="E72" s="67"/>
      <c r="F72" s="67"/>
      <c r="G72" s="32"/>
      <c r="H72" s="64">
        <f t="shared" si="14"/>
        <v>0.7</v>
      </c>
      <c r="I72" s="13">
        <v>3.3</v>
      </c>
      <c r="J72" s="68"/>
      <c r="K72" s="67">
        <v>1.4</v>
      </c>
      <c r="L72" s="68">
        <v>0.4</v>
      </c>
      <c r="M72" s="65">
        <f t="shared" si="15"/>
        <v>5.0999999999999996</v>
      </c>
      <c r="N72" s="13">
        <f t="shared" si="18"/>
        <v>5.8</v>
      </c>
      <c r="O72" s="15"/>
      <c r="P72" s="67">
        <v>1.8</v>
      </c>
      <c r="Q72" s="65">
        <f t="shared" si="16"/>
        <v>1.8</v>
      </c>
      <c r="R72" s="15"/>
      <c r="S72" s="67">
        <v>4.9000000000000004</v>
      </c>
      <c r="T72" s="67"/>
      <c r="U72" s="65">
        <f t="shared" si="4"/>
        <v>4.9000000000000004</v>
      </c>
      <c r="V72" s="15"/>
      <c r="W72" s="67">
        <v>1</v>
      </c>
      <c r="X72" s="67"/>
      <c r="Y72" s="67">
        <f>82.5+10.7</f>
        <v>93.2</v>
      </c>
      <c r="Z72" s="13">
        <f t="shared" si="17"/>
        <v>106.7</v>
      </c>
      <c r="AA72" s="74"/>
    </row>
    <row r="73" spans="2:27" ht="20.100000000000001" hidden="1" customHeight="1" x14ac:dyDescent="0.2">
      <c r="B73" s="29" t="s">
        <v>28</v>
      </c>
      <c r="C73" s="13">
        <v>1</v>
      </c>
      <c r="D73" s="67"/>
      <c r="E73" s="67"/>
      <c r="F73" s="67"/>
      <c r="G73" s="32"/>
      <c r="H73" s="64">
        <f t="shared" si="14"/>
        <v>1</v>
      </c>
      <c r="I73" s="13">
        <v>2.9</v>
      </c>
      <c r="J73" s="68"/>
      <c r="K73" s="67">
        <v>3.2</v>
      </c>
      <c r="L73" s="68">
        <v>0.4</v>
      </c>
      <c r="M73" s="65">
        <f t="shared" si="15"/>
        <v>6.5</v>
      </c>
      <c r="N73" s="13">
        <f t="shared" si="18"/>
        <v>7.5</v>
      </c>
      <c r="O73" s="15"/>
      <c r="P73" s="67">
        <v>1.8</v>
      </c>
      <c r="Q73" s="65">
        <f t="shared" si="16"/>
        <v>1.8</v>
      </c>
      <c r="R73" s="15"/>
      <c r="S73" s="67">
        <v>10</v>
      </c>
      <c r="T73" s="67"/>
      <c r="U73" s="65">
        <f t="shared" si="4"/>
        <v>10</v>
      </c>
      <c r="V73" s="15"/>
      <c r="W73" s="67">
        <v>1.4</v>
      </c>
      <c r="X73" s="67"/>
      <c r="Y73" s="67">
        <f>140+1.7+14.7</f>
        <v>156.39999999999998</v>
      </c>
      <c r="Z73" s="13">
        <f t="shared" si="17"/>
        <v>177.1</v>
      </c>
      <c r="AA73" s="74"/>
    </row>
    <row r="74" spans="2:27" ht="20.100000000000001" hidden="1" customHeight="1" x14ac:dyDescent="0.2">
      <c r="B74" s="29" t="s">
        <v>29</v>
      </c>
      <c r="C74" s="13">
        <v>1</v>
      </c>
      <c r="D74" s="67"/>
      <c r="E74" s="67"/>
      <c r="F74" s="67"/>
      <c r="G74" s="32"/>
      <c r="H74" s="64">
        <f t="shared" si="14"/>
        <v>1</v>
      </c>
      <c r="I74" s="13">
        <v>2.8</v>
      </c>
      <c r="J74" s="68"/>
      <c r="K74" s="67">
        <v>4.3</v>
      </c>
      <c r="L74" s="68"/>
      <c r="M74" s="65">
        <f t="shared" si="15"/>
        <v>7.1</v>
      </c>
      <c r="N74" s="13">
        <f t="shared" si="18"/>
        <v>8.1</v>
      </c>
      <c r="O74" s="15"/>
      <c r="P74" s="67">
        <v>1.4</v>
      </c>
      <c r="Q74" s="65">
        <f t="shared" si="16"/>
        <v>1.4</v>
      </c>
      <c r="R74" s="15"/>
      <c r="S74" s="67">
        <f>34.94-22.5</f>
        <v>12.439999999999998</v>
      </c>
      <c r="T74" s="67">
        <v>22.5</v>
      </c>
      <c r="U74" s="65">
        <f t="shared" si="4"/>
        <v>34.94</v>
      </c>
      <c r="V74" s="15"/>
      <c r="W74" s="67">
        <v>0.64</v>
      </c>
      <c r="X74" s="67"/>
      <c r="Y74" s="67">
        <f>103.7+8.8+76</f>
        <v>188.5</v>
      </c>
      <c r="Z74" s="13">
        <f t="shared" si="17"/>
        <v>233.57999999999998</v>
      </c>
      <c r="AA74" s="74"/>
    </row>
    <row r="75" spans="2:27" ht="20.100000000000001" hidden="1" customHeight="1" x14ac:dyDescent="0.2">
      <c r="B75" s="29" t="s">
        <v>30</v>
      </c>
      <c r="C75" s="13">
        <v>0.8</v>
      </c>
      <c r="D75" s="67"/>
      <c r="E75" s="67"/>
      <c r="F75" s="67"/>
      <c r="G75" s="32"/>
      <c r="H75" s="64">
        <f t="shared" si="14"/>
        <v>0.8</v>
      </c>
      <c r="I75" s="13">
        <v>2.4</v>
      </c>
      <c r="J75" s="68"/>
      <c r="K75" s="67">
        <v>4.4000000000000004</v>
      </c>
      <c r="L75" s="68"/>
      <c r="M75" s="65">
        <f t="shared" si="15"/>
        <v>6.8000000000000007</v>
      </c>
      <c r="N75" s="13">
        <f t="shared" si="18"/>
        <v>7.6000000000000005</v>
      </c>
      <c r="O75" s="15"/>
      <c r="P75" s="67">
        <v>3</v>
      </c>
      <c r="Q75" s="65">
        <f t="shared" si="16"/>
        <v>3</v>
      </c>
      <c r="R75" s="15"/>
      <c r="S75" s="78">
        <v>13.14</v>
      </c>
      <c r="T75" s="78"/>
      <c r="U75" s="65">
        <f t="shared" si="4"/>
        <v>13.14</v>
      </c>
      <c r="V75" s="15"/>
      <c r="W75" s="67">
        <v>8.5</v>
      </c>
      <c r="X75" s="67"/>
      <c r="Y75" s="67">
        <f>85.3+11.5+0.1</f>
        <v>96.899999999999991</v>
      </c>
      <c r="Z75" s="13">
        <f t="shared" si="17"/>
        <v>129.13999999999999</v>
      </c>
      <c r="AA75" s="74"/>
    </row>
    <row r="76" spans="2:27" ht="20.100000000000001" hidden="1" customHeight="1" x14ac:dyDescent="0.2">
      <c r="B76" s="29" t="s">
        <v>31</v>
      </c>
      <c r="C76" s="13">
        <v>1.3</v>
      </c>
      <c r="D76" s="67"/>
      <c r="E76" s="32"/>
      <c r="F76" s="32"/>
      <c r="G76" s="32"/>
      <c r="H76" s="64">
        <f>SUM(C76:G76)</f>
        <v>1.3</v>
      </c>
      <c r="I76" s="13"/>
      <c r="J76" s="68"/>
      <c r="K76" s="67">
        <f>4.4-0.04</f>
        <v>4.3600000000000003</v>
      </c>
      <c r="L76" s="68">
        <f>2.2-0.04</f>
        <v>2.16</v>
      </c>
      <c r="M76" s="65">
        <f t="shared" si="15"/>
        <v>6.5200000000000005</v>
      </c>
      <c r="N76" s="13">
        <f t="shared" si="18"/>
        <v>7.82</v>
      </c>
      <c r="O76" s="15"/>
      <c r="P76" s="67">
        <v>2.7</v>
      </c>
      <c r="Q76" s="65">
        <f t="shared" si="16"/>
        <v>2.7</v>
      </c>
      <c r="R76" s="15"/>
      <c r="S76" s="67">
        <v>6.7</v>
      </c>
      <c r="T76" s="67"/>
      <c r="U76" s="65">
        <f t="shared" si="4"/>
        <v>6.7</v>
      </c>
      <c r="V76" s="15"/>
      <c r="W76" s="67">
        <v>0.51514651</v>
      </c>
      <c r="X76" s="67"/>
      <c r="Y76" s="67">
        <f>67.1+27.9+3.9+0.1</f>
        <v>99</v>
      </c>
      <c r="Z76" s="13">
        <f t="shared" si="17"/>
        <v>116.73514650999999</v>
      </c>
      <c r="AA76" s="74"/>
    </row>
    <row r="77" spans="2:27" ht="20.100000000000001" hidden="1" customHeight="1" x14ac:dyDescent="0.2">
      <c r="B77" s="29" t="s">
        <v>32</v>
      </c>
      <c r="C77" s="13">
        <v>1.24</v>
      </c>
      <c r="D77" s="67"/>
      <c r="E77" s="32">
        <v>1.34</v>
      </c>
      <c r="F77" s="32"/>
      <c r="G77" s="32"/>
      <c r="H77" s="64">
        <f>SUM(C77:G77)</f>
        <v>2.58</v>
      </c>
      <c r="I77" s="13"/>
      <c r="J77" s="68"/>
      <c r="K77" s="67">
        <v>4.6399999999999997</v>
      </c>
      <c r="L77" s="68">
        <v>2.74</v>
      </c>
      <c r="M77" s="65">
        <f t="shared" si="15"/>
        <v>7.38</v>
      </c>
      <c r="N77" s="13">
        <f t="shared" si="18"/>
        <v>9.9600000000000009</v>
      </c>
      <c r="O77" s="15">
        <v>0.7</v>
      </c>
      <c r="P77" s="67">
        <v>19.3</v>
      </c>
      <c r="Q77" s="65">
        <f t="shared" si="16"/>
        <v>20</v>
      </c>
      <c r="R77" s="15"/>
      <c r="S77" s="67">
        <v>18.8</v>
      </c>
      <c r="T77" s="67"/>
      <c r="U77" s="65">
        <f t="shared" si="4"/>
        <v>18.8</v>
      </c>
      <c r="V77" s="15"/>
      <c r="W77" s="67">
        <v>0.81463470000000004</v>
      </c>
      <c r="X77" s="67"/>
      <c r="Y77" s="67">
        <f>54.2+48.2+34.3</f>
        <v>136.69999999999999</v>
      </c>
      <c r="Z77" s="13">
        <f t="shared" si="17"/>
        <v>186.27463470000001</v>
      </c>
      <c r="AA77" s="74"/>
    </row>
    <row r="78" spans="2:27" ht="20.100000000000001" hidden="1" customHeight="1" x14ac:dyDescent="0.2">
      <c r="B78" s="29" t="s">
        <v>33</v>
      </c>
      <c r="C78" s="13">
        <v>1.1000000000000001</v>
      </c>
      <c r="D78" s="67"/>
      <c r="E78" s="32">
        <v>1.6</v>
      </c>
      <c r="F78" s="32"/>
      <c r="G78" s="32"/>
      <c r="H78" s="64">
        <f>SUM(C78:G78)</f>
        <v>2.7</v>
      </c>
      <c r="I78" s="13"/>
      <c r="J78" s="68"/>
      <c r="K78" s="67">
        <v>5.3</v>
      </c>
      <c r="L78" s="68">
        <v>1.2</v>
      </c>
      <c r="M78" s="65">
        <f t="shared" si="15"/>
        <v>6.5</v>
      </c>
      <c r="N78" s="13">
        <f t="shared" si="18"/>
        <v>9.1999999999999993</v>
      </c>
      <c r="O78" s="15"/>
      <c r="P78" s="67">
        <v>2.4</v>
      </c>
      <c r="Q78" s="65">
        <f t="shared" si="16"/>
        <v>2.4</v>
      </c>
      <c r="R78" s="15"/>
      <c r="S78" s="78">
        <v>7.7450967100000003</v>
      </c>
      <c r="T78" s="78"/>
      <c r="U78" s="65">
        <f t="shared" si="4"/>
        <v>7.7450967100000003</v>
      </c>
      <c r="V78" s="15"/>
      <c r="W78" s="67">
        <v>0.35490328999999982</v>
      </c>
      <c r="X78" s="67"/>
      <c r="Y78" s="67">
        <v>78</v>
      </c>
      <c r="Z78" s="13">
        <f t="shared" si="17"/>
        <v>97.7</v>
      </c>
      <c r="AA78" s="74"/>
    </row>
    <row r="79" spans="2:27" ht="20.100000000000001" hidden="1" customHeight="1" x14ac:dyDescent="0.2">
      <c r="B79" s="29" t="s">
        <v>34</v>
      </c>
      <c r="C79" s="13">
        <v>1.25</v>
      </c>
      <c r="D79" s="67"/>
      <c r="E79" s="32">
        <v>1.85</v>
      </c>
      <c r="F79" s="32"/>
      <c r="G79" s="32"/>
      <c r="H79" s="64">
        <f>SUM(C79:G79)</f>
        <v>3.1</v>
      </c>
      <c r="I79" s="13"/>
      <c r="J79" s="68"/>
      <c r="K79" s="67">
        <v>5.45</v>
      </c>
      <c r="L79" s="68">
        <v>0.4</v>
      </c>
      <c r="M79" s="65">
        <f t="shared" si="15"/>
        <v>5.8500000000000005</v>
      </c>
      <c r="N79" s="13">
        <f t="shared" si="18"/>
        <v>8.9500000000000011</v>
      </c>
      <c r="O79" s="15"/>
      <c r="P79" s="67">
        <v>3.25</v>
      </c>
      <c r="Q79" s="65">
        <f t="shared" si="16"/>
        <v>3.25</v>
      </c>
      <c r="R79" s="15"/>
      <c r="S79" s="67">
        <v>13.70776294</v>
      </c>
      <c r="T79" s="67"/>
      <c r="U79" s="65">
        <f t="shared" si="4"/>
        <v>13.70776294</v>
      </c>
      <c r="V79" s="15"/>
      <c r="W79" s="67">
        <v>2.7922370600000002</v>
      </c>
      <c r="X79" s="67"/>
      <c r="Y79" s="67">
        <v>79.900000000000006</v>
      </c>
      <c r="Z79" s="13">
        <f t="shared" si="17"/>
        <v>108.60000000000001</v>
      </c>
      <c r="AA79" s="74"/>
    </row>
    <row r="80" spans="2:27" ht="20.100000000000001" hidden="1" customHeight="1" x14ac:dyDescent="0.2">
      <c r="B80" s="29" t="s">
        <v>35</v>
      </c>
      <c r="C80" s="13">
        <v>0.8</v>
      </c>
      <c r="D80" s="67"/>
      <c r="E80" s="32">
        <f>1.9+1.4</f>
        <v>3.3</v>
      </c>
      <c r="F80" s="32"/>
      <c r="G80" s="32">
        <v>0.3</v>
      </c>
      <c r="H80" s="64">
        <f>SUM(C80:G80)</f>
        <v>4.3999999999999995</v>
      </c>
      <c r="I80" s="13"/>
      <c r="J80" s="68"/>
      <c r="K80" s="67">
        <v>4.4000000000000004</v>
      </c>
      <c r="L80" s="68">
        <v>0.4</v>
      </c>
      <c r="M80" s="65">
        <f t="shared" si="15"/>
        <v>4.8000000000000007</v>
      </c>
      <c r="N80" s="13">
        <f t="shared" si="18"/>
        <v>9.1999999999999993</v>
      </c>
      <c r="O80" s="15"/>
      <c r="P80" s="67">
        <v>4.2</v>
      </c>
      <c r="Q80" s="65">
        <f t="shared" si="16"/>
        <v>4.2</v>
      </c>
      <c r="R80" s="15"/>
      <c r="S80" s="67">
        <v>50.757678380000009</v>
      </c>
      <c r="T80" s="67"/>
      <c r="U80" s="65">
        <f t="shared" si="4"/>
        <v>50.757678380000009</v>
      </c>
      <c r="V80" s="15"/>
      <c r="W80" s="67">
        <v>1.5423216199999998</v>
      </c>
      <c r="X80" s="67"/>
      <c r="Y80" s="67">
        <v>265.69</v>
      </c>
      <c r="Z80" s="13">
        <f t="shared" si="17"/>
        <v>331.39</v>
      </c>
      <c r="AA80" s="74"/>
    </row>
    <row r="81" spans="2:32" ht="20.100000000000001" hidden="1" customHeight="1" x14ac:dyDescent="0.2">
      <c r="B81" s="29"/>
      <c r="C81" s="13"/>
      <c r="D81" s="67"/>
      <c r="E81" s="32"/>
      <c r="F81" s="32"/>
      <c r="G81" s="32"/>
      <c r="H81" s="64">
        <f>C81+D81+G81</f>
        <v>0</v>
      </c>
      <c r="I81" s="13"/>
      <c r="J81" s="68"/>
      <c r="K81" s="67"/>
      <c r="L81" s="68"/>
      <c r="M81" s="65">
        <f t="shared" si="15"/>
        <v>0</v>
      </c>
      <c r="N81" s="13">
        <f t="shared" si="18"/>
        <v>0</v>
      </c>
      <c r="O81" s="15"/>
      <c r="P81" s="67"/>
      <c r="Q81" s="65">
        <f t="shared" si="16"/>
        <v>0</v>
      </c>
      <c r="R81" s="15"/>
      <c r="S81" s="78"/>
      <c r="T81" s="78"/>
      <c r="U81" s="65">
        <f t="shared" si="4"/>
        <v>0</v>
      </c>
      <c r="V81" s="15"/>
      <c r="W81" s="67"/>
      <c r="X81" s="67"/>
      <c r="Y81" s="67"/>
      <c r="Z81" s="13">
        <f t="shared" si="17"/>
        <v>0</v>
      </c>
      <c r="AA81" s="74"/>
      <c r="AF81" s="56"/>
    </row>
    <row r="82" spans="2:32" ht="20.100000000000001" hidden="1" customHeight="1" x14ac:dyDescent="0.2">
      <c r="B82" s="58">
        <v>2000</v>
      </c>
      <c r="C82" s="13">
        <f>SUM(C83:C95)</f>
        <v>10.888700000000002</v>
      </c>
      <c r="D82" s="67">
        <f>SUM(D83:D95)</f>
        <v>0</v>
      </c>
      <c r="E82" s="32">
        <f>SUM(E83:E95)</f>
        <v>89.045400000000001</v>
      </c>
      <c r="F82" s="32"/>
      <c r="G82" s="32">
        <f>SUM(G83:G95)</f>
        <v>0.30099999999999999</v>
      </c>
      <c r="H82" s="64">
        <f>SUM(C82:G82)</f>
        <v>100.2351</v>
      </c>
      <c r="I82" s="13"/>
      <c r="J82" s="68">
        <f t="shared" ref="J82:T82" si="19">SUM(J83:J95)</f>
        <v>0</v>
      </c>
      <c r="K82" s="67">
        <f t="shared" si="19"/>
        <v>16.404299999999999</v>
      </c>
      <c r="L82" s="68">
        <f t="shared" si="19"/>
        <v>11.373999999999999</v>
      </c>
      <c r="M82" s="65">
        <f t="shared" si="19"/>
        <v>27.778300000000002</v>
      </c>
      <c r="N82" s="13">
        <f t="shared" si="19"/>
        <v>128.01340000000002</v>
      </c>
      <c r="O82" s="15">
        <f t="shared" si="19"/>
        <v>0.624</v>
      </c>
      <c r="P82" s="67">
        <f t="shared" si="19"/>
        <v>42.822400000000016</v>
      </c>
      <c r="Q82" s="65">
        <f t="shared" si="19"/>
        <v>43.446400000000011</v>
      </c>
      <c r="R82" s="67">
        <f t="shared" si="19"/>
        <v>0</v>
      </c>
      <c r="S82" s="67">
        <f t="shared" si="19"/>
        <v>198.64869999999999</v>
      </c>
      <c r="T82" s="67">
        <f t="shared" si="19"/>
        <v>15.1</v>
      </c>
      <c r="U82" s="65">
        <f t="shared" si="4"/>
        <v>213.74869999999999</v>
      </c>
      <c r="V82" s="15">
        <f>SUM(V83:V95)</f>
        <v>0</v>
      </c>
      <c r="W82" s="67">
        <f>SUM(W83:W95)</f>
        <v>75.421099999999996</v>
      </c>
      <c r="X82" s="67"/>
      <c r="Y82" s="67">
        <f>SUM(Y83:Y95)</f>
        <v>1223.6423999999997</v>
      </c>
      <c r="Z82" s="13">
        <f t="shared" si="17"/>
        <v>1684.2719999999999</v>
      </c>
      <c r="AA82" s="74"/>
    </row>
    <row r="83" spans="2:32" ht="20.100000000000001" hidden="1" customHeight="1" x14ac:dyDescent="0.2">
      <c r="B83" s="58"/>
      <c r="C83" s="13"/>
      <c r="D83" s="67"/>
      <c r="E83" s="32"/>
      <c r="F83" s="32"/>
      <c r="G83" s="32"/>
      <c r="H83" s="64"/>
      <c r="I83" s="13"/>
      <c r="J83" s="68"/>
      <c r="K83" s="67"/>
      <c r="L83" s="68"/>
      <c r="M83" s="65"/>
      <c r="N83" s="13"/>
      <c r="O83" s="15"/>
      <c r="P83" s="67"/>
      <c r="Q83" s="65"/>
      <c r="R83" s="15"/>
      <c r="S83" s="67"/>
      <c r="T83" s="67"/>
      <c r="U83" s="65">
        <f t="shared" si="4"/>
        <v>0</v>
      </c>
      <c r="V83" s="15"/>
      <c r="W83" s="67"/>
      <c r="X83" s="67"/>
      <c r="Y83" s="67"/>
      <c r="Z83" s="13"/>
      <c r="AA83" s="74"/>
    </row>
    <row r="84" spans="2:32" ht="20.100000000000001" hidden="1" customHeight="1" x14ac:dyDescent="0.2">
      <c r="B84" s="59" t="s">
        <v>6</v>
      </c>
      <c r="C84" s="13">
        <v>0.82699999999999996</v>
      </c>
      <c r="D84" s="67"/>
      <c r="E84" s="32">
        <f>2.823+0.384</f>
        <v>3.2069999999999999</v>
      </c>
      <c r="F84" s="32"/>
      <c r="G84" s="32"/>
      <c r="H84" s="64">
        <f t="shared" ref="H84:H95" si="20">SUM(C84:G84)</f>
        <v>4.0339999999999998</v>
      </c>
      <c r="I84" s="13"/>
      <c r="J84" s="68"/>
      <c r="K84" s="67">
        <v>6.0389999999999997</v>
      </c>
      <c r="L84" s="68">
        <v>0.89700000000000002</v>
      </c>
      <c r="M84" s="65">
        <f t="shared" ref="M84:M95" si="21">L84+K84+I84</f>
        <v>6.9359999999999999</v>
      </c>
      <c r="N84" s="13">
        <f t="shared" ref="N84:N95" si="22">M84+H84</f>
        <v>10.969999999999999</v>
      </c>
      <c r="O84" s="15">
        <v>0</v>
      </c>
      <c r="P84" s="67">
        <v>2.98</v>
      </c>
      <c r="Q84" s="65">
        <f t="shared" ref="Q84:Q95" si="23">P84+O84</f>
        <v>2.98</v>
      </c>
      <c r="R84" s="15"/>
      <c r="S84" s="67">
        <v>5.71</v>
      </c>
      <c r="T84" s="67"/>
      <c r="U84" s="65">
        <f t="shared" si="4"/>
        <v>5.71</v>
      </c>
      <c r="V84" s="15"/>
      <c r="W84" s="67">
        <v>1.7</v>
      </c>
      <c r="X84" s="67"/>
      <c r="Y84" s="67">
        <v>201.726</v>
      </c>
      <c r="Z84" s="13">
        <f t="shared" ref="Z84:Z95" si="24">Y84+W84+V84+U84+Q84+N84</f>
        <v>223.08599999999998</v>
      </c>
      <c r="AA84" s="74"/>
      <c r="AC84" s="61">
        <f>Z84-223.086</f>
        <v>0</v>
      </c>
    </row>
    <row r="85" spans="2:32" ht="20.100000000000001" hidden="1" customHeight="1" x14ac:dyDescent="0.2">
      <c r="B85" s="59" t="s">
        <v>7</v>
      </c>
      <c r="C85" s="13">
        <v>1.129</v>
      </c>
      <c r="D85" s="67"/>
      <c r="E85" s="32">
        <f>3.067+0.181</f>
        <v>3.2480000000000002</v>
      </c>
      <c r="F85" s="32"/>
      <c r="G85" s="32"/>
      <c r="H85" s="64">
        <f t="shared" si="20"/>
        <v>4.3770000000000007</v>
      </c>
      <c r="I85" s="13"/>
      <c r="J85" s="68"/>
      <c r="K85" s="67">
        <v>6.6909999999999998</v>
      </c>
      <c r="L85" s="68">
        <v>1.1619999999999999</v>
      </c>
      <c r="M85" s="65">
        <f t="shared" si="21"/>
        <v>7.8529999999999998</v>
      </c>
      <c r="N85" s="13">
        <f t="shared" si="22"/>
        <v>12.23</v>
      </c>
      <c r="O85" s="15">
        <v>0.622</v>
      </c>
      <c r="P85" s="67">
        <v>2.1</v>
      </c>
      <c r="Q85" s="65">
        <f t="shared" si="23"/>
        <v>2.722</v>
      </c>
      <c r="R85" s="15"/>
      <c r="S85" s="67">
        <v>4.9219999999999997</v>
      </c>
      <c r="T85" s="67">
        <v>15.1</v>
      </c>
      <c r="U85" s="65">
        <f t="shared" si="4"/>
        <v>20.021999999999998</v>
      </c>
      <c r="V85" s="15"/>
      <c r="W85" s="67">
        <v>3.548</v>
      </c>
      <c r="X85" s="67"/>
      <c r="Y85" s="67">
        <f>158.059-15.1</f>
        <v>142.959</v>
      </c>
      <c r="Z85" s="13">
        <f t="shared" si="24"/>
        <v>181.48099999999999</v>
      </c>
      <c r="AA85" s="74"/>
      <c r="AC85" s="60"/>
    </row>
    <row r="86" spans="2:32" ht="20.100000000000001" hidden="1" customHeight="1" x14ac:dyDescent="0.2">
      <c r="B86" s="59" t="s">
        <v>8</v>
      </c>
      <c r="C86" s="13">
        <v>0.79300000000000004</v>
      </c>
      <c r="D86" s="67"/>
      <c r="E86" s="32">
        <v>3.831</v>
      </c>
      <c r="F86" s="32"/>
      <c r="G86" s="32"/>
      <c r="H86" s="64">
        <f t="shared" si="20"/>
        <v>4.6239999999999997</v>
      </c>
      <c r="I86" s="13"/>
      <c r="J86" s="68"/>
      <c r="K86" s="67">
        <v>3.4540000000000002</v>
      </c>
      <c r="L86" s="68">
        <v>0.74</v>
      </c>
      <c r="M86" s="65">
        <f t="shared" si="21"/>
        <v>4.194</v>
      </c>
      <c r="N86" s="13">
        <f t="shared" si="22"/>
        <v>8.8179999999999996</v>
      </c>
      <c r="O86" s="15">
        <v>2E-3</v>
      </c>
      <c r="P86" s="67">
        <v>11.178000000000001</v>
      </c>
      <c r="Q86" s="65">
        <f t="shared" si="23"/>
        <v>11.180000000000001</v>
      </c>
      <c r="R86" s="15"/>
      <c r="S86" s="67">
        <v>4.9279999999999999</v>
      </c>
      <c r="T86" s="67"/>
      <c r="U86" s="65">
        <f t="shared" si="4"/>
        <v>4.9279999999999999</v>
      </c>
      <c r="V86" s="15"/>
      <c r="W86" s="67">
        <v>0.27300000000000002</v>
      </c>
      <c r="X86" s="67"/>
      <c r="Y86" s="67">
        <v>117.76</v>
      </c>
      <c r="Z86" s="13">
        <f t="shared" si="24"/>
        <v>142.959</v>
      </c>
      <c r="AA86" s="74"/>
      <c r="AC86" s="61"/>
    </row>
    <row r="87" spans="2:32" ht="20.100000000000001" hidden="1" customHeight="1" x14ac:dyDescent="0.2">
      <c r="B87" s="59" t="s">
        <v>9</v>
      </c>
      <c r="C87" s="13">
        <v>0.81499999999999995</v>
      </c>
      <c r="D87" s="67"/>
      <c r="E87" s="32">
        <f>6.554+0.116</f>
        <v>6.67</v>
      </c>
      <c r="F87" s="32"/>
      <c r="G87" s="32"/>
      <c r="H87" s="64">
        <f t="shared" si="20"/>
        <v>7.4849999999999994</v>
      </c>
      <c r="I87" s="13"/>
      <c r="J87" s="68"/>
      <c r="K87" s="67"/>
      <c r="L87" s="68">
        <v>1.3779999999999999</v>
      </c>
      <c r="M87" s="65">
        <f t="shared" si="21"/>
        <v>1.3779999999999999</v>
      </c>
      <c r="N87" s="13">
        <f t="shared" si="22"/>
        <v>8.8629999999999995</v>
      </c>
      <c r="O87" s="15"/>
      <c r="P87" s="67">
        <v>2.335</v>
      </c>
      <c r="Q87" s="65">
        <f t="shared" si="23"/>
        <v>2.335</v>
      </c>
      <c r="R87" s="15"/>
      <c r="S87" s="67">
        <v>7.3310000000000004</v>
      </c>
      <c r="T87" s="67"/>
      <c r="U87" s="65">
        <f t="shared" si="4"/>
        <v>7.3310000000000004</v>
      </c>
      <c r="V87" s="15"/>
      <c r="W87" s="67">
        <v>2.17</v>
      </c>
      <c r="X87" s="67"/>
      <c r="Y87" s="67">
        <v>63.338999999999999</v>
      </c>
      <c r="Z87" s="13">
        <f t="shared" si="24"/>
        <v>84.037999999999997</v>
      </c>
      <c r="AA87" s="74"/>
    </row>
    <row r="88" spans="2:32" ht="20.100000000000001" hidden="1" customHeight="1" x14ac:dyDescent="0.2">
      <c r="B88" s="59" t="s">
        <v>10</v>
      </c>
      <c r="C88" s="13">
        <v>1.1020000000000001</v>
      </c>
      <c r="D88" s="67"/>
      <c r="E88" s="32">
        <v>6.1609999999999996</v>
      </c>
      <c r="F88" s="32"/>
      <c r="G88" s="32">
        <v>0.30099999999999999</v>
      </c>
      <c r="H88" s="64">
        <f t="shared" si="20"/>
        <v>7.5640000000000001</v>
      </c>
      <c r="I88" s="13"/>
      <c r="J88" s="68"/>
      <c r="K88" s="67"/>
      <c r="L88" s="68">
        <v>0.79100000000000004</v>
      </c>
      <c r="M88" s="65">
        <f t="shared" si="21"/>
        <v>0.79100000000000004</v>
      </c>
      <c r="N88" s="13">
        <f t="shared" si="22"/>
        <v>8.3550000000000004</v>
      </c>
      <c r="O88" s="15"/>
      <c r="P88" s="67">
        <v>2.2370000000000001</v>
      </c>
      <c r="Q88" s="65">
        <f t="shared" si="23"/>
        <v>2.2370000000000001</v>
      </c>
      <c r="R88" s="15"/>
      <c r="S88" s="67">
        <v>9.0709999999999997</v>
      </c>
      <c r="T88" s="67"/>
      <c r="U88" s="65">
        <f t="shared" si="4"/>
        <v>9.0709999999999997</v>
      </c>
      <c r="V88" s="15"/>
      <c r="W88" s="67">
        <v>3.0209999999999999</v>
      </c>
      <c r="X88" s="67"/>
      <c r="Y88" s="67">
        <f>107.995+2.341</f>
        <v>110.336</v>
      </c>
      <c r="Z88" s="13">
        <f t="shared" si="24"/>
        <v>133.01999999999998</v>
      </c>
      <c r="AA88" s="74"/>
    </row>
    <row r="89" spans="2:32" ht="20.100000000000001" hidden="1" customHeight="1" x14ac:dyDescent="0.2">
      <c r="B89" s="59" t="s">
        <v>11</v>
      </c>
      <c r="C89" s="13">
        <v>0.55600000000000005</v>
      </c>
      <c r="D89" s="67"/>
      <c r="E89" s="32">
        <v>6.5919999999999996</v>
      </c>
      <c r="F89" s="32"/>
      <c r="G89" s="32"/>
      <c r="H89" s="64">
        <f t="shared" si="20"/>
        <v>7.1479999999999997</v>
      </c>
      <c r="I89" s="13"/>
      <c r="J89" s="68"/>
      <c r="K89" s="67"/>
      <c r="L89" s="68">
        <v>3.4729999999999999</v>
      </c>
      <c r="M89" s="65">
        <f t="shared" si="21"/>
        <v>3.4729999999999999</v>
      </c>
      <c r="N89" s="13">
        <f t="shared" si="22"/>
        <v>10.620999999999999</v>
      </c>
      <c r="O89" s="15"/>
      <c r="P89" s="67">
        <v>2.2949999999999999</v>
      </c>
      <c r="Q89" s="65">
        <f t="shared" si="23"/>
        <v>2.2949999999999999</v>
      </c>
      <c r="R89" s="15"/>
      <c r="S89" s="67">
        <v>19.052</v>
      </c>
      <c r="T89" s="67"/>
      <c r="U89" s="65">
        <f t="shared" si="4"/>
        <v>19.052</v>
      </c>
      <c r="V89" s="15"/>
      <c r="W89" s="67">
        <v>3.8809999999999998</v>
      </c>
      <c r="X89" s="67"/>
      <c r="Y89" s="67">
        <v>84.79</v>
      </c>
      <c r="Z89" s="13">
        <f t="shared" si="24"/>
        <v>120.63900000000001</v>
      </c>
      <c r="AA89" s="74"/>
      <c r="AC89" s="62"/>
    </row>
    <row r="90" spans="2:32" ht="20.100000000000001" hidden="1" customHeight="1" x14ac:dyDescent="0.2">
      <c r="B90" s="59" t="s">
        <v>12</v>
      </c>
      <c r="C90" s="13">
        <f>0.985</f>
        <v>0.98499999999999999</v>
      </c>
      <c r="D90" s="67"/>
      <c r="E90" s="32">
        <v>7.3037000000000001</v>
      </c>
      <c r="F90" s="32"/>
      <c r="G90" s="32"/>
      <c r="H90" s="64">
        <f t="shared" si="20"/>
        <v>8.2887000000000004</v>
      </c>
      <c r="I90" s="13"/>
      <c r="J90" s="68"/>
      <c r="K90" s="67"/>
      <c r="L90" s="68">
        <v>0.495</v>
      </c>
      <c r="M90" s="65">
        <f t="shared" si="21"/>
        <v>0.495</v>
      </c>
      <c r="N90" s="13">
        <f t="shared" si="22"/>
        <v>8.7836999999999996</v>
      </c>
      <c r="O90" s="15"/>
      <c r="P90" s="67">
        <f>3.0776</f>
        <v>3.0775999999999999</v>
      </c>
      <c r="Q90" s="65">
        <f t="shared" si="23"/>
        <v>3.0775999999999999</v>
      </c>
      <c r="R90" s="15"/>
      <c r="S90" s="67">
        <f>20.2871</f>
        <v>20.287099999999999</v>
      </c>
      <c r="T90" s="67"/>
      <c r="U90" s="65">
        <f t="shared" si="4"/>
        <v>20.287099999999999</v>
      </c>
      <c r="V90" s="15"/>
      <c r="W90" s="67">
        <v>0.85699999999999998</v>
      </c>
      <c r="X90" s="67"/>
      <c r="Y90" s="67">
        <f>66.9614</f>
        <v>66.961399999999998</v>
      </c>
      <c r="Z90" s="13">
        <f t="shared" si="24"/>
        <v>99.966799999999992</v>
      </c>
      <c r="AA90" s="74"/>
    </row>
    <row r="91" spans="2:32" ht="20.100000000000001" hidden="1" customHeight="1" x14ac:dyDescent="0.2">
      <c r="B91" s="59" t="s">
        <v>13</v>
      </c>
      <c r="C91" s="13">
        <v>1.0165</v>
      </c>
      <c r="D91" s="67"/>
      <c r="E91" s="32">
        <v>7.5327000000000002</v>
      </c>
      <c r="F91" s="32"/>
      <c r="G91" s="32"/>
      <c r="H91" s="64">
        <f t="shared" si="20"/>
        <v>8.5492000000000008</v>
      </c>
      <c r="I91" s="13"/>
      <c r="J91" s="68"/>
      <c r="K91" s="67">
        <v>2.2000000000000001E-3</v>
      </c>
      <c r="L91" s="68">
        <v>0.15</v>
      </c>
      <c r="M91" s="65">
        <f t="shared" si="21"/>
        <v>0.1522</v>
      </c>
      <c r="N91" s="13">
        <f t="shared" si="22"/>
        <v>8.7014000000000014</v>
      </c>
      <c r="O91" s="15">
        <f>ROUND(0.049,1)</f>
        <v>0</v>
      </c>
      <c r="P91" s="67">
        <v>4.6033999999999997</v>
      </c>
      <c r="Q91" s="65">
        <f t="shared" si="23"/>
        <v>4.6033999999999997</v>
      </c>
      <c r="R91" s="15"/>
      <c r="S91" s="67">
        <v>27.055900000000001</v>
      </c>
      <c r="T91" s="67"/>
      <c r="U91" s="65">
        <f t="shared" si="4"/>
        <v>27.055900000000001</v>
      </c>
      <c r="V91" s="15"/>
      <c r="W91" s="67">
        <v>0.66649999999999998</v>
      </c>
      <c r="X91" s="67"/>
      <c r="Y91" s="67">
        <v>93.580299999999994</v>
      </c>
      <c r="Z91" s="13">
        <f t="shared" si="24"/>
        <v>134.60749999999999</v>
      </c>
      <c r="AA91" s="74"/>
    </row>
    <row r="92" spans="2:32" ht="20.100000000000001" hidden="1" customHeight="1" x14ac:dyDescent="0.2">
      <c r="B92" s="59" t="s">
        <v>14</v>
      </c>
      <c r="C92" s="13">
        <v>0.96519999999999995</v>
      </c>
      <c r="D92" s="67"/>
      <c r="E92" s="32">
        <f>ROUND(9.7456,1)</f>
        <v>9.6999999999999993</v>
      </c>
      <c r="F92" s="32"/>
      <c r="G92" s="32"/>
      <c r="H92" s="64">
        <f t="shared" si="20"/>
        <v>10.665199999999999</v>
      </c>
      <c r="I92" s="13"/>
      <c r="J92" s="68"/>
      <c r="K92" s="67">
        <v>0.21809999999999999</v>
      </c>
      <c r="L92" s="68">
        <f>0.788</f>
        <v>0.78800000000000003</v>
      </c>
      <c r="M92" s="65">
        <f t="shared" si="21"/>
        <v>1.0061</v>
      </c>
      <c r="N92" s="13">
        <f t="shared" si="22"/>
        <v>11.671299999999999</v>
      </c>
      <c r="O92" s="15"/>
      <c r="P92" s="67">
        <v>3.0164</v>
      </c>
      <c r="Q92" s="65">
        <f t="shared" si="23"/>
        <v>3.0164</v>
      </c>
      <c r="R92" s="15"/>
      <c r="S92" s="67">
        <v>9.0916999999999994</v>
      </c>
      <c r="T92" s="67"/>
      <c r="U92" s="65">
        <f t="shared" si="4"/>
        <v>9.0916999999999994</v>
      </c>
      <c r="V92" s="15"/>
      <c r="W92" s="67">
        <v>0.90459999999999996</v>
      </c>
      <c r="X92" s="67"/>
      <c r="Y92" s="67">
        <v>98.490700000000004</v>
      </c>
      <c r="Z92" s="13">
        <f t="shared" si="24"/>
        <v>123.17470000000002</v>
      </c>
      <c r="AA92" s="74"/>
    </row>
    <row r="93" spans="2:32" ht="20.100000000000001" hidden="1" customHeight="1" x14ac:dyDescent="0.2">
      <c r="B93" s="59" t="s">
        <v>15</v>
      </c>
      <c r="C93" s="13">
        <v>1.1000000000000001</v>
      </c>
      <c r="D93" s="67"/>
      <c r="E93" s="32">
        <v>13.4</v>
      </c>
      <c r="F93" s="32"/>
      <c r="G93" s="32"/>
      <c r="H93" s="64">
        <f t="shared" si="20"/>
        <v>14.5</v>
      </c>
      <c r="I93" s="13"/>
      <c r="J93" s="68"/>
      <c r="K93" s="67"/>
      <c r="L93" s="68">
        <v>0.2</v>
      </c>
      <c r="M93" s="65">
        <f t="shared" si="21"/>
        <v>0.2</v>
      </c>
      <c r="N93" s="13">
        <f t="shared" si="22"/>
        <v>14.7</v>
      </c>
      <c r="O93" s="15"/>
      <c r="P93" s="67">
        <v>3.2</v>
      </c>
      <c r="Q93" s="65">
        <f t="shared" si="23"/>
        <v>3.2</v>
      </c>
      <c r="R93" s="15"/>
      <c r="S93" s="67">
        <v>7.8</v>
      </c>
      <c r="T93" s="67"/>
      <c r="U93" s="65">
        <f t="shared" si="4"/>
        <v>7.8</v>
      </c>
      <c r="V93" s="15"/>
      <c r="W93" s="67">
        <v>10.8</v>
      </c>
      <c r="X93" s="67"/>
      <c r="Y93" s="67">
        <v>90.1</v>
      </c>
      <c r="Z93" s="13">
        <f t="shared" si="24"/>
        <v>126.6</v>
      </c>
      <c r="AA93" s="74"/>
    </row>
    <row r="94" spans="2:32" ht="20.100000000000001" hidden="1" customHeight="1" x14ac:dyDescent="0.2">
      <c r="B94" s="59" t="s">
        <v>16</v>
      </c>
      <c r="C94" s="13">
        <v>0.8</v>
      </c>
      <c r="D94" s="67"/>
      <c r="E94" s="32">
        <v>10.5</v>
      </c>
      <c r="F94" s="32"/>
      <c r="G94" s="32"/>
      <c r="H94" s="64">
        <f t="shared" si="20"/>
        <v>11.3</v>
      </c>
      <c r="I94" s="13"/>
      <c r="J94" s="68"/>
      <c r="K94" s="67"/>
      <c r="L94" s="68">
        <v>0.6</v>
      </c>
      <c r="M94" s="65">
        <f t="shared" si="21"/>
        <v>0.6</v>
      </c>
      <c r="N94" s="13">
        <f t="shared" si="22"/>
        <v>11.9</v>
      </c>
      <c r="O94" s="15"/>
      <c r="P94" s="67">
        <v>3.2</v>
      </c>
      <c r="Q94" s="65">
        <f t="shared" si="23"/>
        <v>3.2</v>
      </c>
      <c r="R94" s="15"/>
      <c r="S94" s="67">
        <v>11.1</v>
      </c>
      <c r="T94" s="67"/>
      <c r="U94" s="65">
        <f t="shared" si="4"/>
        <v>11.1</v>
      </c>
      <c r="V94" s="15"/>
      <c r="W94" s="67">
        <v>1.1000000000000001</v>
      </c>
      <c r="X94" s="67"/>
      <c r="Y94" s="67">
        <v>67.8</v>
      </c>
      <c r="Z94" s="13">
        <f t="shared" si="24"/>
        <v>95.1</v>
      </c>
      <c r="AA94" s="74"/>
    </row>
    <row r="95" spans="2:32" ht="20.100000000000001" hidden="1" customHeight="1" x14ac:dyDescent="0.2">
      <c r="B95" s="59" t="s">
        <v>17</v>
      </c>
      <c r="C95" s="13">
        <v>0.8</v>
      </c>
      <c r="D95" s="67"/>
      <c r="E95" s="32">
        <v>10.9</v>
      </c>
      <c r="F95" s="32"/>
      <c r="G95" s="32"/>
      <c r="H95" s="64">
        <f t="shared" si="20"/>
        <v>11.700000000000001</v>
      </c>
      <c r="I95" s="13"/>
      <c r="J95" s="68"/>
      <c r="K95" s="67"/>
      <c r="L95" s="68">
        <v>0.7</v>
      </c>
      <c r="M95" s="65">
        <f t="shared" si="21"/>
        <v>0.7</v>
      </c>
      <c r="N95" s="13">
        <f t="shared" si="22"/>
        <v>12.4</v>
      </c>
      <c r="O95" s="15"/>
      <c r="P95" s="67">
        <v>2.6</v>
      </c>
      <c r="Q95" s="65">
        <f t="shared" si="23"/>
        <v>2.6</v>
      </c>
      <c r="R95" s="15"/>
      <c r="S95" s="67">
        <v>72.3</v>
      </c>
      <c r="T95" s="67"/>
      <c r="U95" s="65">
        <f t="shared" si="4"/>
        <v>72.3</v>
      </c>
      <c r="V95" s="15"/>
      <c r="W95" s="67">
        <v>46.5</v>
      </c>
      <c r="X95" s="67"/>
      <c r="Y95" s="67">
        <v>85.8</v>
      </c>
      <c r="Z95" s="13">
        <f t="shared" si="24"/>
        <v>219.60000000000002</v>
      </c>
      <c r="AA95" s="74"/>
    </row>
    <row r="96" spans="2:32" ht="20.100000000000001" hidden="1" customHeight="1" x14ac:dyDescent="0.2">
      <c r="B96" s="58"/>
      <c r="C96" s="13"/>
      <c r="D96" s="67"/>
      <c r="E96" s="32"/>
      <c r="F96" s="32"/>
      <c r="G96" s="32"/>
      <c r="H96" s="64"/>
      <c r="I96" s="13"/>
      <c r="J96" s="68"/>
      <c r="K96" s="67"/>
      <c r="L96" s="68"/>
      <c r="M96" s="65"/>
      <c r="N96" s="13"/>
      <c r="O96" s="15"/>
      <c r="P96" s="67"/>
      <c r="Q96" s="65"/>
      <c r="R96" s="15"/>
      <c r="S96" s="67"/>
      <c r="T96" s="67"/>
      <c r="U96" s="65">
        <f t="shared" si="4"/>
        <v>0</v>
      </c>
      <c r="V96" s="15"/>
      <c r="W96" s="67"/>
      <c r="X96" s="67"/>
      <c r="Y96" s="67"/>
      <c r="Z96" s="13"/>
      <c r="AA96" s="74"/>
    </row>
    <row r="97" spans="2:29" ht="20.100000000000001" hidden="1" customHeight="1" x14ac:dyDescent="0.2">
      <c r="B97" s="58">
        <v>2001</v>
      </c>
      <c r="C97" s="13">
        <f>SUM(C99:C110)</f>
        <v>4.93</v>
      </c>
      <c r="D97" s="67">
        <f t="shared" ref="D97:AA97" si="25">SUM(D99:D110)</f>
        <v>0</v>
      </c>
      <c r="E97" s="32">
        <f t="shared" si="25"/>
        <v>70.900000000000006</v>
      </c>
      <c r="F97" s="32"/>
      <c r="G97" s="32">
        <f t="shared" si="25"/>
        <v>0</v>
      </c>
      <c r="H97" s="64">
        <f t="shared" si="25"/>
        <v>75.830000000000027</v>
      </c>
      <c r="I97" s="13">
        <f t="shared" si="25"/>
        <v>0</v>
      </c>
      <c r="J97" s="68">
        <f t="shared" si="25"/>
        <v>0</v>
      </c>
      <c r="K97" s="67">
        <f t="shared" si="25"/>
        <v>0</v>
      </c>
      <c r="L97" s="68">
        <f t="shared" si="25"/>
        <v>3.5600000000000005</v>
      </c>
      <c r="M97" s="65">
        <f t="shared" si="25"/>
        <v>3.5600000000000005</v>
      </c>
      <c r="N97" s="13">
        <f t="shared" si="25"/>
        <v>79.39</v>
      </c>
      <c r="O97" s="15">
        <f t="shared" si="25"/>
        <v>1.7</v>
      </c>
      <c r="P97" s="67">
        <f t="shared" si="25"/>
        <v>19.599999999999998</v>
      </c>
      <c r="Q97" s="65">
        <f t="shared" si="25"/>
        <v>21.299999999999997</v>
      </c>
      <c r="R97" s="67">
        <f t="shared" si="25"/>
        <v>0</v>
      </c>
      <c r="S97" s="67">
        <f t="shared" si="25"/>
        <v>286.39999999999998</v>
      </c>
      <c r="T97" s="67">
        <f t="shared" si="25"/>
        <v>23.8</v>
      </c>
      <c r="U97" s="65">
        <f t="shared" si="4"/>
        <v>310.2</v>
      </c>
      <c r="V97" s="15">
        <f t="shared" si="25"/>
        <v>0</v>
      </c>
      <c r="W97" s="67">
        <f t="shared" si="25"/>
        <v>64</v>
      </c>
      <c r="X97" s="67"/>
      <c r="Y97" s="67">
        <f t="shared" si="25"/>
        <v>982.51999999999987</v>
      </c>
      <c r="Z97" s="13">
        <f t="shared" si="25"/>
        <v>1457.4099999999999</v>
      </c>
      <c r="AA97" s="74">
        <f t="shared" si="25"/>
        <v>0</v>
      </c>
    </row>
    <row r="98" spans="2:29" ht="20.100000000000001" hidden="1" customHeight="1" x14ac:dyDescent="0.2">
      <c r="B98" s="59"/>
      <c r="C98" s="13"/>
      <c r="D98" s="67"/>
      <c r="E98" s="32"/>
      <c r="F98" s="32"/>
      <c r="G98" s="32"/>
      <c r="H98" s="64"/>
      <c r="I98" s="13"/>
      <c r="J98" s="68"/>
      <c r="K98" s="67"/>
      <c r="L98" s="68"/>
      <c r="M98" s="65"/>
      <c r="N98" s="13"/>
      <c r="O98" s="15"/>
      <c r="P98" s="67"/>
      <c r="Q98" s="65"/>
      <c r="R98" s="15"/>
      <c r="S98" s="67"/>
      <c r="T98" s="67"/>
      <c r="U98" s="65"/>
      <c r="V98" s="15"/>
      <c r="W98" s="67"/>
      <c r="X98" s="67"/>
      <c r="Y98" s="67"/>
      <c r="Z98" s="13"/>
      <c r="AA98" s="74"/>
    </row>
    <row r="99" spans="2:29" ht="20.100000000000001" hidden="1" customHeight="1" x14ac:dyDescent="0.2">
      <c r="B99" s="59" t="s">
        <v>6</v>
      </c>
      <c r="C99" s="13">
        <v>0.6</v>
      </c>
      <c r="D99" s="67"/>
      <c r="E99" s="32">
        <v>14.5</v>
      </c>
      <c r="F99" s="32"/>
      <c r="G99" s="32"/>
      <c r="H99" s="64">
        <f>SUM(C99:G99)</f>
        <v>15.1</v>
      </c>
      <c r="I99" s="13"/>
      <c r="J99" s="68"/>
      <c r="K99" s="67"/>
      <c r="L99" s="68">
        <v>0.8</v>
      </c>
      <c r="M99" s="65">
        <f t="shared" ref="M99:M110" si="26">L99+K99+I99</f>
        <v>0.8</v>
      </c>
      <c r="N99" s="13">
        <f t="shared" ref="N99:N110" si="27">M99+H99</f>
        <v>15.9</v>
      </c>
      <c r="O99" s="15"/>
      <c r="P99" s="67">
        <v>3.6</v>
      </c>
      <c r="Q99" s="65">
        <f t="shared" ref="Q99:Q110" si="28">P99+O99</f>
        <v>3.6</v>
      </c>
      <c r="R99" s="15"/>
      <c r="S99" s="67">
        <v>5.6</v>
      </c>
      <c r="T99" s="67"/>
      <c r="U99" s="65">
        <f t="shared" ref="U99:U104" si="29">R99+S99+T99</f>
        <v>5.6</v>
      </c>
      <c r="V99" s="15"/>
      <c r="W99" s="67">
        <v>1.9</v>
      </c>
      <c r="X99" s="67"/>
      <c r="Y99" s="67">
        <v>91.9</v>
      </c>
      <c r="Z99" s="13">
        <f t="shared" ref="Z99:Z110" si="30">Y99+W99+V99+U99+Q99+N99</f>
        <v>118.9</v>
      </c>
      <c r="AA99" s="74"/>
      <c r="AC99" s="3">
        <f>9.2+11.4+71.3</f>
        <v>91.9</v>
      </c>
    </row>
    <row r="100" spans="2:29" ht="20.100000000000001" hidden="1" customHeight="1" x14ac:dyDescent="0.2">
      <c r="B100" s="59" t="s">
        <v>7</v>
      </c>
      <c r="C100" s="13">
        <v>0.4</v>
      </c>
      <c r="D100" s="67"/>
      <c r="E100" s="32">
        <v>13.6</v>
      </c>
      <c r="F100" s="32"/>
      <c r="G100" s="32"/>
      <c r="H100" s="64">
        <f>SUM(C100:G100)</f>
        <v>14</v>
      </c>
      <c r="I100" s="13"/>
      <c r="J100" s="68"/>
      <c r="K100" s="67"/>
      <c r="L100" s="68">
        <v>0</v>
      </c>
      <c r="M100" s="65">
        <f t="shared" si="26"/>
        <v>0</v>
      </c>
      <c r="N100" s="13">
        <f t="shared" si="27"/>
        <v>14</v>
      </c>
      <c r="O100" s="15"/>
      <c r="P100" s="67">
        <v>3.2</v>
      </c>
      <c r="Q100" s="65">
        <f t="shared" si="28"/>
        <v>3.2</v>
      </c>
      <c r="R100" s="15"/>
      <c r="S100" s="67">
        <v>4.0999999999999996</v>
      </c>
      <c r="T100" s="67"/>
      <c r="U100" s="65">
        <f t="shared" si="29"/>
        <v>4.0999999999999996</v>
      </c>
      <c r="V100" s="15"/>
      <c r="W100" s="67">
        <v>0.5</v>
      </c>
      <c r="X100" s="67"/>
      <c r="Y100" s="67">
        <v>74.8</v>
      </c>
      <c r="Z100" s="13">
        <f t="shared" si="30"/>
        <v>96.6</v>
      </c>
      <c r="AA100" s="74"/>
      <c r="AC100" s="3">
        <f>5.7+40.3+28.8</f>
        <v>74.8</v>
      </c>
    </row>
    <row r="101" spans="2:29" ht="20.100000000000001" hidden="1" customHeight="1" x14ac:dyDescent="0.2">
      <c r="B101" s="59" t="s">
        <v>8</v>
      </c>
      <c r="C101" s="13">
        <v>0.5</v>
      </c>
      <c r="D101" s="67"/>
      <c r="E101" s="32">
        <v>13.3</v>
      </c>
      <c r="F101" s="32"/>
      <c r="G101" s="32"/>
      <c r="H101" s="64">
        <f>SUM(C101:G101)</f>
        <v>13.8</v>
      </c>
      <c r="I101" s="13"/>
      <c r="J101" s="68"/>
      <c r="K101" s="67"/>
      <c r="L101" s="68">
        <v>0.8</v>
      </c>
      <c r="M101" s="65">
        <f t="shared" si="26"/>
        <v>0.8</v>
      </c>
      <c r="N101" s="13">
        <f t="shared" si="27"/>
        <v>14.600000000000001</v>
      </c>
      <c r="O101" s="15"/>
      <c r="P101" s="67">
        <v>0.6</v>
      </c>
      <c r="Q101" s="65">
        <f t="shared" si="28"/>
        <v>0.6</v>
      </c>
      <c r="R101" s="15"/>
      <c r="S101" s="67">
        <v>5.8</v>
      </c>
      <c r="T101" s="67"/>
      <c r="U101" s="65">
        <f t="shared" si="29"/>
        <v>5.8</v>
      </c>
      <c r="V101" s="15"/>
      <c r="W101" s="67">
        <v>0.8</v>
      </c>
      <c r="X101" s="67"/>
      <c r="Y101" s="67">
        <v>102.6</v>
      </c>
      <c r="Z101" s="13">
        <f t="shared" si="30"/>
        <v>124.39999999999998</v>
      </c>
      <c r="AA101" s="74"/>
      <c r="AC101" s="3">
        <f>2.1+38.1+62.4</f>
        <v>102.6</v>
      </c>
    </row>
    <row r="102" spans="2:29" ht="20.100000000000001" hidden="1" customHeight="1" x14ac:dyDescent="0.2">
      <c r="B102" s="59" t="s">
        <v>9</v>
      </c>
      <c r="C102" s="13">
        <v>0.3</v>
      </c>
      <c r="D102" s="67"/>
      <c r="E102" s="67">
        <v>13.7</v>
      </c>
      <c r="F102" s="67"/>
      <c r="G102" s="32"/>
      <c r="H102" s="64">
        <f>SUM(C102:G102)</f>
        <v>14</v>
      </c>
      <c r="I102" s="13"/>
      <c r="J102" s="68"/>
      <c r="K102" s="67"/>
      <c r="L102" s="68">
        <v>0</v>
      </c>
      <c r="M102" s="65">
        <f t="shared" si="26"/>
        <v>0</v>
      </c>
      <c r="N102" s="13">
        <f t="shared" si="27"/>
        <v>14</v>
      </c>
      <c r="O102" s="15"/>
      <c r="P102" s="67">
        <v>0.5</v>
      </c>
      <c r="Q102" s="65">
        <f t="shared" si="28"/>
        <v>0.5</v>
      </c>
      <c r="R102" s="15"/>
      <c r="S102" s="67">
        <v>14.1</v>
      </c>
      <c r="T102" s="67"/>
      <c r="U102" s="65">
        <f t="shared" si="29"/>
        <v>14.1</v>
      </c>
      <c r="V102" s="15"/>
      <c r="W102" s="67">
        <v>15.6</v>
      </c>
      <c r="X102" s="67"/>
      <c r="Y102" s="67">
        <f>4.1+15.6+82.3-0.1</f>
        <v>101.9</v>
      </c>
      <c r="Z102" s="13">
        <f t="shared" si="30"/>
        <v>146.1</v>
      </c>
      <c r="AA102" s="74"/>
      <c r="AC102" s="83">
        <f>4.1+15.6+82.3</f>
        <v>102</v>
      </c>
    </row>
    <row r="103" spans="2:29" ht="20.100000000000001" hidden="1" customHeight="1" x14ac:dyDescent="0.2">
      <c r="B103" s="59" t="s">
        <v>10</v>
      </c>
      <c r="C103" s="13">
        <v>0.6</v>
      </c>
      <c r="D103" s="67"/>
      <c r="E103" s="67">
        <v>15.8</v>
      </c>
      <c r="F103" s="67"/>
      <c r="G103" s="32"/>
      <c r="H103" s="64">
        <f>SUM(C103:G103)</f>
        <v>16.400000000000002</v>
      </c>
      <c r="I103" s="13"/>
      <c r="J103" s="68"/>
      <c r="K103" s="67"/>
      <c r="L103" s="68">
        <v>0.5</v>
      </c>
      <c r="M103" s="65">
        <f t="shared" si="26"/>
        <v>0.5</v>
      </c>
      <c r="N103" s="13">
        <f t="shared" si="27"/>
        <v>16.900000000000002</v>
      </c>
      <c r="O103" s="15"/>
      <c r="P103" s="67">
        <v>0.7</v>
      </c>
      <c r="Q103" s="65">
        <f t="shared" si="28"/>
        <v>0.7</v>
      </c>
      <c r="R103" s="15"/>
      <c r="S103" s="67">
        <v>10.1</v>
      </c>
      <c r="T103" s="67"/>
      <c r="U103" s="65">
        <f t="shared" si="29"/>
        <v>10.1</v>
      </c>
      <c r="V103" s="15"/>
      <c r="W103" s="67">
        <v>1</v>
      </c>
      <c r="X103" s="67"/>
      <c r="Y103" s="67">
        <f>5.1+99.1</f>
        <v>104.19999999999999</v>
      </c>
      <c r="Z103" s="13">
        <f t="shared" si="30"/>
        <v>132.89999999999998</v>
      </c>
      <c r="AA103" s="74"/>
      <c r="AC103" s="3">
        <f>5.1+4.5+94.6</f>
        <v>104.19999999999999</v>
      </c>
    </row>
    <row r="104" spans="2:29" ht="20.100000000000001" hidden="1" customHeight="1" x14ac:dyDescent="0.2">
      <c r="B104" s="59" t="s">
        <v>11</v>
      </c>
      <c r="C104" s="13">
        <v>0.4</v>
      </c>
      <c r="D104" s="67"/>
      <c r="E104" s="67">
        <v>0</v>
      </c>
      <c r="F104" s="67"/>
      <c r="G104" s="32"/>
      <c r="H104" s="64">
        <f t="shared" ref="H104:H110" si="31">C104+D104+G104</f>
        <v>0.4</v>
      </c>
      <c r="I104" s="13"/>
      <c r="J104" s="68"/>
      <c r="K104" s="67"/>
      <c r="L104" s="68">
        <v>0.2</v>
      </c>
      <c r="M104" s="65">
        <f t="shared" si="26"/>
        <v>0.2</v>
      </c>
      <c r="N104" s="13">
        <f t="shared" si="27"/>
        <v>0.60000000000000009</v>
      </c>
      <c r="O104" s="15"/>
      <c r="P104" s="67">
        <v>0.7</v>
      </c>
      <c r="Q104" s="65">
        <f t="shared" si="28"/>
        <v>0.7</v>
      </c>
      <c r="R104" s="15"/>
      <c r="S104" s="67">
        <v>72</v>
      </c>
      <c r="T104" s="67">
        <v>23.8</v>
      </c>
      <c r="U104" s="65">
        <f t="shared" si="29"/>
        <v>95.8</v>
      </c>
      <c r="V104" s="15"/>
      <c r="W104" s="67">
        <v>9.6</v>
      </c>
      <c r="X104" s="67"/>
      <c r="Y104" s="67">
        <f>14.8+18+40.1</f>
        <v>72.900000000000006</v>
      </c>
      <c r="Z104" s="13">
        <f t="shared" si="30"/>
        <v>179.6</v>
      </c>
      <c r="AA104" s="74"/>
      <c r="AC104" s="83">
        <f>14.8+18+40.1</f>
        <v>72.900000000000006</v>
      </c>
    </row>
    <row r="105" spans="2:29" ht="20.100000000000001" hidden="1" customHeight="1" x14ac:dyDescent="0.2">
      <c r="B105" s="59" t="s">
        <v>12</v>
      </c>
      <c r="C105" s="13">
        <v>0.3</v>
      </c>
      <c r="D105" s="67"/>
      <c r="E105" s="67">
        <v>0</v>
      </c>
      <c r="F105" s="67"/>
      <c r="G105" s="32"/>
      <c r="H105" s="64">
        <f t="shared" si="31"/>
        <v>0.3</v>
      </c>
      <c r="I105" s="13"/>
      <c r="J105" s="68"/>
      <c r="K105" s="67"/>
      <c r="L105" s="68">
        <v>0.2</v>
      </c>
      <c r="M105" s="65">
        <f t="shared" si="26"/>
        <v>0.2</v>
      </c>
      <c r="N105" s="13">
        <f t="shared" si="27"/>
        <v>0.5</v>
      </c>
      <c r="O105" s="15">
        <v>1.4</v>
      </c>
      <c r="P105" s="67">
        <v>0.6</v>
      </c>
      <c r="Q105" s="65">
        <f t="shared" si="28"/>
        <v>2</v>
      </c>
      <c r="R105" s="15"/>
      <c r="S105" s="67">
        <v>11</v>
      </c>
      <c r="T105" s="67"/>
      <c r="U105" s="65">
        <f t="shared" ref="U105:U110" si="32">R105+S105+T105</f>
        <v>11</v>
      </c>
      <c r="V105" s="15"/>
      <c r="W105" s="67">
        <v>1.3</v>
      </c>
      <c r="X105" s="67"/>
      <c r="Y105" s="67">
        <f>82.6+12.9</f>
        <v>95.5</v>
      </c>
      <c r="Z105" s="13">
        <f t="shared" si="30"/>
        <v>110.3</v>
      </c>
      <c r="AA105" s="74"/>
      <c r="AC105" s="3">
        <f>13+12.9+69.6</f>
        <v>95.5</v>
      </c>
    </row>
    <row r="106" spans="2:29" ht="20.100000000000001" hidden="1" customHeight="1" x14ac:dyDescent="0.2">
      <c r="B106" s="59" t="s">
        <v>13</v>
      </c>
      <c r="C106" s="13">
        <v>0.4</v>
      </c>
      <c r="D106" s="67"/>
      <c r="E106" s="67"/>
      <c r="F106" s="67"/>
      <c r="G106" s="32"/>
      <c r="H106" s="64">
        <f t="shared" si="31"/>
        <v>0.4</v>
      </c>
      <c r="I106" s="13"/>
      <c r="J106" s="68"/>
      <c r="K106" s="67"/>
      <c r="L106" s="68">
        <v>0.3</v>
      </c>
      <c r="M106" s="65">
        <f t="shared" si="26"/>
        <v>0.3</v>
      </c>
      <c r="N106" s="13">
        <f t="shared" si="27"/>
        <v>0.7</v>
      </c>
      <c r="O106" s="15"/>
      <c r="P106" s="67">
        <v>1.3</v>
      </c>
      <c r="Q106" s="65">
        <f t="shared" si="28"/>
        <v>1.3</v>
      </c>
      <c r="R106" s="15"/>
      <c r="S106" s="67">
        <v>18</v>
      </c>
      <c r="T106" s="67"/>
      <c r="U106" s="65">
        <f t="shared" si="32"/>
        <v>18</v>
      </c>
      <c r="V106" s="15"/>
      <c r="W106" s="67">
        <v>2.2999999999999998</v>
      </c>
      <c r="X106" s="67"/>
      <c r="Y106" s="67">
        <f>47.4+2</f>
        <v>49.4</v>
      </c>
      <c r="Z106" s="13">
        <f t="shared" si="30"/>
        <v>71.699999999999989</v>
      </c>
      <c r="AA106" s="74"/>
      <c r="AC106" s="3">
        <f>0.2+49.3</f>
        <v>49.5</v>
      </c>
    </row>
    <row r="107" spans="2:29" ht="20.100000000000001" hidden="1" customHeight="1" x14ac:dyDescent="0.2">
      <c r="B107" s="59" t="s">
        <v>14</v>
      </c>
      <c r="C107" s="13">
        <v>0.23</v>
      </c>
      <c r="D107" s="16"/>
      <c r="E107" s="16"/>
      <c r="F107" s="16"/>
      <c r="G107" s="14"/>
      <c r="H107" s="64">
        <f t="shared" si="31"/>
        <v>0.23</v>
      </c>
      <c r="I107" s="13"/>
      <c r="J107" s="17"/>
      <c r="K107" s="16"/>
      <c r="L107" s="17">
        <v>0.04</v>
      </c>
      <c r="M107" s="65">
        <f t="shared" si="26"/>
        <v>0.04</v>
      </c>
      <c r="N107" s="13">
        <f t="shared" si="27"/>
        <v>0.27</v>
      </c>
      <c r="O107" s="15"/>
      <c r="P107" s="16">
        <v>2.2999999999999998</v>
      </c>
      <c r="Q107" s="65">
        <f t="shared" si="28"/>
        <v>2.2999999999999998</v>
      </c>
      <c r="R107" s="15"/>
      <c r="S107" s="16">
        <v>5.2</v>
      </c>
      <c r="T107" s="16"/>
      <c r="U107" s="65">
        <f t="shared" si="32"/>
        <v>5.2</v>
      </c>
      <c r="V107" s="15"/>
      <c r="W107" s="16">
        <v>0.8</v>
      </c>
      <c r="X107" s="16"/>
      <c r="Y107" s="16">
        <f>57.54+13.2</f>
        <v>70.739999999999995</v>
      </c>
      <c r="Z107" s="13">
        <f t="shared" si="30"/>
        <v>79.309999999999988</v>
      </c>
      <c r="AA107" s="74"/>
      <c r="AC107" s="3">
        <f>13.2+17+40.5</f>
        <v>70.7</v>
      </c>
    </row>
    <row r="108" spans="2:29" ht="20.100000000000001" hidden="1" customHeight="1" x14ac:dyDescent="0.2">
      <c r="B108" s="59" t="s">
        <v>15</v>
      </c>
      <c r="C108" s="13">
        <v>0.4</v>
      </c>
      <c r="D108" s="16"/>
      <c r="E108" s="16"/>
      <c r="F108" s="16"/>
      <c r="G108" s="14"/>
      <c r="H108" s="64">
        <f t="shared" si="31"/>
        <v>0.4</v>
      </c>
      <c r="I108" s="13"/>
      <c r="J108" s="17"/>
      <c r="K108" s="16"/>
      <c r="L108" s="17">
        <v>0.02</v>
      </c>
      <c r="M108" s="65">
        <f t="shared" si="26"/>
        <v>0.02</v>
      </c>
      <c r="N108" s="13">
        <f t="shared" si="27"/>
        <v>0.42000000000000004</v>
      </c>
      <c r="O108" s="15"/>
      <c r="P108" s="16">
        <v>3</v>
      </c>
      <c r="Q108" s="65">
        <f t="shared" si="28"/>
        <v>3</v>
      </c>
      <c r="R108" s="15"/>
      <c r="S108" s="16">
        <v>7.2</v>
      </c>
      <c r="T108" s="16"/>
      <c r="U108" s="65">
        <f t="shared" si="32"/>
        <v>7.2</v>
      </c>
      <c r="V108" s="15"/>
      <c r="W108" s="16">
        <v>10.1</v>
      </c>
      <c r="X108" s="16"/>
      <c r="Y108" s="16">
        <f>73.4+7.5</f>
        <v>80.900000000000006</v>
      </c>
      <c r="Z108" s="13">
        <f t="shared" si="30"/>
        <v>101.62</v>
      </c>
      <c r="AA108" s="74"/>
      <c r="AC108" s="3">
        <f>7.5+24+49.4</f>
        <v>80.900000000000006</v>
      </c>
    </row>
    <row r="109" spans="2:29" ht="20.100000000000001" hidden="1" customHeight="1" x14ac:dyDescent="0.2">
      <c r="B109" s="59" t="s">
        <v>16</v>
      </c>
      <c r="C109" s="13">
        <v>0.3</v>
      </c>
      <c r="D109" s="67"/>
      <c r="E109" s="67"/>
      <c r="F109" s="67"/>
      <c r="G109" s="32"/>
      <c r="H109" s="64">
        <f t="shared" si="31"/>
        <v>0.3</v>
      </c>
      <c r="I109" s="13"/>
      <c r="J109" s="68"/>
      <c r="K109" s="67"/>
      <c r="L109" s="68">
        <v>0.5</v>
      </c>
      <c r="M109" s="65">
        <f t="shared" si="26"/>
        <v>0.5</v>
      </c>
      <c r="N109" s="13">
        <f t="shared" si="27"/>
        <v>0.8</v>
      </c>
      <c r="O109" s="15">
        <v>0.2</v>
      </c>
      <c r="P109" s="67">
        <v>1.7</v>
      </c>
      <c r="Q109" s="65">
        <f t="shared" si="28"/>
        <v>1.9</v>
      </c>
      <c r="R109" s="15"/>
      <c r="S109" s="67">
        <v>98.6</v>
      </c>
      <c r="T109" s="67"/>
      <c r="U109" s="65">
        <f t="shared" si="32"/>
        <v>98.6</v>
      </c>
      <c r="V109" s="15"/>
      <c r="W109" s="67">
        <v>2.5</v>
      </c>
      <c r="X109" s="67"/>
      <c r="Y109" s="67">
        <f>82.24+7.3</f>
        <v>89.539999999999992</v>
      </c>
      <c r="Z109" s="13">
        <f t="shared" si="30"/>
        <v>193.34</v>
      </c>
      <c r="AA109" s="74"/>
      <c r="AC109" s="83">
        <f>30+7.4+52.2</f>
        <v>89.6</v>
      </c>
    </row>
    <row r="110" spans="2:29" ht="20.100000000000001" hidden="1" customHeight="1" x14ac:dyDescent="0.2">
      <c r="B110" s="59" t="s">
        <v>17</v>
      </c>
      <c r="C110" s="13">
        <v>0.5</v>
      </c>
      <c r="D110" s="67"/>
      <c r="E110" s="67"/>
      <c r="F110" s="67"/>
      <c r="G110" s="32"/>
      <c r="H110" s="64">
        <f t="shared" si="31"/>
        <v>0.5</v>
      </c>
      <c r="I110" s="13"/>
      <c r="J110" s="68"/>
      <c r="K110" s="67"/>
      <c r="L110" s="68">
        <v>0.2</v>
      </c>
      <c r="M110" s="65">
        <f t="shared" si="26"/>
        <v>0.2</v>
      </c>
      <c r="N110" s="13">
        <f t="shared" si="27"/>
        <v>0.7</v>
      </c>
      <c r="O110" s="15">
        <v>0.1</v>
      </c>
      <c r="P110" s="67">
        <v>1.4</v>
      </c>
      <c r="Q110" s="65">
        <f t="shared" si="28"/>
        <v>1.5</v>
      </c>
      <c r="R110" s="15"/>
      <c r="S110" s="67">
        <v>34.700000000000003</v>
      </c>
      <c r="T110" s="67"/>
      <c r="U110" s="65">
        <f t="shared" si="32"/>
        <v>34.700000000000003</v>
      </c>
      <c r="V110" s="15"/>
      <c r="W110" s="67">
        <v>17.600000000000001</v>
      </c>
      <c r="X110" s="67"/>
      <c r="Y110" s="67">
        <f>41.74+6.4</f>
        <v>48.14</v>
      </c>
      <c r="Z110" s="13">
        <f t="shared" si="30"/>
        <v>102.64000000000001</v>
      </c>
      <c r="AA110" s="74"/>
      <c r="AC110" s="3">
        <f>6.5+14.5+27.1</f>
        <v>48.1</v>
      </c>
    </row>
    <row r="111" spans="2:29" ht="20.100000000000001" hidden="1" customHeight="1" x14ac:dyDescent="0.2">
      <c r="B111" s="59"/>
      <c r="C111" s="13"/>
      <c r="D111" s="67"/>
      <c r="E111" s="67"/>
      <c r="F111" s="67"/>
      <c r="G111" s="32"/>
      <c r="H111" s="64"/>
      <c r="I111" s="13"/>
      <c r="J111" s="68"/>
      <c r="K111" s="67"/>
      <c r="L111" s="68"/>
      <c r="M111" s="65"/>
      <c r="N111" s="13"/>
      <c r="O111" s="15"/>
      <c r="P111" s="67"/>
      <c r="Q111" s="65"/>
      <c r="R111" s="15"/>
      <c r="S111" s="67"/>
      <c r="T111" s="67"/>
      <c r="U111" s="65"/>
      <c r="V111" s="15"/>
      <c r="W111" s="67"/>
      <c r="X111" s="67"/>
      <c r="Y111" s="67"/>
      <c r="Z111" s="13"/>
      <c r="AA111" s="74"/>
    </row>
    <row r="112" spans="2:29" ht="20.100000000000001" hidden="1" customHeight="1" x14ac:dyDescent="0.2">
      <c r="B112" s="58">
        <v>2002</v>
      </c>
      <c r="C112" s="13">
        <f>SUM(C114:C125)</f>
        <v>5.3000000000000007</v>
      </c>
      <c r="D112" s="67">
        <f t="shared" ref="D112:AA112" si="33">SUM(D114:D125)</f>
        <v>0</v>
      </c>
      <c r="E112" s="32">
        <f t="shared" si="33"/>
        <v>0</v>
      </c>
      <c r="F112" s="32"/>
      <c r="G112" s="32">
        <f t="shared" si="33"/>
        <v>0</v>
      </c>
      <c r="H112" s="64">
        <f t="shared" si="33"/>
        <v>5.3000000000000007</v>
      </c>
      <c r="I112" s="13">
        <f t="shared" si="33"/>
        <v>0</v>
      </c>
      <c r="J112" s="68">
        <f t="shared" si="33"/>
        <v>0</v>
      </c>
      <c r="K112" s="67">
        <f t="shared" si="33"/>
        <v>0</v>
      </c>
      <c r="L112" s="68">
        <f t="shared" si="33"/>
        <v>2.5</v>
      </c>
      <c r="M112" s="65">
        <f t="shared" si="33"/>
        <v>2.5</v>
      </c>
      <c r="N112" s="13">
        <f t="shared" si="33"/>
        <v>7.8000000000000007</v>
      </c>
      <c r="O112" s="15">
        <f t="shared" si="33"/>
        <v>4.3</v>
      </c>
      <c r="P112" s="67">
        <f t="shared" si="33"/>
        <v>21.6</v>
      </c>
      <c r="Q112" s="65">
        <f t="shared" si="33"/>
        <v>25.900000000000002</v>
      </c>
      <c r="R112" s="15">
        <f t="shared" si="33"/>
        <v>50</v>
      </c>
      <c r="S112" s="67">
        <f t="shared" si="33"/>
        <v>423.5</v>
      </c>
      <c r="T112" s="67">
        <f t="shared" si="33"/>
        <v>0</v>
      </c>
      <c r="U112" s="65">
        <f t="shared" si="33"/>
        <v>473.49999999999994</v>
      </c>
      <c r="V112" s="15">
        <f t="shared" si="33"/>
        <v>0</v>
      </c>
      <c r="W112" s="67">
        <f t="shared" si="33"/>
        <v>59.000000000000007</v>
      </c>
      <c r="X112" s="67"/>
      <c r="Y112" s="67">
        <f t="shared" si="33"/>
        <v>1343.96</v>
      </c>
      <c r="Z112" s="13">
        <f t="shared" si="33"/>
        <v>1910.1599999999999</v>
      </c>
      <c r="AA112" s="74">
        <f t="shared" si="33"/>
        <v>0</v>
      </c>
    </row>
    <row r="113" spans="2:30" ht="20.100000000000001" hidden="1" customHeight="1" x14ac:dyDescent="0.2">
      <c r="B113" s="59"/>
      <c r="C113" s="13"/>
      <c r="D113" s="67"/>
      <c r="E113" s="32"/>
      <c r="F113" s="32"/>
      <c r="G113" s="32"/>
      <c r="H113" s="64"/>
      <c r="I113" s="13"/>
      <c r="J113" s="68"/>
      <c r="K113" s="67"/>
      <c r="L113" s="68"/>
      <c r="M113" s="65"/>
      <c r="N113" s="13"/>
      <c r="O113" s="15"/>
      <c r="P113" s="67"/>
      <c r="Q113" s="65"/>
      <c r="R113" s="15"/>
      <c r="S113" s="67"/>
      <c r="T113" s="67"/>
      <c r="U113" s="65"/>
      <c r="V113" s="15"/>
      <c r="W113" s="67"/>
      <c r="X113" s="67"/>
      <c r="Y113" s="67"/>
      <c r="Z113" s="13"/>
      <c r="AA113" s="74"/>
    </row>
    <row r="114" spans="2:30" ht="20.100000000000001" hidden="1" customHeight="1" x14ac:dyDescent="0.2">
      <c r="B114" s="59" t="s">
        <v>6</v>
      </c>
      <c r="C114" s="13">
        <v>0.6</v>
      </c>
      <c r="D114" s="67"/>
      <c r="E114" s="32"/>
      <c r="F114" s="32"/>
      <c r="G114" s="32"/>
      <c r="H114" s="64">
        <f>SUM(C114:G114)</f>
        <v>0.6</v>
      </c>
      <c r="I114" s="13"/>
      <c r="J114" s="68"/>
      <c r="K114" s="67"/>
      <c r="L114" s="68">
        <v>0.2</v>
      </c>
      <c r="M114" s="65">
        <f t="shared" ref="M114:M125" si="34">L114+K114+I114</f>
        <v>0.2</v>
      </c>
      <c r="N114" s="13">
        <f t="shared" ref="N114:N123" si="35">M114+H114</f>
        <v>0.8</v>
      </c>
      <c r="O114" s="15"/>
      <c r="P114" s="67">
        <v>2.9</v>
      </c>
      <c r="Q114" s="65">
        <f t="shared" ref="Q114:Q125" si="36">P114+O114</f>
        <v>2.9</v>
      </c>
      <c r="R114" s="15"/>
      <c r="S114" s="67">
        <v>100.6</v>
      </c>
      <c r="T114" s="67"/>
      <c r="U114" s="65">
        <f t="shared" ref="U114:U125" si="37">S114+R114+T114</f>
        <v>100.6</v>
      </c>
      <c r="V114" s="15"/>
      <c r="W114" s="67">
        <v>11.2</v>
      </c>
      <c r="X114" s="67"/>
      <c r="Y114" s="67">
        <f>46+16+20.5</f>
        <v>82.5</v>
      </c>
      <c r="Z114" s="13">
        <f t="shared" ref="Z114:Z125" si="38">Y114+W114+V114+U114+Q114+N114</f>
        <v>198.00000000000003</v>
      </c>
      <c r="AA114" s="74"/>
      <c r="AC114" s="3">
        <f>52.7+13.8+16</f>
        <v>82.5</v>
      </c>
      <c r="AD114" s="80"/>
    </row>
    <row r="115" spans="2:30" ht="20.100000000000001" hidden="1" customHeight="1" x14ac:dyDescent="0.2">
      <c r="B115" s="59" t="s">
        <v>7</v>
      </c>
      <c r="C115" s="13">
        <v>0.4</v>
      </c>
      <c r="D115" s="67"/>
      <c r="E115" s="32"/>
      <c r="F115" s="32"/>
      <c r="G115" s="32"/>
      <c r="H115" s="64">
        <f>SUM(C115:G115)</f>
        <v>0.4</v>
      </c>
      <c r="I115" s="13"/>
      <c r="J115" s="68"/>
      <c r="K115" s="67"/>
      <c r="L115" s="68">
        <v>0.3</v>
      </c>
      <c r="M115" s="65">
        <f t="shared" si="34"/>
        <v>0.3</v>
      </c>
      <c r="N115" s="13">
        <f t="shared" si="35"/>
        <v>0.7</v>
      </c>
      <c r="O115" s="15"/>
      <c r="P115" s="67">
        <v>2.7</v>
      </c>
      <c r="Q115" s="65">
        <f t="shared" si="36"/>
        <v>2.7</v>
      </c>
      <c r="R115" s="15"/>
      <c r="S115" s="67">
        <v>8.8000000000000007</v>
      </c>
      <c r="T115" s="67"/>
      <c r="U115" s="65">
        <f t="shared" si="37"/>
        <v>8.8000000000000007</v>
      </c>
      <c r="V115" s="15"/>
      <c r="W115" s="67">
        <v>1.7</v>
      </c>
      <c r="X115" s="67"/>
      <c r="Y115" s="67">
        <f>12+6.6+18.4</f>
        <v>37</v>
      </c>
      <c r="Z115" s="13">
        <f t="shared" si="38"/>
        <v>50.900000000000006</v>
      </c>
      <c r="AA115" s="74"/>
      <c r="AC115" s="3">
        <f>12+6.6+18.4</f>
        <v>37</v>
      </c>
      <c r="AD115" s="80"/>
    </row>
    <row r="116" spans="2:30" ht="20.100000000000001" hidden="1" customHeight="1" x14ac:dyDescent="0.2">
      <c r="B116" s="59" t="s">
        <v>8</v>
      </c>
      <c r="C116" s="13">
        <v>0.5</v>
      </c>
      <c r="D116" s="67"/>
      <c r="E116" s="32"/>
      <c r="F116" s="32"/>
      <c r="G116" s="32"/>
      <c r="H116" s="64">
        <f>SUM(C116:G116)</f>
        <v>0.5</v>
      </c>
      <c r="I116" s="13"/>
      <c r="J116" s="68"/>
      <c r="K116" s="67"/>
      <c r="L116" s="68">
        <v>0</v>
      </c>
      <c r="M116" s="65">
        <f t="shared" si="34"/>
        <v>0</v>
      </c>
      <c r="N116" s="13">
        <f t="shared" si="35"/>
        <v>0.5</v>
      </c>
      <c r="O116" s="15"/>
      <c r="P116" s="67">
        <v>2.7</v>
      </c>
      <c r="Q116" s="65">
        <f t="shared" si="36"/>
        <v>2.7</v>
      </c>
      <c r="R116" s="15"/>
      <c r="S116" s="67">
        <v>3.7</v>
      </c>
      <c r="T116" s="67"/>
      <c r="U116" s="65">
        <f t="shared" si="37"/>
        <v>3.7</v>
      </c>
      <c r="V116" s="15"/>
      <c r="W116" s="67">
        <v>1.6</v>
      </c>
      <c r="X116" s="67"/>
      <c r="Y116" s="67">
        <f>38.9+14.3</f>
        <v>53.2</v>
      </c>
      <c r="Z116" s="13">
        <f t="shared" si="38"/>
        <v>61.70000000000001</v>
      </c>
      <c r="AA116" s="74"/>
      <c r="AC116" s="3">
        <f>37.6+1.3+14.3</f>
        <v>53.2</v>
      </c>
      <c r="AD116" s="80"/>
    </row>
    <row r="117" spans="2:30" ht="20.100000000000001" hidden="1" customHeight="1" x14ac:dyDescent="0.2">
      <c r="B117" s="59" t="s">
        <v>9</v>
      </c>
      <c r="C117" s="13">
        <v>0.5</v>
      </c>
      <c r="D117" s="67"/>
      <c r="E117" s="67"/>
      <c r="F117" s="67"/>
      <c r="G117" s="32"/>
      <c r="H117" s="64">
        <f>SUM(C117:G117)</f>
        <v>0.5</v>
      </c>
      <c r="I117" s="13"/>
      <c r="J117" s="68"/>
      <c r="K117" s="67"/>
      <c r="L117" s="68">
        <v>0</v>
      </c>
      <c r="M117" s="65">
        <f t="shared" si="34"/>
        <v>0</v>
      </c>
      <c r="N117" s="13">
        <f t="shared" si="35"/>
        <v>0.5</v>
      </c>
      <c r="O117" s="15">
        <v>0.1</v>
      </c>
      <c r="P117" s="67">
        <v>2.5</v>
      </c>
      <c r="Q117" s="65">
        <f t="shared" si="36"/>
        <v>2.6</v>
      </c>
      <c r="R117" s="15"/>
      <c r="S117" s="67">
        <v>6.4</v>
      </c>
      <c r="T117" s="67"/>
      <c r="U117" s="65">
        <f t="shared" si="37"/>
        <v>6.4</v>
      </c>
      <c r="V117" s="15"/>
      <c r="W117" s="67">
        <v>4.5</v>
      </c>
      <c r="X117" s="67"/>
      <c r="Y117" s="67">
        <f>28.5+11.9</f>
        <v>40.4</v>
      </c>
      <c r="Z117" s="13">
        <f t="shared" si="38"/>
        <v>54.4</v>
      </c>
      <c r="AA117" s="74"/>
      <c r="AC117" s="3">
        <f>19.3+9.2+11.9</f>
        <v>40.4</v>
      </c>
      <c r="AD117" s="80"/>
    </row>
    <row r="118" spans="2:30" ht="20.100000000000001" hidden="1" customHeight="1" x14ac:dyDescent="0.2">
      <c r="B118" s="59" t="s">
        <v>10</v>
      </c>
      <c r="C118" s="13">
        <v>0.6</v>
      </c>
      <c r="D118" s="67"/>
      <c r="E118" s="67"/>
      <c r="F118" s="67"/>
      <c r="G118" s="32"/>
      <c r="H118" s="64">
        <f>SUM(C118:G118)</f>
        <v>0.6</v>
      </c>
      <c r="I118" s="13"/>
      <c r="J118" s="68"/>
      <c r="K118" s="67"/>
      <c r="L118" s="68">
        <v>0.4</v>
      </c>
      <c r="M118" s="65">
        <f t="shared" si="34"/>
        <v>0.4</v>
      </c>
      <c r="N118" s="13">
        <f t="shared" si="35"/>
        <v>1</v>
      </c>
      <c r="O118" s="15">
        <v>0.3</v>
      </c>
      <c r="P118" s="67">
        <v>2.2000000000000002</v>
      </c>
      <c r="Q118" s="65">
        <f t="shared" si="36"/>
        <v>2.5</v>
      </c>
      <c r="R118" s="15"/>
      <c r="S118" s="67">
        <v>13.5</v>
      </c>
      <c r="T118" s="67"/>
      <c r="U118" s="65">
        <f t="shared" si="37"/>
        <v>13.5</v>
      </c>
      <c r="V118" s="15"/>
      <c r="W118" s="67">
        <v>1.8</v>
      </c>
      <c r="X118" s="67"/>
      <c r="Y118" s="67">
        <f>10.8+6.1+75+0.04</f>
        <v>91.940000000000012</v>
      </c>
      <c r="Z118" s="13">
        <f t="shared" si="38"/>
        <v>110.74000000000001</v>
      </c>
      <c r="AA118" s="74"/>
      <c r="AC118" s="3">
        <f>10.8+6.1+75</f>
        <v>91.9</v>
      </c>
      <c r="AD118" s="80"/>
    </row>
    <row r="119" spans="2:30" ht="20.100000000000001" hidden="1" customHeight="1" x14ac:dyDescent="0.2">
      <c r="B119" s="59" t="s">
        <v>11</v>
      </c>
      <c r="C119" s="13">
        <v>0.7</v>
      </c>
      <c r="D119" s="67"/>
      <c r="E119" s="67">
        <v>0</v>
      </c>
      <c r="F119" s="67"/>
      <c r="G119" s="32"/>
      <c r="H119" s="64">
        <f t="shared" ref="H119:H125" si="39">C119+D119+G119</f>
        <v>0.7</v>
      </c>
      <c r="I119" s="13"/>
      <c r="J119" s="68"/>
      <c r="K119" s="67"/>
      <c r="L119" s="68">
        <v>0.1</v>
      </c>
      <c r="M119" s="65">
        <f t="shared" si="34"/>
        <v>0.1</v>
      </c>
      <c r="N119" s="13">
        <f t="shared" si="35"/>
        <v>0.79999999999999993</v>
      </c>
      <c r="O119" s="15">
        <v>0.3</v>
      </c>
      <c r="P119" s="67">
        <v>2.1</v>
      </c>
      <c r="Q119" s="65">
        <f t="shared" si="36"/>
        <v>2.4</v>
      </c>
      <c r="R119" s="15"/>
      <c r="S119" s="67">
        <v>10.9</v>
      </c>
      <c r="T119" s="67"/>
      <c r="U119" s="65">
        <f t="shared" si="37"/>
        <v>10.9</v>
      </c>
      <c r="V119" s="15"/>
      <c r="W119" s="67">
        <v>3.2</v>
      </c>
      <c r="X119" s="67"/>
      <c r="Y119" s="67">
        <f>15.9+86.2</f>
        <v>102.10000000000001</v>
      </c>
      <c r="Z119" s="13">
        <f t="shared" si="38"/>
        <v>119.40000000000002</v>
      </c>
      <c r="AA119" s="74"/>
      <c r="AC119" s="3">
        <f>15.9+86.2</f>
        <v>102.10000000000001</v>
      </c>
      <c r="AD119" s="80"/>
    </row>
    <row r="120" spans="2:30" ht="20.100000000000001" hidden="1" customHeight="1" x14ac:dyDescent="0.2">
      <c r="B120" s="59" t="s">
        <v>12</v>
      </c>
      <c r="C120" s="13">
        <v>0.3</v>
      </c>
      <c r="D120" s="67"/>
      <c r="E120" s="67">
        <v>0</v>
      </c>
      <c r="F120" s="67"/>
      <c r="G120" s="32"/>
      <c r="H120" s="64">
        <f t="shared" si="39"/>
        <v>0.3</v>
      </c>
      <c r="I120" s="13"/>
      <c r="J120" s="68"/>
      <c r="K120" s="67"/>
      <c r="L120" s="68"/>
      <c r="M120" s="65">
        <f t="shared" si="34"/>
        <v>0</v>
      </c>
      <c r="N120" s="13">
        <f t="shared" si="35"/>
        <v>0.3</v>
      </c>
      <c r="O120" s="15">
        <v>0.7</v>
      </c>
      <c r="P120" s="67">
        <v>0.9</v>
      </c>
      <c r="Q120" s="65">
        <f t="shared" si="36"/>
        <v>1.6</v>
      </c>
      <c r="R120" s="15"/>
      <c r="S120" s="67">
        <v>101.8</v>
      </c>
      <c r="T120" s="67"/>
      <c r="U120" s="65">
        <f t="shared" si="37"/>
        <v>101.8</v>
      </c>
      <c r="V120" s="15"/>
      <c r="W120" s="67">
        <v>1.8</v>
      </c>
      <c r="X120" s="67"/>
      <c r="Y120" s="84">
        <f>24+386.3+0.02</f>
        <v>410.32</v>
      </c>
      <c r="Z120" s="13">
        <f t="shared" si="38"/>
        <v>515.81999999999994</v>
      </c>
      <c r="AA120" s="74"/>
      <c r="AC120" s="3">
        <f>24+386.3</f>
        <v>410.3</v>
      </c>
      <c r="AD120" s="80"/>
    </row>
    <row r="121" spans="2:30" ht="20.100000000000001" hidden="1" customHeight="1" x14ac:dyDescent="0.2">
      <c r="B121" s="59" t="s">
        <v>13</v>
      </c>
      <c r="C121" s="13">
        <v>0.1</v>
      </c>
      <c r="D121" s="67"/>
      <c r="E121" s="67"/>
      <c r="F121" s="67"/>
      <c r="G121" s="32"/>
      <c r="H121" s="64">
        <f t="shared" si="39"/>
        <v>0.1</v>
      </c>
      <c r="I121" s="13"/>
      <c r="J121" s="68"/>
      <c r="K121" s="67"/>
      <c r="L121" s="68">
        <v>0.2</v>
      </c>
      <c r="M121" s="65">
        <f t="shared" si="34"/>
        <v>0.2</v>
      </c>
      <c r="N121" s="13">
        <f t="shared" si="35"/>
        <v>0.30000000000000004</v>
      </c>
      <c r="O121" s="15">
        <v>0.9</v>
      </c>
      <c r="P121" s="67">
        <v>0.9</v>
      </c>
      <c r="Q121" s="65">
        <f t="shared" si="36"/>
        <v>1.8</v>
      </c>
      <c r="R121" s="15">
        <v>25</v>
      </c>
      <c r="S121" s="67">
        <v>40.1</v>
      </c>
      <c r="T121" s="67"/>
      <c r="U121" s="65">
        <f t="shared" si="37"/>
        <v>65.099999999999994</v>
      </c>
      <c r="V121" s="15"/>
      <c r="W121" s="67">
        <v>1.5</v>
      </c>
      <c r="X121" s="67"/>
      <c r="Y121" s="67">
        <f>6.2+183.1</f>
        <v>189.29999999999998</v>
      </c>
      <c r="Z121" s="13">
        <f t="shared" si="38"/>
        <v>258</v>
      </c>
      <c r="AA121" s="74"/>
      <c r="AC121" s="3">
        <f>6.2+183.1</f>
        <v>189.29999999999998</v>
      </c>
      <c r="AD121" s="80"/>
    </row>
    <row r="122" spans="2:30" ht="20.100000000000001" hidden="1" customHeight="1" x14ac:dyDescent="0.2">
      <c r="B122" s="59" t="s">
        <v>14</v>
      </c>
      <c r="C122" s="13">
        <v>0.4</v>
      </c>
      <c r="D122" s="16"/>
      <c r="E122" s="16"/>
      <c r="F122" s="16"/>
      <c r="G122" s="14"/>
      <c r="H122" s="64">
        <f t="shared" si="39"/>
        <v>0.4</v>
      </c>
      <c r="I122" s="13"/>
      <c r="J122" s="17"/>
      <c r="K122" s="16"/>
      <c r="L122" s="17">
        <v>0.3</v>
      </c>
      <c r="M122" s="65">
        <f t="shared" si="34"/>
        <v>0.3</v>
      </c>
      <c r="N122" s="13">
        <f t="shared" si="35"/>
        <v>0.7</v>
      </c>
      <c r="O122" s="15">
        <v>0.7</v>
      </c>
      <c r="P122" s="16">
        <v>1.1000000000000001</v>
      </c>
      <c r="Q122" s="65">
        <f t="shared" si="36"/>
        <v>1.8</v>
      </c>
      <c r="R122" s="15"/>
      <c r="S122" s="16">
        <v>17.899999999999999</v>
      </c>
      <c r="T122" s="16"/>
      <c r="U122" s="65">
        <f t="shared" si="37"/>
        <v>17.899999999999999</v>
      </c>
      <c r="V122" s="15"/>
      <c r="W122" s="16">
        <v>2.1</v>
      </c>
      <c r="X122" s="16"/>
      <c r="Y122" s="16">
        <f>121.8+11.8+3.9</f>
        <v>137.5</v>
      </c>
      <c r="Z122" s="13">
        <f t="shared" si="38"/>
        <v>160</v>
      </c>
      <c r="AA122" s="74"/>
      <c r="AC122" s="3">
        <f>3.9+11.8+121.8</f>
        <v>137.5</v>
      </c>
      <c r="AD122" s="80"/>
    </row>
    <row r="123" spans="2:30" ht="20.100000000000001" hidden="1" customHeight="1" x14ac:dyDescent="0.2">
      <c r="B123" s="59" t="s">
        <v>15</v>
      </c>
      <c r="C123" s="13">
        <v>0.4</v>
      </c>
      <c r="D123" s="16"/>
      <c r="E123" s="16"/>
      <c r="F123" s="16"/>
      <c r="G123" s="14"/>
      <c r="H123" s="64">
        <f t="shared" si="39"/>
        <v>0.4</v>
      </c>
      <c r="I123" s="13"/>
      <c r="J123" s="17"/>
      <c r="K123" s="16"/>
      <c r="L123" s="17">
        <v>0.3</v>
      </c>
      <c r="M123" s="65">
        <f t="shared" si="34"/>
        <v>0.3</v>
      </c>
      <c r="N123" s="13">
        <f t="shared" si="35"/>
        <v>0.7</v>
      </c>
      <c r="O123" s="15">
        <v>0.5</v>
      </c>
      <c r="P123" s="16">
        <v>1.3</v>
      </c>
      <c r="Q123" s="65">
        <f t="shared" si="36"/>
        <v>1.8</v>
      </c>
      <c r="R123" s="15">
        <v>25</v>
      </c>
      <c r="S123" s="16">
        <v>9.6</v>
      </c>
      <c r="T123" s="16"/>
      <c r="U123" s="65">
        <f t="shared" si="37"/>
        <v>34.6</v>
      </c>
      <c r="V123" s="15"/>
      <c r="W123" s="16">
        <v>9.5</v>
      </c>
      <c r="X123" s="16"/>
      <c r="Y123" s="16">
        <f>3+14+64</f>
        <v>81</v>
      </c>
      <c r="Z123" s="13">
        <f t="shared" si="38"/>
        <v>127.6</v>
      </c>
      <c r="AA123" s="74"/>
      <c r="AC123" s="3">
        <f>3+14+64</f>
        <v>81</v>
      </c>
    </row>
    <row r="124" spans="2:30" ht="20.100000000000001" hidden="1" customHeight="1" x14ac:dyDescent="0.2">
      <c r="B124" s="59" t="s">
        <v>16</v>
      </c>
      <c r="C124" s="13">
        <v>0.4</v>
      </c>
      <c r="D124" s="67"/>
      <c r="E124" s="67"/>
      <c r="F124" s="67"/>
      <c r="G124" s="32"/>
      <c r="H124" s="64">
        <f t="shared" si="39"/>
        <v>0.4</v>
      </c>
      <c r="I124" s="13"/>
      <c r="J124" s="68"/>
      <c r="K124" s="67"/>
      <c r="L124" s="68">
        <v>0.5</v>
      </c>
      <c r="M124" s="65">
        <f t="shared" si="34"/>
        <v>0.5</v>
      </c>
      <c r="N124" s="13">
        <f>M124+H124</f>
        <v>0.9</v>
      </c>
      <c r="O124" s="15">
        <v>0.3</v>
      </c>
      <c r="P124" s="67">
        <v>1.1000000000000001</v>
      </c>
      <c r="Q124" s="65">
        <f t="shared" si="36"/>
        <v>1.4000000000000001</v>
      </c>
      <c r="R124" s="15"/>
      <c r="S124" s="67">
        <v>14.5</v>
      </c>
      <c r="T124" s="67"/>
      <c r="U124" s="65">
        <f t="shared" si="37"/>
        <v>14.5</v>
      </c>
      <c r="V124" s="15"/>
      <c r="W124" s="67">
        <v>12.2</v>
      </c>
      <c r="X124" s="67"/>
      <c r="Y124" s="67">
        <f>1+79</f>
        <v>80</v>
      </c>
      <c r="Z124" s="13">
        <f t="shared" si="38"/>
        <v>109.00000000000001</v>
      </c>
      <c r="AA124" s="74"/>
      <c r="AC124" s="3">
        <f>1+79</f>
        <v>80</v>
      </c>
    </row>
    <row r="125" spans="2:30" ht="19.5" hidden="1" customHeight="1" x14ac:dyDescent="0.2">
      <c r="B125" s="59" t="s">
        <v>17</v>
      </c>
      <c r="C125" s="13">
        <v>0.4</v>
      </c>
      <c r="D125" s="67"/>
      <c r="E125" s="67"/>
      <c r="F125" s="67"/>
      <c r="G125" s="32"/>
      <c r="H125" s="64">
        <f t="shared" si="39"/>
        <v>0.4</v>
      </c>
      <c r="I125" s="13"/>
      <c r="J125" s="68"/>
      <c r="K125" s="67"/>
      <c r="L125" s="68">
        <v>0.2</v>
      </c>
      <c r="M125" s="65">
        <f t="shared" si="34"/>
        <v>0.2</v>
      </c>
      <c r="N125" s="13">
        <f>M125+H125</f>
        <v>0.60000000000000009</v>
      </c>
      <c r="O125" s="15">
        <v>0.5</v>
      </c>
      <c r="P125" s="67">
        <v>1.2</v>
      </c>
      <c r="Q125" s="65">
        <f t="shared" si="36"/>
        <v>1.7</v>
      </c>
      <c r="R125" s="15"/>
      <c r="S125" s="67">
        <f>94.2+1.5</f>
        <v>95.7</v>
      </c>
      <c r="T125" s="67"/>
      <c r="U125" s="65">
        <f t="shared" si="37"/>
        <v>95.7</v>
      </c>
      <c r="V125" s="15"/>
      <c r="W125" s="67">
        <v>7.9</v>
      </c>
      <c r="X125" s="67"/>
      <c r="Y125" s="67">
        <f>3.3+3.6+31.8</f>
        <v>38.700000000000003</v>
      </c>
      <c r="Z125" s="13">
        <f t="shared" si="38"/>
        <v>144.6</v>
      </c>
      <c r="AA125" s="74"/>
      <c r="AC125" s="81">
        <f>3.3+3.6+31.8</f>
        <v>38.700000000000003</v>
      </c>
    </row>
    <row r="126" spans="2:30" ht="23.25" hidden="1" customHeight="1" x14ac:dyDescent="0.2">
      <c r="B126" s="59"/>
      <c r="C126" s="13"/>
      <c r="D126" s="67"/>
      <c r="E126" s="67"/>
      <c r="F126" s="67"/>
      <c r="G126" s="32"/>
      <c r="H126" s="64"/>
      <c r="I126" s="13"/>
      <c r="J126" s="68"/>
      <c r="K126" s="67"/>
      <c r="L126" s="68"/>
      <c r="M126" s="65"/>
      <c r="N126" s="13"/>
      <c r="O126" s="15"/>
      <c r="P126" s="67"/>
      <c r="Q126" s="65"/>
      <c r="R126" s="15"/>
      <c r="S126" s="67"/>
      <c r="T126" s="67"/>
      <c r="U126" s="65"/>
      <c r="V126" s="15"/>
      <c r="W126" s="67"/>
      <c r="X126" s="67"/>
      <c r="Y126" s="67"/>
      <c r="Z126" s="13"/>
      <c r="AA126" s="74"/>
    </row>
    <row r="127" spans="2:30" ht="20.100000000000001" hidden="1" customHeight="1" x14ac:dyDescent="0.2">
      <c r="B127" s="58">
        <v>2003</v>
      </c>
      <c r="C127" s="13">
        <f>SUM(C129:C140)</f>
        <v>1.4000000000000001</v>
      </c>
      <c r="D127" s="67">
        <f t="shared" ref="D127:AA127" si="40">SUM(D129:D140)</f>
        <v>0</v>
      </c>
      <c r="E127" s="32">
        <f t="shared" si="40"/>
        <v>0</v>
      </c>
      <c r="F127" s="32"/>
      <c r="G127" s="32">
        <f t="shared" si="40"/>
        <v>0</v>
      </c>
      <c r="H127" s="64">
        <f t="shared" si="40"/>
        <v>1.4000000000000001</v>
      </c>
      <c r="I127" s="13">
        <f t="shared" si="40"/>
        <v>0</v>
      </c>
      <c r="J127" s="68">
        <f t="shared" si="40"/>
        <v>0</v>
      </c>
      <c r="K127" s="67">
        <f t="shared" si="40"/>
        <v>0</v>
      </c>
      <c r="L127" s="68">
        <f t="shared" si="40"/>
        <v>11.3</v>
      </c>
      <c r="M127" s="65">
        <f t="shared" si="40"/>
        <v>11.3</v>
      </c>
      <c r="N127" s="13">
        <f t="shared" si="40"/>
        <v>12.700000000000001</v>
      </c>
      <c r="O127" s="15">
        <f t="shared" si="40"/>
        <v>6.2</v>
      </c>
      <c r="P127" s="67">
        <f t="shared" si="40"/>
        <v>11.700000000000001</v>
      </c>
      <c r="Q127" s="65">
        <f t="shared" si="40"/>
        <v>17.900000000000002</v>
      </c>
      <c r="R127" s="15">
        <f t="shared" si="40"/>
        <v>131</v>
      </c>
      <c r="S127" s="67">
        <f t="shared" si="40"/>
        <v>544.59999999999991</v>
      </c>
      <c r="T127" s="67">
        <f t="shared" si="40"/>
        <v>89.1</v>
      </c>
      <c r="U127" s="65">
        <f t="shared" si="40"/>
        <v>764.7</v>
      </c>
      <c r="V127" s="15">
        <f t="shared" si="40"/>
        <v>0</v>
      </c>
      <c r="W127" s="67">
        <f t="shared" si="40"/>
        <v>127.9</v>
      </c>
      <c r="X127" s="67"/>
      <c r="Y127" s="67">
        <f t="shared" si="40"/>
        <v>995.5</v>
      </c>
      <c r="Z127" s="13">
        <f t="shared" si="40"/>
        <v>1918.6999999999998</v>
      </c>
      <c r="AA127" s="74">
        <f t="shared" si="40"/>
        <v>0</v>
      </c>
    </row>
    <row r="128" spans="2:30" ht="23.25" hidden="1" customHeight="1" x14ac:dyDescent="0.2">
      <c r="B128" s="59"/>
      <c r="C128" s="13"/>
      <c r="D128" s="67"/>
      <c r="E128" s="67"/>
      <c r="F128" s="67"/>
      <c r="G128" s="32"/>
      <c r="H128" s="64"/>
      <c r="I128" s="13"/>
      <c r="J128" s="68"/>
      <c r="K128" s="67"/>
      <c r="L128" s="68"/>
      <c r="M128" s="65"/>
      <c r="N128" s="13"/>
      <c r="O128" s="15"/>
      <c r="P128" s="67"/>
      <c r="Q128" s="65"/>
      <c r="R128" s="15"/>
      <c r="S128" s="67"/>
      <c r="T128" s="67"/>
      <c r="U128" s="65"/>
      <c r="V128" s="15"/>
      <c r="W128" s="67"/>
      <c r="X128" s="67"/>
      <c r="Y128" s="67"/>
      <c r="Z128" s="13"/>
      <c r="AA128" s="74"/>
    </row>
    <row r="129" spans="2:30" ht="20.100000000000001" hidden="1" customHeight="1" x14ac:dyDescent="0.2">
      <c r="B129" s="59" t="s">
        <v>6</v>
      </c>
      <c r="C129" s="13">
        <v>0.3</v>
      </c>
      <c r="D129" s="67"/>
      <c r="E129" s="32"/>
      <c r="F129" s="32"/>
      <c r="G129" s="32"/>
      <c r="H129" s="64">
        <f>SUM(C129:G129)</f>
        <v>0.3</v>
      </c>
      <c r="I129" s="13"/>
      <c r="J129" s="68"/>
      <c r="K129" s="67"/>
      <c r="L129" s="68">
        <v>0.5</v>
      </c>
      <c r="M129" s="65">
        <f t="shared" ref="M129:M140" si="41">L129+K129+I129</f>
        <v>0.5</v>
      </c>
      <c r="N129" s="13">
        <f t="shared" ref="N129:N138" si="42">M129+H129</f>
        <v>0.8</v>
      </c>
      <c r="O129" s="15">
        <v>0.3</v>
      </c>
      <c r="P129" s="67">
        <v>0.9</v>
      </c>
      <c r="Q129" s="65">
        <f t="shared" ref="Q129:Q140" si="43">P129+O129</f>
        <v>1.2</v>
      </c>
      <c r="R129" s="15">
        <v>31</v>
      </c>
      <c r="S129" s="67">
        <v>4.2</v>
      </c>
      <c r="T129" s="67"/>
      <c r="U129" s="65">
        <f t="shared" ref="U129:U139" si="44">S129+R129+T129</f>
        <v>35.200000000000003</v>
      </c>
      <c r="V129" s="15"/>
      <c r="W129" s="67">
        <v>1.3</v>
      </c>
      <c r="X129" s="67"/>
      <c r="Y129" s="67">
        <f>2.3+117.9+18.5</f>
        <v>138.69999999999999</v>
      </c>
      <c r="Z129" s="13">
        <f t="shared" ref="Z129:Z140" si="45">Y129+W129+V129+U129+Q129+N129</f>
        <v>177.2</v>
      </c>
      <c r="AA129" s="74"/>
      <c r="AC129" s="81"/>
      <c r="AD129" s="80"/>
    </row>
    <row r="130" spans="2:30" ht="20.100000000000001" hidden="1" customHeight="1" x14ac:dyDescent="0.2">
      <c r="B130" s="59" t="s">
        <v>7</v>
      </c>
      <c r="C130" s="13">
        <v>0.4</v>
      </c>
      <c r="D130" s="67"/>
      <c r="E130" s="32"/>
      <c r="F130" s="32"/>
      <c r="G130" s="32"/>
      <c r="H130" s="64">
        <f>SUM(C130:G130)</f>
        <v>0.4</v>
      </c>
      <c r="I130" s="13"/>
      <c r="J130" s="68"/>
      <c r="K130" s="67"/>
      <c r="L130" s="68">
        <v>0.4</v>
      </c>
      <c r="M130" s="65">
        <f t="shared" si="41"/>
        <v>0.4</v>
      </c>
      <c r="N130" s="13">
        <f t="shared" si="42"/>
        <v>0.8</v>
      </c>
      <c r="O130" s="15">
        <v>0.3</v>
      </c>
      <c r="P130" s="67">
        <v>1.8</v>
      </c>
      <c r="Q130" s="65">
        <f t="shared" si="43"/>
        <v>2.1</v>
      </c>
      <c r="R130" s="15"/>
      <c r="S130" s="67">
        <v>25.3</v>
      </c>
      <c r="T130" s="67"/>
      <c r="U130" s="65">
        <f t="shared" si="44"/>
        <v>25.3</v>
      </c>
      <c r="V130" s="15"/>
      <c r="W130" s="67">
        <v>6.7</v>
      </c>
      <c r="X130" s="67"/>
      <c r="Y130" s="67">
        <f>0.8+13.5+67.7</f>
        <v>82</v>
      </c>
      <c r="Z130" s="13">
        <f t="shared" si="45"/>
        <v>116.89999999999999</v>
      </c>
      <c r="AA130" s="74"/>
      <c r="AD130" s="80"/>
    </row>
    <row r="131" spans="2:30" ht="20.100000000000001" hidden="1" customHeight="1" x14ac:dyDescent="0.2">
      <c r="B131" s="59" t="s">
        <v>8</v>
      </c>
      <c r="C131" s="13">
        <v>0.3</v>
      </c>
      <c r="D131" s="67"/>
      <c r="E131" s="32"/>
      <c r="F131" s="32"/>
      <c r="G131" s="32"/>
      <c r="H131" s="64">
        <f>SUM(C131:G131)</f>
        <v>0.3</v>
      </c>
      <c r="I131" s="13"/>
      <c r="J131" s="68"/>
      <c r="K131" s="67"/>
      <c r="L131" s="68">
        <v>0</v>
      </c>
      <c r="M131" s="65">
        <f t="shared" si="41"/>
        <v>0</v>
      </c>
      <c r="N131" s="13">
        <f t="shared" si="42"/>
        <v>0.3</v>
      </c>
      <c r="O131" s="15">
        <v>0.2</v>
      </c>
      <c r="P131" s="67">
        <v>0.8</v>
      </c>
      <c r="Q131" s="65">
        <f t="shared" si="43"/>
        <v>1</v>
      </c>
      <c r="R131" s="15"/>
      <c r="S131" s="67">
        <v>3.7</v>
      </c>
      <c r="T131" s="67"/>
      <c r="U131" s="65">
        <f t="shared" si="44"/>
        <v>3.7</v>
      </c>
      <c r="V131" s="15"/>
      <c r="W131" s="67">
        <v>15.2</v>
      </c>
      <c r="X131" s="67"/>
      <c r="Y131" s="67">
        <f>4+5.4+74.1</f>
        <v>83.5</v>
      </c>
      <c r="Z131" s="13">
        <f t="shared" si="45"/>
        <v>103.7</v>
      </c>
      <c r="AA131" s="74"/>
      <c r="AD131" s="80"/>
    </row>
    <row r="132" spans="2:30" ht="20.100000000000001" hidden="1" customHeight="1" x14ac:dyDescent="0.2">
      <c r="B132" s="59" t="s">
        <v>9</v>
      </c>
      <c r="C132" s="13">
        <v>0.3</v>
      </c>
      <c r="D132" s="67"/>
      <c r="E132" s="67"/>
      <c r="F132" s="67"/>
      <c r="G132" s="32"/>
      <c r="H132" s="64">
        <f>SUM(C132:G132)</f>
        <v>0.3</v>
      </c>
      <c r="I132" s="13"/>
      <c r="J132" s="68"/>
      <c r="K132" s="67"/>
      <c r="L132" s="68">
        <v>0.2</v>
      </c>
      <c r="M132" s="65">
        <f t="shared" si="41"/>
        <v>0.2</v>
      </c>
      <c r="N132" s="13">
        <f t="shared" si="42"/>
        <v>0.5</v>
      </c>
      <c r="O132" s="15">
        <v>0.4</v>
      </c>
      <c r="P132" s="67">
        <v>0.7</v>
      </c>
      <c r="Q132" s="65">
        <f t="shared" si="43"/>
        <v>1.1000000000000001</v>
      </c>
      <c r="R132" s="15">
        <v>25</v>
      </c>
      <c r="S132" s="67">
        <v>55</v>
      </c>
      <c r="T132" s="67">
        <v>58.8</v>
      </c>
      <c r="U132" s="65">
        <f t="shared" si="44"/>
        <v>138.80000000000001</v>
      </c>
      <c r="V132" s="15"/>
      <c r="W132" s="67">
        <v>2.2999999999999998</v>
      </c>
      <c r="X132" s="67"/>
      <c r="Y132" s="67">
        <f>31.9+1.3+15.1</f>
        <v>48.3</v>
      </c>
      <c r="Z132" s="13">
        <f t="shared" si="45"/>
        <v>191</v>
      </c>
      <c r="AA132" s="74"/>
      <c r="AD132" s="80"/>
    </row>
    <row r="133" spans="2:30" ht="20.100000000000001" hidden="1" customHeight="1" x14ac:dyDescent="0.2">
      <c r="B133" s="59" t="s">
        <v>10</v>
      </c>
      <c r="C133" s="13">
        <v>0.1</v>
      </c>
      <c r="D133" s="67"/>
      <c r="E133" s="67"/>
      <c r="F133" s="67"/>
      <c r="G133" s="32"/>
      <c r="H133" s="64">
        <f>SUM(C133:G133)</f>
        <v>0.1</v>
      </c>
      <c r="I133" s="13"/>
      <c r="J133" s="68"/>
      <c r="K133" s="67"/>
      <c r="L133" s="68">
        <v>0</v>
      </c>
      <c r="M133" s="65">
        <f t="shared" si="41"/>
        <v>0</v>
      </c>
      <c r="N133" s="13">
        <f t="shared" si="42"/>
        <v>0.1</v>
      </c>
      <c r="O133" s="15">
        <v>0.5</v>
      </c>
      <c r="P133" s="67">
        <v>0.7</v>
      </c>
      <c r="Q133" s="65">
        <f t="shared" si="43"/>
        <v>1.2</v>
      </c>
      <c r="R133" s="15"/>
      <c r="S133" s="67">
        <v>32.200000000000003</v>
      </c>
      <c r="T133" s="67"/>
      <c r="U133" s="65">
        <f t="shared" si="44"/>
        <v>32.200000000000003</v>
      </c>
      <c r="V133" s="15"/>
      <c r="W133" s="67">
        <v>4.8</v>
      </c>
      <c r="X133" s="67"/>
      <c r="Y133" s="67">
        <f>41.7+3</f>
        <v>44.7</v>
      </c>
      <c r="Z133" s="13">
        <f t="shared" si="45"/>
        <v>83</v>
      </c>
      <c r="AA133" s="74"/>
      <c r="AD133" s="80"/>
    </row>
    <row r="134" spans="2:30" ht="20.100000000000001" hidden="1" customHeight="1" x14ac:dyDescent="0.2">
      <c r="B134" s="59" t="s">
        <v>11</v>
      </c>
      <c r="C134" s="13">
        <v>0</v>
      </c>
      <c r="D134" s="67"/>
      <c r="E134" s="67">
        <v>0</v>
      </c>
      <c r="F134" s="67"/>
      <c r="G134" s="32"/>
      <c r="H134" s="64">
        <f t="shared" ref="H134:H140" si="46">C134+D134+G134</f>
        <v>0</v>
      </c>
      <c r="I134" s="13"/>
      <c r="J134" s="68"/>
      <c r="K134" s="67"/>
      <c r="L134" s="68">
        <v>0.2</v>
      </c>
      <c r="M134" s="65">
        <f t="shared" si="41"/>
        <v>0.2</v>
      </c>
      <c r="N134" s="13">
        <f t="shared" si="42"/>
        <v>0.2</v>
      </c>
      <c r="O134" s="15">
        <v>0.4</v>
      </c>
      <c r="P134" s="67">
        <v>0.8</v>
      </c>
      <c r="Q134" s="65">
        <f t="shared" si="43"/>
        <v>1.2000000000000002</v>
      </c>
      <c r="R134" s="15">
        <v>25</v>
      </c>
      <c r="S134" s="67">
        <v>98.9</v>
      </c>
      <c r="T134" s="67"/>
      <c r="U134" s="65">
        <f t="shared" si="44"/>
        <v>123.9</v>
      </c>
      <c r="V134" s="15"/>
      <c r="W134" s="67">
        <v>1.7</v>
      </c>
      <c r="X134" s="67"/>
      <c r="Y134" s="67">
        <f>67.8+2+0.1</f>
        <v>69.899999999999991</v>
      </c>
      <c r="Z134" s="13">
        <f t="shared" si="45"/>
        <v>196.89999999999998</v>
      </c>
      <c r="AA134" s="74"/>
      <c r="AD134" s="80"/>
    </row>
    <row r="135" spans="2:30" ht="20.100000000000001" hidden="1" customHeight="1" x14ac:dyDescent="0.2">
      <c r="B135" s="59" t="s">
        <v>12</v>
      </c>
      <c r="C135" s="13"/>
      <c r="D135" s="67"/>
      <c r="E135" s="67">
        <v>0</v>
      </c>
      <c r="F135" s="67"/>
      <c r="G135" s="32"/>
      <c r="H135" s="64">
        <f t="shared" si="46"/>
        <v>0</v>
      </c>
      <c r="I135" s="13"/>
      <c r="J135" s="68"/>
      <c r="K135" s="67"/>
      <c r="L135" s="68">
        <v>0.1</v>
      </c>
      <c r="M135" s="65">
        <f t="shared" si="41"/>
        <v>0.1</v>
      </c>
      <c r="N135" s="13">
        <f t="shared" si="42"/>
        <v>0.1</v>
      </c>
      <c r="O135" s="15">
        <v>1.2</v>
      </c>
      <c r="P135" s="67">
        <v>1</v>
      </c>
      <c r="Q135" s="65">
        <f t="shared" si="43"/>
        <v>2.2000000000000002</v>
      </c>
      <c r="R135" s="15"/>
      <c r="S135" s="67">
        <v>67.599999999999994</v>
      </c>
      <c r="T135" s="67">
        <v>15</v>
      </c>
      <c r="U135" s="65">
        <f t="shared" si="44"/>
        <v>82.6</v>
      </c>
      <c r="V135" s="15"/>
      <c r="W135" s="67">
        <v>13.1</v>
      </c>
      <c r="X135" s="67"/>
      <c r="Y135" s="67">
        <f>6.2+2.3+19.7</f>
        <v>28.2</v>
      </c>
      <c r="Z135" s="13">
        <f t="shared" si="45"/>
        <v>126.19999999999999</v>
      </c>
      <c r="AA135" s="74"/>
      <c r="AD135" s="80"/>
    </row>
    <row r="136" spans="2:30" ht="20.100000000000001" hidden="1" customHeight="1" x14ac:dyDescent="0.2">
      <c r="B136" s="59" t="s">
        <v>13</v>
      </c>
      <c r="C136" s="13"/>
      <c r="D136" s="67"/>
      <c r="E136" s="67"/>
      <c r="F136" s="67"/>
      <c r="G136" s="32"/>
      <c r="H136" s="64">
        <f t="shared" si="46"/>
        <v>0</v>
      </c>
      <c r="I136" s="13"/>
      <c r="J136" s="68"/>
      <c r="K136" s="67"/>
      <c r="L136" s="68">
        <v>0.3</v>
      </c>
      <c r="M136" s="65">
        <f t="shared" si="41"/>
        <v>0.3</v>
      </c>
      <c r="N136" s="13">
        <f t="shared" si="42"/>
        <v>0.3</v>
      </c>
      <c r="O136" s="15">
        <v>0.5</v>
      </c>
      <c r="P136" s="67">
        <v>1.1000000000000001</v>
      </c>
      <c r="Q136" s="65">
        <f t="shared" si="43"/>
        <v>1.6</v>
      </c>
      <c r="R136" s="15"/>
      <c r="S136" s="67">
        <v>3.5</v>
      </c>
      <c r="T136" s="67"/>
      <c r="U136" s="65">
        <f t="shared" si="44"/>
        <v>3.5</v>
      </c>
      <c r="V136" s="15"/>
      <c r="W136" s="67">
        <v>11.8</v>
      </c>
      <c r="X136" s="67"/>
      <c r="Y136" s="67">
        <f>2.7+5.6+32.8</f>
        <v>41.099999999999994</v>
      </c>
      <c r="Z136" s="13">
        <f t="shared" si="45"/>
        <v>58.29999999999999</v>
      </c>
      <c r="AA136" s="74"/>
      <c r="AD136" s="80"/>
    </row>
    <row r="137" spans="2:30" ht="20.100000000000001" hidden="1" customHeight="1" x14ac:dyDescent="0.2">
      <c r="B137" s="59" t="s">
        <v>14</v>
      </c>
      <c r="C137" s="13"/>
      <c r="D137" s="16"/>
      <c r="E137" s="16"/>
      <c r="F137" s="16"/>
      <c r="G137" s="14"/>
      <c r="H137" s="64">
        <f t="shared" si="46"/>
        <v>0</v>
      </c>
      <c r="I137" s="13"/>
      <c r="J137" s="17"/>
      <c r="K137" s="16"/>
      <c r="L137" s="17">
        <v>0.4</v>
      </c>
      <c r="M137" s="65">
        <f t="shared" si="41"/>
        <v>0.4</v>
      </c>
      <c r="N137" s="13">
        <f t="shared" si="42"/>
        <v>0.4</v>
      </c>
      <c r="O137" s="15">
        <v>0.7</v>
      </c>
      <c r="P137" s="16">
        <v>1.3</v>
      </c>
      <c r="Q137" s="65">
        <f t="shared" si="43"/>
        <v>2</v>
      </c>
      <c r="R137" s="15">
        <v>25</v>
      </c>
      <c r="S137" s="16">
        <v>51.4</v>
      </c>
      <c r="T137" s="16"/>
      <c r="U137" s="65">
        <f t="shared" si="44"/>
        <v>76.400000000000006</v>
      </c>
      <c r="V137" s="15"/>
      <c r="W137" s="16">
        <v>1.2</v>
      </c>
      <c r="X137" s="16"/>
      <c r="Y137" s="16">
        <f>18.5+1.7+11</f>
        <v>31.2</v>
      </c>
      <c r="Z137" s="13">
        <f t="shared" si="45"/>
        <v>111.20000000000002</v>
      </c>
      <c r="AA137" s="74"/>
      <c r="AD137" s="80"/>
    </row>
    <row r="138" spans="2:30" ht="20.100000000000001" hidden="1" customHeight="1" x14ac:dyDescent="0.2">
      <c r="B138" s="59" t="s">
        <v>15</v>
      </c>
      <c r="C138" s="13"/>
      <c r="D138" s="16"/>
      <c r="E138" s="16"/>
      <c r="F138" s="16"/>
      <c r="G138" s="14"/>
      <c r="H138" s="64">
        <f t="shared" si="46"/>
        <v>0</v>
      </c>
      <c r="I138" s="13"/>
      <c r="J138" s="17"/>
      <c r="K138" s="16"/>
      <c r="L138" s="17">
        <v>3.3</v>
      </c>
      <c r="M138" s="65">
        <f t="shared" si="41"/>
        <v>3.3</v>
      </c>
      <c r="N138" s="13">
        <f t="shared" si="42"/>
        <v>3.3</v>
      </c>
      <c r="O138" s="15">
        <v>0.4</v>
      </c>
      <c r="P138" s="16">
        <v>1.1000000000000001</v>
      </c>
      <c r="Q138" s="65">
        <f t="shared" si="43"/>
        <v>1.5</v>
      </c>
      <c r="R138" s="15"/>
      <c r="S138" s="16">
        <v>3.9</v>
      </c>
      <c r="T138" s="16">
        <v>15.3</v>
      </c>
      <c r="U138" s="65">
        <f t="shared" si="44"/>
        <v>19.2</v>
      </c>
      <c r="V138" s="15"/>
      <c r="W138" s="16">
        <v>25.5</v>
      </c>
      <c r="X138" s="16"/>
      <c r="Y138" s="16">
        <f>337.8+1.2</f>
        <v>339</v>
      </c>
      <c r="Z138" s="13">
        <f t="shared" si="45"/>
        <v>388.5</v>
      </c>
      <c r="AA138" s="74"/>
    </row>
    <row r="139" spans="2:30" ht="20.100000000000001" hidden="1" customHeight="1" x14ac:dyDescent="0.2">
      <c r="B139" s="59" t="s">
        <v>16</v>
      </c>
      <c r="C139" s="13"/>
      <c r="D139" s="67"/>
      <c r="E139" s="67"/>
      <c r="F139" s="67"/>
      <c r="G139" s="32"/>
      <c r="H139" s="64">
        <f t="shared" si="46"/>
        <v>0</v>
      </c>
      <c r="I139" s="13"/>
      <c r="J139" s="68"/>
      <c r="K139" s="67"/>
      <c r="L139" s="68">
        <v>0.7</v>
      </c>
      <c r="M139" s="65">
        <f t="shared" si="41"/>
        <v>0.7</v>
      </c>
      <c r="N139" s="13">
        <f>M139+H139</f>
        <v>0.7</v>
      </c>
      <c r="O139" s="15">
        <v>0.6</v>
      </c>
      <c r="P139" s="67">
        <v>0.9</v>
      </c>
      <c r="Q139" s="65">
        <f t="shared" si="43"/>
        <v>1.5</v>
      </c>
      <c r="R139" s="15"/>
      <c r="S139" s="67">
        <v>47.5</v>
      </c>
      <c r="T139" s="67"/>
      <c r="U139" s="65">
        <f t="shared" si="44"/>
        <v>47.5</v>
      </c>
      <c r="V139" s="15"/>
      <c r="W139" s="67">
        <v>5.5</v>
      </c>
      <c r="X139" s="67"/>
      <c r="Y139" s="67">
        <f>24+6.5</f>
        <v>30.5</v>
      </c>
      <c r="Z139" s="13">
        <f t="shared" si="45"/>
        <v>85.7</v>
      </c>
      <c r="AA139" s="74"/>
    </row>
    <row r="140" spans="2:30" ht="19.5" hidden="1" customHeight="1" x14ac:dyDescent="0.2">
      <c r="B140" s="59" t="s">
        <v>17</v>
      </c>
      <c r="C140" s="13"/>
      <c r="D140" s="67"/>
      <c r="E140" s="67"/>
      <c r="F140" s="67"/>
      <c r="G140" s="32"/>
      <c r="H140" s="64">
        <f t="shared" si="46"/>
        <v>0</v>
      </c>
      <c r="I140" s="13"/>
      <c r="J140" s="68"/>
      <c r="K140" s="67"/>
      <c r="L140" s="68">
        <v>5.2</v>
      </c>
      <c r="M140" s="65">
        <f t="shared" si="41"/>
        <v>5.2</v>
      </c>
      <c r="N140" s="13">
        <f>M140+H140</f>
        <v>5.2</v>
      </c>
      <c r="O140" s="15">
        <v>0.7</v>
      </c>
      <c r="P140" s="67">
        <v>0.6</v>
      </c>
      <c r="Q140" s="65">
        <f t="shared" si="43"/>
        <v>1.2999999999999998</v>
      </c>
      <c r="R140" s="15">
        <v>25</v>
      </c>
      <c r="S140" s="67">
        <v>151.4</v>
      </c>
      <c r="T140" s="67"/>
      <c r="U140" s="65">
        <f>S140+R140+T140</f>
        <v>176.4</v>
      </c>
      <c r="V140" s="15"/>
      <c r="W140" s="67">
        <v>38.799999999999997</v>
      </c>
      <c r="X140" s="67"/>
      <c r="Y140" s="67">
        <f>52.6+5.8</f>
        <v>58.4</v>
      </c>
      <c r="Z140" s="13">
        <f t="shared" si="45"/>
        <v>280.10000000000002</v>
      </c>
      <c r="AA140" s="74"/>
      <c r="AC140" s="81"/>
    </row>
    <row r="141" spans="2:30" ht="19.5" hidden="1" customHeight="1" x14ac:dyDescent="0.2">
      <c r="B141" s="59"/>
      <c r="C141" s="13"/>
      <c r="D141" s="67"/>
      <c r="E141" s="67"/>
      <c r="F141" s="67"/>
      <c r="G141" s="32"/>
      <c r="H141" s="64"/>
      <c r="I141" s="13"/>
      <c r="J141" s="68"/>
      <c r="K141" s="67"/>
      <c r="L141" s="68"/>
      <c r="M141" s="65"/>
      <c r="N141" s="13"/>
      <c r="O141" s="15"/>
      <c r="P141" s="67"/>
      <c r="Q141" s="65"/>
      <c r="R141" s="15"/>
      <c r="S141" s="67"/>
      <c r="T141" s="67"/>
      <c r="U141" s="65"/>
      <c r="V141" s="15"/>
      <c r="W141" s="67"/>
      <c r="X141" s="67"/>
      <c r="Y141" s="67"/>
      <c r="Z141" s="13"/>
      <c r="AA141" s="74"/>
      <c r="AC141" s="81"/>
    </row>
    <row r="142" spans="2:30" ht="19.5" hidden="1" customHeight="1" x14ac:dyDescent="0.2">
      <c r="B142" s="58">
        <v>2004</v>
      </c>
      <c r="C142" s="13">
        <f>SUM(C144:C155)</f>
        <v>0</v>
      </c>
      <c r="D142" s="67">
        <f t="shared" ref="D142:AA142" si="47">SUM(D144:D155)</f>
        <v>0</v>
      </c>
      <c r="E142" s="32">
        <f t="shared" si="47"/>
        <v>0</v>
      </c>
      <c r="F142" s="32"/>
      <c r="G142" s="32">
        <f t="shared" si="47"/>
        <v>0</v>
      </c>
      <c r="H142" s="64">
        <f t="shared" si="47"/>
        <v>0</v>
      </c>
      <c r="I142" s="13">
        <f t="shared" si="47"/>
        <v>0</v>
      </c>
      <c r="J142" s="68">
        <f t="shared" si="47"/>
        <v>0</v>
      </c>
      <c r="K142" s="67">
        <f t="shared" si="47"/>
        <v>0</v>
      </c>
      <c r="L142" s="68">
        <f t="shared" si="47"/>
        <v>26.6</v>
      </c>
      <c r="M142" s="65">
        <f t="shared" si="47"/>
        <v>26.6</v>
      </c>
      <c r="N142" s="13">
        <f t="shared" si="47"/>
        <v>26.6</v>
      </c>
      <c r="O142" s="15">
        <f t="shared" si="47"/>
        <v>13.8</v>
      </c>
      <c r="P142" s="67">
        <f t="shared" si="47"/>
        <v>10.199999999999999</v>
      </c>
      <c r="Q142" s="65">
        <f t="shared" si="47"/>
        <v>23.999999999999996</v>
      </c>
      <c r="R142" s="15">
        <f t="shared" si="47"/>
        <v>49.8</v>
      </c>
      <c r="S142" s="67">
        <f t="shared" si="47"/>
        <v>381.9</v>
      </c>
      <c r="T142" s="67">
        <f t="shared" si="47"/>
        <v>55</v>
      </c>
      <c r="U142" s="65">
        <f t="shared" si="47"/>
        <v>486.7</v>
      </c>
      <c r="V142" s="15">
        <f t="shared" si="47"/>
        <v>0</v>
      </c>
      <c r="W142" s="67">
        <f t="shared" si="47"/>
        <v>82.09999999999998</v>
      </c>
      <c r="X142" s="67"/>
      <c r="Y142" s="67">
        <f t="shared" si="47"/>
        <v>1054.8</v>
      </c>
      <c r="Z142" s="13">
        <f t="shared" si="47"/>
        <v>1674.1999999999998</v>
      </c>
      <c r="AA142" s="74">
        <f t="shared" si="47"/>
        <v>0</v>
      </c>
      <c r="AC142" s="81"/>
    </row>
    <row r="143" spans="2:30" ht="19.5" hidden="1" customHeight="1" x14ac:dyDescent="0.2">
      <c r="B143" s="59"/>
      <c r="C143" s="13"/>
      <c r="D143" s="67"/>
      <c r="E143" s="67"/>
      <c r="F143" s="67"/>
      <c r="G143" s="32"/>
      <c r="H143" s="64"/>
      <c r="I143" s="13"/>
      <c r="J143" s="68"/>
      <c r="K143" s="67"/>
      <c r="L143" s="68"/>
      <c r="M143" s="65"/>
      <c r="N143" s="13"/>
      <c r="O143" s="15"/>
      <c r="P143" s="67"/>
      <c r="Q143" s="65"/>
      <c r="R143" s="15"/>
      <c r="S143" s="67"/>
      <c r="T143" s="67"/>
      <c r="U143" s="65"/>
      <c r="V143" s="15"/>
      <c r="W143" s="67"/>
      <c r="X143" s="67"/>
      <c r="Y143" s="67"/>
      <c r="Z143" s="13"/>
      <c r="AA143" s="74"/>
      <c r="AC143" s="81"/>
    </row>
    <row r="144" spans="2:30" ht="19.5" hidden="1" customHeight="1" x14ac:dyDescent="0.2">
      <c r="B144" s="59" t="s">
        <v>6</v>
      </c>
      <c r="C144" s="13"/>
      <c r="D144" s="67"/>
      <c r="E144" s="32"/>
      <c r="F144" s="32"/>
      <c r="G144" s="32"/>
      <c r="H144" s="64">
        <f>SUM(C144:G144)</f>
        <v>0</v>
      </c>
      <c r="I144" s="13"/>
      <c r="J144" s="68"/>
      <c r="K144" s="67"/>
      <c r="L144" s="68">
        <v>2</v>
      </c>
      <c r="M144" s="65">
        <f t="shared" ref="M144:M155" si="48">L144+K144+I144</f>
        <v>2</v>
      </c>
      <c r="N144" s="13">
        <f t="shared" ref="N144:N153" si="49">M144+H144</f>
        <v>2</v>
      </c>
      <c r="O144" s="15">
        <v>0.3</v>
      </c>
      <c r="P144" s="67">
        <v>0.7</v>
      </c>
      <c r="Q144" s="65">
        <f t="shared" ref="Q144:Q155" si="50">P144+O144</f>
        <v>1</v>
      </c>
      <c r="R144" s="15"/>
      <c r="S144" s="67">
        <v>16.7</v>
      </c>
      <c r="T144" s="67"/>
      <c r="U144" s="65">
        <f t="shared" ref="U144:U155" si="51">S144+R144</f>
        <v>16.7</v>
      </c>
      <c r="V144" s="15"/>
      <c r="W144" s="67">
        <v>1</v>
      </c>
      <c r="X144" s="67"/>
      <c r="Y144" s="67">
        <f>62.4+10.2+22.5</f>
        <v>95.1</v>
      </c>
      <c r="Z144" s="13">
        <f t="shared" ref="Z144:Z155" si="52">Y144+W144+V144+U144+Q144+N144</f>
        <v>115.8</v>
      </c>
      <c r="AA144" s="74"/>
      <c r="AC144" s="81"/>
    </row>
    <row r="145" spans="2:29" ht="19.5" hidden="1" customHeight="1" x14ac:dyDescent="0.2">
      <c r="B145" s="59" t="s">
        <v>7</v>
      </c>
      <c r="C145" s="13"/>
      <c r="D145" s="67"/>
      <c r="E145" s="32"/>
      <c r="F145" s="32"/>
      <c r="G145" s="32"/>
      <c r="H145" s="64">
        <f>SUM(C145:G145)</f>
        <v>0</v>
      </c>
      <c r="I145" s="13"/>
      <c r="J145" s="68"/>
      <c r="K145" s="67"/>
      <c r="L145" s="68">
        <v>0.4</v>
      </c>
      <c r="M145" s="65">
        <f t="shared" si="48"/>
        <v>0.4</v>
      </c>
      <c r="N145" s="13">
        <f t="shared" si="49"/>
        <v>0.4</v>
      </c>
      <c r="O145" s="15">
        <v>0.5</v>
      </c>
      <c r="P145" s="67">
        <v>1</v>
      </c>
      <c r="Q145" s="65">
        <f t="shared" si="50"/>
        <v>1.5</v>
      </c>
      <c r="R145" s="15"/>
      <c r="S145" s="67">
        <v>16.600000000000001</v>
      </c>
      <c r="T145" s="67"/>
      <c r="U145" s="65">
        <f t="shared" si="51"/>
        <v>16.600000000000001</v>
      </c>
      <c r="V145" s="15"/>
      <c r="W145" s="67">
        <v>8.1</v>
      </c>
      <c r="X145" s="67"/>
      <c r="Y145" s="67">
        <f>14.4+7.8+29.7</f>
        <v>51.9</v>
      </c>
      <c r="Z145" s="13">
        <f t="shared" si="52"/>
        <v>78.5</v>
      </c>
      <c r="AA145" s="74"/>
      <c r="AC145" s="81"/>
    </row>
    <row r="146" spans="2:29" ht="19.5" hidden="1" customHeight="1" x14ac:dyDescent="0.2">
      <c r="B146" s="59" t="s">
        <v>8</v>
      </c>
      <c r="C146" s="13"/>
      <c r="D146" s="67"/>
      <c r="E146" s="32"/>
      <c r="F146" s="32"/>
      <c r="G146" s="32"/>
      <c r="H146" s="64">
        <f>SUM(C146:G146)</f>
        <v>0</v>
      </c>
      <c r="I146" s="13"/>
      <c r="J146" s="68"/>
      <c r="K146" s="67"/>
      <c r="L146" s="68">
        <v>6.2</v>
      </c>
      <c r="M146" s="65">
        <f t="shared" si="48"/>
        <v>6.2</v>
      </c>
      <c r="N146" s="13">
        <f t="shared" si="49"/>
        <v>6.2</v>
      </c>
      <c r="O146" s="15">
        <v>0.4</v>
      </c>
      <c r="P146" s="67">
        <v>0.8</v>
      </c>
      <c r="Q146" s="65">
        <f t="shared" si="50"/>
        <v>1.2000000000000002</v>
      </c>
      <c r="R146" s="15">
        <v>25</v>
      </c>
      <c r="S146" s="67">
        <v>23.3</v>
      </c>
      <c r="T146" s="67"/>
      <c r="U146" s="65">
        <f t="shared" si="51"/>
        <v>48.3</v>
      </c>
      <c r="V146" s="15"/>
      <c r="W146" s="67">
        <v>11.2</v>
      </c>
      <c r="X146" s="67"/>
      <c r="Y146" s="67">
        <f>28.5+9.2+5.3</f>
        <v>43</v>
      </c>
      <c r="Z146" s="13">
        <f t="shared" si="52"/>
        <v>109.9</v>
      </c>
      <c r="AA146" s="74"/>
      <c r="AC146" s="81"/>
    </row>
    <row r="147" spans="2:29" ht="19.5" hidden="1" customHeight="1" x14ac:dyDescent="0.2">
      <c r="B147" s="59" t="s">
        <v>9</v>
      </c>
      <c r="C147" s="13"/>
      <c r="D147" s="67"/>
      <c r="E147" s="67"/>
      <c r="F147" s="67"/>
      <c r="G147" s="32"/>
      <c r="H147" s="64">
        <f>SUM(C147:G147)</f>
        <v>0</v>
      </c>
      <c r="I147" s="13"/>
      <c r="J147" s="68"/>
      <c r="K147" s="67"/>
      <c r="L147" s="68">
        <v>0.5</v>
      </c>
      <c r="M147" s="65">
        <f t="shared" si="48"/>
        <v>0.5</v>
      </c>
      <c r="N147" s="13">
        <f t="shared" si="49"/>
        <v>0.5</v>
      </c>
      <c r="O147" s="15">
        <v>1.1000000000000001</v>
      </c>
      <c r="P147" s="67">
        <v>0.6</v>
      </c>
      <c r="Q147" s="65">
        <f t="shared" si="50"/>
        <v>1.7000000000000002</v>
      </c>
      <c r="R147" s="15"/>
      <c r="S147" s="67">
        <v>16.7</v>
      </c>
      <c r="T147" s="67"/>
      <c r="U147" s="65">
        <f t="shared" si="51"/>
        <v>16.7</v>
      </c>
      <c r="V147" s="15"/>
      <c r="W147" s="67">
        <v>2.4</v>
      </c>
      <c r="X147" s="67"/>
      <c r="Y147" s="67">
        <f>73.6+8.4</f>
        <v>82</v>
      </c>
      <c r="Z147" s="13">
        <f t="shared" si="52"/>
        <v>103.30000000000001</v>
      </c>
      <c r="AA147" s="74"/>
      <c r="AC147" s="81"/>
    </row>
    <row r="148" spans="2:29" ht="19.5" hidden="1" customHeight="1" x14ac:dyDescent="0.2">
      <c r="B148" s="59" t="s">
        <v>10</v>
      </c>
      <c r="C148" s="13"/>
      <c r="D148" s="67"/>
      <c r="E148" s="67"/>
      <c r="F148" s="67"/>
      <c r="G148" s="32"/>
      <c r="H148" s="64">
        <f>SUM(C148:G148)</f>
        <v>0</v>
      </c>
      <c r="I148" s="13"/>
      <c r="J148" s="68"/>
      <c r="K148" s="67"/>
      <c r="L148" s="68"/>
      <c r="M148" s="65">
        <f t="shared" si="48"/>
        <v>0</v>
      </c>
      <c r="N148" s="13">
        <f t="shared" si="49"/>
        <v>0</v>
      </c>
      <c r="O148" s="15">
        <v>5.0999999999999996</v>
      </c>
      <c r="P148" s="67">
        <v>0.6</v>
      </c>
      <c r="Q148" s="65">
        <f t="shared" si="50"/>
        <v>5.6999999999999993</v>
      </c>
      <c r="R148" s="15"/>
      <c r="S148" s="67">
        <v>11.5</v>
      </c>
      <c r="T148" s="67"/>
      <c r="U148" s="65">
        <f t="shared" si="51"/>
        <v>11.5</v>
      </c>
      <c r="V148" s="15"/>
      <c r="W148" s="67">
        <v>5.4</v>
      </c>
      <c r="X148" s="67"/>
      <c r="Y148" s="67">
        <f>90.6+7.5</f>
        <v>98.1</v>
      </c>
      <c r="Z148" s="13">
        <f t="shared" si="52"/>
        <v>120.7</v>
      </c>
      <c r="AA148" s="74"/>
      <c r="AC148" s="81"/>
    </row>
    <row r="149" spans="2:29" ht="19.5" hidden="1" customHeight="1" x14ac:dyDescent="0.2">
      <c r="B149" s="59" t="s">
        <v>11</v>
      </c>
      <c r="C149" s="13"/>
      <c r="D149" s="67"/>
      <c r="E149" s="67">
        <v>0</v>
      </c>
      <c r="F149" s="67"/>
      <c r="G149" s="32"/>
      <c r="H149" s="64">
        <f t="shared" ref="H149:H155" si="53">C149+D149+G149</f>
        <v>0</v>
      </c>
      <c r="I149" s="13"/>
      <c r="J149" s="68"/>
      <c r="K149" s="67"/>
      <c r="L149" s="68">
        <v>2</v>
      </c>
      <c r="M149" s="65">
        <f t="shared" si="48"/>
        <v>2</v>
      </c>
      <c r="N149" s="13">
        <f t="shared" si="49"/>
        <v>2</v>
      </c>
      <c r="O149" s="15">
        <v>0.4</v>
      </c>
      <c r="P149" s="67">
        <v>0.6</v>
      </c>
      <c r="Q149" s="65">
        <f t="shared" si="50"/>
        <v>1</v>
      </c>
      <c r="R149" s="15">
        <v>24.8</v>
      </c>
      <c r="S149" s="67">
        <v>23.8</v>
      </c>
      <c r="T149" s="67">
        <v>15.7</v>
      </c>
      <c r="U149" s="65">
        <f>S149+R149+T149</f>
        <v>64.3</v>
      </c>
      <c r="V149" s="15"/>
      <c r="W149" s="67">
        <v>0.3</v>
      </c>
      <c r="X149" s="67"/>
      <c r="Y149" s="67">
        <f>82.4+5.6+13.4</f>
        <v>101.4</v>
      </c>
      <c r="Z149" s="13">
        <f t="shared" si="52"/>
        <v>169</v>
      </c>
      <c r="AA149" s="74"/>
      <c r="AC149" s="81"/>
    </row>
    <row r="150" spans="2:29" ht="19.5" hidden="1" customHeight="1" x14ac:dyDescent="0.2">
      <c r="B150" s="59" t="s">
        <v>12</v>
      </c>
      <c r="C150" s="13"/>
      <c r="D150" s="67"/>
      <c r="E150" s="67">
        <v>0</v>
      </c>
      <c r="F150" s="67"/>
      <c r="G150" s="32"/>
      <c r="H150" s="64">
        <f t="shared" si="53"/>
        <v>0</v>
      </c>
      <c r="I150" s="13"/>
      <c r="J150" s="68"/>
      <c r="K150" s="67"/>
      <c r="L150" s="68">
        <v>1.3</v>
      </c>
      <c r="M150" s="65">
        <f t="shared" si="48"/>
        <v>1.3</v>
      </c>
      <c r="N150" s="13">
        <f t="shared" si="49"/>
        <v>1.3</v>
      </c>
      <c r="O150" s="15">
        <v>0.4</v>
      </c>
      <c r="P150" s="67">
        <v>0.6</v>
      </c>
      <c r="Q150" s="65">
        <f t="shared" si="50"/>
        <v>1</v>
      </c>
      <c r="R150" s="15"/>
      <c r="S150" s="67">
        <v>37.5</v>
      </c>
      <c r="T150" s="67"/>
      <c r="U150" s="65">
        <f t="shared" si="51"/>
        <v>37.5</v>
      </c>
      <c r="V150" s="15"/>
      <c r="W150" s="67">
        <v>0.1</v>
      </c>
      <c r="X150" s="67"/>
      <c r="Y150" s="67">
        <f>152+0.8+10.5</f>
        <v>163.30000000000001</v>
      </c>
      <c r="Z150" s="13">
        <f t="shared" si="52"/>
        <v>203.20000000000002</v>
      </c>
      <c r="AA150" s="74"/>
      <c r="AC150" s="81"/>
    </row>
    <row r="151" spans="2:29" ht="19.5" hidden="1" customHeight="1" x14ac:dyDescent="0.2">
      <c r="B151" s="59" t="s">
        <v>13</v>
      </c>
      <c r="C151" s="13"/>
      <c r="D151" s="67"/>
      <c r="E151" s="67"/>
      <c r="F151" s="67"/>
      <c r="G151" s="32"/>
      <c r="H151" s="64">
        <f t="shared" si="53"/>
        <v>0</v>
      </c>
      <c r="I151" s="13"/>
      <c r="J151" s="68"/>
      <c r="K151" s="67"/>
      <c r="L151" s="68">
        <v>5.2</v>
      </c>
      <c r="M151" s="65">
        <f t="shared" si="48"/>
        <v>5.2</v>
      </c>
      <c r="N151" s="13">
        <f t="shared" si="49"/>
        <v>5.2</v>
      </c>
      <c r="O151" s="15">
        <v>0.8</v>
      </c>
      <c r="P151" s="67">
        <v>0.7</v>
      </c>
      <c r="Q151" s="65">
        <f t="shared" si="50"/>
        <v>1.5</v>
      </c>
      <c r="R151" s="15"/>
      <c r="S151" s="67">
        <v>16.2</v>
      </c>
      <c r="T151" s="67"/>
      <c r="U151" s="65">
        <f t="shared" si="51"/>
        <v>16.2</v>
      </c>
      <c r="V151" s="15"/>
      <c r="W151" s="67">
        <v>6.6</v>
      </c>
      <c r="X151" s="67"/>
      <c r="Y151" s="67">
        <f>30.4+10.7+6.8+18+0.1</f>
        <v>65.999999999999986</v>
      </c>
      <c r="Z151" s="13">
        <f t="shared" si="52"/>
        <v>95.499999999999986</v>
      </c>
      <c r="AA151" s="74"/>
      <c r="AC151" s="81"/>
    </row>
    <row r="152" spans="2:29" ht="19.5" hidden="1" customHeight="1" x14ac:dyDescent="0.2">
      <c r="B152" s="59" t="s">
        <v>14</v>
      </c>
      <c r="C152" s="13"/>
      <c r="D152" s="16"/>
      <c r="E152" s="16"/>
      <c r="F152" s="16"/>
      <c r="G152" s="14"/>
      <c r="H152" s="64">
        <f t="shared" si="53"/>
        <v>0</v>
      </c>
      <c r="I152" s="13"/>
      <c r="J152" s="17"/>
      <c r="K152" s="16"/>
      <c r="L152" s="17">
        <v>5</v>
      </c>
      <c r="M152" s="65">
        <f t="shared" si="48"/>
        <v>5</v>
      </c>
      <c r="N152" s="13">
        <f t="shared" si="49"/>
        <v>5</v>
      </c>
      <c r="O152" s="15">
        <v>0.4</v>
      </c>
      <c r="P152" s="16">
        <v>1.2</v>
      </c>
      <c r="Q152" s="65">
        <f t="shared" si="50"/>
        <v>1.6</v>
      </c>
      <c r="R152" s="15"/>
      <c r="S152" s="16">
        <v>62.6</v>
      </c>
      <c r="T152" s="16">
        <v>39.299999999999997</v>
      </c>
      <c r="U152" s="65">
        <f>S152+R152+T152</f>
        <v>101.9</v>
      </c>
      <c r="V152" s="15"/>
      <c r="W152" s="16">
        <v>5.4</v>
      </c>
      <c r="X152" s="16"/>
      <c r="Y152" s="16">
        <f>2.1+15.6+18.1+12.3+0.1</f>
        <v>48.199999999999996</v>
      </c>
      <c r="Z152" s="13">
        <f t="shared" si="52"/>
        <v>162.1</v>
      </c>
      <c r="AA152" s="74"/>
      <c r="AC152" s="81"/>
    </row>
    <row r="153" spans="2:29" ht="19.5" hidden="1" customHeight="1" x14ac:dyDescent="0.2">
      <c r="B153" s="59" t="s">
        <v>15</v>
      </c>
      <c r="C153" s="13"/>
      <c r="D153" s="16"/>
      <c r="E153" s="16"/>
      <c r="F153" s="16"/>
      <c r="G153" s="14"/>
      <c r="H153" s="64">
        <f t="shared" si="53"/>
        <v>0</v>
      </c>
      <c r="I153" s="13"/>
      <c r="J153" s="17"/>
      <c r="K153" s="16"/>
      <c r="L153" s="17">
        <v>0.7</v>
      </c>
      <c r="M153" s="65">
        <f t="shared" si="48"/>
        <v>0.7</v>
      </c>
      <c r="N153" s="13">
        <f t="shared" si="49"/>
        <v>0.7</v>
      </c>
      <c r="O153" s="15">
        <v>0.4</v>
      </c>
      <c r="P153" s="16">
        <v>1</v>
      </c>
      <c r="Q153" s="65">
        <f t="shared" si="50"/>
        <v>1.4</v>
      </c>
      <c r="R153" s="15"/>
      <c r="S153" s="16">
        <v>11.8</v>
      </c>
      <c r="T153" s="16"/>
      <c r="U153" s="65">
        <f t="shared" si="51"/>
        <v>11.8</v>
      </c>
      <c r="V153" s="15"/>
      <c r="W153" s="16">
        <v>1.4</v>
      </c>
      <c r="X153" s="16"/>
      <c r="Y153" s="16">
        <f>60.9+5.3+33.4+10.8</f>
        <v>110.39999999999999</v>
      </c>
      <c r="Z153" s="13">
        <f t="shared" si="52"/>
        <v>125.7</v>
      </c>
      <c r="AA153" s="74"/>
      <c r="AC153" s="81"/>
    </row>
    <row r="154" spans="2:29" ht="19.5" hidden="1" customHeight="1" x14ac:dyDescent="0.2">
      <c r="B154" s="59" t="s">
        <v>16</v>
      </c>
      <c r="C154" s="13"/>
      <c r="D154" s="67"/>
      <c r="E154" s="67"/>
      <c r="F154" s="67"/>
      <c r="G154" s="32"/>
      <c r="H154" s="64">
        <f t="shared" si="53"/>
        <v>0</v>
      </c>
      <c r="I154" s="13"/>
      <c r="J154" s="68"/>
      <c r="K154" s="67"/>
      <c r="L154" s="68">
        <v>2.7</v>
      </c>
      <c r="M154" s="65">
        <f t="shared" si="48"/>
        <v>2.7</v>
      </c>
      <c r="N154" s="13">
        <f>M154+H154</f>
        <v>2.7</v>
      </c>
      <c r="O154" s="15">
        <v>3.3</v>
      </c>
      <c r="P154" s="67">
        <v>1.2</v>
      </c>
      <c r="Q154" s="65">
        <f t="shared" si="50"/>
        <v>4.5</v>
      </c>
      <c r="R154" s="15"/>
      <c r="S154" s="67">
        <v>57.4</v>
      </c>
      <c r="T154" s="67"/>
      <c r="U154" s="65">
        <f t="shared" si="51"/>
        <v>57.4</v>
      </c>
      <c r="V154" s="15"/>
      <c r="W154" s="67">
        <v>32.4</v>
      </c>
      <c r="X154" s="67"/>
      <c r="Y154" s="67">
        <f>43.5+0.9+10.3+10.5-0.1</f>
        <v>65.100000000000009</v>
      </c>
      <c r="Z154" s="13">
        <f t="shared" si="52"/>
        <v>162.1</v>
      </c>
      <c r="AA154" s="74"/>
      <c r="AC154" s="81"/>
    </row>
    <row r="155" spans="2:29" ht="19.5" hidden="1" customHeight="1" x14ac:dyDescent="0.2">
      <c r="B155" s="59" t="s">
        <v>17</v>
      </c>
      <c r="C155" s="13"/>
      <c r="D155" s="67"/>
      <c r="E155" s="67"/>
      <c r="F155" s="67"/>
      <c r="G155" s="32"/>
      <c r="H155" s="64">
        <f t="shared" si="53"/>
        <v>0</v>
      </c>
      <c r="I155" s="13"/>
      <c r="J155" s="68"/>
      <c r="K155" s="67"/>
      <c r="L155" s="68">
        <v>0.6</v>
      </c>
      <c r="M155" s="65">
        <f t="shared" si="48"/>
        <v>0.6</v>
      </c>
      <c r="N155" s="13">
        <f>M155+H155</f>
        <v>0.6</v>
      </c>
      <c r="O155" s="15">
        <v>0.7</v>
      </c>
      <c r="P155" s="67">
        <v>1.2</v>
      </c>
      <c r="Q155" s="65">
        <f t="shared" si="50"/>
        <v>1.9</v>
      </c>
      <c r="R155" s="15"/>
      <c r="S155" s="67">
        <v>87.8</v>
      </c>
      <c r="T155" s="67"/>
      <c r="U155" s="65">
        <f t="shared" si="51"/>
        <v>87.8</v>
      </c>
      <c r="V155" s="15"/>
      <c r="W155" s="67">
        <v>7.8</v>
      </c>
      <c r="X155" s="67"/>
      <c r="Y155" s="67">
        <f>111.6+6+12.7</f>
        <v>130.29999999999998</v>
      </c>
      <c r="Z155" s="13">
        <f t="shared" si="52"/>
        <v>228.39999999999998</v>
      </c>
      <c r="AA155" s="74"/>
      <c r="AC155" s="81"/>
    </row>
    <row r="156" spans="2:29" ht="19.5" hidden="1" customHeight="1" x14ac:dyDescent="0.2">
      <c r="B156" s="59"/>
      <c r="C156" s="13"/>
      <c r="D156" s="67"/>
      <c r="E156" s="67"/>
      <c r="F156" s="67"/>
      <c r="G156" s="32"/>
      <c r="H156" s="64"/>
      <c r="I156" s="13"/>
      <c r="J156" s="68"/>
      <c r="K156" s="67"/>
      <c r="L156" s="68"/>
      <c r="M156" s="65"/>
      <c r="N156" s="13"/>
      <c r="O156" s="15"/>
      <c r="P156" s="67"/>
      <c r="Q156" s="65"/>
      <c r="R156" s="15"/>
      <c r="S156" s="67"/>
      <c r="T156" s="67"/>
      <c r="U156" s="65"/>
      <c r="V156" s="15"/>
      <c r="W156" s="67"/>
      <c r="X156" s="67"/>
      <c r="Y156" s="67"/>
      <c r="Z156" s="13"/>
      <c r="AA156" s="74"/>
      <c r="AC156" s="81"/>
    </row>
    <row r="157" spans="2:29" ht="19.5" hidden="1" customHeight="1" x14ac:dyDescent="0.2">
      <c r="B157" s="58">
        <v>2005</v>
      </c>
      <c r="C157" s="13">
        <f>SUM(C159:C170)</f>
        <v>0.4</v>
      </c>
      <c r="D157" s="67">
        <f t="shared" ref="D157:AA157" si="54">SUM(D159:D170)</f>
        <v>0</v>
      </c>
      <c r="E157" s="32">
        <f t="shared" si="54"/>
        <v>0</v>
      </c>
      <c r="F157" s="32"/>
      <c r="G157" s="32">
        <f t="shared" si="54"/>
        <v>0</v>
      </c>
      <c r="H157" s="64">
        <f t="shared" si="54"/>
        <v>0.4</v>
      </c>
      <c r="I157" s="13">
        <f t="shared" si="54"/>
        <v>0</v>
      </c>
      <c r="J157" s="68">
        <f t="shared" si="54"/>
        <v>0</v>
      </c>
      <c r="K157" s="67">
        <f t="shared" si="54"/>
        <v>0</v>
      </c>
      <c r="L157" s="68">
        <f t="shared" si="54"/>
        <v>16.099999999999998</v>
      </c>
      <c r="M157" s="65">
        <f t="shared" si="54"/>
        <v>16.099999999999998</v>
      </c>
      <c r="N157" s="13">
        <f t="shared" si="54"/>
        <v>16.499999999999996</v>
      </c>
      <c r="O157" s="15">
        <f t="shared" si="54"/>
        <v>13.400000000000002</v>
      </c>
      <c r="P157" s="67">
        <f t="shared" si="54"/>
        <v>29.4</v>
      </c>
      <c r="Q157" s="65">
        <f t="shared" si="54"/>
        <v>42.800000000000004</v>
      </c>
      <c r="R157" s="15">
        <f t="shared" si="54"/>
        <v>25</v>
      </c>
      <c r="S157" s="67">
        <f t="shared" si="54"/>
        <v>276.59999999999997</v>
      </c>
      <c r="T157" s="67">
        <f t="shared" si="54"/>
        <v>0</v>
      </c>
      <c r="U157" s="65">
        <f t="shared" si="54"/>
        <v>301.59999999999997</v>
      </c>
      <c r="V157" s="15">
        <f t="shared" si="54"/>
        <v>0</v>
      </c>
      <c r="W157" s="67">
        <f t="shared" si="54"/>
        <v>66.460000000000008</v>
      </c>
      <c r="X157" s="67"/>
      <c r="Y157" s="67">
        <f t="shared" si="54"/>
        <v>1720.095</v>
      </c>
      <c r="Z157" s="13">
        <f t="shared" si="54"/>
        <v>2147.4549999999999</v>
      </c>
      <c r="AA157" s="74">
        <f t="shared" si="54"/>
        <v>0</v>
      </c>
      <c r="AC157" s="81"/>
    </row>
    <row r="158" spans="2:29" ht="19.5" hidden="1" customHeight="1" x14ac:dyDescent="0.2">
      <c r="B158" s="59"/>
      <c r="C158" s="13"/>
      <c r="D158" s="67"/>
      <c r="E158" s="67"/>
      <c r="F158" s="67"/>
      <c r="G158" s="32"/>
      <c r="H158" s="64"/>
      <c r="I158" s="13"/>
      <c r="J158" s="68"/>
      <c r="K158" s="67"/>
      <c r="L158" s="68"/>
      <c r="M158" s="65"/>
      <c r="N158" s="13"/>
      <c r="O158" s="15"/>
      <c r="P158" s="67"/>
      <c r="Q158" s="65"/>
      <c r="R158" s="15"/>
      <c r="S158" s="67"/>
      <c r="T158" s="67"/>
      <c r="U158" s="65"/>
      <c r="V158" s="15"/>
      <c r="W158" s="67"/>
      <c r="X158" s="67"/>
      <c r="Y158" s="67"/>
      <c r="Z158" s="13"/>
      <c r="AA158" s="74"/>
      <c r="AC158" s="81"/>
    </row>
    <row r="159" spans="2:29" ht="19.5" hidden="1" customHeight="1" x14ac:dyDescent="0.2">
      <c r="B159" s="59" t="s">
        <v>6</v>
      </c>
      <c r="C159" s="13"/>
      <c r="D159" s="67"/>
      <c r="E159" s="67"/>
      <c r="F159" s="67"/>
      <c r="G159" s="32"/>
      <c r="H159" s="64"/>
      <c r="I159" s="13"/>
      <c r="J159" s="68"/>
      <c r="K159" s="67"/>
      <c r="L159" s="68">
        <v>0.5</v>
      </c>
      <c r="M159" s="65">
        <f t="shared" ref="M159:M170" si="55">L159+K159+I159</f>
        <v>0.5</v>
      </c>
      <c r="N159" s="13">
        <f t="shared" ref="N159:N170" si="56">M159+H159</f>
        <v>0.5</v>
      </c>
      <c r="O159" s="15">
        <v>0.4</v>
      </c>
      <c r="P159" s="67">
        <v>1.4</v>
      </c>
      <c r="Q159" s="65">
        <f t="shared" ref="Q159:Q170" si="57">P159+O159</f>
        <v>1.7999999999999998</v>
      </c>
      <c r="R159" s="15"/>
      <c r="S159" s="67">
        <v>2.2000000000000002</v>
      </c>
      <c r="T159" s="67"/>
      <c r="U159" s="65">
        <f t="shared" ref="U159:U170" si="58">S159+R159</f>
        <v>2.2000000000000002</v>
      </c>
      <c r="V159" s="15"/>
      <c r="W159" s="67">
        <v>0.4</v>
      </c>
      <c r="X159" s="67"/>
      <c r="Y159" s="67">
        <f>21.91+8.21</f>
        <v>30.12</v>
      </c>
      <c r="Z159" s="13">
        <f t="shared" ref="Z159:Z170" si="59">Y159+W159+V159+U159+Q159+N159</f>
        <v>35.019999999999996</v>
      </c>
      <c r="AA159" s="74"/>
      <c r="AC159" s="81"/>
    </row>
    <row r="160" spans="2:29" ht="19.5" hidden="1" customHeight="1" x14ac:dyDescent="0.2">
      <c r="B160" s="59" t="s">
        <v>7</v>
      </c>
      <c r="C160" s="13"/>
      <c r="D160" s="67"/>
      <c r="E160" s="67"/>
      <c r="F160" s="67"/>
      <c r="G160" s="32"/>
      <c r="H160" s="64"/>
      <c r="I160" s="13"/>
      <c r="J160" s="68"/>
      <c r="K160" s="67"/>
      <c r="L160" s="68">
        <v>0.7</v>
      </c>
      <c r="M160" s="65">
        <f t="shared" si="55"/>
        <v>0.7</v>
      </c>
      <c r="N160" s="13">
        <f t="shared" si="56"/>
        <v>0.7</v>
      </c>
      <c r="O160" s="15">
        <v>0.4</v>
      </c>
      <c r="P160" s="67">
        <v>1.9</v>
      </c>
      <c r="Q160" s="65">
        <f t="shared" si="57"/>
        <v>2.2999999999999998</v>
      </c>
      <c r="R160" s="15"/>
      <c r="S160" s="67">
        <v>12.9</v>
      </c>
      <c r="T160" s="67"/>
      <c r="U160" s="65">
        <f t="shared" si="58"/>
        <v>12.9</v>
      </c>
      <c r="V160" s="15"/>
      <c r="W160" s="67">
        <v>1.6</v>
      </c>
      <c r="X160" s="67"/>
      <c r="Y160" s="67">
        <f>39.11+2.51+7.71</f>
        <v>49.33</v>
      </c>
      <c r="Z160" s="13">
        <f t="shared" si="59"/>
        <v>66.83</v>
      </c>
      <c r="AA160" s="74"/>
      <c r="AC160" s="81"/>
    </row>
    <row r="161" spans="2:29" ht="19.5" hidden="1" customHeight="1" x14ac:dyDescent="0.2">
      <c r="B161" s="59" t="s">
        <v>8</v>
      </c>
      <c r="C161" s="13"/>
      <c r="D161" s="67"/>
      <c r="E161" s="67"/>
      <c r="F161" s="67"/>
      <c r="G161" s="32"/>
      <c r="H161" s="64"/>
      <c r="I161" s="13"/>
      <c r="J161" s="68"/>
      <c r="K161" s="67"/>
      <c r="L161" s="68">
        <v>0.7</v>
      </c>
      <c r="M161" s="65">
        <f t="shared" si="55"/>
        <v>0.7</v>
      </c>
      <c r="N161" s="13">
        <f t="shared" si="56"/>
        <v>0.7</v>
      </c>
      <c r="O161" s="15">
        <v>0.5</v>
      </c>
      <c r="P161" s="67">
        <v>1.5</v>
      </c>
      <c r="Q161" s="65">
        <f t="shared" si="57"/>
        <v>2</v>
      </c>
      <c r="R161" s="15">
        <v>25</v>
      </c>
      <c r="S161" s="67">
        <v>25.5</v>
      </c>
      <c r="T161" s="67"/>
      <c r="U161" s="65">
        <f t="shared" si="58"/>
        <v>50.5</v>
      </c>
      <c r="V161" s="15"/>
      <c r="W161" s="67">
        <v>6.7</v>
      </c>
      <c r="X161" s="67"/>
      <c r="Y161" s="67">
        <f>22.7+0.5+4.3+13.1</f>
        <v>40.6</v>
      </c>
      <c r="Z161" s="13">
        <f t="shared" si="59"/>
        <v>100.50000000000001</v>
      </c>
      <c r="AA161" s="74"/>
      <c r="AC161" s="81"/>
    </row>
    <row r="162" spans="2:29" ht="19.5" hidden="1" customHeight="1" x14ac:dyDescent="0.2">
      <c r="B162" s="59" t="s">
        <v>9</v>
      </c>
      <c r="C162" s="13">
        <v>0.4</v>
      </c>
      <c r="D162" s="67"/>
      <c r="E162" s="67"/>
      <c r="F162" s="67"/>
      <c r="G162" s="32"/>
      <c r="H162" s="64">
        <f>SUM(C162:G162)</f>
        <v>0.4</v>
      </c>
      <c r="I162" s="13"/>
      <c r="J162" s="68"/>
      <c r="K162" s="67"/>
      <c r="L162" s="68">
        <v>0.5</v>
      </c>
      <c r="M162" s="65">
        <f t="shared" si="55"/>
        <v>0.5</v>
      </c>
      <c r="N162" s="13">
        <f t="shared" si="56"/>
        <v>0.9</v>
      </c>
      <c r="O162" s="15">
        <v>0.6</v>
      </c>
      <c r="P162" s="67">
        <v>2.1</v>
      </c>
      <c r="Q162" s="65">
        <f t="shared" si="57"/>
        <v>2.7</v>
      </c>
      <c r="R162" s="15"/>
      <c r="S162" s="67">
        <v>25.9</v>
      </c>
      <c r="T162" s="67"/>
      <c r="U162" s="65">
        <f t="shared" si="58"/>
        <v>25.9</v>
      </c>
      <c r="V162" s="15"/>
      <c r="W162" s="67">
        <v>1.7</v>
      </c>
      <c r="X162" s="67"/>
      <c r="Y162" s="67">
        <f>120.1+8.1+7.6+10.4</f>
        <v>146.19999999999999</v>
      </c>
      <c r="Z162" s="13">
        <f t="shared" si="59"/>
        <v>177.39999999999998</v>
      </c>
      <c r="AA162" s="74"/>
      <c r="AC162" s="81"/>
    </row>
    <row r="163" spans="2:29" ht="19.5" hidden="1" customHeight="1" x14ac:dyDescent="0.2">
      <c r="B163" s="59" t="s">
        <v>10</v>
      </c>
      <c r="C163" s="13"/>
      <c r="D163" s="67"/>
      <c r="E163" s="67"/>
      <c r="F163" s="67"/>
      <c r="G163" s="32"/>
      <c r="H163" s="64">
        <f>SUM(C163:G163)</f>
        <v>0</v>
      </c>
      <c r="I163" s="13"/>
      <c r="J163" s="68"/>
      <c r="K163" s="67"/>
      <c r="L163" s="68">
        <v>0.4</v>
      </c>
      <c r="M163" s="65">
        <f t="shared" si="55"/>
        <v>0.4</v>
      </c>
      <c r="N163" s="13">
        <f t="shared" si="56"/>
        <v>0.4</v>
      </c>
      <c r="O163" s="15">
        <v>1.9</v>
      </c>
      <c r="P163" s="67">
        <v>1.9</v>
      </c>
      <c r="Q163" s="65">
        <f t="shared" si="57"/>
        <v>3.8</v>
      </c>
      <c r="R163" s="15"/>
      <c r="S163" s="67">
        <v>10.6</v>
      </c>
      <c r="T163" s="67"/>
      <c r="U163" s="65">
        <f t="shared" si="58"/>
        <v>10.6</v>
      </c>
      <c r="V163" s="15"/>
      <c r="W163" s="67">
        <v>1.8</v>
      </c>
      <c r="X163" s="67"/>
      <c r="Y163" s="67">
        <f>212.6+1.6+7.8</f>
        <v>222</v>
      </c>
      <c r="Z163" s="13">
        <f t="shared" si="59"/>
        <v>238.60000000000002</v>
      </c>
      <c r="AA163" s="74"/>
      <c r="AC163" s="81"/>
    </row>
    <row r="164" spans="2:29" ht="19.5" hidden="1" customHeight="1" x14ac:dyDescent="0.2">
      <c r="B164" s="59" t="s">
        <v>11</v>
      </c>
      <c r="C164" s="13"/>
      <c r="D164" s="67"/>
      <c r="E164" s="67">
        <v>0</v>
      </c>
      <c r="F164" s="67"/>
      <c r="G164" s="32"/>
      <c r="H164" s="64">
        <f>C164+D164+G164</f>
        <v>0</v>
      </c>
      <c r="I164" s="13"/>
      <c r="J164" s="68"/>
      <c r="K164" s="67"/>
      <c r="L164" s="68">
        <v>0.3</v>
      </c>
      <c r="M164" s="65">
        <f t="shared" si="55"/>
        <v>0.3</v>
      </c>
      <c r="N164" s="13">
        <f t="shared" si="56"/>
        <v>0.3</v>
      </c>
      <c r="O164" s="15">
        <v>1.1000000000000001</v>
      </c>
      <c r="P164" s="67">
        <v>1.7</v>
      </c>
      <c r="Q164" s="65">
        <f t="shared" si="57"/>
        <v>2.8</v>
      </c>
      <c r="R164" s="15"/>
      <c r="S164" s="67">
        <v>70.099999999999994</v>
      </c>
      <c r="T164" s="67"/>
      <c r="U164" s="65">
        <f t="shared" si="58"/>
        <v>70.099999999999994</v>
      </c>
      <c r="V164" s="15"/>
      <c r="W164" s="67">
        <v>6.7</v>
      </c>
      <c r="X164" s="67"/>
      <c r="Y164" s="67">
        <f>149.7+6.9</f>
        <v>156.6</v>
      </c>
      <c r="Z164" s="13">
        <f t="shared" si="59"/>
        <v>236.5</v>
      </c>
      <c r="AA164" s="74"/>
      <c r="AC164" s="81"/>
    </row>
    <row r="165" spans="2:29" ht="19.5" hidden="1" customHeight="1" x14ac:dyDescent="0.2">
      <c r="B165" s="59" t="s">
        <v>12</v>
      </c>
      <c r="C165" s="13"/>
      <c r="D165" s="67"/>
      <c r="E165" s="67"/>
      <c r="F165" s="67"/>
      <c r="G165" s="32"/>
      <c r="H165" s="64">
        <f>C165+D165+G165</f>
        <v>0</v>
      </c>
      <c r="I165" s="13"/>
      <c r="J165" s="68"/>
      <c r="K165" s="67"/>
      <c r="L165" s="68">
        <v>3.3</v>
      </c>
      <c r="M165" s="65">
        <f t="shared" si="55"/>
        <v>3.3</v>
      </c>
      <c r="N165" s="13">
        <f t="shared" si="56"/>
        <v>3.3</v>
      </c>
      <c r="O165" s="15">
        <v>1.7</v>
      </c>
      <c r="P165" s="67">
        <v>2.9</v>
      </c>
      <c r="Q165" s="65">
        <f t="shared" si="57"/>
        <v>4.5999999999999996</v>
      </c>
      <c r="R165" s="15"/>
      <c r="S165" s="67">
        <v>6.9</v>
      </c>
      <c r="T165" s="67"/>
      <c r="U165" s="65">
        <f t="shared" si="58"/>
        <v>6.9</v>
      </c>
      <c r="V165" s="15"/>
      <c r="W165" s="67">
        <v>9.6999999999999993</v>
      </c>
      <c r="X165" s="67"/>
      <c r="Y165" s="67">
        <f>149.1+9.7+4.4+0.1</f>
        <v>163.29999999999998</v>
      </c>
      <c r="Z165" s="13">
        <f t="shared" si="59"/>
        <v>187.79999999999998</v>
      </c>
      <c r="AA165" s="74"/>
      <c r="AC165" s="81">
        <f>187.8-Z165</f>
        <v>0</v>
      </c>
    </row>
    <row r="166" spans="2:29" ht="19.5" hidden="1" customHeight="1" x14ac:dyDescent="0.2">
      <c r="B166" s="59" t="s">
        <v>13</v>
      </c>
      <c r="C166" s="13"/>
      <c r="D166" s="67"/>
      <c r="E166" s="67"/>
      <c r="F166" s="67"/>
      <c r="G166" s="32"/>
      <c r="H166" s="64">
        <f>C166+D166+G166</f>
        <v>0</v>
      </c>
      <c r="I166" s="13"/>
      <c r="J166" s="68"/>
      <c r="K166" s="67"/>
      <c r="L166" s="68">
        <v>1.6</v>
      </c>
      <c r="M166" s="65">
        <f t="shared" si="55"/>
        <v>1.6</v>
      </c>
      <c r="N166" s="13">
        <f t="shared" si="56"/>
        <v>1.6</v>
      </c>
      <c r="O166" s="15">
        <v>0.9</v>
      </c>
      <c r="P166" s="67">
        <v>2.6</v>
      </c>
      <c r="Q166" s="65">
        <f t="shared" si="57"/>
        <v>3.5</v>
      </c>
      <c r="R166" s="15"/>
      <c r="S166" s="67">
        <v>14</v>
      </c>
      <c r="T166" s="67"/>
      <c r="U166" s="65">
        <f t="shared" si="58"/>
        <v>14</v>
      </c>
      <c r="V166" s="15"/>
      <c r="W166" s="67">
        <v>8.25</v>
      </c>
      <c r="X166" s="67"/>
      <c r="Y166" s="67">
        <f>128.2+7.3+5.1+0.055</f>
        <v>140.655</v>
      </c>
      <c r="Z166" s="13">
        <f t="shared" si="59"/>
        <v>168.005</v>
      </c>
      <c r="AA166" s="74"/>
      <c r="AC166" s="81">
        <f>168.1-Z166</f>
        <v>9.4999999999998863E-2</v>
      </c>
    </row>
    <row r="167" spans="2:29" ht="19.5" hidden="1" customHeight="1" x14ac:dyDescent="0.2">
      <c r="B167" s="59" t="s">
        <v>14</v>
      </c>
      <c r="C167" s="13"/>
      <c r="D167" s="67"/>
      <c r="E167" s="67"/>
      <c r="F167" s="67"/>
      <c r="G167" s="32"/>
      <c r="H167" s="64">
        <f>C167+D167+G167</f>
        <v>0</v>
      </c>
      <c r="I167" s="13"/>
      <c r="J167" s="68"/>
      <c r="K167" s="67"/>
      <c r="L167" s="68">
        <v>0.1</v>
      </c>
      <c r="M167" s="65">
        <f t="shared" si="55"/>
        <v>0.1</v>
      </c>
      <c r="N167" s="13">
        <f t="shared" si="56"/>
        <v>0.1</v>
      </c>
      <c r="O167" s="15">
        <v>4.4000000000000004</v>
      </c>
      <c r="P167" s="67">
        <v>2.8</v>
      </c>
      <c r="Q167" s="65">
        <f t="shared" si="57"/>
        <v>7.2</v>
      </c>
      <c r="R167" s="15"/>
      <c r="S167" s="67">
        <v>8</v>
      </c>
      <c r="T167" s="67"/>
      <c r="U167" s="65">
        <f t="shared" si="58"/>
        <v>8</v>
      </c>
      <c r="V167" s="15"/>
      <c r="W167" s="67">
        <v>2.1</v>
      </c>
      <c r="X167" s="67"/>
      <c r="Y167" s="67">
        <f>91.3+7.6+5.8</f>
        <v>104.69999999999999</v>
      </c>
      <c r="Z167" s="13">
        <f t="shared" si="59"/>
        <v>122.09999999999998</v>
      </c>
      <c r="AA167" s="74"/>
      <c r="AC167" s="81">
        <f>122.1-Z167</f>
        <v>0</v>
      </c>
    </row>
    <row r="168" spans="2:29" ht="19.5" hidden="1" customHeight="1" x14ac:dyDescent="0.2">
      <c r="B168" s="59" t="s">
        <v>15</v>
      </c>
      <c r="C168" s="13"/>
      <c r="D168" s="67"/>
      <c r="E168" s="67"/>
      <c r="F168" s="67"/>
      <c r="G168" s="32"/>
      <c r="H168" s="64"/>
      <c r="I168" s="13"/>
      <c r="J168" s="68"/>
      <c r="K168" s="67"/>
      <c r="L168" s="68">
        <v>4</v>
      </c>
      <c r="M168" s="65">
        <f t="shared" si="55"/>
        <v>4</v>
      </c>
      <c r="N168" s="13">
        <f t="shared" si="56"/>
        <v>4</v>
      </c>
      <c r="O168" s="15">
        <v>0.5</v>
      </c>
      <c r="P168" s="67">
        <v>3</v>
      </c>
      <c r="Q168" s="65">
        <f t="shared" si="57"/>
        <v>3.5</v>
      </c>
      <c r="R168" s="15"/>
      <c r="S168" s="67">
        <v>20.2</v>
      </c>
      <c r="T168" s="67"/>
      <c r="U168" s="65">
        <f t="shared" si="58"/>
        <v>20.2</v>
      </c>
      <c r="V168" s="15"/>
      <c r="W168" s="67">
        <v>3.91</v>
      </c>
      <c r="X168" s="67"/>
      <c r="Y168" s="67">
        <f>177.2+9.32+14.42</f>
        <v>200.93999999999997</v>
      </c>
      <c r="Z168" s="13">
        <f t="shared" si="59"/>
        <v>232.54999999999995</v>
      </c>
      <c r="AA168" s="74"/>
      <c r="AC168" s="81"/>
    </row>
    <row r="169" spans="2:29" ht="19.5" hidden="1" customHeight="1" x14ac:dyDescent="0.2">
      <c r="B169" s="59" t="s">
        <v>16</v>
      </c>
      <c r="C169" s="13"/>
      <c r="D169" s="67"/>
      <c r="E169" s="67"/>
      <c r="F169" s="67"/>
      <c r="G169" s="32"/>
      <c r="H169" s="64"/>
      <c r="I169" s="13"/>
      <c r="J169" s="68"/>
      <c r="K169" s="67"/>
      <c r="L169" s="68">
        <v>0.2</v>
      </c>
      <c r="M169" s="65">
        <f t="shared" si="55"/>
        <v>0.2</v>
      </c>
      <c r="N169" s="13">
        <f t="shared" si="56"/>
        <v>0.2</v>
      </c>
      <c r="O169" s="15">
        <v>0.5</v>
      </c>
      <c r="P169" s="67">
        <v>3.7</v>
      </c>
      <c r="Q169" s="65">
        <f t="shared" si="57"/>
        <v>4.2</v>
      </c>
      <c r="R169" s="15"/>
      <c r="S169" s="67">
        <v>24.9</v>
      </c>
      <c r="T169" s="67"/>
      <c r="U169" s="65">
        <f t="shared" si="58"/>
        <v>24.9</v>
      </c>
      <c r="V169" s="15"/>
      <c r="W169" s="67">
        <v>6.6</v>
      </c>
      <c r="X169" s="67"/>
      <c r="Y169" s="67">
        <f>208.1+14.4+9.9</f>
        <v>232.4</v>
      </c>
      <c r="Z169" s="13">
        <f t="shared" si="59"/>
        <v>268.29999999999995</v>
      </c>
      <c r="AA169" s="74"/>
      <c r="AC169" s="81"/>
    </row>
    <row r="170" spans="2:29" ht="19.5" hidden="1" customHeight="1" x14ac:dyDescent="0.2">
      <c r="B170" s="59" t="s">
        <v>17</v>
      </c>
      <c r="C170" s="13"/>
      <c r="D170" s="67"/>
      <c r="E170" s="67"/>
      <c r="F170" s="67"/>
      <c r="G170" s="32"/>
      <c r="H170" s="64"/>
      <c r="I170" s="13"/>
      <c r="J170" s="68"/>
      <c r="K170" s="67"/>
      <c r="L170" s="68">
        <v>3.8</v>
      </c>
      <c r="M170" s="65">
        <f t="shared" si="55"/>
        <v>3.8</v>
      </c>
      <c r="N170" s="13">
        <f t="shared" si="56"/>
        <v>3.8</v>
      </c>
      <c r="O170" s="15">
        <v>0.5</v>
      </c>
      <c r="P170" s="67">
        <v>3.9</v>
      </c>
      <c r="Q170" s="65">
        <f t="shared" si="57"/>
        <v>4.4000000000000004</v>
      </c>
      <c r="R170" s="15"/>
      <c r="S170" s="67">
        <v>55.4</v>
      </c>
      <c r="T170" s="67"/>
      <c r="U170" s="65">
        <f t="shared" si="58"/>
        <v>55.4</v>
      </c>
      <c r="V170" s="15"/>
      <c r="W170" s="67">
        <v>17</v>
      </c>
      <c r="X170" s="67"/>
      <c r="Y170" s="67">
        <f>212.1+14.71+6.44</f>
        <v>233.25</v>
      </c>
      <c r="Z170" s="13">
        <f t="shared" si="59"/>
        <v>313.84999999999997</v>
      </c>
      <c r="AA170" s="74"/>
      <c r="AC170" s="81"/>
    </row>
    <row r="171" spans="2:29" ht="19.5" hidden="1" customHeight="1" x14ac:dyDescent="0.2">
      <c r="B171" s="59"/>
      <c r="C171" s="13"/>
      <c r="D171" s="67"/>
      <c r="E171" s="67"/>
      <c r="F171" s="67"/>
      <c r="G171" s="32"/>
      <c r="H171" s="64"/>
      <c r="I171" s="13"/>
      <c r="J171" s="68"/>
      <c r="K171" s="67"/>
      <c r="L171" s="68"/>
      <c r="M171" s="65"/>
      <c r="N171" s="13"/>
      <c r="O171" s="15"/>
      <c r="P171" s="67"/>
      <c r="Q171" s="65"/>
      <c r="R171" s="15"/>
      <c r="S171" s="67"/>
      <c r="T171" s="67"/>
      <c r="U171" s="65"/>
      <c r="V171" s="15"/>
      <c r="W171" s="67"/>
      <c r="X171" s="67"/>
      <c r="Y171" s="67"/>
      <c r="Z171" s="13"/>
      <c r="AA171" s="74"/>
      <c r="AC171" s="81"/>
    </row>
    <row r="172" spans="2:29" ht="20.25" hidden="1" customHeight="1" x14ac:dyDescent="0.2">
      <c r="B172" s="58">
        <v>2006</v>
      </c>
      <c r="C172" s="13">
        <f t="shared" ref="C172:Y172" si="60">SUM(C174:C191)</f>
        <v>0</v>
      </c>
      <c r="D172" s="67">
        <f t="shared" si="60"/>
        <v>0</v>
      </c>
      <c r="E172" s="32">
        <f t="shared" si="60"/>
        <v>0</v>
      </c>
      <c r="F172" s="32"/>
      <c r="G172" s="32">
        <f t="shared" si="60"/>
        <v>0</v>
      </c>
      <c r="H172" s="64">
        <f t="shared" si="60"/>
        <v>0</v>
      </c>
      <c r="I172" s="13">
        <f t="shared" si="60"/>
        <v>0</v>
      </c>
      <c r="J172" s="68">
        <f t="shared" si="60"/>
        <v>0</v>
      </c>
      <c r="K172" s="67">
        <f t="shared" si="60"/>
        <v>0</v>
      </c>
      <c r="L172" s="68">
        <f t="shared" si="60"/>
        <v>56.262966849169999</v>
      </c>
      <c r="M172" s="65">
        <f t="shared" si="60"/>
        <v>56.262966849169999</v>
      </c>
      <c r="N172" s="13">
        <f t="shared" si="60"/>
        <v>56.262966849169999</v>
      </c>
      <c r="O172" s="15">
        <f t="shared" si="60"/>
        <v>17.276395160342108</v>
      </c>
      <c r="P172" s="67">
        <f t="shared" si="60"/>
        <v>104.54508501839</v>
      </c>
      <c r="Q172" s="65">
        <f t="shared" si="60"/>
        <v>121.82148017873209</v>
      </c>
      <c r="R172" s="15">
        <f t="shared" si="60"/>
        <v>0</v>
      </c>
      <c r="S172" s="67">
        <f t="shared" si="60"/>
        <v>136.98061015805999</v>
      </c>
      <c r="T172" s="67">
        <f t="shared" si="60"/>
        <v>0</v>
      </c>
      <c r="U172" s="65">
        <f t="shared" si="60"/>
        <v>136.98061015805999</v>
      </c>
      <c r="V172" s="15">
        <f t="shared" si="60"/>
        <v>0</v>
      </c>
      <c r="W172" s="67">
        <f t="shared" si="60"/>
        <v>99.52508854380001</v>
      </c>
      <c r="X172" s="67"/>
      <c r="Y172" s="67">
        <f t="shared" si="60"/>
        <v>2544.9647588984717</v>
      </c>
      <c r="Z172" s="13">
        <f>SUM(Z174:Z191)</f>
        <v>2959.5549046282345</v>
      </c>
      <c r="AA172" s="74">
        <f>SUM(AA174:AA188)</f>
        <v>0</v>
      </c>
      <c r="AC172" s="81"/>
    </row>
    <row r="173" spans="2:29" ht="19.5" hidden="1" customHeight="1" x14ac:dyDescent="0.2">
      <c r="B173" s="59"/>
      <c r="C173" s="13"/>
      <c r="D173" s="67"/>
      <c r="E173" s="67"/>
      <c r="F173" s="67"/>
      <c r="G173" s="32"/>
      <c r="H173" s="64"/>
      <c r="I173" s="13"/>
      <c r="J173" s="68"/>
      <c r="K173" s="67"/>
      <c r="L173" s="68"/>
      <c r="M173" s="65"/>
      <c r="N173" s="13"/>
      <c r="O173" s="15"/>
      <c r="P173" s="67"/>
      <c r="Q173" s="65"/>
      <c r="R173" s="15"/>
      <c r="S173" s="67"/>
      <c r="T173" s="67"/>
      <c r="U173" s="65"/>
      <c r="V173" s="15"/>
      <c r="W173" s="67"/>
      <c r="X173" s="67"/>
      <c r="Y173" s="67"/>
      <c r="Z173" s="13"/>
      <c r="AA173" s="74"/>
      <c r="AC173" s="81"/>
    </row>
    <row r="174" spans="2:29" ht="19.5" hidden="1" customHeight="1" x14ac:dyDescent="0.2">
      <c r="B174" s="59" t="s">
        <v>6</v>
      </c>
      <c r="C174" s="13"/>
      <c r="D174" s="67"/>
      <c r="E174" s="67"/>
      <c r="F174" s="67"/>
      <c r="G174" s="32"/>
      <c r="H174" s="64"/>
      <c r="I174" s="13"/>
      <c r="J174" s="68"/>
      <c r="K174" s="67"/>
      <c r="L174" s="68">
        <v>2</v>
      </c>
      <c r="M174" s="65">
        <f t="shared" ref="M174:M191" si="61">L174+K174+I174</f>
        <v>2</v>
      </c>
      <c r="N174" s="13">
        <f t="shared" ref="N174:N191" si="62">M174+H174</f>
        <v>2</v>
      </c>
      <c r="O174" s="15">
        <v>1.9</v>
      </c>
      <c r="P174" s="67">
        <v>4.3</v>
      </c>
      <c r="Q174" s="65">
        <f t="shared" ref="Q174:Q191" si="63">P174+O174</f>
        <v>6.1999999999999993</v>
      </c>
      <c r="R174" s="15"/>
      <c r="S174" s="67">
        <v>2.2999999999999998</v>
      </c>
      <c r="T174" s="67"/>
      <c r="U174" s="65">
        <f t="shared" ref="U174:U191" si="64">S174+R174</f>
        <v>2.2999999999999998</v>
      </c>
      <c r="V174" s="15"/>
      <c r="W174" s="67">
        <v>6.2</v>
      </c>
      <c r="X174" s="67"/>
      <c r="Y174" s="67">
        <v>166.88</v>
      </c>
      <c r="Z174" s="13">
        <f t="shared" ref="Z174:Z191" si="65">Y174+W174+V174+U174+Q174+N174</f>
        <v>183.57999999999998</v>
      </c>
      <c r="AA174" s="74"/>
      <c r="AC174" s="81"/>
    </row>
    <row r="175" spans="2:29" ht="19.5" hidden="1" customHeight="1" x14ac:dyDescent="0.2">
      <c r="B175" s="59" t="s">
        <v>7</v>
      </c>
      <c r="C175" s="13"/>
      <c r="D175" s="67"/>
      <c r="E175" s="67"/>
      <c r="F175" s="67"/>
      <c r="G175" s="32"/>
      <c r="H175" s="64"/>
      <c r="I175" s="13"/>
      <c r="J175" s="68"/>
      <c r="K175" s="67"/>
      <c r="L175" s="68">
        <v>0.1</v>
      </c>
      <c r="M175" s="65">
        <f t="shared" si="61"/>
        <v>0.1</v>
      </c>
      <c r="N175" s="13">
        <f t="shared" si="62"/>
        <v>0.1</v>
      </c>
      <c r="O175" s="15">
        <v>1.7</v>
      </c>
      <c r="P175" s="67">
        <v>1.9</v>
      </c>
      <c r="Q175" s="65">
        <f t="shared" si="63"/>
        <v>3.5999999999999996</v>
      </c>
      <c r="R175" s="15"/>
      <c r="S175" s="67">
        <v>9.3000000000000007</v>
      </c>
      <c r="T175" s="67"/>
      <c r="U175" s="65">
        <f t="shared" si="64"/>
        <v>9.3000000000000007</v>
      </c>
      <c r="V175" s="15"/>
      <c r="W175" s="67">
        <v>1.6</v>
      </c>
      <c r="X175" s="67"/>
      <c r="Y175" s="67">
        <v>152.49</v>
      </c>
      <c r="Z175" s="13">
        <f t="shared" si="65"/>
        <v>167.09</v>
      </c>
      <c r="AA175" s="74"/>
      <c r="AC175" s="81"/>
    </row>
    <row r="176" spans="2:29" ht="19.5" hidden="1" customHeight="1" x14ac:dyDescent="0.2">
      <c r="B176" s="59" t="s">
        <v>8</v>
      </c>
      <c r="C176" s="13"/>
      <c r="D176" s="67"/>
      <c r="E176" s="67"/>
      <c r="F176" s="67"/>
      <c r="G176" s="32"/>
      <c r="H176" s="64"/>
      <c r="I176" s="13"/>
      <c r="J176" s="68"/>
      <c r="K176" s="67"/>
      <c r="L176" s="68">
        <v>3.7</v>
      </c>
      <c r="M176" s="65">
        <f t="shared" si="61"/>
        <v>3.7</v>
      </c>
      <c r="N176" s="13">
        <f t="shared" si="62"/>
        <v>3.7</v>
      </c>
      <c r="O176" s="15">
        <v>1.2</v>
      </c>
      <c r="P176" s="67">
        <v>5.8</v>
      </c>
      <c r="Q176" s="65">
        <f t="shared" si="63"/>
        <v>7</v>
      </c>
      <c r="R176" s="15"/>
      <c r="S176" s="67">
        <v>15.4</v>
      </c>
      <c r="T176" s="67"/>
      <c r="U176" s="65">
        <f t="shared" si="64"/>
        <v>15.4</v>
      </c>
      <c r="V176" s="15"/>
      <c r="W176" s="67">
        <v>8.5</v>
      </c>
      <c r="X176" s="67"/>
      <c r="Y176" s="67">
        <f>120.1+19.4+7.9</f>
        <v>147.4</v>
      </c>
      <c r="Z176" s="13">
        <f t="shared" si="65"/>
        <v>182</v>
      </c>
      <c r="AA176" s="74"/>
      <c r="AC176" s="81"/>
    </row>
    <row r="177" spans="2:30" ht="19.5" hidden="1" customHeight="1" x14ac:dyDescent="0.2">
      <c r="B177" s="59" t="s">
        <v>9</v>
      </c>
      <c r="C177" s="13"/>
      <c r="D177" s="67"/>
      <c r="E177" s="67"/>
      <c r="F177" s="67"/>
      <c r="G177" s="32"/>
      <c r="H177" s="64">
        <f>SUM(C177:G177)</f>
        <v>0</v>
      </c>
      <c r="I177" s="13"/>
      <c r="J177" s="68"/>
      <c r="K177" s="67"/>
      <c r="L177" s="68">
        <v>0.32132254999999998</v>
      </c>
      <c r="M177" s="65">
        <f t="shared" si="61"/>
        <v>0.32132254999999998</v>
      </c>
      <c r="N177" s="13">
        <f t="shared" si="62"/>
        <v>0.32132254999999998</v>
      </c>
      <c r="O177" s="15">
        <v>1.6285032585629899</v>
      </c>
      <c r="P177" s="67">
        <v>5.7106260608999992</v>
      </c>
      <c r="Q177" s="65">
        <f t="shared" si="63"/>
        <v>7.3391293194629892</v>
      </c>
      <c r="R177" s="15"/>
      <c r="S177" s="67">
        <v>4.8753568520999995</v>
      </c>
      <c r="T177" s="67"/>
      <c r="U177" s="65">
        <f t="shared" si="64"/>
        <v>4.8753568520999995</v>
      </c>
      <c r="V177" s="15"/>
      <c r="W177" s="67">
        <v>2.3276423695999999</v>
      </c>
      <c r="X177" s="67"/>
      <c r="Y177" s="67">
        <v>244.655</v>
      </c>
      <c r="Z177" s="13">
        <f t="shared" si="65"/>
        <v>259.518451091163</v>
      </c>
      <c r="AA177" s="74"/>
      <c r="AC177" s="81"/>
    </row>
    <row r="178" spans="2:30" ht="19.5" hidden="1" customHeight="1" x14ac:dyDescent="0.2">
      <c r="B178" s="59" t="s">
        <v>10</v>
      </c>
      <c r="C178" s="13"/>
      <c r="D178" s="67"/>
      <c r="E178" s="67"/>
      <c r="F178" s="67"/>
      <c r="G178" s="32"/>
      <c r="H178" s="64">
        <f>SUM(C178:G178)</f>
        <v>0</v>
      </c>
      <c r="I178" s="13"/>
      <c r="J178" s="68"/>
      <c r="K178" s="67"/>
      <c r="L178" s="68">
        <v>1.90385296</v>
      </c>
      <c r="M178" s="65">
        <f t="shared" si="61"/>
        <v>1.90385296</v>
      </c>
      <c r="N178" s="13">
        <f t="shared" si="62"/>
        <v>1.90385296</v>
      </c>
      <c r="O178" s="15">
        <v>1.25824233155275</v>
      </c>
      <c r="P178" s="67">
        <v>7.1194395705</v>
      </c>
      <c r="Q178" s="65">
        <f t="shared" si="63"/>
        <v>8.3776819020527498</v>
      </c>
      <c r="R178" s="15"/>
      <c r="S178" s="67">
        <v>10.961331854800001</v>
      </c>
      <c r="T178" s="67"/>
      <c r="U178" s="65">
        <f t="shared" si="64"/>
        <v>10.961331854800001</v>
      </c>
      <c r="V178" s="15"/>
      <c r="W178" s="67">
        <v>37.339594086700004</v>
      </c>
      <c r="X178" s="67"/>
      <c r="Y178" s="67">
        <v>297.22800000000001</v>
      </c>
      <c r="Z178" s="13">
        <f t="shared" si="65"/>
        <v>355.81046080355276</v>
      </c>
      <c r="AA178" s="74"/>
      <c r="AC178" s="81"/>
    </row>
    <row r="179" spans="2:30" ht="19.5" hidden="1" customHeight="1" x14ac:dyDescent="0.2">
      <c r="B179" s="59" t="s">
        <v>11</v>
      </c>
      <c r="C179" s="13"/>
      <c r="D179" s="67"/>
      <c r="E179" s="67"/>
      <c r="F179" s="67"/>
      <c r="G179" s="32"/>
      <c r="H179" s="64">
        <f>C179+D179+G179</f>
        <v>0</v>
      </c>
      <c r="I179" s="13"/>
      <c r="J179" s="68"/>
      <c r="K179" s="67"/>
      <c r="L179" s="68">
        <v>3.8232447099999995</v>
      </c>
      <c r="M179" s="65">
        <f t="shared" si="61"/>
        <v>3.8232447099999995</v>
      </c>
      <c r="N179" s="13">
        <f t="shared" si="62"/>
        <v>3.8232447099999995</v>
      </c>
      <c r="O179" s="15">
        <v>1.7537540577525359</v>
      </c>
      <c r="P179" s="67">
        <v>12.722706543200001</v>
      </c>
      <c r="Q179" s="65">
        <f t="shared" si="63"/>
        <v>14.476460600952537</v>
      </c>
      <c r="R179" s="15"/>
      <c r="S179" s="67">
        <v>9.3927026769999991</v>
      </c>
      <c r="T179" s="67"/>
      <c r="U179" s="65">
        <f t="shared" si="64"/>
        <v>9.3927026769999991</v>
      </c>
      <c r="V179" s="15"/>
      <c r="W179" s="67">
        <v>1.7719512996</v>
      </c>
      <c r="X179" s="67"/>
      <c r="Y179" s="67">
        <v>218.48</v>
      </c>
      <c r="Z179" s="13">
        <f t="shared" si="65"/>
        <v>247.94435928755254</v>
      </c>
      <c r="AA179" s="74"/>
      <c r="AC179" s="81"/>
    </row>
    <row r="180" spans="2:30" ht="19.5" hidden="1" customHeight="1" x14ac:dyDescent="0.2">
      <c r="B180" s="59" t="s">
        <v>12</v>
      </c>
      <c r="C180" s="13"/>
      <c r="D180" s="67"/>
      <c r="E180" s="67"/>
      <c r="F180" s="67"/>
      <c r="G180" s="32"/>
      <c r="H180" s="64">
        <f>C180+D180+G180</f>
        <v>0</v>
      </c>
      <c r="I180" s="13"/>
      <c r="J180" s="68"/>
      <c r="K180" s="67"/>
      <c r="L180" s="68"/>
      <c r="M180" s="65">
        <f t="shared" si="61"/>
        <v>0</v>
      </c>
      <c r="N180" s="13">
        <f t="shared" si="62"/>
        <v>0</v>
      </c>
      <c r="O180" s="15"/>
      <c r="P180" s="67"/>
      <c r="Q180" s="65">
        <f t="shared" si="63"/>
        <v>0</v>
      </c>
      <c r="R180" s="15"/>
      <c r="S180" s="67"/>
      <c r="T180" s="67"/>
      <c r="U180" s="65">
        <f t="shared" si="64"/>
        <v>0</v>
      </c>
      <c r="V180" s="15"/>
      <c r="W180" s="67"/>
      <c r="X180" s="67"/>
      <c r="Y180" s="67"/>
      <c r="Z180" s="13">
        <f t="shared" si="65"/>
        <v>0</v>
      </c>
      <c r="AA180" s="74"/>
      <c r="AC180" s="81"/>
    </row>
    <row r="181" spans="2:30" ht="19.5" hidden="1" customHeight="1" x14ac:dyDescent="0.2">
      <c r="B181" s="59" t="s">
        <v>13</v>
      </c>
      <c r="C181" s="13"/>
      <c r="D181" s="67"/>
      <c r="E181" s="67"/>
      <c r="F181" s="67"/>
      <c r="G181" s="32"/>
      <c r="H181" s="64">
        <f>C181+D181+G181</f>
        <v>0</v>
      </c>
      <c r="I181" s="13"/>
      <c r="J181" s="68"/>
      <c r="K181" s="67"/>
      <c r="L181" s="68"/>
      <c r="M181" s="65">
        <f t="shared" si="61"/>
        <v>0</v>
      </c>
      <c r="N181" s="13">
        <f t="shared" si="62"/>
        <v>0</v>
      </c>
      <c r="O181" s="15"/>
      <c r="P181" s="67"/>
      <c r="Q181" s="65">
        <f t="shared" si="63"/>
        <v>0</v>
      </c>
      <c r="R181" s="15"/>
      <c r="S181" s="67"/>
      <c r="T181" s="67"/>
      <c r="U181" s="65">
        <f t="shared" si="64"/>
        <v>0</v>
      </c>
      <c r="V181" s="15"/>
      <c r="W181" s="67"/>
      <c r="X181" s="67"/>
      <c r="Y181" s="67"/>
      <c r="Z181" s="13">
        <f t="shared" si="65"/>
        <v>0</v>
      </c>
      <c r="AA181" s="74"/>
      <c r="AC181" s="81"/>
    </row>
    <row r="182" spans="2:30" ht="19.5" hidden="1" customHeight="1" x14ac:dyDescent="0.2">
      <c r="B182" s="59" t="s">
        <v>14</v>
      </c>
      <c r="C182" s="13"/>
      <c r="D182" s="67"/>
      <c r="E182" s="67"/>
      <c r="F182" s="67"/>
      <c r="G182" s="32"/>
      <c r="H182" s="64">
        <f>C182+D182+G182</f>
        <v>0</v>
      </c>
      <c r="I182" s="13"/>
      <c r="J182" s="68"/>
      <c r="K182" s="67"/>
      <c r="L182" s="68"/>
      <c r="M182" s="65">
        <f t="shared" si="61"/>
        <v>0</v>
      </c>
      <c r="N182" s="13">
        <f t="shared" si="62"/>
        <v>0</v>
      </c>
      <c r="O182" s="15"/>
      <c r="P182" s="67"/>
      <c r="Q182" s="65">
        <f t="shared" si="63"/>
        <v>0</v>
      </c>
      <c r="R182" s="15"/>
      <c r="S182" s="67"/>
      <c r="T182" s="67"/>
      <c r="U182" s="65">
        <f t="shared" si="64"/>
        <v>0</v>
      </c>
      <c r="V182" s="15"/>
      <c r="W182" s="67"/>
      <c r="X182" s="67"/>
      <c r="Y182" s="67"/>
      <c r="Z182" s="13">
        <f t="shared" si="65"/>
        <v>0</v>
      </c>
      <c r="AA182" s="74"/>
      <c r="AC182" s="81"/>
    </row>
    <row r="183" spans="2:30" ht="19.5" hidden="1" customHeight="1" x14ac:dyDescent="0.2">
      <c r="B183" s="59" t="s">
        <v>15</v>
      </c>
      <c r="C183" s="13"/>
      <c r="D183" s="67"/>
      <c r="E183" s="67"/>
      <c r="F183" s="67"/>
      <c r="G183" s="32"/>
      <c r="H183" s="64"/>
      <c r="I183" s="13"/>
      <c r="J183" s="68"/>
      <c r="K183" s="67"/>
      <c r="L183" s="68"/>
      <c r="M183" s="65">
        <f t="shared" si="61"/>
        <v>0</v>
      </c>
      <c r="N183" s="13">
        <f t="shared" si="62"/>
        <v>0</v>
      </c>
      <c r="O183" s="15"/>
      <c r="P183" s="67"/>
      <c r="Q183" s="65">
        <f t="shared" si="63"/>
        <v>0</v>
      </c>
      <c r="R183" s="15"/>
      <c r="S183" s="67"/>
      <c r="T183" s="67"/>
      <c r="U183" s="65">
        <f t="shared" si="64"/>
        <v>0</v>
      </c>
      <c r="V183" s="15"/>
      <c r="W183" s="67"/>
      <c r="X183" s="67"/>
      <c r="Y183" s="67"/>
      <c r="Z183" s="13">
        <f t="shared" si="65"/>
        <v>0</v>
      </c>
      <c r="AA183" s="74"/>
      <c r="AC183" s="81"/>
    </row>
    <row r="184" spans="2:30" ht="19.5" hidden="1" customHeight="1" x14ac:dyDescent="0.2">
      <c r="B184" s="59" t="s">
        <v>16</v>
      </c>
      <c r="C184" s="13"/>
      <c r="D184" s="67"/>
      <c r="E184" s="67"/>
      <c r="F184" s="67"/>
      <c r="G184" s="32"/>
      <c r="H184" s="64"/>
      <c r="I184" s="13"/>
      <c r="J184" s="68"/>
      <c r="K184" s="67"/>
      <c r="L184" s="68"/>
      <c r="M184" s="65">
        <f t="shared" si="61"/>
        <v>0</v>
      </c>
      <c r="N184" s="13">
        <f t="shared" si="62"/>
        <v>0</v>
      </c>
      <c r="O184" s="15"/>
      <c r="P184" s="67"/>
      <c r="Q184" s="65">
        <f t="shared" si="63"/>
        <v>0</v>
      </c>
      <c r="R184" s="15"/>
      <c r="S184" s="67"/>
      <c r="T184" s="67"/>
      <c r="U184" s="65">
        <f t="shared" si="64"/>
        <v>0</v>
      </c>
      <c r="V184" s="15"/>
      <c r="W184" s="67"/>
      <c r="X184" s="67"/>
      <c r="Y184" s="67"/>
      <c r="Z184" s="13">
        <f t="shared" si="65"/>
        <v>0</v>
      </c>
      <c r="AA184" s="74"/>
      <c r="AC184" s="81"/>
    </row>
    <row r="185" spans="2:30" ht="20.25" hidden="1" customHeight="1" thickBot="1" x14ac:dyDescent="0.25">
      <c r="B185" s="59" t="s">
        <v>17</v>
      </c>
      <c r="C185" s="13"/>
      <c r="D185" s="67"/>
      <c r="E185" s="67"/>
      <c r="F185" s="67"/>
      <c r="G185" s="32"/>
      <c r="H185" s="64"/>
      <c r="I185" s="13"/>
      <c r="J185" s="68"/>
      <c r="K185" s="67"/>
      <c r="L185" s="68"/>
      <c r="M185" s="65">
        <f t="shared" si="61"/>
        <v>0</v>
      </c>
      <c r="N185" s="13">
        <f t="shared" si="62"/>
        <v>0</v>
      </c>
      <c r="O185" s="15"/>
      <c r="P185" s="67"/>
      <c r="Q185" s="65">
        <f t="shared" si="63"/>
        <v>0</v>
      </c>
      <c r="R185" s="15"/>
      <c r="S185" s="67"/>
      <c r="T185" s="67"/>
      <c r="U185" s="65">
        <f t="shared" si="64"/>
        <v>0</v>
      </c>
      <c r="V185" s="15"/>
      <c r="W185" s="67"/>
      <c r="X185" s="67"/>
      <c r="Y185" s="67"/>
      <c r="Z185" s="13">
        <f t="shared" si="65"/>
        <v>0</v>
      </c>
      <c r="AA185" s="74"/>
    </row>
    <row r="186" spans="2:30" ht="20.25" hidden="1" customHeight="1" x14ac:dyDescent="0.2">
      <c r="B186" s="59" t="s">
        <v>12</v>
      </c>
      <c r="C186" s="13"/>
      <c r="D186" s="67"/>
      <c r="E186" s="67"/>
      <c r="F186" s="67"/>
      <c r="G186" s="32"/>
      <c r="H186" s="64">
        <f>C186+D186+G186</f>
        <v>0</v>
      </c>
      <c r="I186" s="13"/>
      <c r="J186" s="68"/>
      <c r="K186" s="67"/>
      <c r="L186" s="68">
        <v>5.2799988397000002</v>
      </c>
      <c r="M186" s="65">
        <f t="shared" si="61"/>
        <v>5.2799988397000002</v>
      </c>
      <c r="N186" s="13">
        <f t="shared" si="62"/>
        <v>5.2799988397000002</v>
      </c>
      <c r="O186" s="15">
        <v>1.7967312532980002</v>
      </c>
      <c r="P186" s="67">
        <v>8.5369300283000005</v>
      </c>
      <c r="Q186" s="65">
        <f t="shared" si="63"/>
        <v>10.333661281598001</v>
      </c>
      <c r="R186" s="15"/>
      <c r="S186" s="67">
        <v>10.96011697306</v>
      </c>
      <c r="T186" s="67"/>
      <c r="U186" s="65">
        <f t="shared" si="64"/>
        <v>10.96011697306</v>
      </c>
      <c r="V186" s="15"/>
      <c r="W186" s="67">
        <v>2.940310599</v>
      </c>
      <c r="X186" s="67"/>
      <c r="Y186" s="67">
        <v>233.8</v>
      </c>
      <c r="Z186" s="13">
        <f t="shared" si="65"/>
        <v>263.31408769335798</v>
      </c>
      <c r="AA186" s="74"/>
      <c r="AD186" s="81"/>
    </row>
    <row r="187" spans="2:30" ht="20.25" hidden="1" customHeight="1" x14ac:dyDescent="0.2">
      <c r="B187" s="59" t="s">
        <v>13</v>
      </c>
      <c r="C187" s="13"/>
      <c r="D187" s="67"/>
      <c r="E187" s="67"/>
      <c r="F187" s="67"/>
      <c r="G187" s="32"/>
      <c r="H187" s="64">
        <f>C187+D187+G187</f>
        <v>0</v>
      </c>
      <c r="I187" s="13"/>
      <c r="J187" s="68"/>
      <c r="K187" s="67"/>
      <c r="L187" s="68">
        <v>4.0001161899</v>
      </c>
      <c r="M187" s="65">
        <f t="shared" si="61"/>
        <v>4.0001161899</v>
      </c>
      <c r="N187" s="13">
        <f t="shared" si="62"/>
        <v>4.0001161899</v>
      </c>
      <c r="O187" s="15">
        <v>2.0205615388228102</v>
      </c>
      <c r="P187" s="67">
        <v>9.8794828928999987</v>
      </c>
      <c r="Q187" s="65">
        <f t="shared" si="63"/>
        <v>11.900044431722808</v>
      </c>
      <c r="R187" s="15"/>
      <c r="S187" s="67">
        <v>11.252134485200001</v>
      </c>
      <c r="T187" s="67"/>
      <c r="U187" s="65">
        <f t="shared" si="64"/>
        <v>11.252134485200001</v>
      </c>
      <c r="V187" s="15"/>
      <c r="W187" s="67">
        <v>0.50882679929999997</v>
      </c>
      <c r="X187" s="67"/>
      <c r="Y187" s="67">
        <v>193.5</v>
      </c>
      <c r="Z187" s="13">
        <f t="shared" si="65"/>
        <v>221.16112190612284</v>
      </c>
      <c r="AA187" s="74"/>
      <c r="AD187" s="81"/>
    </row>
    <row r="188" spans="2:30" ht="20.25" hidden="1" customHeight="1" x14ac:dyDescent="0.2">
      <c r="B188" s="59" t="s">
        <v>14</v>
      </c>
      <c r="C188" s="13"/>
      <c r="D188" s="67"/>
      <c r="E188" s="67"/>
      <c r="F188" s="67"/>
      <c r="G188" s="32"/>
      <c r="H188" s="64">
        <f>C188+D188+G188</f>
        <v>0</v>
      </c>
      <c r="I188" s="13"/>
      <c r="J188" s="68"/>
      <c r="K188" s="67"/>
      <c r="L188" s="68">
        <v>7.2935160999999997</v>
      </c>
      <c r="M188" s="65">
        <f t="shared" si="61"/>
        <v>7.2935160999999997</v>
      </c>
      <c r="N188" s="13">
        <f t="shared" si="62"/>
        <v>7.2935160999999997</v>
      </c>
      <c r="O188" s="15">
        <v>0.94519329363890003</v>
      </c>
      <c r="P188" s="67">
        <v>11.810105478279999</v>
      </c>
      <c r="Q188" s="65">
        <f t="shared" si="63"/>
        <v>12.755298771918898</v>
      </c>
      <c r="R188" s="15"/>
      <c r="S188" s="67">
        <v>11.331520512399999</v>
      </c>
      <c r="T188" s="67"/>
      <c r="U188" s="65">
        <f t="shared" si="64"/>
        <v>11.331520512399999</v>
      </c>
      <c r="V188" s="15"/>
      <c r="W188" s="67">
        <v>11.7982257637</v>
      </c>
      <c r="X188" s="67"/>
      <c r="Y188" s="67">
        <v>210.35</v>
      </c>
      <c r="Z188" s="13">
        <f t="shared" si="65"/>
        <v>253.52856114801889</v>
      </c>
      <c r="AA188" s="74"/>
      <c r="AD188" s="81"/>
    </row>
    <row r="189" spans="2:30" ht="20.25" hidden="1" customHeight="1" x14ac:dyDescent="0.2">
      <c r="B189" s="59" t="s">
        <v>15</v>
      </c>
      <c r="C189" s="13"/>
      <c r="D189" s="67"/>
      <c r="E189" s="67"/>
      <c r="F189" s="67"/>
      <c r="G189" s="32"/>
      <c r="H189" s="64"/>
      <c r="I189" s="13"/>
      <c r="J189" s="68"/>
      <c r="K189" s="67"/>
      <c r="L189" s="68">
        <v>5.4127950596999996</v>
      </c>
      <c r="M189" s="65">
        <f t="shared" si="61"/>
        <v>5.4127950596999996</v>
      </c>
      <c r="N189" s="13">
        <f t="shared" si="62"/>
        <v>5.4127950596999996</v>
      </c>
      <c r="O189" s="15">
        <v>0.85060176821812994</v>
      </c>
      <c r="P189" s="67">
        <v>15.170642822800001</v>
      </c>
      <c r="Q189" s="65">
        <f t="shared" si="63"/>
        <v>16.021244591018132</v>
      </c>
      <c r="R189" s="15"/>
      <c r="S189" s="67">
        <v>8.3382810488000008</v>
      </c>
      <c r="T189" s="67"/>
      <c r="U189" s="65">
        <f t="shared" si="64"/>
        <v>8.3382810488000008</v>
      </c>
      <c r="V189" s="75"/>
      <c r="W189" s="67">
        <v>11.641146749800001</v>
      </c>
      <c r="X189" s="67"/>
      <c r="Y189" s="67">
        <v>204.3013753745947</v>
      </c>
      <c r="Z189" s="13">
        <f t="shared" si="65"/>
        <v>245.71484282391285</v>
      </c>
      <c r="AA189" s="74"/>
      <c r="AD189" s="81"/>
    </row>
    <row r="190" spans="2:30" ht="20.25" hidden="1" customHeight="1" x14ac:dyDescent="0.2">
      <c r="B190" s="59" t="s">
        <v>16</v>
      </c>
      <c r="C190" s="13"/>
      <c r="D190" s="67"/>
      <c r="E190" s="67"/>
      <c r="F190" s="67"/>
      <c r="G190" s="32"/>
      <c r="H190" s="64"/>
      <c r="I190" s="32"/>
      <c r="J190" s="68"/>
      <c r="K190" s="67"/>
      <c r="L190" s="68">
        <v>16.059381109869999</v>
      </c>
      <c r="M190" s="65">
        <f t="shared" si="61"/>
        <v>16.059381109869999</v>
      </c>
      <c r="N190" s="32">
        <f t="shared" si="62"/>
        <v>16.059381109869999</v>
      </c>
      <c r="O190" s="15">
        <v>0.85421992512929201</v>
      </c>
      <c r="P190" s="30">
        <v>12.084590273410001</v>
      </c>
      <c r="Q190" s="75">
        <f t="shared" si="63"/>
        <v>12.938810198539294</v>
      </c>
      <c r="R190" s="15"/>
      <c r="S190" s="67">
        <v>30.789686602399996</v>
      </c>
      <c r="T190" s="67"/>
      <c r="U190" s="65">
        <f t="shared" si="64"/>
        <v>30.789686602399996</v>
      </c>
      <c r="V190" s="75"/>
      <c r="W190" s="67">
        <v>0.21676817609999999</v>
      </c>
      <c r="X190" s="67"/>
      <c r="Y190" s="67">
        <v>183.93218060185447</v>
      </c>
      <c r="Z190" s="13">
        <f t="shared" si="65"/>
        <v>243.93682668876377</v>
      </c>
      <c r="AA190" s="74"/>
      <c r="AD190" s="81"/>
    </row>
    <row r="191" spans="2:30" ht="20.25" hidden="1" customHeight="1" x14ac:dyDescent="0.2">
      <c r="B191" s="59" t="s">
        <v>17</v>
      </c>
      <c r="C191" s="32"/>
      <c r="D191" s="67"/>
      <c r="E191" s="67"/>
      <c r="F191" s="67"/>
      <c r="G191" s="32"/>
      <c r="H191" s="64"/>
      <c r="I191" s="32"/>
      <c r="J191" s="68"/>
      <c r="K191" s="67"/>
      <c r="L191" s="68">
        <v>6.3687393300000004</v>
      </c>
      <c r="M191" s="65">
        <f t="shared" si="61"/>
        <v>6.3687393300000004</v>
      </c>
      <c r="N191" s="32">
        <f t="shared" si="62"/>
        <v>6.3687393300000004</v>
      </c>
      <c r="O191" s="15">
        <v>1.3685877333667</v>
      </c>
      <c r="P191" s="30">
        <v>9.5105613480999995</v>
      </c>
      <c r="Q191" s="75">
        <f t="shared" si="63"/>
        <v>10.8791490814667</v>
      </c>
      <c r="R191" s="15"/>
      <c r="S191" s="67">
        <v>12.079479152300001</v>
      </c>
      <c r="T191" s="67"/>
      <c r="U191" s="65">
        <f t="shared" si="64"/>
        <v>12.079479152300001</v>
      </c>
      <c r="V191" s="75"/>
      <c r="W191" s="67">
        <v>14.680622700000001</v>
      </c>
      <c r="X191" s="67"/>
      <c r="Y191" s="67">
        <v>291.94820292202297</v>
      </c>
      <c r="Z191" s="13">
        <f t="shared" si="65"/>
        <v>335.95619318578969</v>
      </c>
      <c r="AA191" s="74"/>
      <c r="AD191" s="81"/>
    </row>
    <row r="192" spans="2:30" ht="20.25" hidden="1" customHeight="1" x14ac:dyDescent="0.2">
      <c r="B192" s="59"/>
      <c r="C192" s="32"/>
      <c r="D192" s="67"/>
      <c r="E192" s="67"/>
      <c r="F192" s="67"/>
      <c r="G192" s="32"/>
      <c r="H192" s="64"/>
      <c r="I192" s="32"/>
      <c r="J192" s="68"/>
      <c r="K192" s="67"/>
      <c r="L192" s="68"/>
      <c r="M192" s="65"/>
      <c r="N192" s="32"/>
      <c r="O192" s="15"/>
      <c r="P192" s="30"/>
      <c r="Q192" s="75"/>
      <c r="R192" s="15"/>
      <c r="S192" s="67"/>
      <c r="T192" s="67"/>
      <c r="U192" s="65"/>
      <c r="V192" s="75"/>
      <c r="W192" s="67"/>
      <c r="X192" s="67"/>
      <c r="Y192" s="67"/>
      <c r="Z192" s="13"/>
      <c r="AA192" s="74"/>
      <c r="AD192" s="81"/>
    </row>
    <row r="193" spans="2:30" ht="20.25" hidden="1" customHeight="1" x14ac:dyDescent="0.2">
      <c r="B193" s="58">
        <v>2007</v>
      </c>
      <c r="C193" s="32">
        <f t="shared" ref="C193:Y193" si="66">SUM(C195:C206)</f>
        <v>4.0682525900000002</v>
      </c>
      <c r="D193" s="32">
        <f t="shared" si="66"/>
        <v>0</v>
      </c>
      <c r="E193" s="32">
        <f t="shared" si="66"/>
        <v>0</v>
      </c>
      <c r="F193" s="32"/>
      <c r="G193" s="32">
        <f t="shared" si="66"/>
        <v>113.75120391273001</v>
      </c>
      <c r="H193" s="64">
        <f t="shared" si="66"/>
        <v>117.81945650272999</v>
      </c>
      <c r="I193" s="32">
        <f t="shared" si="66"/>
        <v>618.48088206099987</v>
      </c>
      <c r="J193" s="32">
        <f t="shared" si="66"/>
        <v>0</v>
      </c>
      <c r="K193" s="32">
        <f t="shared" si="66"/>
        <v>72.851406290999989</v>
      </c>
      <c r="L193" s="32">
        <f t="shared" si="66"/>
        <v>52.326793292099993</v>
      </c>
      <c r="M193" s="65">
        <f t="shared" si="66"/>
        <v>743.65908164409984</v>
      </c>
      <c r="N193" s="32">
        <f t="shared" si="66"/>
        <v>861.47853814682992</v>
      </c>
      <c r="O193" s="15">
        <f t="shared" si="66"/>
        <v>22.853074126181394</v>
      </c>
      <c r="P193" s="30">
        <f t="shared" si="66"/>
        <v>203.40648505640982</v>
      </c>
      <c r="Q193" s="75">
        <f t="shared" si="66"/>
        <v>226.25955918259123</v>
      </c>
      <c r="R193" s="15">
        <f t="shared" si="66"/>
        <v>0</v>
      </c>
      <c r="S193" s="75">
        <f t="shared" si="66"/>
        <v>138.65345849136</v>
      </c>
      <c r="T193" s="75">
        <f t="shared" si="66"/>
        <v>0</v>
      </c>
      <c r="U193" s="65">
        <f t="shared" si="66"/>
        <v>138.65345849136</v>
      </c>
      <c r="V193" s="75">
        <f t="shared" si="66"/>
        <v>0</v>
      </c>
      <c r="W193" s="75">
        <f t="shared" si="66"/>
        <v>54.611143259840006</v>
      </c>
      <c r="X193" s="75"/>
      <c r="Y193" s="75">
        <f t="shared" si="66"/>
        <v>2397.2783495119625</v>
      </c>
      <c r="Z193" s="13">
        <f>SUM(Z195:Z206)</f>
        <v>3678.2810485925843</v>
      </c>
      <c r="AA193" s="74"/>
      <c r="AD193" s="81"/>
    </row>
    <row r="194" spans="2:30" ht="20.25" hidden="1" customHeight="1" x14ac:dyDescent="0.2">
      <c r="B194" s="58"/>
      <c r="C194" s="32"/>
      <c r="D194" s="67"/>
      <c r="E194" s="67"/>
      <c r="F194" s="67"/>
      <c r="G194" s="32"/>
      <c r="H194" s="64"/>
      <c r="I194" s="32"/>
      <c r="J194" s="68"/>
      <c r="K194" s="67"/>
      <c r="L194" s="68"/>
      <c r="M194" s="65"/>
      <c r="N194" s="32"/>
      <c r="O194" s="15"/>
      <c r="P194" s="30"/>
      <c r="Q194" s="75"/>
      <c r="R194" s="15"/>
      <c r="S194" s="67"/>
      <c r="T194" s="67"/>
      <c r="U194" s="65"/>
      <c r="V194" s="75"/>
      <c r="W194" s="75"/>
      <c r="X194" s="75"/>
      <c r="Y194" s="75"/>
      <c r="Z194" s="13"/>
      <c r="AA194" s="74"/>
      <c r="AD194" s="81"/>
    </row>
    <row r="195" spans="2:30" ht="20.25" hidden="1" customHeight="1" x14ac:dyDescent="0.2">
      <c r="B195" s="58" t="s">
        <v>6</v>
      </c>
      <c r="C195" s="32"/>
      <c r="D195" s="67"/>
      <c r="E195" s="67"/>
      <c r="F195" s="67"/>
      <c r="G195" s="32"/>
      <c r="H195" s="64">
        <f>C195+D195+E195+G195</f>
        <v>0</v>
      </c>
      <c r="I195" s="32"/>
      <c r="J195" s="68"/>
      <c r="K195" s="67"/>
      <c r="L195" s="145">
        <v>7.5939351000000004</v>
      </c>
      <c r="M195" s="65">
        <f>+I195+K195+L195</f>
        <v>7.5939351000000004</v>
      </c>
      <c r="N195" s="32">
        <f>H195+M195</f>
        <v>7.5939351000000004</v>
      </c>
      <c r="O195" s="142">
        <v>0.67490992000000005</v>
      </c>
      <c r="P195" s="144">
        <v>12.366689169999844</v>
      </c>
      <c r="Q195" s="75">
        <f>+O195+P195</f>
        <v>13.041599089999844</v>
      </c>
      <c r="R195" s="15"/>
      <c r="S195" s="145">
        <v>5.6745944899999996</v>
      </c>
      <c r="T195" s="67"/>
      <c r="U195" s="65">
        <f>+R195+S195+T195</f>
        <v>5.6745944899999996</v>
      </c>
      <c r="V195" s="75"/>
      <c r="W195" s="145">
        <v>3.1358216699999999</v>
      </c>
      <c r="X195" s="145"/>
      <c r="Y195" s="67">
        <v>173.46365734000017</v>
      </c>
      <c r="Z195" s="13">
        <f t="shared" ref="Z195:Z206" si="67">+Y195+W195+V195+U195+Q195+N195</f>
        <v>202.90960769000003</v>
      </c>
      <c r="AA195" s="74"/>
      <c r="AD195" s="81"/>
    </row>
    <row r="196" spans="2:30" ht="20.25" hidden="1" customHeight="1" x14ac:dyDescent="0.2">
      <c r="B196" s="58" t="s">
        <v>7</v>
      </c>
      <c r="C196" s="32"/>
      <c r="D196" s="67"/>
      <c r="E196" s="67"/>
      <c r="F196" s="67"/>
      <c r="G196" s="32"/>
      <c r="H196" s="64">
        <f t="shared" ref="H196:H206" si="68">C196+D196+E196+G196</f>
        <v>0</v>
      </c>
      <c r="I196" s="32"/>
      <c r="J196" s="68"/>
      <c r="K196" s="67"/>
      <c r="L196" s="143">
        <v>5.4524821303</v>
      </c>
      <c r="M196" s="65">
        <f t="shared" ref="M196:M206" si="69">+I196+K196+L196</f>
        <v>5.4524821303</v>
      </c>
      <c r="N196" s="32">
        <f t="shared" ref="N196:N206" si="70">H196+M196</f>
        <v>5.4524821303</v>
      </c>
      <c r="O196" s="142">
        <v>0.75949320449700009</v>
      </c>
      <c r="P196" s="146">
        <v>15.003216180099999</v>
      </c>
      <c r="Q196" s="75">
        <f t="shared" ref="Q196:Q206" si="71">+O196+P196</f>
        <v>15.762709384596999</v>
      </c>
      <c r="R196" s="15"/>
      <c r="S196" s="67">
        <v>3.3517780564000001</v>
      </c>
      <c r="T196" s="67"/>
      <c r="U196" s="65">
        <f t="shared" ref="U196:U206" si="72">+R196+S196+T196</f>
        <v>3.3517780564000001</v>
      </c>
      <c r="V196" s="75"/>
      <c r="W196" s="145">
        <v>1.057892976</v>
      </c>
      <c r="X196" s="145"/>
      <c r="Y196" s="67">
        <v>180.86323499027043</v>
      </c>
      <c r="Z196" s="13">
        <f t="shared" si="67"/>
        <v>206.48809753756746</v>
      </c>
      <c r="AA196" s="74"/>
      <c r="AD196" s="81"/>
    </row>
    <row r="197" spans="2:30" ht="20.25" hidden="1" customHeight="1" x14ac:dyDescent="0.2">
      <c r="B197" s="58" t="s">
        <v>8</v>
      </c>
      <c r="C197" s="32"/>
      <c r="D197" s="67"/>
      <c r="E197" s="67"/>
      <c r="F197" s="67"/>
      <c r="G197" s="32"/>
      <c r="H197" s="64">
        <f t="shared" si="68"/>
        <v>0</v>
      </c>
      <c r="I197" s="32"/>
      <c r="J197" s="68"/>
      <c r="K197" s="67"/>
      <c r="L197" s="144">
        <v>1.4932189996999998</v>
      </c>
      <c r="M197" s="65">
        <f t="shared" si="69"/>
        <v>1.4932189996999998</v>
      </c>
      <c r="N197" s="32">
        <f t="shared" si="70"/>
        <v>1.4932189996999998</v>
      </c>
      <c r="O197" s="142">
        <v>1.10053044437293</v>
      </c>
      <c r="P197" s="144">
        <v>11.642222642700002</v>
      </c>
      <c r="Q197" s="75">
        <f t="shared" si="71"/>
        <v>12.742753087072932</v>
      </c>
      <c r="R197" s="15"/>
      <c r="S197" s="145">
        <v>6.0035273497999988</v>
      </c>
      <c r="T197" s="67"/>
      <c r="U197" s="65">
        <f t="shared" si="72"/>
        <v>6.0035273497999988</v>
      </c>
      <c r="V197" s="75"/>
      <c r="W197" s="145">
        <v>0.28534079470000001</v>
      </c>
      <c r="X197" s="145"/>
      <c r="Y197" s="67">
        <v>227.05468655529475</v>
      </c>
      <c r="Z197" s="13">
        <f t="shared" si="67"/>
        <v>247.5795267865677</v>
      </c>
      <c r="AA197" s="74"/>
      <c r="AD197" s="81"/>
    </row>
    <row r="198" spans="2:30" ht="20.25" hidden="1" customHeight="1" x14ac:dyDescent="0.2">
      <c r="B198" s="58" t="s">
        <v>9</v>
      </c>
      <c r="C198" s="32"/>
      <c r="D198" s="67"/>
      <c r="E198" s="67"/>
      <c r="F198" s="67"/>
      <c r="G198" s="32"/>
      <c r="H198" s="64">
        <f t="shared" si="68"/>
        <v>0</v>
      </c>
      <c r="I198" s="32"/>
      <c r="J198" s="68"/>
      <c r="K198" s="67"/>
      <c r="L198" s="68">
        <v>2.4840198501000001</v>
      </c>
      <c r="M198" s="65">
        <f t="shared" si="69"/>
        <v>2.4840198501000001</v>
      </c>
      <c r="N198" s="32">
        <f t="shared" si="70"/>
        <v>2.4840198501000001</v>
      </c>
      <c r="O198" s="15">
        <v>1.6337163081336301</v>
      </c>
      <c r="P198" s="30">
        <v>12.0288563351</v>
      </c>
      <c r="Q198" s="75">
        <f t="shared" si="71"/>
        <v>13.662572643233631</v>
      </c>
      <c r="R198" s="15"/>
      <c r="S198" s="67">
        <v>8.4149631127000006</v>
      </c>
      <c r="T198" s="67"/>
      <c r="U198" s="65">
        <f t="shared" si="72"/>
        <v>8.4149631127000006</v>
      </c>
      <c r="V198" s="75"/>
      <c r="W198" s="67">
        <v>0.91454809250000002</v>
      </c>
      <c r="X198" s="67"/>
      <c r="Y198" s="67">
        <v>263.74967809118129</v>
      </c>
      <c r="Z198" s="13">
        <f t="shared" si="67"/>
        <v>289.22578178971492</v>
      </c>
      <c r="AA198" s="74"/>
      <c r="AD198" s="81"/>
    </row>
    <row r="199" spans="2:30" ht="20.25" hidden="1" customHeight="1" x14ac:dyDescent="0.2">
      <c r="B199" s="58" t="s">
        <v>10</v>
      </c>
      <c r="C199" s="32"/>
      <c r="D199" s="67"/>
      <c r="E199" s="67"/>
      <c r="F199" s="67"/>
      <c r="G199" s="32">
        <v>5.8661626099999999</v>
      </c>
      <c r="H199" s="64">
        <f t="shared" si="68"/>
        <v>5.8661626099999999</v>
      </c>
      <c r="I199" s="32"/>
      <c r="J199" s="68"/>
      <c r="K199" s="67"/>
      <c r="L199" s="68">
        <v>0.14425264040000002</v>
      </c>
      <c r="M199" s="65">
        <f t="shared" si="69"/>
        <v>0.14425264040000002</v>
      </c>
      <c r="N199" s="32">
        <f t="shared" si="70"/>
        <v>6.0104152504000004</v>
      </c>
      <c r="O199" s="15">
        <v>5.3263195109055621</v>
      </c>
      <c r="P199" s="30">
        <v>13.855482322379999</v>
      </c>
      <c r="Q199" s="75">
        <f t="shared" si="71"/>
        <v>19.181801833285562</v>
      </c>
      <c r="R199" s="15"/>
      <c r="S199" s="67">
        <v>7.9877703703999998</v>
      </c>
      <c r="T199" s="67"/>
      <c r="U199" s="65">
        <f t="shared" si="72"/>
        <v>7.9877703703999998</v>
      </c>
      <c r="V199" s="75"/>
      <c r="W199" s="67">
        <v>0.11503512959999999</v>
      </c>
      <c r="X199" s="67"/>
      <c r="Y199" s="67">
        <v>250.31827592431861</v>
      </c>
      <c r="Z199" s="13">
        <f t="shared" si="67"/>
        <v>283.61329850800416</v>
      </c>
      <c r="AA199" s="74"/>
      <c r="AD199" s="81"/>
    </row>
    <row r="200" spans="2:30" ht="20.25" hidden="1" customHeight="1" x14ac:dyDescent="0.2">
      <c r="B200" s="58" t="s">
        <v>11</v>
      </c>
      <c r="C200" s="32">
        <v>0</v>
      </c>
      <c r="D200" s="67"/>
      <c r="E200" s="67"/>
      <c r="F200" s="67"/>
      <c r="G200" s="32">
        <v>0</v>
      </c>
      <c r="H200" s="64">
        <f t="shared" si="68"/>
        <v>0</v>
      </c>
      <c r="I200" s="32">
        <v>2.3270929200000001</v>
      </c>
      <c r="J200" s="68"/>
      <c r="K200" s="67">
        <v>14.460540200000001</v>
      </c>
      <c r="L200" s="68">
        <v>4.1859906999999996</v>
      </c>
      <c r="M200" s="65">
        <f t="shared" si="69"/>
        <v>20.97362382</v>
      </c>
      <c r="N200" s="32">
        <f t="shared" si="70"/>
        <v>20.97362382</v>
      </c>
      <c r="O200" s="15">
        <v>2.53461029235147</v>
      </c>
      <c r="P200" s="30">
        <v>14.4143662035</v>
      </c>
      <c r="Q200" s="75">
        <f t="shared" si="71"/>
        <v>16.948976495851468</v>
      </c>
      <c r="R200" s="15"/>
      <c r="S200" s="67">
        <v>25.4761766385</v>
      </c>
      <c r="T200" s="67"/>
      <c r="U200" s="65">
        <f t="shared" si="72"/>
        <v>25.4761766385</v>
      </c>
      <c r="V200" s="75"/>
      <c r="W200" s="67">
        <v>1.3039188541</v>
      </c>
      <c r="X200" s="67"/>
      <c r="Y200" s="67">
        <v>171.55868865768434</v>
      </c>
      <c r="Z200" s="13">
        <f t="shared" si="67"/>
        <v>236.26138446613581</v>
      </c>
      <c r="AA200" s="74"/>
      <c r="AD200" s="81"/>
    </row>
    <row r="201" spans="2:30" ht="20.25" hidden="1" customHeight="1" x14ac:dyDescent="0.2">
      <c r="B201" s="58" t="s">
        <v>12</v>
      </c>
      <c r="C201" s="32"/>
      <c r="D201" s="67"/>
      <c r="E201" s="67"/>
      <c r="F201" s="67"/>
      <c r="G201" s="32">
        <v>7.0489547000000004</v>
      </c>
      <c r="H201" s="64">
        <f t="shared" si="68"/>
        <v>7.0489547000000004</v>
      </c>
      <c r="I201" s="32">
        <v>65.454329909999998</v>
      </c>
      <c r="J201" s="68"/>
      <c r="K201" s="68"/>
      <c r="L201" s="32">
        <v>8.1197497698000003</v>
      </c>
      <c r="M201" s="65">
        <f t="shared" si="69"/>
        <v>73.574079679799993</v>
      </c>
      <c r="N201" s="32">
        <f t="shared" si="70"/>
        <v>80.623034379799989</v>
      </c>
      <c r="O201" s="15">
        <v>1.9082208308339998</v>
      </c>
      <c r="P201" s="30">
        <v>19.7579132792</v>
      </c>
      <c r="Q201" s="75">
        <f t="shared" si="71"/>
        <v>21.666134110034001</v>
      </c>
      <c r="R201" s="15"/>
      <c r="S201" s="67">
        <v>3.7798314336000001</v>
      </c>
      <c r="T201" s="67"/>
      <c r="U201" s="65">
        <f t="shared" si="72"/>
        <v>3.7798314336000001</v>
      </c>
      <c r="V201" s="75"/>
      <c r="W201" s="67">
        <v>7.8024220097000008</v>
      </c>
      <c r="X201" s="67"/>
      <c r="Y201" s="67">
        <v>239.03153986535168</v>
      </c>
      <c r="Z201" s="13">
        <f t="shared" si="67"/>
        <v>352.90296179848571</v>
      </c>
      <c r="AA201" s="74"/>
      <c r="AD201" s="81"/>
    </row>
    <row r="202" spans="2:30" ht="20.25" hidden="1" customHeight="1" x14ac:dyDescent="0.2">
      <c r="B202" s="58" t="s">
        <v>13</v>
      </c>
      <c r="C202" s="32"/>
      <c r="D202" s="67"/>
      <c r="E202" s="67"/>
      <c r="F202" s="67"/>
      <c r="G202" s="32">
        <v>12.39328158</v>
      </c>
      <c r="H202" s="64">
        <f t="shared" si="68"/>
        <v>12.39328158</v>
      </c>
      <c r="I202" s="32">
        <v>75.391368329999992</v>
      </c>
      <c r="J202" s="68"/>
      <c r="K202" s="68"/>
      <c r="L202" s="68">
        <v>0.6646112005</v>
      </c>
      <c r="M202" s="65">
        <f t="shared" si="69"/>
        <v>76.055979530499997</v>
      </c>
      <c r="N202" s="32">
        <f t="shared" si="70"/>
        <v>88.449261110500004</v>
      </c>
      <c r="O202" s="15">
        <v>0.91375791626710001</v>
      </c>
      <c r="P202" s="30">
        <v>22.370734601000002</v>
      </c>
      <c r="Q202" s="140">
        <f t="shared" si="71"/>
        <v>23.284492517267104</v>
      </c>
      <c r="R202" s="75"/>
      <c r="S202" s="67">
        <v>21.189504179900002</v>
      </c>
      <c r="T202" s="67"/>
      <c r="U202" s="65">
        <f t="shared" si="72"/>
        <v>21.189504179900002</v>
      </c>
      <c r="V202" s="75"/>
      <c r="W202" s="67">
        <v>8.7130457214000003</v>
      </c>
      <c r="X202" s="67"/>
      <c r="Y202" s="67">
        <v>286.29098984733241</v>
      </c>
      <c r="Z202" s="13">
        <f t="shared" si="67"/>
        <v>427.92729337639952</v>
      </c>
      <c r="AA202" s="74"/>
      <c r="AD202" s="81"/>
    </row>
    <row r="203" spans="2:30" ht="20.25" hidden="1" customHeight="1" x14ac:dyDescent="0.2">
      <c r="B203" s="58" t="s">
        <v>14</v>
      </c>
      <c r="C203" s="32"/>
      <c r="D203" s="67"/>
      <c r="E203" s="67"/>
      <c r="F203" s="67"/>
      <c r="G203" s="120">
        <v>9.3072005400000002</v>
      </c>
      <c r="H203" s="64">
        <f t="shared" si="68"/>
        <v>9.3072005400000002</v>
      </c>
      <c r="I203" s="67">
        <v>104.77788704999999</v>
      </c>
      <c r="J203" s="34"/>
      <c r="K203" s="32"/>
      <c r="L203" s="68">
        <v>7.0028376999999997</v>
      </c>
      <c r="M203" s="65">
        <f t="shared" si="69"/>
        <v>111.78072474999999</v>
      </c>
      <c r="N203" s="32">
        <f t="shared" si="70"/>
        <v>121.08792528999999</v>
      </c>
      <c r="O203" s="15">
        <v>1.8098064831016001</v>
      </c>
      <c r="P203" s="30">
        <v>19.215182377150001</v>
      </c>
      <c r="Q203" s="140">
        <f t="shared" si="71"/>
        <v>21.0249888602516</v>
      </c>
      <c r="R203" s="75"/>
      <c r="S203" s="67">
        <v>4.5382436889999997</v>
      </c>
      <c r="T203" s="67"/>
      <c r="U203" s="65">
        <f t="shared" si="72"/>
        <v>4.5382436889999997</v>
      </c>
      <c r="V203" s="75"/>
      <c r="W203" s="67">
        <v>5.1633721543000002</v>
      </c>
      <c r="X203" s="67"/>
      <c r="Y203" s="67">
        <v>265.24085852660397</v>
      </c>
      <c r="Z203" s="13">
        <f t="shared" si="67"/>
        <v>417.05538852015559</v>
      </c>
      <c r="AA203" s="74"/>
      <c r="AD203" s="81"/>
    </row>
    <row r="204" spans="2:30" ht="20.25" hidden="1" customHeight="1" x14ac:dyDescent="0.2">
      <c r="B204" s="58" t="s">
        <v>15</v>
      </c>
      <c r="C204" s="32">
        <v>0.4</v>
      </c>
      <c r="D204" s="67"/>
      <c r="E204" s="67"/>
      <c r="F204" s="67"/>
      <c r="G204" s="120">
        <v>14.819185958629999</v>
      </c>
      <c r="H204" s="64">
        <f t="shared" si="68"/>
        <v>15.21918595863</v>
      </c>
      <c r="I204" s="13">
        <v>123.70928314999999</v>
      </c>
      <c r="J204" s="68"/>
      <c r="K204" s="67">
        <v>21.343285999599999</v>
      </c>
      <c r="L204" s="141">
        <v>5.0654602106999995</v>
      </c>
      <c r="M204" s="65">
        <f t="shared" si="69"/>
        <v>150.1180293603</v>
      </c>
      <c r="N204" s="13">
        <f t="shared" si="70"/>
        <v>165.33721531892999</v>
      </c>
      <c r="O204" s="15">
        <v>3.0588862089242004</v>
      </c>
      <c r="P204" s="30">
        <v>19.8414916443</v>
      </c>
      <c r="Q204" s="140">
        <f t="shared" si="71"/>
        <v>22.900377853224199</v>
      </c>
      <c r="R204" s="75"/>
      <c r="S204" s="67">
        <v>9.7423030510400004</v>
      </c>
      <c r="T204" s="67"/>
      <c r="U204" s="65">
        <f t="shared" si="72"/>
        <v>9.7423030510400004</v>
      </c>
      <c r="V204" s="75"/>
      <c r="W204" s="67">
        <v>5.78072560734</v>
      </c>
      <c r="X204" s="67"/>
      <c r="Y204" s="67">
        <v>97.395459678878851</v>
      </c>
      <c r="Z204" s="13">
        <f t="shared" si="67"/>
        <v>301.15608150941307</v>
      </c>
      <c r="AA204" s="74"/>
      <c r="AC204" s="81"/>
      <c r="AD204" s="81"/>
    </row>
    <row r="205" spans="2:30" ht="22.5" hidden="1" customHeight="1" x14ac:dyDescent="0.2">
      <c r="B205" s="58" t="s">
        <v>16</v>
      </c>
      <c r="C205" s="32">
        <v>2.5</v>
      </c>
      <c r="D205" s="67"/>
      <c r="E205" s="67"/>
      <c r="F205" s="67"/>
      <c r="G205" s="120">
        <v>28.316291690199996</v>
      </c>
      <c r="H205" s="64">
        <f t="shared" si="68"/>
        <v>30.816291690199996</v>
      </c>
      <c r="I205" s="13">
        <v>135.92555158099998</v>
      </c>
      <c r="J205" s="68"/>
      <c r="K205" s="67">
        <v>18.3526674698</v>
      </c>
      <c r="L205" s="141">
        <v>5.6209614800000001</v>
      </c>
      <c r="M205" s="65">
        <f t="shared" si="69"/>
        <v>159.89918053079998</v>
      </c>
      <c r="N205" s="13">
        <f t="shared" si="70"/>
        <v>190.71547222099997</v>
      </c>
      <c r="O205" s="15">
        <v>0.93331874919289992</v>
      </c>
      <c r="P205" s="30">
        <v>28.58176400908</v>
      </c>
      <c r="Q205" s="140">
        <f t="shared" si="71"/>
        <v>29.5150827582729</v>
      </c>
      <c r="R205" s="75"/>
      <c r="S205" s="67">
        <v>13.96141482036</v>
      </c>
      <c r="T205" s="67"/>
      <c r="U205" s="65">
        <f t="shared" si="72"/>
        <v>13.96141482036</v>
      </c>
      <c r="V205" s="75"/>
      <c r="W205" s="67">
        <v>2.7665419341000002</v>
      </c>
      <c r="X205" s="67"/>
      <c r="Y205" s="67">
        <v>97.141204715024941</v>
      </c>
      <c r="Z205" s="13">
        <f t="shared" si="67"/>
        <v>334.09971644875782</v>
      </c>
      <c r="AA205" s="74"/>
      <c r="AB205" s="34"/>
      <c r="AC205" s="81"/>
      <c r="AD205" s="81"/>
    </row>
    <row r="206" spans="2:30" ht="22.5" hidden="1" customHeight="1" x14ac:dyDescent="0.2">
      <c r="B206" s="58" t="s">
        <v>17</v>
      </c>
      <c r="C206" s="32">
        <v>1.16825259</v>
      </c>
      <c r="D206" s="67"/>
      <c r="E206" s="67"/>
      <c r="F206" s="67"/>
      <c r="G206" s="120">
        <v>36.000126833899998</v>
      </c>
      <c r="H206" s="64">
        <f t="shared" si="68"/>
        <v>37.168379423899999</v>
      </c>
      <c r="I206" s="13">
        <v>110.89536912</v>
      </c>
      <c r="J206" s="68"/>
      <c r="K206" s="67">
        <v>18.6949126216</v>
      </c>
      <c r="L206" s="141">
        <v>4.4992735106000001</v>
      </c>
      <c r="M206" s="65">
        <f t="shared" si="69"/>
        <v>134.0895552522</v>
      </c>
      <c r="N206" s="13">
        <f t="shared" si="70"/>
        <v>171.25793467610001</v>
      </c>
      <c r="O206" s="15">
        <v>2.1995042576009998</v>
      </c>
      <c r="P206" s="30">
        <v>14.3285662919</v>
      </c>
      <c r="Q206" s="140">
        <f t="shared" si="71"/>
        <v>16.528070549500999</v>
      </c>
      <c r="R206" s="75"/>
      <c r="S206" s="67">
        <v>28.533351299659998</v>
      </c>
      <c r="T206" s="67"/>
      <c r="U206" s="65">
        <f t="shared" si="72"/>
        <v>28.533351299659998</v>
      </c>
      <c r="V206" s="75"/>
      <c r="W206" s="67">
        <v>17.5724783161</v>
      </c>
      <c r="X206" s="67"/>
      <c r="Y206" s="67">
        <v>145.17007532002128</v>
      </c>
      <c r="Z206" s="13">
        <f t="shared" si="67"/>
        <v>379.06191016138229</v>
      </c>
      <c r="AA206" s="74"/>
      <c r="AB206" s="34"/>
      <c r="AC206" s="81"/>
      <c r="AD206" s="81"/>
    </row>
    <row r="207" spans="2:30" ht="20.25" hidden="1" customHeight="1" x14ac:dyDescent="0.2">
      <c r="B207" s="148"/>
      <c r="C207" s="32"/>
      <c r="D207" s="67"/>
      <c r="E207" s="67"/>
      <c r="F207" s="67"/>
      <c r="G207" s="120"/>
      <c r="H207" s="32"/>
      <c r="I207" s="13"/>
      <c r="J207" s="68"/>
      <c r="K207" s="67"/>
      <c r="L207" s="141"/>
      <c r="M207" s="75"/>
      <c r="N207" s="13"/>
      <c r="O207" s="15"/>
      <c r="P207" s="30"/>
      <c r="Q207" s="140"/>
      <c r="R207" s="75"/>
      <c r="S207" s="67"/>
      <c r="T207" s="67"/>
      <c r="U207" s="65"/>
      <c r="V207" s="75"/>
      <c r="W207" s="67"/>
      <c r="X207" s="67"/>
      <c r="Y207" s="67"/>
      <c r="Z207" s="13"/>
      <c r="AA207" s="74"/>
      <c r="AB207" s="34"/>
      <c r="AD207" s="81"/>
    </row>
    <row r="208" spans="2:30" ht="20.25" hidden="1" customHeight="1" x14ac:dyDescent="0.2">
      <c r="B208" s="58"/>
      <c r="C208" s="32"/>
      <c r="D208" s="67"/>
      <c r="E208" s="67"/>
      <c r="F208" s="67"/>
      <c r="G208" s="120"/>
      <c r="H208" s="64"/>
      <c r="I208" s="13"/>
      <c r="J208" s="68"/>
      <c r="K208" s="67"/>
      <c r="L208" s="141"/>
      <c r="M208" s="65"/>
      <c r="N208" s="13"/>
      <c r="O208" s="15"/>
      <c r="P208" s="30"/>
      <c r="Q208" s="140"/>
      <c r="R208" s="75"/>
      <c r="S208" s="67"/>
      <c r="T208" s="67"/>
      <c r="U208" s="65"/>
      <c r="V208" s="75"/>
      <c r="W208" s="67"/>
      <c r="X208" s="67"/>
      <c r="Y208" s="67"/>
      <c r="Z208" s="13"/>
      <c r="AA208" s="74"/>
      <c r="AB208" s="34"/>
      <c r="AC208" s="81"/>
      <c r="AD208" s="81"/>
    </row>
    <row r="209" spans="2:31" ht="20.25" hidden="1" customHeight="1" x14ac:dyDescent="0.2">
      <c r="B209" s="58">
        <v>2008</v>
      </c>
      <c r="C209" s="32">
        <f t="shared" ref="C209:X209" si="73">SUM(C211:C222)</f>
        <v>74.869294794247324</v>
      </c>
      <c r="D209" s="32">
        <f t="shared" si="73"/>
        <v>0.47187847128479199</v>
      </c>
      <c r="E209" s="32">
        <f t="shared" si="73"/>
        <v>0</v>
      </c>
      <c r="F209" s="32">
        <f t="shared" si="73"/>
        <v>290.33234763112648</v>
      </c>
      <c r="G209" s="32">
        <f t="shared" si="73"/>
        <v>328.85697965741747</v>
      </c>
      <c r="H209" s="64">
        <f t="shared" si="73"/>
        <v>694.53050055407596</v>
      </c>
      <c r="I209" s="32">
        <f t="shared" si="73"/>
        <v>2112.8416196783583</v>
      </c>
      <c r="J209" s="32">
        <f t="shared" si="73"/>
        <v>0</v>
      </c>
      <c r="K209" s="32">
        <f t="shared" si="73"/>
        <v>143.82062113552374</v>
      </c>
      <c r="L209" s="32">
        <f t="shared" si="73"/>
        <v>69.376788967602664</v>
      </c>
      <c r="M209" s="65">
        <f t="shared" si="73"/>
        <v>2326.0390297814847</v>
      </c>
      <c r="N209" s="32">
        <f t="shared" si="73"/>
        <v>3020.5695303355606</v>
      </c>
      <c r="O209" s="15">
        <f t="shared" si="73"/>
        <v>19.895952554792594</v>
      </c>
      <c r="P209" s="30">
        <f t="shared" si="73"/>
        <v>0</v>
      </c>
      <c r="Q209" s="75">
        <f t="shared" si="73"/>
        <v>19.895952554792594</v>
      </c>
      <c r="R209" s="15">
        <f t="shared" si="73"/>
        <v>0</v>
      </c>
      <c r="S209" s="75">
        <f t="shared" si="73"/>
        <v>202.78871390746414</v>
      </c>
      <c r="T209" s="75">
        <f t="shared" si="73"/>
        <v>0</v>
      </c>
      <c r="U209" s="65">
        <f t="shared" si="73"/>
        <v>202.78871390746414</v>
      </c>
      <c r="V209" s="75">
        <f t="shared" si="73"/>
        <v>0</v>
      </c>
      <c r="W209" s="75">
        <f t="shared" si="73"/>
        <v>57.097831723493357</v>
      </c>
      <c r="X209" s="75">
        <f t="shared" si="73"/>
        <v>245.25080238603709</v>
      </c>
      <c r="Y209" s="75">
        <f>SUM(Y211:Y222)</f>
        <v>1372.9873520691076</v>
      </c>
      <c r="Z209" s="13">
        <f>SUM(Z211:Z222)</f>
        <v>4918.5901829764553</v>
      </c>
      <c r="AA209" s="74">
        <f>SUM(AA211:AA338)</f>
        <v>0</v>
      </c>
      <c r="AD209" s="81"/>
    </row>
    <row r="210" spans="2:31" ht="20.25" hidden="1" customHeight="1" x14ac:dyDescent="0.2">
      <c r="B210" s="58"/>
      <c r="C210" s="32"/>
      <c r="D210" s="67"/>
      <c r="E210" s="67"/>
      <c r="F210" s="67"/>
      <c r="G210" s="32"/>
      <c r="H210" s="64"/>
      <c r="I210" s="32"/>
      <c r="J210" s="68"/>
      <c r="K210" s="67"/>
      <c r="L210" s="68"/>
      <c r="M210" s="65"/>
      <c r="N210" s="32"/>
      <c r="O210" s="15"/>
      <c r="P210" s="30"/>
      <c r="Q210" s="75"/>
      <c r="R210" s="15"/>
      <c r="S210" s="67"/>
      <c r="T210" s="67"/>
      <c r="U210" s="65"/>
      <c r="V210" s="75"/>
      <c r="W210" s="75"/>
      <c r="X210" s="75"/>
      <c r="Y210" s="75"/>
      <c r="Z210" s="13"/>
      <c r="AA210" s="74"/>
      <c r="AD210" s="81"/>
    </row>
    <row r="211" spans="2:31" ht="20.25" hidden="1" customHeight="1" x14ac:dyDescent="0.2">
      <c r="B211" s="58" t="s">
        <v>6</v>
      </c>
      <c r="C211" s="32">
        <v>8.1585629799999992</v>
      </c>
      <c r="D211" s="67"/>
      <c r="E211" s="67"/>
      <c r="F211" s="67"/>
      <c r="G211" s="32">
        <f>33.9134683999-C211</f>
        <v>25.754905419899998</v>
      </c>
      <c r="H211" s="64">
        <f t="shared" ref="H211:H219" si="74">C211+D211+E211+G211+F211</f>
        <v>33.913468399899998</v>
      </c>
      <c r="I211" s="32">
        <v>119.25127898</v>
      </c>
      <c r="J211" s="68"/>
      <c r="K211" s="67">
        <v>11.764198192</v>
      </c>
      <c r="L211" s="145">
        <v>11.6557886996</v>
      </c>
      <c r="M211" s="65">
        <f t="shared" ref="M211:M219" si="75">+I211+K211+L211</f>
        <v>142.67126587160001</v>
      </c>
      <c r="N211" s="32">
        <f t="shared" ref="N211:N219" si="76">H211+M211</f>
        <v>176.5847342715</v>
      </c>
      <c r="O211" s="142">
        <v>1.0177082418359999</v>
      </c>
      <c r="P211" s="144"/>
      <c r="Q211" s="75">
        <f t="shared" ref="Q211:Q219" si="77">+O211+P211</f>
        <v>1.0177082418359999</v>
      </c>
      <c r="R211" s="15"/>
      <c r="S211" s="145">
        <v>4.4356856900999997</v>
      </c>
      <c r="T211" s="67"/>
      <c r="U211" s="65">
        <f t="shared" ref="U211:U219" si="78">+R211+S211+T211</f>
        <v>4.4356856900999997</v>
      </c>
      <c r="V211" s="75"/>
      <c r="W211" s="145">
        <v>1.8056197008999999</v>
      </c>
      <c r="X211" s="145">
        <v>35.915072809999998</v>
      </c>
      <c r="Y211" s="67">
        <v>149.0327191888108</v>
      </c>
      <c r="Z211" s="13">
        <f t="shared" ref="Z211:Z219" si="79">+Y211+W211+V211+U211+Q211+N211+X211</f>
        <v>368.79153990314683</v>
      </c>
      <c r="AA211" s="74"/>
      <c r="AD211" s="81"/>
      <c r="AE211" s="81"/>
    </row>
    <row r="212" spans="2:31" ht="20.25" hidden="1" customHeight="1" x14ac:dyDescent="0.2">
      <c r="B212" s="58" t="s">
        <v>7</v>
      </c>
      <c r="C212" s="32">
        <v>1.3651438200000001</v>
      </c>
      <c r="D212" s="67"/>
      <c r="E212" s="67"/>
      <c r="F212" s="67">
        <v>26.445521020000001</v>
      </c>
      <c r="G212" s="32">
        <f>29.3919051012-C212</f>
        <v>28.026761281199999</v>
      </c>
      <c r="H212" s="64">
        <f t="shared" si="74"/>
        <v>55.837426121199996</v>
      </c>
      <c r="I212" s="32">
        <v>148.26271985100001</v>
      </c>
      <c r="J212" s="68"/>
      <c r="K212" s="67">
        <v>9.247991969000001</v>
      </c>
      <c r="L212" s="143">
        <v>3.2780370400000001</v>
      </c>
      <c r="M212" s="65">
        <f t="shared" si="75"/>
        <v>160.78874886</v>
      </c>
      <c r="N212" s="32">
        <f t="shared" si="76"/>
        <v>216.62617498119999</v>
      </c>
      <c r="O212" s="142">
        <v>0.88731357693750001</v>
      </c>
      <c r="P212" s="146"/>
      <c r="Q212" s="75">
        <f t="shared" si="77"/>
        <v>0.88731357693750001</v>
      </c>
      <c r="R212" s="15"/>
      <c r="S212" s="67">
        <v>16.363762042000001</v>
      </c>
      <c r="T212" s="67"/>
      <c r="U212" s="65">
        <f t="shared" si="78"/>
        <v>16.363762042000001</v>
      </c>
      <c r="V212" s="75"/>
      <c r="W212" s="145">
        <v>8.3424049609999997</v>
      </c>
      <c r="X212" s="143">
        <v>23.0378501215</v>
      </c>
      <c r="Y212" s="67">
        <v>157.88225104903972</v>
      </c>
      <c r="Z212" s="13">
        <f t="shared" si="79"/>
        <v>423.13975673167721</v>
      </c>
      <c r="AA212" s="74"/>
      <c r="AD212" s="81"/>
      <c r="AE212" s="81"/>
    </row>
    <row r="213" spans="2:31" ht="20.25" hidden="1" customHeight="1" x14ac:dyDescent="0.2">
      <c r="B213" s="58" t="s">
        <v>8</v>
      </c>
      <c r="C213" s="32">
        <v>0.2</v>
      </c>
      <c r="D213" s="67"/>
      <c r="E213" s="67"/>
      <c r="F213" s="67">
        <v>44.242091969000001</v>
      </c>
      <c r="G213" s="32">
        <f>33.0301010249-C213</f>
        <v>32.830101024899996</v>
      </c>
      <c r="H213" s="64">
        <f t="shared" si="74"/>
        <v>77.272192993900006</v>
      </c>
      <c r="I213" s="32">
        <v>135.46120819999999</v>
      </c>
      <c r="J213" s="68"/>
      <c r="K213" s="67">
        <v>11.1620214804</v>
      </c>
      <c r="L213" s="144">
        <v>5.7072126003000001</v>
      </c>
      <c r="M213" s="65">
        <f t="shared" si="75"/>
        <v>152.3304422807</v>
      </c>
      <c r="N213" s="32">
        <f t="shared" si="76"/>
        <v>229.6026352746</v>
      </c>
      <c r="O213" s="142">
        <v>2.3372083605195</v>
      </c>
      <c r="P213" s="144"/>
      <c r="Q213" s="75">
        <f t="shared" si="77"/>
        <v>2.3372083605195</v>
      </c>
      <c r="R213" s="15"/>
      <c r="S213" s="145">
        <v>6.5825776028999989</v>
      </c>
      <c r="T213" s="67"/>
      <c r="U213" s="65">
        <f t="shared" si="78"/>
        <v>6.5825776028999989</v>
      </c>
      <c r="V213" s="75"/>
      <c r="W213" s="145">
        <v>2.4585635449000001</v>
      </c>
      <c r="X213" s="145">
        <v>22.379986594910001</v>
      </c>
      <c r="Y213" s="67">
        <v>139.18124980637666</v>
      </c>
      <c r="Z213" s="13">
        <f t="shared" si="79"/>
        <v>402.54222118420614</v>
      </c>
      <c r="AA213" s="74"/>
      <c r="AD213" s="81"/>
      <c r="AE213" s="81"/>
    </row>
    <row r="214" spans="2:31" ht="20.25" hidden="1" customHeight="1" x14ac:dyDescent="0.2">
      <c r="B214" s="58" t="s">
        <v>9</v>
      </c>
      <c r="C214" s="32">
        <v>2.3726221098</v>
      </c>
      <c r="D214" s="67"/>
      <c r="E214" s="67"/>
      <c r="F214" s="67">
        <v>55.320880891999998</v>
      </c>
      <c r="G214" s="32">
        <f>35.9703646801-C214</f>
        <v>33.597742570299999</v>
      </c>
      <c r="H214" s="64">
        <f t="shared" si="74"/>
        <v>91.291245572099996</v>
      </c>
      <c r="I214" s="32">
        <v>219.81276370009999</v>
      </c>
      <c r="J214" s="68"/>
      <c r="K214" s="32">
        <v>20.260400421</v>
      </c>
      <c r="L214" s="144">
        <v>3.3381055696999997</v>
      </c>
      <c r="M214" s="65">
        <f t="shared" si="75"/>
        <v>243.41126969079997</v>
      </c>
      <c r="N214" s="32">
        <f t="shared" si="76"/>
        <v>334.70251526289996</v>
      </c>
      <c r="O214" s="142">
        <v>1.8756602778851699</v>
      </c>
      <c r="P214" s="144"/>
      <c r="Q214" s="75">
        <f t="shared" si="77"/>
        <v>1.8756602778851699</v>
      </c>
      <c r="R214" s="15"/>
      <c r="S214" s="145">
        <v>12.644929455740002</v>
      </c>
      <c r="T214" s="67"/>
      <c r="U214" s="65">
        <f t="shared" si="78"/>
        <v>12.644929455740002</v>
      </c>
      <c r="V214" s="75"/>
      <c r="W214" s="145">
        <v>2.5003005225999999</v>
      </c>
      <c r="X214" s="145">
        <v>16.821453155890001</v>
      </c>
      <c r="Y214" s="67">
        <v>143.52720146833207</v>
      </c>
      <c r="Z214" s="13">
        <f t="shared" si="79"/>
        <v>512.07206014334724</v>
      </c>
      <c r="AA214" s="74"/>
      <c r="AD214" s="81"/>
      <c r="AE214" s="81"/>
    </row>
    <row r="215" spans="2:31" ht="20.25" hidden="1" customHeight="1" x14ac:dyDescent="0.2">
      <c r="B215" s="58" t="s">
        <v>10</v>
      </c>
      <c r="C215" s="32">
        <v>6.9164127221740017</v>
      </c>
      <c r="D215" s="67">
        <v>0</v>
      </c>
      <c r="E215" s="67"/>
      <c r="F215" s="67">
        <v>32.065138590827367</v>
      </c>
      <c r="G215" s="32">
        <f>38.2353881986062-C215</f>
        <v>31.3189754764322</v>
      </c>
      <c r="H215" s="64">
        <f t="shared" si="74"/>
        <v>70.300526789433576</v>
      </c>
      <c r="I215" s="32">
        <v>168.90374742</v>
      </c>
      <c r="J215" s="68"/>
      <c r="K215" s="32">
        <v>10.65045491166298</v>
      </c>
      <c r="L215" s="144">
        <v>6.1034070895027615</v>
      </c>
      <c r="M215" s="65">
        <f t="shared" si="75"/>
        <v>185.65760942116574</v>
      </c>
      <c r="N215" s="32">
        <f t="shared" si="76"/>
        <v>255.95813621059932</v>
      </c>
      <c r="O215" s="142">
        <v>1.1478288261677561</v>
      </c>
      <c r="P215" s="144"/>
      <c r="Q215" s="75">
        <f t="shared" si="77"/>
        <v>1.1478288261677561</v>
      </c>
      <c r="R215" s="15"/>
      <c r="S215" s="145">
        <v>6.2133956104999992</v>
      </c>
      <c r="T215" s="67"/>
      <c r="U215" s="65">
        <f t="shared" si="78"/>
        <v>6.2133956104999992</v>
      </c>
      <c r="V215" s="75"/>
      <c r="W215" s="145">
        <v>2.5091114389883491</v>
      </c>
      <c r="X215" s="145">
        <v>15.39770996942628</v>
      </c>
      <c r="Y215" s="67">
        <v>131.07449424518038</v>
      </c>
      <c r="Z215" s="13">
        <f t="shared" si="79"/>
        <v>412.30067630086205</v>
      </c>
      <c r="AA215" s="74"/>
      <c r="AD215" s="81"/>
      <c r="AE215" s="81"/>
    </row>
    <row r="216" spans="2:31" ht="20.25" hidden="1" customHeight="1" x14ac:dyDescent="0.2">
      <c r="B216" s="58" t="s">
        <v>11</v>
      </c>
      <c r="C216" s="32">
        <v>9.7345655100999995</v>
      </c>
      <c r="D216" s="67">
        <v>0.1530155215</v>
      </c>
      <c r="E216" s="67"/>
      <c r="F216" s="67">
        <v>19.298267440929372</v>
      </c>
      <c r="G216" s="32">
        <v>22.124485503899997</v>
      </c>
      <c r="H216" s="64">
        <f t="shared" si="74"/>
        <v>51.310333976429369</v>
      </c>
      <c r="I216" s="32">
        <v>167.748501310585</v>
      </c>
      <c r="J216" s="68"/>
      <c r="K216" s="32">
        <v>19.06573055166319</v>
      </c>
      <c r="L216" s="144">
        <v>3.7966633595963906</v>
      </c>
      <c r="M216" s="65">
        <f t="shared" si="75"/>
        <v>190.61089522184457</v>
      </c>
      <c r="N216" s="64">
        <f t="shared" si="76"/>
        <v>241.92122919827395</v>
      </c>
      <c r="O216" s="142">
        <v>0.83207242667735071</v>
      </c>
      <c r="P216" s="144"/>
      <c r="Q216" s="65">
        <f t="shared" si="77"/>
        <v>0.83207242667735071</v>
      </c>
      <c r="R216" s="15"/>
      <c r="S216" s="145">
        <v>12.235373311445921</v>
      </c>
      <c r="T216" s="67"/>
      <c r="U216" s="65">
        <f t="shared" si="78"/>
        <v>12.235373311445921</v>
      </c>
      <c r="V216" s="75"/>
      <c r="W216" s="145">
        <v>1.612524209143249</v>
      </c>
      <c r="X216" s="145">
        <v>15.761831063866886</v>
      </c>
      <c r="Y216" s="67">
        <v>89.674726826705182</v>
      </c>
      <c r="Z216" s="13">
        <f t="shared" si="79"/>
        <v>362.03775703611257</v>
      </c>
      <c r="AA216" s="74"/>
      <c r="AD216" s="81"/>
      <c r="AE216" s="81"/>
    </row>
    <row r="217" spans="2:31" s="34" customFormat="1" ht="20.25" hidden="1" customHeight="1" x14ac:dyDescent="0.2">
      <c r="B217" s="58" t="s">
        <v>12</v>
      </c>
      <c r="C217" s="32">
        <v>9.7749203005225347</v>
      </c>
      <c r="D217" s="67">
        <v>0</v>
      </c>
      <c r="E217" s="67"/>
      <c r="F217" s="67">
        <v>74.648298568644122</v>
      </c>
      <c r="G217" s="32">
        <v>32.145478844100005</v>
      </c>
      <c r="H217" s="64">
        <f t="shared" si="74"/>
        <v>116.56869771326666</v>
      </c>
      <c r="I217" s="32">
        <v>152.6</v>
      </c>
      <c r="J217" s="68"/>
      <c r="K217" s="67">
        <v>7.7032744696536346</v>
      </c>
      <c r="L217" s="68">
        <v>10.3</v>
      </c>
      <c r="M217" s="65">
        <f t="shared" si="75"/>
        <v>170.60327446965363</v>
      </c>
      <c r="N217" s="32">
        <f t="shared" si="76"/>
        <v>287.17197218292029</v>
      </c>
      <c r="O217" s="15">
        <v>1.9</v>
      </c>
      <c r="P217" s="30"/>
      <c r="Q217" s="75">
        <f t="shared" si="77"/>
        <v>1.9</v>
      </c>
      <c r="R217" s="15"/>
      <c r="S217" s="67">
        <v>16.8</v>
      </c>
      <c r="T217" s="67"/>
      <c r="U217" s="65">
        <f t="shared" si="78"/>
        <v>16.8</v>
      </c>
      <c r="V217" s="75"/>
      <c r="W217" s="75">
        <v>3.9456931009532141</v>
      </c>
      <c r="X217" s="75">
        <v>17.19708633562518</v>
      </c>
      <c r="Y217" s="75">
        <v>233.07</v>
      </c>
      <c r="Z217" s="13">
        <f t="shared" si="79"/>
        <v>560.08475161949866</v>
      </c>
      <c r="AA217" s="74"/>
      <c r="AD217" s="152"/>
      <c r="AE217" s="81"/>
    </row>
    <row r="218" spans="2:31" ht="20.25" hidden="1" customHeight="1" x14ac:dyDescent="0.2">
      <c r="B218" s="58" t="s">
        <v>13</v>
      </c>
      <c r="C218" s="32">
        <v>13.980311618315694</v>
      </c>
      <c r="D218" s="67"/>
      <c r="E218" s="67"/>
      <c r="F218" s="67">
        <v>18.30999461971129</v>
      </c>
      <c r="G218" s="32">
        <f>38.7017697610817-C218</f>
        <v>24.721458142766004</v>
      </c>
      <c r="H218" s="64">
        <f t="shared" si="74"/>
        <v>57.011764380792989</v>
      </c>
      <c r="I218" s="32">
        <v>201.62585948985742</v>
      </c>
      <c r="J218" s="68"/>
      <c r="K218" s="67">
        <v>18.452672560313694</v>
      </c>
      <c r="L218" s="68">
        <v>4.3597157593749998</v>
      </c>
      <c r="M218" s="65">
        <f t="shared" si="75"/>
        <v>224.43824780954611</v>
      </c>
      <c r="N218" s="32">
        <f t="shared" si="76"/>
        <v>281.45001219033912</v>
      </c>
      <c r="O218" s="15">
        <v>0.97140322840688864</v>
      </c>
      <c r="P218" s="30"/>
      <c r="Q218" s="75">
        <f t="shared" si="77"/>
        <v>0.97140322840688864</v>
      </c>
      <c r="R218" s="15"/>
      <c r="S218" s="67">
        <v>19.614735660085906</v>
      </c>
      <c r="T218" s="67"/>
      <c r="U218" s="65">
        <f t="shared" si="78"/>
        <v>19.614735660085906</v>
      </c>
      <c r="V218" s="75"/>
      <c r="W218" s="75">
        <v>8.3648944785153709</v>
      </c>
      <c r="X218" s="75">
        <v>16.040664686340346</v>
      </c>
      <c r="Y218" s="75">
        <v>107.26643292979924</v>
      </c>
      <c r="Z218" s="13">
        <f t="shared" si="79"/>
        <v>433.70814317348686</v>
      </c>
      <c r="AA218" s="74"/>
      <c r="AD218" s="81"/>
      <c r="AE218" s="81"/>
    </row>
    <row r="219" spans="2:31" ht="20.25" hidden="1" customHeight="1" x14ac:dyDescent="0.2">
      <c r="B219" s="58" t="s">
        <v>14</v>
      </c>
      <c r="C219" s="32">
        <v>2.2325951623462101</v>
      </c>
      <c r="D219" s="67">
        <v>0</v>
      </c>
      <c r="E219" s="67"/>
      <c r="F219" s="67">
        <v>13.78371453001431</v>
      </c>
      <c r="G219" s="32">
        <f>31.6420197017748-C219</f>
        <v>29.409424539428588</v>
      </c>
      <c r="H219" s="64">
        <f t="shared" si="74"/>
        <v>45.425734231789107</v>
      </c>
      <c r="I219" s="32">
        <v>214.9314861896564</v>
      </c>
      <c r="J219" s="68"/>
      <c r="K219" s="32">
        <v>24.159346778957076</v>
      </c>
      <c r="L219" s="144">
        <v>1.1684203891273239</v>
      </c>
      <c r="M219" s="65">
        <f t="shared" si="75"/>
        <v>240.25925335774082</v>
      </c>
      <c r="N219" s="64">
        <f t="shared" si="76"/>
        <v>285.6849875895299</v>
      </c>
      <c r="O219" s="142">
        <v>1.0542527510069826</v>
      </c>
      <c r="P219" s="144"/>
      <c r="Q219" s="65">
        <f t="shared" si="77"/>
        <v>1.0542527510069826</v>
      </c>
      <c r="R219" s="15"/>
      <c r="S219" s="145">
        <v>9.9587933897307561</v>
      </c>
      <c r="T219" s="67"/>
      <c r="U219" s="65">
        <f t="shared" si="78"/>
        <v>9.9587933897307561</v>
      </c>
      <c r="V219" s="75"/>
      <c r="W219" s="145">
        <v>4.5619727160932397</v>
      </c>
      <c r="X219" s="145">
        <v>19.573037038097088</v>
      </c>
      <c r="Y219" s="67">
        <v>50.638276554863438</v>
      </c>
      <c r="Z219" s="13">
        <f t="shared" si="79"/>
        <v>371.47132003932137</v>
      </c>
      <c r="AA219" s="74"/>
      <c r="AD219" s="81"/>
      <c r="AE219" s="81"/>
    </row>
    <row r="220" spans="2:31" ht="20.25" hidden="1" customHeight="1" x14ac:dyDescent="0.2">
      <c r="B220" s="58" t="s">
        <v>15</v>
      </c>
      <c r="C220" s="32">
        <v>2.6045322395685169</v>
      </c>
      <c r="D220" s="67">
        <v>0</v>
      </c>
      <c r="E220" s="67"/>
      <c r="F220" s="67">
        <v>0</v>
      </c>
      <c r="G220" s="32">
        <v>24.7</v>
      </c>
      <c r="H220" s="64">
        <f>C220+D220+E220+G220+F220</f>
        <v>27.304532239568516</v>
      </c>
      <c r="I220" s="32">
        <v>184.47633357962701</v>
      </c>
      <c r="J220" s="68"/>
      <c r="K220" s="32">
        <v>7.8923110203853213</v>
      </c>
      <c r="L220" s="144">
        <v>10.045579991018117</v>
      </c>
      <c r="M220" s="65">
        <f>+I220+K220+L220</f>
        <v>202.41422459103043</v>
      </c>
      <c r="N220" s="64">
        <f>H220+M220</f>
        <v>229.71875683059895</v>
      </c>
      <c r="O220" s="142">
        <v>3.7742454665079239</v>
      </c>
      <c r="P220" s="144"/>
      <c r="Q220" s="65">
        <f>+O220+P220</f>
        <v>3.7742454665079239</v>
      </c>
      <c r="R220" s="15"/>
      <c r="S220" s="145">
        <v>22.359678730875178</v>
      </c>
      <c r="T220" s="67"/>
      <c r="U220" s="65">
        <f>+R220+S220+T220</f>
        <v>22.359678730875178</v>
      </c>
      <c r="V220" s="75"/>
      <c r="W220" s="145">
        <v>8.1677453706068555</v>
      </c>
      <c r="X220" s="145">
        <v>21.536449121486065</v>
      </c>
      <c r="Y220" s="67">
        <v>31.14</v>
      </c>
      <c r="Z220" s="13">
        <f>+Y220+W220+V220+U220+Q220+N220+X220</f>
        <v>316.69687552007497</v>
      </c>
      <c r="AA220" s="74"/>
      <c r="AD220" s="81"/>
      <c r="AE220" s="81"/>
    </row>
    <row r="221" spans="2:31" ht="20.25" hidden="1" customHeight="1" x14ac:dyDescent="0.2">
      <c r="B221" s="58" t="s">
        <v>16</v>
      </c>
      <c r="C221" s="32">
        <v>5.1036708206599712</v>
      </c>
      <c r="D221" s="67">
        <v>0.31886294978479196</v>
      </c>
      <c r="E221" s="67"/>
      <c r="F221" s="67">
        <v>0</v>
      </c>
      <c r="G221" s="32">
        <v>16.881055519296986</v>
      </c>
      <c r="H221" s="64">
        <f>C221+D221+E221+G221+F221</f>
        <v>22.303589289741751</v>
      </c>
      <c r="I221" s="32">
        <v>172.7789730487805</v>
      </c>
      <c r="J221" s="68"/>
      <c r="K221" s="32">
        <v>3.4622187804878046</v>
      </c>
      <c r="L221" s="144">
        <v>4.9643227993687233</v>
      </c>
      <c r="M221" s="65">
        <f>+I221+K221+L221</f>
        <v>181.20551462863702</v>
      </c>
      <c r="N221" s="64">
        <f>H221+M221</f>
        <v>203.50910391837877</v>
      </c>
      <c r="O221" s="142">
        <v>2.1224601458393111</v>
      </c>
      <c r="P221" s="144"/>
      <c r="Q221" s="65">
        <f>+O221+P221</f>
        <v>2.1224601458393111</v>
      </c>
      <c r="R221" s="15"/>
      <c r="S221" s="145">
        <v>20.238098857604015</v>
      </c>
      <c r="T221" s="67"/>
      <c r="U221" s="65">
        <f>+R221+S221+T221</f>
        <v>20.238098857604015</v>
      </c>
      <c r="V221" s="75"/>
      <c r="W221" s="145">
        <v>5.6060517507317078</v>
      </c>
      <c r="X221" s="145">
        <v>21.975273155251045</v>
      </c>
      <c r="Y221" s="67">
        <v>84</v>
      </c>
      <c r="Z221" s="13">
        <f>+Y221+W221+V221+U221+Q221+N221+X221</f>
        <v>337.45098782780485</v>
      </c>
      <c r="AA221" s="74"/>
      <c r="AD221" s="81"/>
      <c r="AE221" s="81"/>
    </row>
    <row r="222" spans="2:31" ht="20.25" hidden="1" customHeight="1" x14ac:dyDescent="0.2">
      <c r="B222" s="58" t="s">
        <v>17</v>
      </c>
      <c r="C222" s="32">
        <v>12.425957510760401</v>
      </c>
      <c r="D222" s="67"/>
      <c r="E222" s="67"/>
      <c r="F222" s="67">
        <v>6.2184400000000002</v>
      </c>
      <c r="G222" s="32">
        <v>27.346591335193697</v>
      </c>
      <c r="H222" s="64">
        <f>C222+D222+E222+G222+F222</f>
        <v>45.990988845954099</v>
      </c>
      <c r="I222" s="32">
        <v>226.98874790875203</v>
      </c>
      <c r="J222" s="68"/>
      <c r="K222" s="32"/>
      <c r="L222" s="144">
        <v>4.6595356700143498</v>
      </c>
      <c r="M222" s="65">
        <f>+I222+K222+L222</f>
        <v>231.64828357876638</v>
      </c>
      <c r="N222" s="64">
        <f>H222+M222</f>
        <v>277.6392724247205</v>
      </c>
      <c r="O222" s="142">
        <v>1.9757992530082071</v>
      </c>
      <c r="P222" s="144"/>
      <c r="Q222" s="65">
        <f>+O222+P222</f>
        <v>1.9757992530082071</v>
      </c>
      <c r="R222" s="15"/>
      <c r="S222" s="145">
        <v>55.341683556482373</v>
      </c>
      <c r="T222" s="67"/>
      <c r="U222" s="65">
        <f>+R222+S222+T222</f>
        <v>55.341683556482373</v>
      </c>
      <c r="V222" s="75"/>
      <c r="W222" s="145">
        <v>7.2229499290613752</v>
      </c>
      <c r="X222" s="145">
        <v>19.614388333644225</v>
      </c>
      <c r="Y222" s="67">
        <v>56.5</v>
      </c>
      <c r="Z222" s="13">
        <f>+Y222+W222+V222+U222+Q222+N222+X222</f>
        <v>418.29409349691667</v>
      </c>
      <c r="AA222" s="74"/>
      <c r="AD222" s="81"/>
      <c r="AE222" s="81"/>
    </row>
    <row r="223" spans="2:31" ht="20.25" hidden="1" customHeight="1" x14ac:dyDescent="0.2">
      <c r="B223" s="58"/>
      <c r="C223" s="32"/>
      <c r="D223" s="67"/>
      <c r="E223" s="67"/>
      <c r="F223" s="67"/>
      <c r="G223" s="32"/>
      <c r="H223" s="64"/>
      <c r="I223" s="32"/>
      <c r="J223" s="68"/>
      <c r="K223" s="32"/>
      <c r="L223" s="145"/>
      <c r="M223" s="65"/>
      <c r="N223" s="32"/>
      <c r="O223" s="142"/>
      <c r="P223" s="144"/>
      <c r="Q223" s="75"/>
      <c r="R223" s="15"/>
      <c r="S223" s="145"/>
      <c r="T223" s="67"/>
      <c r="U223" s="65"/>
      <c r="V223" s="75"/>
      <c r="W223" s="145"/>
      <c r="X223" s="145"/>
      <c r="Y223" s="67"/>
      <c r="Z223" s="13"/>
      <c r="AA223" s="74"/>
      <c r="AD223" s="81"/>
      <c r="AE223" s="81"/>
    </row>
    <row r="224" spans="2:31" ht="20.25" hidden="1" customHeight="1" x14ac:dyDescent="0.2">
      <c r="B224" s="58">
        <v>2009</v>
      </c>
      <c r="C224" s="32">
        <f>SUM(C226:C237)</f>
        <v>4.4610692801004301</v>
      </c>
      <c r="D224" s="32">
        <f t="shared" ref="D224:AA224" si="80">SUM(D226:D237)</f>
        <v>0</v>
      </c>
      <c r="E224" s="32">
        <f t="shared" si="80"/>
        <v>0</v>
      </c>
      <c r="F224" s="32">
        <f t="shared" si="80"/>
        <v>5.8200000300000001</v>
      </c>
      <c r="G224" s="32">
        <f t="shared" si="80"/>
        <v>236.49459853924577</v>
      </c>
      <c r="H224" s="64">
        <f t="shared" si="80"/>
        <v>246.77566784934621</v>
      </c>
      <c r="I224" s="32">
        <f t="shared" si="80"/>
        <v>1646.3097902437466</v>
      </c>
      <c r="J224" s="32">
        <f t="shared" si="80"/>
        <v>0</v>
      </c>
      <c r="K224" s="32">
        <f t="shared" si="80"/>
        <v>134.00351743231769</v>
      </c>
      <c r="L224" s="32">
        <f t="shared" si="80"/>
        <v>56.120203788713091</v>
      </c>
      <c r="M224" s="65">
        <f t="shared" si="80"/>
        <v>1836.4335114647772</v>
      </c>
      <c r="N224" s="32">
        <f t="shared" si="80"/>
        <v>2083.2091793141235</v>
      </c>
      <c r="O224" s="15">
        <f t="shared" si="80"/>
        <v>33.57375405244661</v>
      </c>
      <c r="P224" s="30">
        <f t="shared" si="80"/>
        <v>0</v>
      </c>
      <c r="Q224" s="75">
        <f t="shared" si="80"/>
        <v>33.57375405244661</v>
      </c>
      <c r="R224" s="15">
        <f t="shared" si="80"/>
        <v>0</v>
      </c>
      <c r="S224" s="75">
        <f t="shared" si="80"/>
        <v>330.24745495858582</v>
      </c>
      <c r="T224" s="75">
        <f t="shared" si="80"/>
        <v>0</v>
      </c>
      <c r="U224" s="65">
        <f t="shared" si="80"/>
        <v>330.24745495858582</v>
      </c>
      <c r="V224" s="75">
        <f t="shared" si="80"/>
        <v>0</v>
      </c>
      <c r="W224" s="75">
        <f t="shared" si="80"/>
        <v>83.206665638395535</v>
      </c>
      <c r="X224" s="75">
        <f t="shared" si="80"/>
        <v>86.534684390419216</v>
      </c>
      <c r="Y224" s="75">
        <f t="shared" si="80"/>
        <v>1180.6498099999999</v>
      </c>
      <c r="Z224" s="13">
        <f t="shared" si="80"/>
        <v>3797.4215483539706</v>
      </c>
      <c r="AA224" s="74">
        <f t="shared" si="80"/>
        <v>0</v>
      </c>
      <c r="AD224" s="81"/>
      <c r="AE224" s="81"/>
    </row>
    <row r="225" spans="2:31" ht="20.25" hidden="1" customHeight="1" x14ac:dyDescent="0.2">
      <c r="B225" s="58"/>
      <c r="C225" s="32"/>
      <c r="D225" s="67"/>
      <c r="E225" s="67"/>
      <c r="F225" s="67"/>
      <c r="G225" s="32"/>
      <c r="H225" s="64"/>
      <c r="I225" s="32"/>
      <c r="J225" s="68"/>
      <c r="K225" s="67"/>
      <c r="L225" s="68"/>
      <c r="M225" s="65"/>
      <c r="N225" s="32"/>
      <c r="O225" s="15"/>
      <c r="P225" s="30"/>
      <c r="Q225" s="75"/>
      <c r="R225" s="15"/>
      <c r="S225" s="67"/>
      <c r="T225" s="67"/>
      <c r="U225" s="65"/>
      <c r="V225" s="75"/>
      <c r="W225" s="75"/>
      <c r="X225" s="75"/>
      <c r="Y225" s="75"/>
      <c r="Z225" s="13"/>
      <c r="AA225" s="74"/>
      <c r="AD225" s="81"/>
      <c r="AE225" s="81"/>
    </row>
    <row r="226" spans="2:31" ht="20.25" hidden="1" customHeight="1" x14ac:dyDescent="0.2">
      <c r="B226" s="58" t="s">
        <v>6</v>
      </c>
      <c r="C226" s="32">
        <v>0</v>
      </c>
      <c r="D226" s="67">
        <v>0</v>
      </c>
      <c r="E226" s="67"/>
      <c r="F226" s="67"/>
      <c r="G226" s="67">
        <v>17.828557000000004</v>
      </c>
      <c r="H226" s="64">
        <f t="shared" ref="H226:H234" si="81">C226+D226+E226+G226+F226</f>
        <v>17.828557000000004</v>
      </c>
      <c r="I226" s="32">
        <v>205.84013011047344</v>
      </c>
      <c r="J226" s="68"/>
      <c r="K226" s="67">
        <v>9.5594364505021492</v>
      </c>
      <c r="L226" s="145">
        <v>1.8615533</v>
      </c>
      <c r="M226" s="65">
        <f t="shared" ref="M226:M231" si="82">+I226+K226+L226</f>
        <v>217.26111986097558</v>
      </c>
      <c r="N226" s="32">
        <f t="shared" ref="N226:N231" si="83">H226+M226</f>
        <v>235.0896768609756</v>
      </c>
      <c r="O226" s="142">
        <v>1.6295686241067453</v>
      </c>
      <c r="P226" s="144"/>
      <c r="Q226" s="75">
        <f t="shared" ref="Q226:Q234" si="84">+O226+P226</f>
        <v>1.6295686241067453</v>
      </c>
      <c r="R226" s="15"/>
      <c r="S226" s="145">
        <v>5.8820483228120519</v>
      </c>
      <c r="T226" s="67"/>
      <c r="U226" s="65">
        <f t="shared" ref="U226:U234" si="85">+R226+S226+T226</f>
        <v>5.8820483228120519</v>
      </c>
      <c r="V226" s="75"/>
      <c r="W226" s="145">
        <v>3.0691500559540885</v>
      </c>
      <c r="X226" s="145">
        <v>8.395048602582504</v>
      </c>
      <c r="Y226" s="67">
        <v>125.8</v>
      </c>
      <c r="Z226" s="13">
        <f t="shared" ref="Z226:Z234" si="86">+Y226+W226+V226+U226+Q226+N226+X226</f>
        <v>379.86549246643096</v>
      </c>
      <c r="AA226" s="74"/>
      <c r="AD226" s="81"/>
      <c r="AE226" s="81"/>
    </row>
    <row r="227" spans="2:31" ht="20.25" hidden="1" customHeight="1" x14ac:dyDescent="0.2">
      <c r="B227" s="58" t="s">
        <v>7</v>
      </c>
      <c r="C227" s="32">
        <v>1.16996250071736</v>
      </c>
      <c r="D227" s="67"/>
      <c r="E227" s="67"/>
      <c r="F227" s="67"/>
      <c r="G227" s="67">
        <v>15.793443090387358</v>
      </c>
      <c r="H227" s="64">
        <f t="shared" si="81"/>
        <v>16.963405591104717</v>
      </c>
      <c r="I227" s="32">
        <v>192.07868380057374</v>
      </c>
      <c r="J227" s="68"/>
      <c r="K227" s="67">
        <v>4.1583610502152091</v>
      </c>
      <c r="L227" s="143">
        <v>4.73496001004305</v>
      </c>
      <c r="M227" s="65">
        <f t="shared" si="82"/>
        <v>200.97200486083199</v>
      </c>
      <c r="N227" s="32">
        <f t="shared" si="83"/>
        <v>217.93541045193672</v>
      </c>
      <c r="O227" s="142">
        <v>6.4021245480703257</v>
      </c>
      <c r="P227" s="146"/>
      <c r="Q227" s="75">
        <f t="shared" si="84"/>
        <v>6.4021245480703257</v>
      </c>
      <c r="R227" s="15"/>
      <c r="S227" s="67">
        <v>4.5315808088991387</v>
      </c>
      <c r="T227" s="67"/>
      <c r="U227" s="65">
        <f t="shared" si="85"/>
        <v>4.5315808088991387</v>
      </c>
      <c r="V227" s="75"/>
      <c r="W227" s="145">
        <v>3.6843091878315954</v>
      </c>
      <c r="X227" s="143">
        <v>10.96208712769012</v>
      </c>
      <c r="Y227" s="67">
        <v>106.57</v>
      </c>
      <c r="Z227" s="13">
        <f t="shared" si="86"/>
        <v>350.08551212442785</v>
      </c>
      <c r="AA227" s="74"/>
      <c r="AD227" s="81"/>
      <c r="AE227" s="81"/>
    </row>
    <row r="228" spans="2:31" ht="20.25" hidden="1" customHeight="1" x14ac:dyDescent="0.2">
      <c r="B228" s="58" t="s">
        <v>8</v>
      </c>
      <c r="C228" s="32">
        <v>0</v>
      </c>
      <c r="D228" s="67">
        <v>0</v>
      </c>
      <c r="E228" s="67"/>
      <c r="F228" s="67"/>
      <c r="G228" s="67">
        <v>16.36592360114777</v>
      </c>
      <c r="H228" s="64">
        <f t="shared" si="81"/>
        <v>16.36592360114777</v>
      </c>
      <c r="I228" s="32">
        <v>202.81688712094689</v>
      </c>
      <c r="J228" s="68"/>
      <c r="K228" s="67">
        <v>6.8476778001456227</v>
      </c>
      <c r="L228" s="144">
        <v>8.7773918995695794</v>
      </c>
      <c r="M228" s="65">
        <f t="shared" si="82"/>
        <v>218.44195682066209</v>
      </c>
      <c r="N228" s="32">
        <f t="shared" si="83"/>
        <v>234.80788042180984</v>
      </c>
      <c r="O228" s="142">
        <v>3.4860168536449283</v>
      </c>
      <c r="P228" s="144"/>
      <c r="Q228" s="75">
        <f t="shared" si="84"/>
        <v>3.4860168536449283</v>
      </c>
      <c r="R228" s="15"/>
      <c r="S228" s="145">
        <v>9.121904050003014</v>
      </c>
      <c r="T228" s="67"/>
      <c r="U228" s="65">
        <f t="shared" si="85"/>
        <v>9.121904050003014</v>
      </c>
      <c r="V228" s="75"/>
      <c r="W228" s="145">
        <v>13.760617213940179</v>
      </c>
      <c r="X228" s="145">
        <v>9.4475633242468575</v>
      </c>
      <c r="Y228" s="67">
        <v>82.247</v>
      </c>
      <c r="Z228" s="13">
        <f t="shared" si="86"/>
        <v>352.87098186364483</v>
      </c>
      <c r="AA228" s="74"/>
      <c r="AD228" s="81"/>
      <c r="AE228" s="81"/>
    </row>
    <row r="229" spans="2:31" ht="20.25" hidden="1" customHeight="1" x14ac:dyDescent="0.2">
      <c r="B229" s="58" t="s">
        <v>9</v>
      </c>
      <c r="C229" s="32">
        <v>0.97942958999999996</v>
      </c>
      <c r="D229" s="67"/>
      <c r="E229" s="67"/>
      <c r="F229" s="67"/>
      <c r="G229" s="32">
        <f>15.4870498714778</f>
        <v>15.487049871477801</v>
      </c>
      <c r="H229" s="64">
        <f t="shared" si="81"/>
        <v>16.4664794614778</v>
      </c>
      <c r="I229" s="32">
        <v>106.24480430984221</v>
      </c>
      <c r="J229" s="68"/>
      <c r="K229" s="32">
        <v>8.9396451791147804</v>
      </c>
      <c r="L229" s="144">
        <f>12.8839965509326+1.3</f>
        <v>14.183996550932601</v>
      </c>
      <c r="M229" s="65">
        <f t="shared" si="82"/>
        <v>129.36844603988959</v>
      </c>
      <c r="N229" s="32">
        <f t="shared" si="83"/>
        <v>145.83492550136739</v>
      </c>
      <c r="O229" s="142">
        <v>3.7825489050953292</v>
      </c>
      <c r="P229" s="144"/>
      <c r="Q229" s="75">
        <f t="shared" si="84"/>
        <v>3.7825489050953292</v>
      </c>
      <c r="R229" s="15"/>
      <c r="S229" s="145">
        <v>52.840148414156815</v>
      </c>
      <c r="T229" s="67"/>
      <c r="U229" s="65">
        <f t="shared" si="85"/>
        <v>52.840148414156815</v>
      </c>
      <c r="V229" s="75"/>
      <c r="W229" s="145">
        <v>1.9714435031133428</v>
      </c>
      <c r="X229" s="145">
        <v>11.824530054074582</v>
      </c>
      <c r="Y229" s="67">
        <v>82</v>
      </c>
      <c r="Z229" s="13">
        <f t="shared" si="86"/>
        <v>298.25359637780741</v>
      </c>
      <c r="AA229" s="74"/>
      <c r="AD229" s="81"/>
      <c r="AE229" s="81"/>
    </row>
    <row r="230" spans="2:31" ht="20.25" hidden="1" customHeight="1" x14ac:dyDescent="0.2">
      <c r="B230" s="58" t="s">
        <v>10</v>
      </c>
      <c r="C230" s="32">
        <v>2.3116771893830701</v>
      </c>
      <c r="D230" s="67"/>
      <c r="E230" s="67"/>
      <c r="F230" s="67">
        <v>2.7653000300000001</v>
      </c>
      <c r="G230" s="144">
        <v>16.79752080476328</v>
      </c>
      <c r="H230" s="64">
        <f t="shared" si="81"/>
        <v>21.874498024146348</v>
      </c>
      <c r="I230" s="32">
        <v>118.43949458978479</v>
      </c>
      <c r="J230" s="68"/>
      <c r="K230" s="32">
        <v>7.6883053400717412</v>
      </c>
      <c r="L230" s="144">
        <v>0.39835384935437601</v>
      </c>
      <c r="M230" s="65">
        <f t="shared" si="82"/>
        <v>126.5261537792109</v>
      </c>
      <c r="N230" s="32">
        <f t="shared" si="83"/>
        <v>148.40065180335725</v>
      </c>
      <c r="O230" s="142">
        <v>3.196574420533806</v>
      </c>
      <c r="P230" s="144">
        <v>0</v>
      </c>
      <c r="Q230" s="75">
        <f t="shared" si="84"/>
        <v>3.196574420533806</v>
      </c>
      <c r="R230" s="15"/>
      <c r="S230" s="145">
        <v>10.992329002786084</v>
      </c>
      <c r="T230" s="67"/>
      <c r="U230" s="65">
        <f t="shared" si="85"/>
        <v>10.992329002786084</v>
      </c>
      <c r="V230" s="75"/>
      <c r="W230" s="145">
        <v>5.0984986360643187</v>
      </c>
      <c r="X230" s="145">
        <v>5.3516519639042386</v>
      </c>
      <c r="Y230" s="67">
        <v>79.900000000000006</v>
      </c>
      <c r="Z230" s="13">
        <f t="shared" si="86"/>
        <v>252.93970582664568</v>
      </c>
      <c r="AA230" s="74"/>
      <c r="AD230" s="81"/>
      <c r="AE230" s="81"/>
    </row>
    <row r="231" spans="2:31" ht="20.25" hidden="1" customHeight="1" x14ac:dyDescent="0.2">
      <c r="B231" s="58" t="s">
        <v>11</v>
      </c>
      <c r="C231" s="32">
        <v>0</v>
      </c>
      <c r="D231" s="67"/>
      <c r="E231" s="67"/>
      <c r="F231" s="67">
        <v>3.0547</v>
      </c>
      <c r="G231" s="32">
        <v>15.514284553802007</v>
      </c>
      <c r="H231" s="64">
        <f t="shared" si="81"/>
        <v>18.568984553802007</v>
      </c>
      <c r="I231" s="32">
        <v>110.55843522955522</v>
      </c>
      <c r="J231" s="68"/>
      <c r="K231" s="32">
        <v>13.667053020302582</v>
      </c>
      <c r="L231" s="144">
        <v>0.914892199426112</v>
      </c>
      <c r="M231" s="65">
        <f t="shared" si="82"/>
        <v>125.1403804492839</v>
      </c>
      <c r="N231" s="64">
        <f t="shared" si="83"/>
        <v>143.70936500308591</v>
      </c>
      <c r="O231" s="142">
        <v>2.2138998623352921</v>
      </c>
      <c r="P231" s="144">
        <v>0</v>
      </c>
      <c r="Q231" s="65">
        <f t="shared" si="84"/>
        <v>2.2138998623352921</v>
      </c>
      <c r="R231" s="15"/>
      <c r="S231" s="145">
        <v>38.404404649531706</v>
      </c>
      <c r="T231" s="67"/>
      <c r="U231" s="65">
        <f t="shared" si="85"/>
        <v>38.404404649531706</v>
      </c>
      <c r="V231" s="75"/>
      <c r="W231" s="145">
        <v>3.7622588436232465</v>
      </c>
      <c r="X231" s="145">
        <v>5.3295581133429115</v>
      </c>
      <c r="Y231" s="67">
        <v>100.545</v>
      </c>
      <c r="Z231" s="13">
        <f t="shared" si="86"/>
        <v>293.96448647191909</v>
      </c>
      <c r="AA231" s="74"/>
      <c r="AD231" s="81"/>
      <c r="AE231" s="81"/>
    </row>
    <row r="232" spans="2:31" ht="20.25" hidden="1" customHeight="1" x14ac:dyDescent="0.2">
      <c r="B232" s="58" t="s">
        <v>12</v>
      </c>
      <c r="C232" s="32"/>
      <c r="D232" s="67"/>
      <c r="E232" s="67"/>
      <c r="F232" s="67"/>
      <c r="G232" s="32">
        <v>18.400590083543754</v>
      </c>
      <c r="H232" s="64">
        <f t="shared" si="81"/>
        <v>18.400590083543754</v>
      </c>
      <c r="I232" s="32">
        <v>105.50490141954086</v>
      </c>
      <c r="J232" s="68"/>
      <c r="K232" s="32">
        <v>10.242493299629126</v>
      </c>
      <c r="L232" s="144">
        <v>1.46426229985653</v>
      </c>
      <c r="M232" s="65">
        <f t="shared" ref="M232:M237" si="87">+I232+K232+L232</f>
        <v>117.21165701902652</v>
      </c>
      <c r="N232" s="64">
        <f t="shared" ref="N232:N237" si="88">H232+M232</f>
        <v>135.61224710257028</v>
      </c>
      <c r="O232" s="142">
        <v>1.0921506613833523</v>
      </c>
      <c r="P232" s="144"/>
      <c r="Q232" s="65">
        <f t="shared" si="84"/>
        <v>1.0921506613833523</v>
      </c>
      <c r="R232" s="15"/>
      <c r="S232" s="145">
        <v>17.732245239887373</v>
      </c>
      <c r="T232" s="67"/>
      <c r="U232" s="65">
        <f t="shared" si="85"/>
        <v>17.732245239887373</v>
      </c>
      <c r="V232" s="75"/>
      <c r="W232" s="145">
        <v>10.473654187792683</v>
      </c>
      <c r="X232" s="145">
        <v>6.0206134038020158</v>
      </c>
      <c r="Y232" s="67">
        <v>93.210210000000004</v>
      </c>
      <c r="Z232" s="13">
        <f t="shared" si="86"/>
        <v>264.14112059543572</v>
      </c>
      <c r="AA232" s="74"/>
      <c r="AD232" s="81"/>
      <c r="AE232" s="81"/>
    </row>
    <row r="233" spans="2:31" ht="20.25" hidden="1" customHeight="1" x14ac:dyDescent="0.2">
      <c r="B233" s="58" t="s">
        <v>13</v>
      </c>
      <c r="C233" s="32"/>
      <c r="D233" s="67"/>
      <c r="E233" s="67"/>
      <c r="F233" s="67"/>
      <c r="G233" s="32">
        <v>20.901351769010056</v>
      </c>
      <c r="H233" s="64">
        <f t="shared" si="81"/>
        <v>20.901351769010056</v>
      </c>
      <c r="I233" s="32">
        <v>100.90453407030122</v>
      </c>
      <c r="J233" s="68"/>
      <c r="K233" s="32">
        <v>13.739362219442182</v>
      </c>
      <c r="L233" s="144">
        <v>11.236340859014341</v>
      </c>
      <c r="M233" s="65">
        <f t="shared" si="87"/>
        <v>125.88023714875774</v>
      </c>
      <c r="N233" s="64">
        <f t="shared" si="88"/>
        <v>146.78158891776781</v>
      </c>
      <c r="O233" s="142">
        <v>2.1814562853341428</v>
      </c>
      <c r="P233" s="144"/>
      <c r="Q233" s="65">
        <f t="shared" si="84"/>
        <v>2.1814562853341428</v>
      </c>
      <c r="R233" s="15"/>
      <c r="S233" s="145">
        <v>20.937903539310469</v>
      </c>
      <c r="T233" s="67"/>
      <c r="U233" s="65">
        <f t="shared" si="85"/>
        <v>20.937903539310469</v>
      </c>
      <c r="V233" s="75"/>
      <c r="W233" s="145">
        <v>2.0121718913997131</v>
      </c>
      <c r="X233" s="145">
        <v>4.4650350774748997</v>
      </c>
      <c r="Y233" s="67">
        <v>117.97499999999999</v>
      </c>
      <c r="Z233" s="13">
        <f t="shared" si="86"/>
        <v>294.35315571128706</v>
      </c>
      <c r="AA233" s="74"/>
      <c r="AD233" s="81"/>
      <c r="AE233" s="81"/>
    </row>
    <row r="234" spans="2:31" ht="20.25" hidden="1" customHeight="1" x14ac:dyDescent="0.2">
      <c r="B234" s="58" t="s">
        <v>14</v>
      </c>
      <c r="C234" s="32"/>
      <c r="D234" s="67"/>
      <c r="E234" s="67"/>
      <c r="F234" s="67"/>
      <c r="G234" s="32">
        <v>24.312955470588246</v>
      </c>
      <c r="H234" s="64">
        <f t="shared" si="81"/>
        <v>24.312955470588246</v>
      </c>
      <c r="I234" s="32">
        <v>135.67988205098999</v>
      </c>
      <c r="J234" s="68"/>
      <c r="K234" s="32">
        <v>17.442006901356532</v>
      </c>
      <c r="L234" s="144">
        <v>4.6518507302726002</v>
      </c>
      <c r="M234" s="65">
        <f t="shared" si="87"/>
        <v>157.77373968261912</v>
      </c>
      <c r="N234" s="64">
        <f t="shared" si="88"/>
        <v>182.08669515320736</v>
      </c>
      <c r="O234" s="142">
        <v>1.2850513275302993</v>
      </c>
      <c r="P234" s="144"/>
      <c r="Q234" s="65">
        <f t="shared" si="84"/>
        <v>1.2850513275302993</v>
      </c>
      <c r="R234" s="15"/>
      <c r="S234" s="145">
        <v>27.067066207053514</v>
      </c>
      <c r="T234" s="67"/>
      <c r="U234" s="65">
        <f t="shared" si="85"/>
        <v>27.067066207053514</v>
      </c>
      <c r="V234" s="75"/>
      <c r="W234" s="145">
        <v>3.4487413904730273</v>
      </c>
      <c r="X234" s="145">
        <v>7.7599093328551021</v>
      </c>
      <c r="Y234" s="67">
        <v>95.102599999999995</v>
      </c>
      <c r="Z234" s="13">
        <f t="shared" si="86"/>
        <v>316.7500634111193</v>
      </c>
      <c r="AA234" s="74"/>
      <c r="AD234" s="81"/>
      <c r="AE234" s="81"/>
    </row>
    <row r="235" spans="2:31" ht="20.25" hidden="1" customHeight="1" x14ac:dyDescent="0.2">
      <c r="B235" s="58" t="s">
        <v>15</v>
      </c>
      <c r="C235" s="32"/>
      <c r="D235" s="67"/>
      <c r="E235" s="67"/>
      <c r="F235" s="67">
        <v>0</v>
      </c>
      <c r="G235" s="32">
        <v>25.044879487753626</v>
      </c>
      <c r="H235" s="64">
        <f>C235+D235+E235+G235+F235</f>
        <v>25.044879487753626</v>
      </c>
      <c r="I235" s="32">
        <v>140.74910313145125</v>
      </c>
      <c r="J235" s="68"/>
      <c r="K235" s="32">
        <v>14.627200691953838</v>
      </c>
      <c r="L235" s="144">
        <v>3.1907340208321426</v>
      </c>
      <c r="M235" s="65">
        <f t="shared" si="87"/>
        <v>158.56703784423723</v>
      </c>
      <c r="N235" s="64">
        <f t="shared" si="88"/>
        <v>183.61191733199087</v>
      </c>
      <c r="O235" s="142">
        <v>1.7903027922175032</v>
      </c>
      <c r="P235" s="144"/>
      <c r="Q235" s="65">
        <f>+O235+P235</f>
        <v>1.7903027922175032</v>
      </c>
      <c r="R235" s="15"/>
      <c r="S235" s="145">
        <v>42.401360167166487</v>
      </c>
      <c r="T235" s="67"/>
      <c r="U235" s="65">
        <f>+R235+S235+T235</f>
        <v>42.401360167166487</v>
      </c>
      <c r="V235" s="75"/>
      <c r="W235" s="145">
        <v>2.40665106849</v>
      </c>
      <c r="X235" s="145">
        <v>6.1912498041188533</v>
      </c>
      <c r="Y235" s="67">
        <v>101.4</v>
      </c>
      <c r="Z235" s="13">
        <f>+Y235+W235+V235+U235+Q235+N235+X235</f>
        <v>337.80148116398374</v>
      </c>
      <c r="AA235" s="74"/>
      <c r="AD235" s="81"/>
      <c r="AE235" s="81"/>
    </row>
    <row r="236" spans="2:31" ht="20.25" hidden="1" customHeight="1" x14ac:dyDescent="0.2">
      <c r="B236" s="58" t="s">
        <v>16</v>
      </c>
      <c r="C236" s="32"/>
      <c r="D236" s="67"/>
      <c r="E236" s="67"/>
      <c r="F236" s="67"/>
      <c r="G236" s="32">
        <v>23.222222596771875</v>
      </c>
      <c r="H236" s="64">
        <f>C236+D236+E236+G236+F236</f>
        <v>23.222222596771875</v>
      </c>
      <c r="I236" s="32">
        <v>124.75459916992823</v>
      </c>
      <c r="J236" s="68"/>
      <c r="K236" s="32">
        <v>15.01545063958393</v>
      </c>
      <c r="L236" s="144">
        <v>2.3481703994117598</v>
      </c>
      <c r="M236" s="65">
        <f t="shared" si="87"/>
        <v>142.11822020892393</v>
      </c>
      <c r="N236" s="64">
        <f t="shared" si="88"/>
        <v>165.3404428056958</v>
      </c>
      <c r="O236" s="142">
        <v>1.4844916321948864</v>
      </c>
      <c r="P236" s="144"/>
      <c r="Q236" s="65">
        <f>+O236+P236</f>
        <v>1.4844916321948864</v>
      </c>
      <c r="R236" s="15"/>
      <c r="S236" s="145">
        <v>21.506104727610474</v>
      </c>
      <c r="T236" s="67"/>
      <c r="U236" s="65">
        <f>+R236+S236+T236</f>
        <v>21.506104727610474</v>
      </c>
      <c r="V236" s="75"/>
      <c r="W236" s="145">
        <v>17.270638639713344</v>
      </c>
      <c r="X236" s="145">
        <v>4.617900676327122</v>
      </c>
      <c r="Y236" s="67">
        <v>115.7</v>
      </c>
      <c r="Z236" s="13">
        <f>+Y236+W236+V236+U236+Q236+N236+X236</f>
        <v>325.91957848154158</v>
      </c>
      <c r="AA236" s="74"/>
      <c r="AD236" s="81"/>
      <c r="AE236" s="81"/>
    </row>
    <row r="237" spans="2:31" ht="20.25" hidden="1" customHeight="1" x14ac:dyDescent="0.2">
      <c r="B237" s="58" t="s">
        <v>17</v>
      </c>
      <c r="C237" s="32"/>
      <c r="D237" s="67"/>
      <c r="E237" s="67"/>
      <c r="F237" s="67"/>
      <c r="G237" s="32">
        <v>26.82582021</v>
      </c>
      <c r="H237" s="64">
        <f>C237+D237+E237+G237+F237</f>
        <v>26.82582021</v>
      </c>
      <c r="I237" s="32">
        <v>102.73833524035868</v>
      </c>
      <c r="J237" s="68"/>
      <c r="K237" s="32">
        <v>12.076524840000001</v>
      </c>
      <c r="L237" s="144">
        <v>2.3576976699999999</v>
      </c>
      <c r="M237" s="65">
        <f t="shared" si="87"/>
        <v>117.17255775035868</v>
      </c>
      <c r="N237" s="64">
        <f t="shared" si="88"/>
        <v>143.99837796035868</v>
      </c>
      <c r="O237" s="142">
        <v>5.0295681400000003</v>
      </c>
      <c r="P237" s="144"/>
      <c r="Q237" s="65">
        <f>+O237+P237</f>
        <v>5.0295681400000003</v>
      </c>
      <c r="R237" s="15"/>
      <c r="S237" s="145">
        <v>78.830359829368732</v>
      </c>
      <c r="T237" s="67"/>
      <c r="U237" s="65">
        <f>+R237+S237+T237</f>
        <v>78.830359829368732</v>
      </c>
      <c r="V237" s="75"/>
      <c r="W237" s="145">
        <v>16.248531019999998</v>
      </c>
      <c r="X237" s="145">
        <v>6.1695369099999997</v>
      </c>
      <c r="Y237" s="67">
        <v>80.2</v>
      </c>
      <c r="Z237" s="13">
        <f>+Y237+W237+V237+U237+Q237+N237+X237</f>
        <v>330.4763738597274</v>
      </c>
      <c r="AA237" s="74"/>
      <c r="AD237" s="81"/>
      <c r="AE237" s="81"/>
    </row>
    <row r="238" spans="2:31" ht="20.25" hidden="1" customHeight="1" x14ac:dyDescent="0.2">
      <c r="B238" s="58"/>
      <c r="C238" s="32"/>
      <c r="D238" s="67"/>
      <c r="E238" s="67"/>
      <c r="F238" s="67"/>
      <c r="G238" s="32"/>
      <c r="H238" s="64"/>
      <c r="I238" s="32"/>
      <c r="J238" s="68"/>
      <c r="K238" s="32"/>
      <c r="L238" s="145"/>
      <c r="M238" s="65"/>
      <c r="N238" s="32"/>
      <c r="O238" s="142"/>
      <c r="P238" s="144"/>
      <c r="Q238" s="75"/>
      <c r="R238" s="15"/>
      <c r="S238" s="145"/>
      <c r="T238" s="67"/>
      <c r="U238" s="65"/>
      <c r="V238" s="75"/>
      <c r="W238" s="145"/>
      <c r="X238" s="145"/>
      <c r="Y238" s="67"/>
      <c r="Z238" s="13"/>
      <c r="AA238" s="74"/>
      <c r="AD238" s="81"/>
      <c r="AE238" s="81"/>
    </row>
    <row r="239" spans="2:31" ht="20.25" customHeight="1" x14ac:dyDescent="0.2">
      <c r="B239" s="58">
        <v>2010</v>
      </c>
      <c r="C239" s="32">
        <f t="shared" ref="C239:Z239" si="89">SUM(C241:C252)</f>
        <v>1.2486250803443328</v>
      </c>
      <c r="D239" s="32">
        <f t="shared" si="89"/>
        <v>0</v>
      </c>
      <c r="E239" s="32">
        <f t="shared" si="89"/>
        <v>0</v>
      </c>
      <c r="F239" s="32">
        <f t="shared" si="89"/>
        <v>182.31031076143887</v>
      </c>
      <c r="G239" s="32">
        <f t="shared" si="89"/>
        <v>159.19462590351503</v>
      </c>
      <c r="H239" s="64">
        <f t="shared" si="89"/>
        <v>342.75356174529816</v>
      </c>
      <c r="I239" s="32">
        <f t="shared" si="89"/>
        <v>1742.9287243400715</v>
      </c>
      <c r="J239" s="32">
        <f t="shared" si="89"/>
        <v>0</v>
      </c>
      <c r="K239" s="32">
        <f t="shared" si="89"/>
        <v>211.3857589624964</v>
      </c>
      <c r="L239" s="32">
        <f t="shared" si="89"/>
        <v>18.233681101276904</v>
      </c>
      <c r="M239" s="65">
        <f t="shared" si="89"/>
        <v>1972.5481644038446</v>
      </c>
      <c r="N239" s="32">
        <f t="shared" si="89"/>
        <v>2315.3017261491432</v>
      </c>
      <c r="O239" s="15">
        <f t="shared" si="89"/>
        <v>57.229788972768084</v>
      </c>
      <c r="P239" s="30">
        <f t="shared" si="89"/>
        <v>0</v>
      </c>
      <c r="Q239" s="75">
        <f t="shared" si="89"/>
        <v>57.229788972768084</v>
      </c>
      <c r="R239" s="15">
        <f t="shared" si="89"/>
        <v>0</v>
      </c>
      <c r="S239" s="75">
        <f t="shared" si="89"/>
        <v>420.79679380983021</v>
      </c>
      <c r="T239" s="75">
        <f t="shared" si="89"/>
        <v>0</v>
      </c>
      <c r="U239" s="65">
        <f t="shared" si="89"/>
        <v>420.79679380983021</v>
      </c>
      <c r="V239" s="75">
        <f t="shared" si="89"/>
        <v>0</v>
      </c>
      <c r="W239" s="75">
        <f t="shared" si="89"/>
        <v>85.602873811463411</v>
      </c>
      <c r="X239" s="75">
        <f t="shared" si="89"/>
        <v>52.220323014392712</v>
      </c>
      <c r="Y239" s="75">
        <f t="shared" si="89"/>
        <v>1815.8820754257049</v>
      </c>
      <c r="Z239" s="13">
        <f t="shared" si="89"/>
        <v>4747.033581183302</v>
      </c>
      <c r="AA239" s="74">
        <f>SUM(AA241:AA336)</f>
        <v>0</v>
      </c>
      <c r="AD239" s="81"/>
      <c r="AE239" s="81">
        <f>+AC239-Z239</f>
        <v>-4747.033581183302</v>
      </c>
    </row>
    <row r="240" spans="2:31" ht="20.25" hidden="1" customHeight="1" x14ac:dyDescent="0.2">
      <c r="B240" s="58"/>
      <c r="C240" s="32"/>
      <c r="D240" s="67"/>
      <c r="E240" s="67"/>
      <c r="F240" s="67"/>
      <c r="G240" s="32"/>
      <c r="H240" s="64"/>
      <c r="I240" s="32"/>
      <c r="J240" s="68"/>
      <c r="K240" s="67"/>
      <c r="L240" s="68"/>
      <c r="M240" s="65"/>
      <c r="N240" s="32"/>
      <c r="O240" s="15"/>
      <c r="P240" s="30"/>
      <c r="Q240" s="75"/>
      <c r="R240" s="15"/>
      <c r="S240" s="67"/>
      <c r="T240" s="67"/>
      <c r="U240" s="65"/>
      <c r="V240" s="75"/>
      <c r="W240" s="75"/>
      <c r="X240" s="75"/>
      <c r="Y240" s="75"/>
      <c r="Z240" s="13"/>
      <c r="AA240" s="74"/>
      <c r="AD240" s="81"/>
      <c r="AE240" s="81"/>
    </row>
    <row r="241" spans="2:31" ht="20.25" hidden="1" customHeight="1" x14ac:dyDescent="0.2">
      <c r="B241" s="58" t="s">
        <v>6</v>
      </c>
      <c r="C241" s="32"/>
      <c r="D241" s="67"/>
      <c r="E241" s="67"/>
      <c r="F241" s="67"/>
      <c r="G241" s="67">
        <v>15.387970870746054</v>
      </c>
      <c r="H241" s="64">
        <f t="shared" ref="H241:H246" si="90">C241+D241+E241+G241+F241</f>
        <v>15.387970870746054</v>
      </c>
      <c r="I241" s="32">
        <v>106.42517721978479</v>
      </c>
      <c r="J241" s="68"/>
      <c r="K241" s="67">
        <v>12.783431780559541</v>
      </c>
      <c r="L241" s="145">
        <v>8.3992730000000002E-2</v>
      </c>
      <c r="M241" s="65">
        <f t="shared" ref="M241:M246" si="91">+I241+K241+L241</f>
        <v>119.29260173034433</v>
      </c>
      <c r="N241" s="32">
        <f t="shared" ref="N241:N246" si="92">H241+M241</f>
        <v>134.68057260109038</v>
      </c>
      <c r="O241" s="142">
        <v>13.006704262065997</v>
      </c>
      <c r="P241" s="144">
        <v>0</v>
      </c>
      <c r="Q241" s="75">
        <f t="shared" ref="Q241:Q246" si="93">+O241+P241</f>
        <v>13.006704262065997</v>
      </c>
      <c r="R241" s="15"/>
      <c r="S241" s="145">
        <v>4.661581100057389</v>
      </c>
      <c r="T241" s="67"/>
      <c r="U241" s="65">
        <f t="shared" ref="U241:U246" si="94">+R241+S241+T241</f>
        <v>4.661581100057389</v>
      </c>
      <c r="V241" s="75"/>
      <c r="W241" s="145">
        <v>1.2559323600000001</v>
      </c>
      <c r="X241" s="145">
        <v>4.7814957300430416</v>
      </c>
      <c r="Y241" s="67">
        <v>116.71891783977044</v>
      </c>
      <c r="Z241" s="13">
        <f t="shared" ref="Z241:Z246" si="95">+Y241+W241+V241+U241+Q241+N241+X241</f>
        <v>275.10520389302724</v>
      </c>
      <c r="AA241" s="74"/>
      <c r="AD241" s="81"/>
      <c r="AE241" s="81"/>
    </row>
    <row r="242" spans="2:31" ht="20.25" hidden="1" customHeight="1" x14ac:dyDescent="0.2">
      <c r="B242" s="58" t="s">
        <v>7</v>
      </c>
      <c r="C242" s="32"/>
      <c r="D242" s="67"/>
      <c r="E242" s="67"/>
      <c r="F242" s="67"/>
      <c r="G242" s="67">
        <v>12.265194377058823</v>
      </c>
      <c r="H242" s="64">
        <f t="shared" si="90"/>
        <v>12.265194377058823</v>
      </c>
      <c r="I242" s="32">
        <v>192.56322614921089</v>
      </c>
      <c r="J242" s="68"/>
      <c r="K242" s="67">
        <v>9.2270336205164973</v>
      </c>
      <c r="L242" s="143">
        <v>7.9792599713055953E-2</v>
      </c>
      <c r="M242" s="65">
        <f t="shared" si="91"/>
        <v>201.87005236944043</v>
      </c>
      <c r="N242" s="32">
        <f t="shared" si="92"/>
        <v>214.13524674649926</v>
      </c>
      <c r="O242" s="142">
        <v>2.8876962492395979</v>
      </c>
      <c r="P242" s="146"/>
      <c r="Q242" s="75">
        <f t="shared" si="93"/>
        <v>2.8876962492395979</v>
      </c>
      <c r="R242" s="15"/>
      <c r="S242" s="67">
        <v>15.10703299205165</v>
      </c>
      <c r="T242" s="67"/>
      <c r="U242" s="65">
        <f t="shared" si="94"/>
        <v>15.10703299205165</v>
      </c>
      <c r="V242" s="75"/>
      <c r="W242" s="145">
        <v>3.697465687288378</v>
      </c>
      <c r="X242" s="143">
        <v>3.9129152387805348</v>
      </c>
      <c r="Y242" s="67">
        <v>141.97113236225252</v>
      </c>
      <c r="Z242" s="13">
        <f t="shared" si="95"/>
        <v>381.71148927611193</v>
      </c>
      <c r="AA242" s="74"/>
      <c r="AD242" s="81"/>
      <c r="AE242" s="81"/>
    </row>
    <row r="243" spans="2:31" ht="20.25" hidden="1" customHeight="1" x14ac:dyDescent="0.2">
      <c r="B243" s="58" t="s">
        <v>8</v>
      </c>
      <c r="C243" s="32"/>
      <c r="D243" s="67"/>
      <c r="E243" s="67"/>
      <c r="F243" s="67"/>
      <c r="G243" s="67">
        <v>18.913566190000001</v>
      </c>
      <c r="H243" s="64">
        <f t="shared" si="90"/>
        <v>18.913566190000001</v>
      </c>
      <c r="I243" s="32">
        <v>94.559939110000002</v>
      </c>
      <c r="J243" s="68"/>
      <c r="K243" s="67">
        <v>21.671173320000001</v>
      </c>
      <c r="L243" s="144">
        <v>2.5054863799999998</v>
      </c>
      <c r="M243" s="65">
        <f t="shared" si="91"/>
        <v>118.73659880999999</v>
      </c>
      <c r="N243" s="32">
        <f t="shared" si="92"/>
        <v>137.65016499999999</v>
      </c>
      <c r="O243" s="142">
        <v>3.37112928113</v>
      </c>
      <c r="P243" s="144"/>
      <c r="Q243" s="75">
        <f t="shared" si="93"/>
        <v>3.37112928113</v>
      </c>
      <c r="R243" s="15"/>
      <c r="S243" s="145">
        <v>28.310746299999998</v>
      </c>
      <c r="T243" s="67"/>
      <c r="U243" s="65">
        <f t="shared" si="94"/>
        <v>28.310746299999998</v>
      </c>
      <c r="V243" s="75"/>
      <c r="W243" s="145">
        <v>2.7949267099999999</v>
      </c>
      <c r="X243" s="145">
        <v>3.6732314799999997</v>
      </c>
      <c r="Y243" s="67">
        <v>156.72309459000002</v>
      </c>
      <c r="Z243" s="13">
        <f t="shared" si="95"/>
        <v>332.52329336113007</v>
      </c>
      <c r="AA243" s="74"/>
      <c r="AD243" s="81"/>
      <c r="AE243" s="81"/>
    </row>
    <row r="244" spans="2:31" ht="20.25" hidden="1" customHeight="1" x14ac:dyDescent="0.2">
      <c r="B244" s="58" t="s">
        <v>9</v>
      </c>
      <c r="C244" s="32"/>
      <c r="D244" s="67"/>
      <c r="E244" s="67"/>
      <c r="F244" s="67"/>
      <c r="G244" s="67">
        <v>12.042002040129123</v>
      </c>
      <c r="H244" s="64">
        <f t="shared" si="90"/>
        <v>12.042002040129123</v>
      </c>
      <c r="I244" s="32">
        <v>109.11992466</v>
      </c>
      <c r="J244" s="68"/>
      <c r="K244" s="68">
        <v>11.795282980000001</v>
      </c>
      <c r="L244" s="144">
        <v>0.99782491000000006</v>
      </c>
      <c r="M244" s="65">
        <f t="shared" si="91"/>
        <v>121.91303255</v>
      </c>
      <c r="N244" s="32">
        <f t="shared" si="92"/>
        <v>133.95503459012912</v>
      </c>
      <c r="O244" s="142">
        <v>7.8745692843758954</v>
      </c>
      <c r="P244" s="144">
        <v>0</v>
      </c>
      <c r="Q244" s="75">
        <f t="shared" si="93"/>
        <v>7.8745692843758954</v>
      </c>
      <c r="R244" s="15"/>
      <c r="S244" s="145">
        <v>6.7077289512051657</v>
      </c>
      <c r="T244" s="67"/>
      <c r="U244" s="65">
        <f t="shared" si="94"/>
        <v>6.7077289512051657</v>
      </c>
      <c r="V244" s="75"/>
      <c r="W244" s="145">
        <v>5.8227972503012912</v>
      </c>
      <c r="X244" s="145">
        <v>2.3692907508464849</v>
      </c>
      <c r="Y244" s="67">
        <v>92.886092707130558</v>
      </c>
      <c r="Z244" s="13">
        <f t="shared" si="95"/>
        <v>249.61551353398852</v>
      </c>
      <c r="AA244" s="74"/>
      <c r="AD244" s="81"/>
      <c r="AE244" s="81"/>
    </row>
    <row r="245" spans="2:31" ht="20.25" hidden="1" customHeight="1" x14ac:dyDescent="0.2">
      <c r="B245" s="58" t="s">
        <v>10</v>
      </c>
      <c r="C245" s="32"/>
      <c r="D245" s="67"/>
      <c r="E245" s="67"/>
      <c r="F245" s="67"/>
      <c r="G245" s="67">
        <v>9.32804364215208</v>
      </c>
      <c r="H245" s="64">
        <f t="shared" si="90"/>
        <v>9.32804364215208</v>
      </c>
      <c r="I245" s="32">
        <v>127.52574380999999</v>
      </c>
      <c r="J245" s="68"/>
      <c r="K245" s="67">
        <v>16.361772960860833</v>
      </c>
      <c r="L245" s="144">
        <v>1.2500884002869439</v>
      </c>
      <c r="M245" s="65">
        <f t="shared" si="91"/>
        <v>145.13760517114778</v>
      </c>
      <c r="N245" s="32">
        <f t="shared" si="92"/>
        <v>154.46564881329985</v>
      </c>
      <c r="O245" s="142">
        <v>3.6780223044476332</v>
      </c>
      <c r="P245" s="144">
        <v>0</v>
      </c>
      <c r="Q245" s="75">
        <f t="shared" si="93"/>
        <v>3.6780223044476332</v>
      </c>
      <c r="R245" s="15"/>
      <c r="S245" s="145">
        <v>19.895767408723099</v>
      </c>
      <c r="T245" s="67"/>
      <c r="U245" s="65">
        <f t="shared" si="94"/>
        <v>19.895767408723099</v>
      </c>
      <c r="V245" s="75"/>
      <c r="W245" s="145">
        <v>1.333980909225251</v>
      </c>
      <c r="X245" s="145">
        <v>3.0301602564131995</v>
      </c>
      <c r="Y245" s="67">
        <v>124.31175734179341</v>
      </c>
      <c r="Z245" s="13">
        <f t="shared" si="95"/>
        <v>306.71533703390241</v>
      </c>
      <c r="AA245" s="74"/>
      <c r="AD245" s="81"/>
      <c r="AE245" s="81"/>
    </row>
    <row r="246" spans="2:31" ht="16.5" hidden="1" customHeight="1" x14ac:dyDescent="0.2">
      <c r="B246" s="58" t="s">
        <v>11</v>
      </c>
      <c r="C246" s="32">
        <v>4.8625080344332897E-2</v>
      </c>
      <c r="D246" s="67"/>
      <c r="E246" s="67"/>
      <c r="F246" s="67"/>
      <c r="G246" s="67">
        <v>8.9564318977809751</v>
      </c>
      <c r="H246" s="64">
        <f t="shared" si="90"/>
        <v>9.0050569781253085</v>
      </c>
      <c r="I246" s="32">
        <v>136.1475213902726</v>
      </c>
      <c r="J246" s="68"/>
      <c r="K246" s="67">
        <v>13.670988461133428</v>
      </c>
      <c r="L246" s="144">
        <v>1.65589641</v>
      </c>
      <c r="M246" s="65">
        <f t="shared" si="91"/>
        <v>151.47440626140602</v>
      </c>
      <c r="N246" s="32">
        <f t="shared" si="92"/>
        <v>160.47946323953133</v>
      </c>
      <c r="O246" s="142">
        <v>1.7359240607173601</v>
      </c>
      <c r="P246" s="144">
        <v>0</v>
      </c>
      <c r="Q246" s="75">
        <f t="shared" si="93"/>
        <v>1.7359240607173601</v>
      </c>
      <c r="R246" s="15"/>
      <c r="S246" s="145">
        <v>38.99310430926829</v>
      </c>
      <c r="T246" s="67"/>
      <c r="U246" s="65">
        <f t="shared" si="94"/>
        <v>38.99310430926829</v>
      </c>
      <c r="V246" s="75"/>
      <c r="W246" s="145">
        <v>6.3020062301578186</v>
      </c>
      <c r="X246" s="145">
        <v>1.0136433434290026</v>
      </c>
      <c r="Y246" s="67">
        <v>124.25106573958392</v>
      </c>
      <c r="Z246" s="13">
        <f t="shared" si="95"/>
        <v>332.77520692268774</v>
      </c>
      <c r="AA246" s="74"/>
      <c r="AD246" s="81"/>
      <c r="AE246" s="81"/>
    </row>
    <row r="247" spans="2:31" ht="16.5" hidden="1" customHeight="1" x14ac:dyDescent="0.2">
      <c r="B247" s="58" t="s">
        <v>12</v>
      </c>
      <c r="C247" s="32">
        <v>0</v>
      </c>
      <c r="D247" s="67"/>
      <c r="E247" s="67"/>
      <c r="F247" s="67"/>
      <c r="G247" s="67">
        <v>8.9569536108321373</v>
      </c>
      <c r="H247" s="64">
        <f t="shared" ref="H247:H252" si="96">C247+D247+E247+G247+F247</f>
        <v>8.9569536108321373</v>
      </c>
      <c r="I247" s="32">
        <v>129.06725109094691</v>
      </c>
      <c r="J247" s="68"/>
      <c r="K247" s="67">
        <v>18.338890829383068</v>
      </c>
      <c r="L247" s="144">
        <v>2.07853054071736</v>
      </c>
      <c r="M247" s="65">
        <f t="shared" ref="M247:M252" si="97">+I247+K247+L247</f>
        <v>149.48467246104735</v>
      </c>
      <c r="N247" s="32">
        <f t="shared" ref="N247:N252" si="98">H247+M247</f>
        <v>158.44162607187948</v>
      </c>
      <c r="O247" s="142">
        <v>4.1721392775179336</v>
      </c>
      <c r="P247" s="144"/>
      <c r="Q247" s="75">
        <f t="shared" ref="Q247:Q252" si="99">+O247+P247</f>
        <v>4.1721392775179336</v>
      </c>
      <c r="R247" s="15"/>
      <c r="S247" s="145">
        <v>20.856427935667142</v>
      </c>
      <c r="T247" s="67"/>
      <c r="U247" s="65">
        <f t="shared" ref="U247:U252" si="100">+R247+S247+T247</f>
        <v>20.856427935667142</v>
      </c>
      <c r="V247" s="75"/>
      <c r="W247" s="145">
        <v>5.6289048099999999</v>
      </c>
      <c r="X247" s="145">
        <v>3.8940775158536889</v>
      </c>
      <c r="Y247" s="67">
        <v>159.77814785309897</v>
      </c>
      <c r="Z247" s="13">
        <f t="shared" ref="Z247:Z252" si="101">+Y247+W247+V247+U247+Q247+N247+X247</f>
        <v>352.7713234640172</v>
      </c>
      <c r="AA247" s="74"/>
      <c r="AD247" s="81"/>
      <c r="AE247" s="81"/>
    </row>
    <row r="248" spans="2:31" ht="20.25" hidden="1" customHeight="1" x14ac:dyDescent="0.2">
      <c r="B248" s="58" t="s">
        <v>13</v>
      </c>
      <c r="C248" s="32"/>
      <c r="D248" s="67"/>
      <c r="E248" s="67"/>
      <c r="F248" s="67"/>
      <c r="G248" s="67">
        <v>9.1197083579770464</v>
      </c>
      <c r="H248" s="64">
        <f t="shared" si="96"/>
        <v>9.1197083579770464</v>
      </c>
      <c r="I248" s="32">
        <v>177.72773411928264</v>
      </c>
      <c r="K248" s="68">
        <v>19.075420749698708</v>
      </c>
      <c r="L248" s="67">
        <v>0.14728775055954085</v>
      </c>
      <c r="M248" s="65">
        <f t="shared" si="97"/>
        <v>196.95044261954089</v>
      </c>
      <c r="N248" s="32">
        <f t="shared" si="98"/>
        <v>206.07015097751793</v>
      </c>
      <c r="O248" s="142">
        <v>2.347592231433429</v>
      </c>
      <c r="P248" s="144"/>
      <c r="Q248" s="75">
        <f t="shared" si="99"/>
        <v>2.347592231433429</v>
      </c>
      <c r="R248" s="15"/>
      <c r="S248" s="145">
        <v>20.157498990000001</v>
      </c>
      <c r="T248" s="67"/>
      <c r="U248" s="65">
        <f t="shared" si="100"/>
        <v>20.157498990000001</v>
      </c>
      <c r="V248" s="75"/>
      <c r="W248" s="145">
        <v>0.24978317449067433</v>
      </c>
      <c r="X248" s="145">
        <v>5.3987192247202351</v>
      </c>
      <c r="Y248" s="67">
        <v>87.042409467058832</v>
      </c>
      <c r="Z248" s="13">
        <f t="shared" si="101"/>
        <v>321.26615406522114</v>
      </c>
      <c r="AA248" s="74"/>
      <c r="AD248" s="81"/>
      <c r="AE248" s="81"/>
    </row>
    <row r="249" spans="2:31" ht="20.25" hidden="1" customHeight="1" x14ac:dyDescent="0.2">
      <c r="B249" s="58" t="s">
        <v>14</v>
      </c>
      <c r="C249" s="32"/>
      <c r="D249" s="67"/>
      <c r="E249" s="67"/>
      <c r="F249" s="67"/>
      <c r="G249" s="67">
        <v>14.956671191104736</v>
      </c>
      <c r="H249" s="64">
        <f t="shared" si="96"/>
        <v>14.956671191104736</v>
      </c>
      <c r="I249" s="32">
        <v>169.89963541057389</v>
      </c>
      <c r="J249" s="68"/>
      <c r="K249" s="67">
        <v>21.165564880344334</v>
      </c>
      <c r="L249" s="144">
        <v>2.1612039500000004</v>
      </c>
      <c r="M249" s="65">
        <f t="shared" si="97"/>
        <v>193.22640424091821</v>
      </c>
      <c r="N249" s="32">
        <f t="shared" si="98"/>
        <v>208.18307543202295</v>
      </c>
      <c r="O249" s="142">
        <v>2.9958025904591103</v>
      </c>
      <c r="P249" s="144"/>
      <c r="Q249" s="75">
        <f t="shared" si="99"/>
        <v>2.9958025904591103</v>
      </c>
      <c r="R249" s="15"/>
      <c r="S249" s="145">
        <v>29.478590502180776</v>
      </c>
      <c r="T249" s="67"/>
      <c r="U249" s="65">
        <f t="shared" si="100"/>
        <v>29.478590502180776</v>
      </c>
      <c r="V249" s="75"/>
      <c r="W249" s="145">
        <v>9.3260351300000011</v>
      </c>
      <c r="X249" s="145">
        <v>4.598425353687233</v>
      </c>
      <c r="Y249" s="67">
        <v>175.12367526291249</v>
      </c>
      <c r="Z249" s="13">
        <f t="shared" si="101"/>
        <v>429.70560427126253</v>
      </c>
      <c r="AA249" s="74"/>
      <c r="AD249" s="81"/>
      <c r="AE249" s="81"/>
    </row>
    <row r="250" spans="2:31" ht="20.25" hidden="1" customHeight="1" x14ac:dyDescent="0.2">
      <c r="B250" s="58" t="s">
        <v>15</v>
      </c>
      <c r="C250" s="32"/>
      <c r="D250" s="67"/>
      <c r="E250" s="67"/>
      <c r="F250" s="67">
        <v>0</v>
      </c>
      <c r="G250" s="32">
        <v>14.225351059999999</v>
      </c>
      <c r="H250" s="64">
        <f t="shared" si="96"/>
        <v>14.225351059999999</v>
      </c>
      <c r="I250" s="32">
        <v>164.93843702000001</v>
      </c>
      <c r="J250" s="68"/>
      <c r="K250" s="32">
        <v>17.869031960000001</v>
      </c>
      <c r="L250" s="144">
        <v>2.1729373000000001</v>
      </c>
      <c r="M250" s="65">
        <f t="shared" si="97"/>
        <v>184.98040628000001</v>
      </c>
      <c r="N250" s="64">
        <f t="shared" si="98"/>
        <v>199.20575734000002</v>
      </c>
      <c r="O250" s="142">
        <v>7.5818324100000005</v>
      </c>
      <c r="P250" s="144"/>
      <c r="Q250" s="65">
        <f t="shared" si="99"/>
        <v>7.5818324100000005</v>
      </c>
      <c r="R250" s="15"/>
      <c r="S250" s="145">
        <v>44.039675350000003</v>
      </c>
      <c r="T250" s="67"/>
      <c r="U250" s="65">
        <f t="shared" si="100"/>
        <v>44.039675350000003</v>
      </c>
      <c r="V250" s="75"/>
      <c r="W250" s="145">
        <v>4.0285883</v>
      </c>
      <c r="X250" s="145">
        <v>4.1947929799999999</v>
      </c>
      <c r="Y250" s="67">
        <v>143.84333851</v>
      </c>
      <c r="Z250" s="13">
        <f t="shared" si="101"/>
        <v>402.89398489000001</v>
      </c>
      <c r="AA250" s="74"/>
      <c r="AD250" s="81"/>
      <c r="AE250" s="81"/>
    </row>
    <row r="251" spans="2:31" ht="20.25" hidden="1" customHeight="1" x14ac:dyDescent="0.2">
      <c r="B251" s="58" t="s">
        <v>16</v>
      </c>
      <c r="C251" s="32">
        <v>1.2</v>
      </c>
      <c r="D251" s="67"/>
      <c r="E251" s="67"/>
      <c r="F251" s="67"/>
      <c r="G251" s="32">
        <v>11.312171680000001</v>
      </c>
      <c r="H251" s="64">
        <f t="shared" si="96"/>
        <v>12.51217168</v>
      </c>
      <c r="I251" s="32">
        <v>169.10058258999999</v>
      </c>
      <c r="J251" s="68"/>
      <c r="K251" s="32">
        <v>23.757157240000002</v>
      </c>
      <c r="L251" s="144">
        <v>3.8789082799999997</v>
      </c>
      <c r="M251" s="65">
        <f t="shared" si="97"/>
        <v>196.73664810999998</v>
      </c>
      <c r="N251" s="64">
        <f t="shared" si="98"/>
        <v>209.24881978999997</v>
      </c>
      <c r="O251" s="142">
        <v>4.0121196107309993</v>
      </c>
      <c r="P251" s="144"/>
      <c r="Q251" s="65">
        <f t="shared" si="99"/>
        <v>4.0121196107309993</v>
      </c>
      <c r="R251" s="15"/>
      <c r="S251" s="145">
        <v>27.388233360000001</v>
      </c>
      <c r="T251" s="67"/>
      <c r="U251" s="65">
        <f t="shared" si="100"/>
        <v>27.388233360000001</v>
      </c>
      <c r="V251" s="75"/>
      <c r="W251" s="145">
        <v>30.438170070000002</v>
      </c>
      <c r="X251" s="145">
        <v>9.2216946499999999</v>
      </c>
      <c r="Y251" s="67">
        <v>120.01170027000001</v>
      </c>
      <c r="Z251" s="13">
        <f t="shared" si="101"/>
        <v>400.32073775073104</v>
      </c>
      <c r="AA251" s="74"/>
      <c r="AD251" s="81"/>
      <c r="AE251" s="81"/>
    </row>
    <row r="252" spans="2:31" ht="20.25" hidden="1" customHeight="1" x14ac:dyDescent="0.2">
      <c r="B252" s="58" t="s">
        <v>17</v>
      </c>
      <c r="C252" s="32"/>
      <c r="D252" s="67"/>
      <c r="E252" s="67"/>
      <c r="F252" s="67">
        <v>182.31031076143887</v>
      </c>
      <c r="G252" s="32">
        <v>23.730560985734044</v>
      </c>
      <c r="H252" s="64">
        <f t="shared" si="96"/>
        <v>206.0408717471729</v>
      </c>
      <c r="I252" s="32">
        <v>165.85355177</v>
      </c>
      <c r="J252" s="68"/>
      <c r="K252" s="32">
        <v>25.670010180000002</v>
      </c>
      <c r="L252" s="144">
        <v>1.2217318499999998</v>
      </c>
      <c r="M252" s="65">
        <f t="shared" si="97"/>
        <v>192.74529379999998</v>
      </c>
      <c r="N252" s="64">
        <f t="shared" si="98"/>
        <v>398.78616554717291</v>
      </c>
      <c r="O252" s="142">
        <v>3.566257410650127</v>
      </c>
      <c r="P252" s="144"/>
      <c r="Q252" s="65">
        <f t="shared" si="99"/>
        <v>3.566257410650127</v>
      </c>
      <c r="R252" s="15"/>
      <c r="S252" s="145">
        <v>165.20040661067671</v>
      </c>
      <c r="T252" s="67"/>
      <c r="U252" s="65">
        <f t="shared" si="100"/>
        <v>165.20040661067671</v>
      </c>
      <c r="V252" s="75"/>
      <c r="W252" s="145">
        <v>14.72428318</v>
      </c>
      <c r="X252" s="145">
        <v>6.1318764906192857</v>
      </c>
      <c r="Y252" s="67">
        <v>373.22074348210356</v>
      </c>
      <c r="Z252" s="13">
        <f t="shared" si="101"/>
        <v>961.62973272122258</v>
      </c>
      <c r="AA252" s="74"/>
      <c r="AD252" s="81"/>
      <c r="AE252" s="81"/>
    </row>
    <row r="253" spans="2:31" ht="20.25" hidden="1" customHeight="1" x14ac:dyDescent="0.2">
      <c r="B253" s="58"/>
      <c r="C253" s="32"/>
      <c r="D253" s="67"/>
      <c r="E253" s="67"/>
      <c r="F253" s="67"/>
      <c r="G253" s="32"/>
      <c r="H253" s="64"/>
      <c r="I253" s="32"/>
      <c r="J253" s="68"/>
      <c r="K253" s="32"/>
      <c r="L253" s="145"/>
      <c r="M253" s="65"/>
      <c r="N253" s="32"/>
      <c r="O253" s="142"/>
      <c r="P253" s="144"/>
      <c r="Q253" s="75"/>
      <c r="R253" s="15"/>
      <c r="S253" s="145"/>
      <c r="T253" s="67"/>
      <c r="U253" s="65"/>
      <c r="V253" s="75"/>
      <c r="W253" s="145"/>
      <c r="X253" s="145"/>
      <c r="Y253" s="67"/>
      <c r="Z253" s="13"/>
      <c r="AA253" s="74"/>
      <c r="AD253" s="81"/>
      <c r="AE253" s="81"/>
    </row>
    <row r="254" spans="2:31" ht="20.25" customHeight="1" x14ac:dyDescent="0.2">
      <c r="B254" s="58">
        <v>2011</v>
      </c>
      <c r="C254" s="32">
        <f>SUM(C256:C341)</f>
        <v>0</v>
      </c>
      <c r="D254" s="32">
        <f>SUM(D256:D342)</f>
        <v>0</v>
      </c>
      <c r="E254" s="32">
        <f>SUM(E256:E342)</f>
        <v>0</v>
      </c>
      <c r="F254" s="32">
        <f>SUM(F256:F267)</f>
        <v>72.871829290524147</v>
      </c>
      <c r="G254" s="32">
        <f>SUM(G256:G267)</f>
        <v>268.88002903420966</v>
      </c>
      <c r="H254" s="64">
        <f t="shared" ref="H254:Z254" si="102">SUM(H256:H267)</f>
        <v>341.7518583247338</v>
      </c>
      <c r="I254" s="32">
        <f t="shared" si="102"/>
        <v>2311.5166566803623</v>
      </c>
      <c r="J254" s="32">
        <f t="shared" si="102"/>
        <v>0</v>
      </c>
      <c r="K254" s="32">
        <f t="shared" si="102"/>
        <v>269.05387641043808</v>
      </c>
      <c r="L254" s="32">
        <f t="shared" si="102"/>
        <v>29.243449130422121</v>
      </c>
      <c r="M254" s="65">
        <f t="shared" si="102"/>
        <v>2609.8139822212233</v>
      </c>
      <c r="N254" s="32">
        <f t="shared" si="102"/>
        <v>2951.5658405459567</v>
      </c>
      <c r="O254" s="15">
        <f t="shared" si="102"/>
        <v>51.901807108091354</v>
      </c>
      <c r="P254" s="30">
        <f t="shared" si="102"/>
        <v>0</v>
      </c>
      <c r="Q254" s="75">
        <f t="shared" si="102"/>
        <v>51.901807108091354</v>
      </c>
      <c r="R254" s="15">
        <f t="shared" si="102"/>
        <v>0</v>
      </c>
      <c r="S254" s="75">
        <f t="shared" si="102"/>
        <v>456.89534474329025</v>
      </c>
      <c r="T254" s="75">
        <f t="shared" si="102"/>
        <v>0</v>
      </c>
      <c r="U254" s="65">
        <f t="shared" si="102"/>
        <v>456.89534474329025</v>
      </c>
      <c r="V254" s="75">
        <f t="shared" si="102"/>
        <v>0</v>
      </c>
      <c r="W254" s="75">
        <f t="shared" si="102"/>
        <v>65.885070667619473</v>
      </c>
      <c r="X254" s="75">
        <f t="shared" si="102"/>
        <v>100.71068265284114</v>
      </c>
      <c r="Y254" s="75">
        <f t="shared" si="102"/>
        <v>2555.9708568966366</v>
      </c>
      <c r="Z254" s="13">
        <f t="shared" si="102"/>
        <v>6182.9296026144357</v>
      </c>
      <c r="AA254" s="74"/>
      <c r="AD254" s="81"/>
      <c r="AE254" s="81"/>
    </row>
    <row r="255" spans="2:31" ht="20.25" hidden="1" customHeight="1" outlineLevel="1" x14ac:dyDescent="0.2">
      <c r="B255" s="58"/>
      <c r="C255" s="32"/>
      <c r="D255" s="67"/>
      <c r="E255" s="67"/>
      <c r="F255" s="67"/>
      <c r="G255" s="32"/>
      <c r="H255" s="64"/>
      <c r="I255" s="32"/>
      <c r="J255" s="68"/>
      <c r="K255" s="67"/>
      <c r="L255" s="68"/>
      <c r="M255" s="65"/>
      <c r="N255" s="32"/>
      <c r="O255" s="15"/>
      <c r="P255" s="30"/>
      <c r="Q255" s="75"/>
      <c r="R255" s="15"/>
      <c r="S255" s="67"/>
      <c r="T255" s="67"/>
      <c r="U255" s="65"/>
      <c r="V255" s="75"/>
      <c r="W255" s="145"/>
      <c r="X255" s="75"/>
      <c r="Y255" s="75"/>
      <c r="Z255" s="13"/>
      <c r="AA255" s="74"/>
      <c r="AD255" s="81"/>
      <c r="AE255" s="81"/>
    </row>
    <row r="256" spans="2:31" ht="20.25" hidden="1" customHeight="1" outlineLevel="1" x14ac:dyDescent="0.2">
      <c r="B256" s="59" t="s">
        <v>6</v>
      </c>
      <c r="C256" s="32"/>
      <c r="D256" s="67"/>
      <c r="E256" s="67"/>
      <c r="F256" s="67"/>
      <c r="G256" s="67">
        <v>10.158551320000001</v>
      </c>
      <c r="H256" s="64">
        <f t="shared" ref="H256:H267" si="103">C256+D256+E256+G256+F256</f>
        <v>10.158551320000001</v>
      </c>
      <c r="I256" s="32">
        <v>163.44178184</v>
      </c>
      <c r="J256" s="68"/>
      <c r="K256" s="32">
        <v>16.583945960000001</v>
      </c>
      <c r="L256" s="156">
        <v>7.19182524</v>
      </c>
      <c r="M256" s="65">
        <f t="shared" ref="M256:M267" si="104">+I256+K256+L256</f>
        <v>187.21755303999998</v>
      </c>
      <c r="N256" s="32">
        <f t="shared" ref="N256:N267" si="105">H256+M256</f>
        <v>197.37610436</v>
      </c>
      <c r="O256" s="142">
        <v>2.9936002899999998</v>
      </c>
      <c r="P256" s="144">
        <v>0</v>
      </c>
      <c r="Q256" s="75">
        <f t="shared" ref="Q256:Q267" si="106">+O256+P256</f>
        <v>2.9936002899999998</v>
      </c>
      <c r="R256" s="15"/>
      <c r="S256" s="145">
        <v>4.1649505600000003</v>
      </c>
      <c r="T256" s="67"/>
      <c r="U256" s="65">
        <f t="shared" ref="U256:U267" si="107">+R256+S256+T256</f>
        <v>4.1649505600000003</v>
      </c>
      <c r="V256" s="75"/>
      <c r="W256" s="145">
        <v>1.1749748499999999</v>
      </c>
      <c r="X256" s="145">
        <v>6.3031578999999995</v>
      </c>
      <c r="Y256" s="67">
        <v>383.81385253000002</v>
      </c>
      <c r="Z256" s="13">
        <f t="shared" ref="Z256:Z267" si="108">+Y256+W256+V256+U256+Q256+N256+X256</f>
        <v>595.82664049000005</v>
      </c>
      <c r="AA256" s="74"/>
      <c r="AD256" s="81"/>
      <c r="AE256" s="81"/>
    </row>
    <row r="257" spans="2:31" ht="20.25" hidden="1" customHeight="1" outlineLevel="1" x14ac:dyDescent="0.2">
      <c r="B257" s="59" t="s">
        <v>7</v>
      </c>
      <c r="C257" s="32"/>
      <c r="D257" s="67"/>
      <c r="E257" s="67"/>
      <c r="F257" s="67"/>
      <c r="G257" s="67">
        <v>13.773637389999998</v>
      </c>
      <c r="H257" s="64">
        <f t="shared" si="103"/>
        <v>13.773637389999998</v>
      </c>
      <c r="I257" s="32">
        <v>191.40995089</v>
      </c>
      <c r="J257" s="68"/>
      <c r="K257" s="67">
        <v>32.327678799999994</v>
      </c>
      <c r="L257" s="157">
        <v>0.51135646999999995</v>
      </c>
      <c r="M257" s="65">
        <f t="shared" si="104"/>
        <v>224.24898616000002</v>
      </c>
      <c r="N257" s="32">
        <f t="shared" si="105"/>
        <v>238.02262355000002</v>
      </c>
      <c r="O257" s="142">
        <v>1.9856892900000001</v>
      </c>
      <c r="P257" s="146">
        <v>0</v>
      </c>
      <c r="Q257" s="75">
        <f t="shared" si="106"/>
        <v>1.9856892900000001</v>
      </c>
      <c r="R257" s="15"/>
      <c r="S257" s="67">
        <v>16.729176379999998</v>
      </c>
      <c r="T257" s="67"/>
      <c r="U257" s="65">
        <f t="shared" si="107"/>
        <v>16.729176379999998</v>
      </c>
      <c r="V257" s="75"/>
      <c r="W257" s="145">
        <v>2.0531783300000002</v>
      </c>
      <c r="X257" s="143">
        <v>5.2910031800000006</v>
      </c>
      <c r="Y257" s="67">
        <v>241.42028980999999</v>
      </c>
      <c r="Z257" s="13">
        <f t="shared" si="108"/>
        <v>505.50196053999997</v>
      </c>
      <c r="AA257" s="74"/>
      <c r="AC257" s="81"/>
      <c r="AD257" s="81"/>
      <c r="AE257" s="81"/>
    </row>
    <row r="258" spans="2:31" ht="20.25" hidden="1" customHeight="1" outlineLevel="1" x14ac:dyDescent="0.2">
      <c r="B258" s="59" t="s">
        <v>8</v>
      </c>
      <c r="C258" s="32"/>
      <c r="D258" s="67"/>
      <c r="E258" s="67"/>
      <c r="F258" s="67"/>
      <c r="G258" s="67">
        <v>9.5038867099999997</v>
      </c>
      <c r="H258" s="64">
        <f t="shared" si="103"/>
        <v>9.5038867099999997</v>
      </c>
      <c r="I258" s="32">
        <v>172.28493834999998</v>
      </c>
      <c r="J258" s="68"/>
      <c r="K258" s="67">
        <v>18.83017152</v>
      </c>
      <c r="L258" s="158">
        <v>0.429865</v>
      </c>
      <c r="M258" s="65">
        <f t="shared" si="104"/>
        <v>191.54497486999998</v>
      </c>
      <c r="N258" s="32">
        <f t="shared" si="105"/>
        <v>201.04886157999996</v>
      </c>
      <c r="O258" s="142">
        <v>5.3179266300000005</v>
      </c>
      <c r="P258" s="144"/>
      <c r="Q258" s="75">
        <f t="shared" si="106"/>
        <v>5.3179266300000005</v>
      </c>
      <c r="R258" s="15"/>
      <c r="S258" s="145">
        <v>18.986601060000002</v>
      </c>
      <c r="T258" s="67"/>
      <c r="U258" s="65">
        <f t="shared" si="107"/>
        <v>18.986601060000002</v>
      </c>
      <c r="V258" s="75"/>
      <c r="W258" s="145">
        <v>4.3564512299999993</v>
      </c>
      <c r="X258" s="145">
        <v>5.6608667600000002</v>
      </c>
      <c r="Y258" s="67">
        <v>159.30582628999997</v>
      </c>
      <c r="Z258" s="13">
        <f t="shared" si="108"/>
        <v>394.67653354999993</v>
      </c>
      <c r="AA258" s="74"/>
      <c r="AD258" s="81"/>
      <c r="AE258" s="81"/>
    </row>
    <row r="259" spans="2:31" ht="20.25" hidden="1" customHeight="1" outlineLevel="1" x14ac:dyDescent="0.2">
      <c r="B259" s="59" t="s">
        <v>9</v>
      </c>
      <c r="C259" s="32"/>
      <c r="D259" s="67"/>
      <c r="E259" s="67"/>
      <c r="F259" s="67"/>
      <c r="G259" s="67">
        <v>9.5985393600000002</v>
      </c>
      <c r="H259" s="64">
        <f t="shared" si="103"/>
        <v>9.5985393600000002</v>
      </c>
      <c r="I259" s="32">
        <v>120.68444112999998</v>
      </c>
      <c r="J259" s="68"/>
      <c r="K259" s="67">
        <v>25.058111010000001</v>
      </c>
      <c r="L259" s="158">
        <v>2.8155753899999998</v>
      </c>
      <c r="M259" s="65">
        <f t="shared" si="104"/>
        <v>148.55812752999998</v>
      </c>
      <c r="N259" s="32">
        <f t="shared" si="105"/>
        <v>158.15666688999997</v>
      </c>
      <c r="O259" s="142">
        <v>2.5347652205805513</v>
      </c>
      <c r="P259" s="144"/>
      <c r="Q259" s="75">
        <f t="shared" si="106"/>
        <v>2.5347652205805513</v>
      </c>
      <c r="R259" s="15"/>
      <c r="S259" s="145">
        <v>34.201687450000001</v>
      </c>
      <c r="T259" s="67"/>
      <c r="U259" s="65">
        <f t="shared" si="107"/>
        <v>34.201687450000001</v>
      </c>
      <c r="V259" s="75"/>
      <c r="W259" s="145">
        <v>2.7530313200000003</v>
      </c>
      <c r="X259" s="145">
        <v>5.67936657</v>
      </c>
      <c r="Y259" s="67">
        <v>149.59154203</v>
      </c>
      <c r="Z259" s="13">
        <f t="shared" si="108"/>
        <v>352.91705948058052</v>
      </c>
      <c r="AA259" s="74"/>
      <c r="AD259" s="81"/>
      <c r="AE259" s="81"/>
    </row>
    <row r="260" spans="2:31" ht="20.25" hidden="1" customHeight="1" outlineLevel="1" x14ac:dyDescent="0.2">
      <c r="B260" s="59" t="s">
        <v>10</v>
      </c>
      <c r="C260" s="32"/>
      <c r="D260" s="67"/>
      <c r="E260" s="67"/>
      <c r="F260" s="67">
        <v>4.8407929000000003</v>
      </c>
      <c r="G260" s="67">
        <v>13.398141290000002</v>
      </c>
      <c r="H260" s="64">
        <f t="shared" si="103"/>
        <v>18.238934190000002</v>
      </c>
      <c r="I260" s="32">
        <v>160.20241479050799</v>
      </c>
      <c r="J260" s="68"/>
      <c r="K260" s="67">
        <v>30.760713309999996</v>
      </c>
      <c r="L260" s="158">
        <v>0.19831467999999999</v>
      </c>
      <c r="M260" s="65">
        <f t="shared" si="104"/>
        <v>191.161442780508</v>
      </c>
      <c r="N260" s="32">
        <f t="shared" si="105"/>
        <v>209.40037697050801</v>
      </c>
      <c r="O260" s="142">
        <v>3.1521653078519591</v>
      </c>
      <c r="P260" s="144"/>
      <c r="Q260" s="75">
        <f t="shared" si="106"/>
        <v>3.1521653078519591</v>
      </c>
      <c r="R260" s="15"/>
      <c r="S260" s="145">
        <v>19.183476630232221</v>
      </c>
      <c r="T260" s="67"/>
      <c r="U260" s="65">
        <f t="shared" si="107"/>
        <v>19.183476630232221</v>
      </c>
      <c r="V260" s="75"/>
      <c r="W260" s="145">
        <v>1.1140757000000001</v>
      </c>
      <c r="X260" s="145">
        <v>6.1938299204208995</v>
      </c>
      <c r="Y260" s="67">
        <v>113.73372928005806</v>
      </c>
      <c r="Z260" s="13">
        <f t="shared" si="108"/>
        <v>352.77765380907118</v>
      </c>
      <c r="AA260" s="74"/>
      <c r="AD260" s="81"/>
      <c r="AE260" s="81"/>
    </row>
    <row r="261" spans="2:31" ht="21" hidden="1" customHeight="1" outlineLevel="1" x14ac:dyDescent="0.2">
      <c r="B261" s="59" t="s">
        <v>11</v>
      </c>
      <c r="C261" s="32"/>
      <c r="D261" s="67"/>
      <c r="E261" s="67"/>
      <c r="F261" s="67">
        <v>4.5404694900000004</v>
      </c>
      <c r="G261" s="67">
        <v>9.5479799500000002</v>
      </c>
      <c r="H261" s="64">
        <f t="shared" si="103"/>
        <v>14.088449440000002</v>
      </c>
      <c r="I261" s="32">
        <v>199.71442023</v>
      </c>
      <c r="J261" s="68"/>
      <c r="K261" s="67">
        <v>18.891410780000001</v>
      </c>
      <c r="L261" s="158">
        <v>0.91442789999999996</v>
      </c>
      <c r="M261" s="65">
        <f t="shared" si="104"/>
        <v>219.52025891</v>
      </c>
      <c r="N261" s="32">
        <f t="shared" si="105"/>
        <v>233.60870835</v>
      </c>
      <c r="O261" s="142">
        <v>3.6220298800000004</v>
      </c>
      <c r="P261" s="144"/>
      <c r="Q261" s="75">
        <f t="shared" si="106"/>
        <v>3.6220298800000004</v>
      </c>
      <c r="R261" s="15"/>
      <c r="S261" s="145">
        <v>30.65991391</v>
      </c>
      <c r="T261" s="67"/>
      <c r="U261" s="65">
        <f t="shared" si="107"/>
        <v>30.65991391</v>
      </c>
      <c r="V261" s="75"/>
      <c r="W261" s="145">
        <v>17.308368570000003</v>
      </c>
      <c r="X261" s="145">
        <v>5.5813625799999995</v>
      </c>
      <c r="Y261" s="67">
        <v>211.06833632000001</v>
      </c>
      <c r="Z261" s="13">
        <f t="shared" si="108"/>
        <v>501.8487196100001</v>
      </c>
      <c r="AA261" s="74"/>
      <c r="AD261" s="81"/>
      <c r="AE261" s="81"/>
    </row>
    <row r="262" spans="2:31" ht="21" hidden="1" customHeight="1" outlineLevel="1" x14ac:dyDescent="0.2">
      <c r="B262" s="59" t="s">
        <v>12</v>
      </c>
      <c r="C262" s="32"/>
      <c r="D262" s="67"/>
      <c r="E262" s="67"/>
      <c r="F262" s="67">
        <v>8.3721921899999998</v>
      </c>
      <c r="G262" s="67">
        <v>12.57821755</v>
      </c>
      <c r="H262" s="64">
        <f t="shared" si="103"/>
        <v>20.950409739999998</v>
      </c>
      <c r="I262" s="32">
        <v>202.74306524999997</v>
      </c>
      <c r="J262" s="68"/>
      <c r="K262" s="67">
        <v>23.553976510000002</v>
      </c>
      <c r="L262" s="158">
        <v>1.4773797499999999</v>
      </c>
      <c r="M262" s="65">
        <f t="shared" si="104"/>
        <v>227.77442151</v>
      </c>
      <c r="N262" s="32">
        <f t="shared" si="105"/>
        <v>248.72483124999999</v>
      </c>
      <c r="O262" s="142">
        <v>3.30711617</v>
      </c>
      <c r="P262" s="144"/>
      <c r="Q262" s="75">
        <f t="shared" si="106"/>
        <v>3.30711617</v>
      </c>
      <c r="R262" s="15"/>
      <c r="S262" s="145">
        <v>26.44321523</v>
      </c>
      <c r="T262" s="67"/>
      <c r="U262" s="65">
        <f t="shared" si="107"/>
        <v>26.44321523</v>
      </c>
      <c r="V262" s="75"/>
      <c r="W262" s="145">
        <v>4.2233559099999995</v>
      </c>
      <c r="X262" s="145">
        <v>5.8600240499999998</v>
      </c>
      <c r="Y262" s="67">
        <v>225.01302586</v>
      </c>
      <c r="Z262" s="13">
        <f t="shared" si="108"/>
        <v>513.57156846999999</v>
      </c>
      <c r="AA262" s="74"/>
      <c r="AD262" s="81"/>
      <c r="AE262" s="81"/>
    </row>
    <row r="263" spans="2:31" ht="21" hidden="1" customHeight="1" outlineLevel="1" x14ac:dyDescent="0.2">
      <c r="B263" s="59" t="s">
        <v>13</v>
      </c>
      <c r="C263" s="32"/>
      <c r="D263" s="67"/>
      <c r="E263" s="67"/>
      <c r="F263" s="67">
        <v>10.126585760000001</v>
      </c>
      <c r="G263" s="67">
        <v>13.777666549999999</v>
      </c>
      <c r="H263" s="64">
        <f t="shared" si="103"/>
        <v>23.90425231</v>
      </c>
      <c r="I263" s="32">
        <v>181.21771623000004</v>
      </c>
      <c r="J263" s="68"/>
      <c r="K263" s="67">
        <v>35.397326469999996</v>
      </c>
      <c r="L263" s="158">
        <v>0.49756288000000004</v>
      </c>
      <c r="M263" s="65">
        <f t="shared" si="104"/>
        <v>217.11260558000004</v>
      </c>
      <c r="N263" s="32">
        <f t="shared" si="105"/>
        <v>241.01685789000004</v>
      </c>
      <c r="O263" s="142">
        <v>3.7445182799999999</v>
      </c>
      <c r="P263" s="144"/>
      <c r="Q263" s="75">
        <f t="shared" si="106"/>
        <v>3.7445182799999999</v>
      </c>
      <c r="R263" s="15"/>
      <c r="S263" s="145">
        <v>36.216895009999995</v>
      </c>
      <c r="T263" s="67"/>
      <c r="U263" s="65">
        <f t="shared" si="107"/>
        <v>36.216895009999995</v>
      </c>
      <c r="V263" s="75"/>
      <c r="W263" s="145">
        <v>0.6486163800000001</v>
      </c>
      <c r="X263" s="145">
        <v>7.3375277499999996</v>
      </c>
      <c r="Y263" s="67">
        <v>250.69725489000001</v>
      </c>
      <c r="Z263" s="13">
        <f t="shared" si="108"/>
        <v>539.66167020000012</v>
      </c>
      <c r="AA263" s="74"/>
      <c r="AD263" s="81"/>
      <c r="AE263" s="81"/>
    </row>
    <row r="264" spans="2:31" ht="21" hidden="1" customHeight="1" outlineLevel="1" x14ac:dyDescent="0.2">
      <c r="B264" s="59" t="s">
        <v>14</v>
      </c>
      <c r="C264" s="32"/>
      <c r="D264" s="67"/>
      <c r="E264" s="67"/>
      <c r="F264" s="67">
        <v>28.130881719999998</v>
      </c>
      <c r="G264" s="67">
        <v>26.869916150698693</v>
      </c>
      <c r="H264" s="64">
        <f t="shared" si="103"/>
        <v>55.00079787069869</v>
      </c>
      <c r="I264" s="32">
        <v>186.08703573</v>
      </c>
      <c r="J264" s="68"/>
      <c r="K264" s="67">
        <v>14.176426620000001</v>
      </c>
      <c r="L264" s="158">
        <v>0.16154664046579328</v>
      </c>
      <c r="M264" s="65">
        <f t="shared" si="104"/>
        <v>200.42500899046578</v>
      </c>
      <c r="N264" s="32">
        <f t="shared" si="105"/>
        <v>255.42580686116446</v>
      </c>
      <c r="O264" s="142">
        <v>3.9606896518195045</v>
      </c>
      <c r="P264" s="144"/>
      <c r="Q264" s="75">
        <f t="shared" si="106"/>
        <v>3.9606896518195045</v>
      </c>
      <c r="R264" s="15"/>
      <c r="S264" s="145">
        <v>45.467513659999995</v>
      </c>
      <c r="T264" s="67"/>
      <c r="U264" s="65">
        <f t="shared" si="107"/>
        <v>45.467513659999995</v>
      </c>
      <c r="V264" s="75"/>
      <c r="W264" s="145">
        <v>1.6591814</v>
      </c>
      <c r="X264" s="145">
        <v>23.980136635298404</v>
      </c>
      <c r="Y264" s="67">
        <v>169.29945215950465</v>
      </c>
      <c r="Z264" s="13">
        <f t="shared" si="108"/>
        <v>499.79278036778697</v>
      </c>
      <c r="AA264" s="74"/>
      <c r="AD264" s="81"/>
      <c r="AE264" s="81"/>
    </row>
    <row r="265" spans="2:31" ht="21" hidden="1" customHeight="1" outlineLevel="1" x14ac:dyDescent="0.2">
      <c r="B265" s="59" t="s">
        <v>15</v>
      </c>
      <c r="C265" s="32"/>
      <c r="D265" s="67"/>
      <c r="E265" s="67"/>
      <c r="F265" s="67">
        <v>7.1630592304366809</v>
      </c>
      <c r="G265" s="67">
        <v>16.380274321601163</v>
      </c>
      <c r="H265" s="64">
        <f t="shared" si="103"/>
        <v>23.543333552037844</v>
      </c>
      <c r="I265" s="32">
        <v>217.31189146970885</v>
      </c>
      <c r="J265" s="68"/>
      <c r="K265" s="67">
        <v>22.834355979446869</v>
      </c>
      <c r="L265" s="158">
        <v>2.8078484899563318</v>
      </c>
      <c r="M265" s="65">
        <f t="shared" si="104"/>
        <v>242.95409593911208</v>
      </c>
      <c r="N265" s="32">
        <f t="shared" si="105"/>
        <v>266.49742949114994</v>
      </c>
      <c r="O265" s="142">
        <v>11.236774522285298</v>
      </c>
      <c r="P265" s="144"/>
      <c r="Q265" s="75">
        <f t="shared" si="106"/>
        <v>11.236774522285298</v>
      </c>
      <c r="R265" s="15"/>
      <c r="S265" s="145">
        <v>37.411523332998541</v>
      </c>
      <c r="T265" s="67"/>
      <c r="U265" s="65">
        <f t="shared" si="107"/>
        <v>37.411523332998541</v>
      </c>
      <c r="V265" s="75"/>
      <c r="W265" s="145">
        <v>19.052449393042217</v>
      </c>
      <c r="X265" s="145">
        <v>6.7443626005822663</v>
      </c>
      <c r="Y265" s="67">
        <v>279.68171432604078</v>
      </c>
      <c r="Z265" s="13">
        <f t="shared" si="108"/>
        <v>620.62425366609898</v>
      </c>
      <c r="AA265" s="74"/>
      <c r="AD265" s="81"/>
      <c r="AE265" s="81"/>
    </row>
    <row r="266" spans="2:31" ht="21" hidden="1" customHeight="1" outlineLevel="1" x14ac:dyDescent="0.2">
      <c r="B266" s="59" t="s">
        <v>16</v>
      </c>
      <c r="C266" s="32"/>
      <c r="D266" s="67"/>
      <c r="E266" s="67"/>
      <c r="F266" s="67">
        <v>3.8498347304081628</v>
      </c>
      <c r="G266" s="67">
        <v>108.02607216088938</v>
      </c>
      <c r="H266" s="64">
        <f t="shared" si="103"/>
        <v>111.87590689129755</v>
      </c>
      <c r="I266" s="32">
        <v>253.94189018991256</v>
      </c>
      <c r="J266" s="68"/>
      <c r="K266" s="67">
        <v>19.584275831457724</v>
      </c>
      <c r="L266" s="67">
        <v>1.2572495400000001</v>
      </c>
      <c r="M266" s="65">
        <f t="shared" si="104"/>
        <v>274.78341556137025</v>
      </c>
      <c r="N266" s="32">
        <f t="shared" si="105"/>
        <v>386.65932245266777</v>
      </c>
      <c r="O266" s="142">
        <v>3.103264455758123</v>
      </c>
      <c r="P266" s="144"/>
      <c r="Q266" s="75">
        <f t="shared" si="106"/>
        <v>3.103264455758123</v>
      </c>
      <c r="R266" s="15"/>
      <c r="S266" s="145">
        <v>45.23658289883501</v>
      </c>
      <c r="T266" s="67"/>
      <c r="U266" s="65">
        <f t="shared" si="107"/>
        <v>45.23658289883501</v>
      </c>
      <c r="V266" s="75"/>
      <c r="W266" s="145">
        <v>4.6854620040524786</v>
      </c>
      <c r="X266" s="145">
        <v>8.2963339832177727</v>
      </c>
      <c r="Y266" s="67">
        <v>176.15217216050792</v>
      </c>
      <c r="Z266" s="13">
        <f t="shared" si="108"/>
        <v>624.13313795503905</v>
      </c>
      <c r="AA266" s="74"/>
      <c r="AD266" s="81"/>
      <c r="AE266" s="81"/>
    </row>
    <row r="267" spans="2:31" ht="21" hidden="1" customHeight="1" outlineLevel="1" x14ac:dyDescent="0.2">
      <c r="B267" s="59" t="s">
        <v>17</v>
      </c>
      <c r="C267" s="32"/>
      <c r="D267" s="67"/>
      <c r="E267" s="67"/>
      <c r="F267" s="67">
        <v>5.8480132696792992</v>
      </c>
      <c r="G267" s="67">
        <v>25.267146281020405</v>
      </c>
      <c r="H267" s="64">
        <f t="shared" si="103"/>
        <v>31.115159550699705</v>
      </c>
      <c r="I267" s="32">
        <v>262.47711058023322</v>
      </c>
      <c r="J267" s="68"/>
      <c r="K267" s="67">
        <v>11.055483619533527</v>
      </c>
      <c r="L267" s="67">
        <v>10.98049715</v>
      </c>
      <c r="M267" s="65">
        <f t="shared" si="104"/>
        <v>284.51309134976674</v>
      </c>
      <c r="N267" s="32">
        <f t="shared" si="105"/>
        <v>315.62825090046647</v>
      </c>
      <c r="O267" s="142">
        <v>6.9432674097959168</v>
      </c>
      <c r="P267" s="144"/>
      <c r="Q267" s="75">
        <f t="shared" si="106"/>
        <v>6.9432674097959168</v>
      </c>
      <c r="R267" s="15"/>
      <c r="S267" s="145">
        <v>142.19380862122449</v>
      </c>
      <c r="T267" s="67"/>
      <c r="U267" s="65">
        <f t="shared" si="107"/>
        <v>142.19380862122449</v>
      </c>
      <c r="V267" s="75"/>
      <c r="W267" s="145">
        <v>6.8559255805247705</v>
      </c>
      <c r="X267" s="145">
        <v>13.782710723321792</v>
      </c>
      <c r="Y267" s="67">
        <v>196.19366124052479</v>
      </c>
      <c r="Z267" s="13">
        <f t="shared" si="108"/>
        <v>681.5976244758582</v>
      </c>
      <c r="AA267" s="74"/>
      <c r="AD267" s="81"/>
      <c r="AE267" s="81"/>
    </row>
    <row r="268" spans="2:31" ht="21" hidden="1" customHeight="1" collapsed="1" x14ac:dyDescent="0.2">
      <c r="B268" s="58"/>
      <c r="C268" s="32"/>
      <c r="D268" s="67"/>
      <c r="E268" s="67"/>
      <c r="F268" s="67"/>
      <c r="G268" s="67"/>
      <c r="H268" s="64"/>
      <c r="I268" s="32"/>
      <c r="J268" s="68"/>
      <c r="K268" s="67"/>
      <c r="L268" s="145"/>
      <c r="M268" s="65"/>
      <c r="N268" s="32"/>
      <c r="O268" s="142"/>
      <c r="P268" s="144"/>
      <c r="Q268" s="75"/>
      <c r="R268" s="15"/>
      <c r="S268" s="145"/>
      <c r="T268" s="67"/>
      <c r="U268" s="65"/>
      <c r="V268" s="75"/>
      <c r="W268" s="145"/>
      <c r="X268" s="145"/>
      <c r="Y268" s="67"/>
      <c r="Z268" s="13"/>
      <c r="AA268" s="74"/>
      <c r="AD268" s="81"/>
      <c r="AE268" s="81"/>
    </row>
    <row r="269" spans="2:31" ht="21" customHeight="1" x14ac:dyDescent="0.2">
      <c r="B269" s="58">
        <v>2012</v>
      </c>
      <c r="C269" s="32">
        <f t="shared" ref="C269:Z269" si="109">SUM(C271:C282)</f>
        <v>0</v>
      </c>
      <c r="D269" s="32">
        <f t="shared" si="109"/>
        <v>0</v>
      </c>
      <c r="E269" s="32">
        <f t="shared" si="109"/>
        <v>0</v>
      </c>
      <c r="F269" s="32">
        <f t="shared" si="109"/>
        <v>35.60197900991254</v>
      </c>
      <c r="G269" s="32">
        <f t="shared" si="109"/>
        <v>305.40837043037902</v>
      </c>
      <c r="H269" s="64">
        <f t="shared" si="109"/>
        <v>341.01034944029152</v>
      </c>
      <c r="I269" s="32">
        <f t="shared" si="109"/>
        <v>3195.9939923895627</v>
      </c>
      <c r="J269" s="32">
        <f t="shared" si="109"/>
        <v>0</v>
      </c>
      <c r="K269" s="32">
        <f t="shared" si="109"/>
        <v>208.70033310000002</v>
      </c>
      <c r="L269" s="32">
        <f t="shared" si="109"/>
        <v>19.369760890000002</v>
      </c>
      <c r="M269" s="65">
        <f t="shared" si="109"/>
        <v>3424.0640863795625</v>
      </c>
      <c r="N269" s="32">
        <f t="shared" si="109"/>
        <v>3765.0744358198535</v>
      </c>
      <c r="O269" s="15">
        <f t="shared" si="109"/>
        <v>55.148551613469387</v>
      </c>
      <c r="P269" s="30">
        <f t="shared" si="109"/>
        <v>0</v>
      </c>
      <c r="Q269" s="75">
        <f t="shared" si="109"/>
        <v>55.148551613469387</v>
      </c>
      <c r="R269" s="15">
        <f t="shared" si="109"/>
        <v>0</v>
      </c>
      <c r="S269" s="75">
        <f t="shared" si="109"/>
        <v>1051.075076709621</v>
      </c>
      <c r="T269" s="75">
        <f t="shared" si="109"/>
        <v>0</v>
      </c>
      <c r="U269" s="65">
        <f t="shared" si="109"/>
        <v>1051.075076709621</v>
      </c>
      <c r="V269" s="75">
        <f t="shared" si="109"/>
        <v>0</v>
      </c>
      <c r="W269" s="75">
        <f t="shared" si="109"/>
        <v>112.83629984000001</v>
      </c>
      <c r="X269" s="75">
        <f t="shared" si="109"/>
        <v>193.83829035921281</v>
      </c>
      <c r="Y269" s="75">
        <f t="shared" si="109"/>
        <v>1916.050298636299</v>
      </c>
      <c r="Z269" s="13">
        <f t="shared" si="109"/>
        <v>7094.0229529784574</v>
      </c>
      <c r="AA269" s="74"/>
      <c r="AD269" s="81"/>
      <c r="AE269" s="81"/>
    </row>
    <row r="270" spans="2:31" ht="18.75" hidden="1" customHeight="1" x14ac:dyDescent="0.2">
      <c r="B270" s="58"/>
      <c r="C270" s="32"/>
      <c r="D270" s="67"/>
      <c r="E270" s="67"/>
      <c r="F270" s="67"/>
      <c r="G270" s="32"/>
      <c r="H270" s="64"/>
      <c r="I270" s="32"/>
      <c r="J270" s="68"/>
      <c r="K270" s="67"/>
      <c r="L270" s="68"/>
      <c r="M270" s="65"/>
      <c r="N270" s="32"/>
      <c r="O270" s="15"/>
      <c r="P270" s="30"/>
      <c r="Q270" s="75"/>
      <c r="R270" s="15"/>
      <c r="S270" s="67"/>
      <c r="T270" s="67"/>
      <c r="U270" s="65"/>
      <c r="V270" s="75"/>
      <c r="W270" s="145"/>
      <c r="X270" s="75"/>
      <c r="Y270" s="75"/>
      <c r="Z270" s="13"/>
      <c r="AA270" s="74"/>
      <c r="AD270" s="81"/>
      <c r="AE270" s="81"/>
    </row>
    <row r="271" spans="2:31" ht="21" hidden="1" customHeight="1" x14ac:dyDescent="0.2">
      <c r="B271" s="59" t="s">
        <v>6</v>
      </c>
      <c r="C271" s="32"/>
      <c r="D271" s="67"/>
      <c r="E271" s="67"/>
      <c r="F271" s="67"/>
      <c r="G271" s="67">
        <v>8.6598815598542256</v>
      </c>
      <c r="H271" s="64">
        <f t="shared" ref="H271:H282" si="110">C271+D271+E271+G271+F271</f>
        <v>8.6598815598542256</v>
      </c>
      <c r="I271" s="32">
        <v>241.61837640000002</v>
      </c>
      <c r="J271" s="68"/>
      <c r="K271" s="32">
        <v>18.946722460000004</v>
      </c>
      <c r="L271" s="156">
        <v>0.10800800000000001</v>
      </c>
      <c r="M271" s="65">
        <f t="shared" ref="M271:M282" si="111">+I271+K271+L271</f>
        <v>260.67310686000002</v>
      </c>
      <c r="N271" s="32">
        <f t="shared" ref="N271:N282" si="112">H271+M271</f>
        <v>269.33298841985425</v>
      </c>
      <c r="O271" s="142">
        <v>2.2795210606122449</v>
      </c>
      <c r="P271" s="144">
        <v>0</v>
      </c>
      <c r="Q271" s="75">
        <f t="shared" ref="Q271:Q282" si="113">+O271+P271</f>
        <v>2.2795210606122449</v>
      </c>
      <c r="R271" s="15"/>
      <c r="S271" s="145">
        <v>18.853990710174926</v>
      </c>
      <c r="T271" s="67"/>
      <c r="U271" s="65">
        <f t="shared" ref="U271:U282" si="114">+R271+S271+T271</f>
        <v>18.853990710174926</v>
      </c>
      <c r="V271" s="75"/>
      <c r="W271" s="145">
        <v>0.45256622999999996</v>
      </c>
      <c r="X271" s="145">
        <v>9.0090870256851314</v>
      </c>
      <c r="Y271" s="67">
        <v>197.41521124224491</v>
      </c>
      <c r="Z271" s="13">
        <f>+Y271+W271+V271+U271+Q271+N271+X271</f>
        <v>497.34336468857146</v>
      </c>
      <c r="AA271" s="74"/>
      <c r="AD271" s="81"/>
      <c r="AE271" s="81"/>
    </row>
    <row r="272" spans="2:31" ht="21" hidden="1" customHeight="1" x14ac:dyDescent="0.2">
      <c r="B272" s="59" t="s">
        <v>7</v>
      </c>
      <c r="C272" s="32"/>
      <c r="D272" s="67"/>
      <c r="E272" s="67"/>
      <c r="F272" s="67"/>
      <c r="G272" s="67">
        <v>12.154891840000001</v>
      </c>
      <c r="H272" s="64">
        <f t="shared" si="110"/>
        <v>12.154891840000001</v>
      </c>
      <c r="I272" s="32">
        <v>228.89370068999997</v>
      </c>
      <c r="J272" s="68"/>
      <c r="K272" s="67">
        <v>15.99005988</v>
      </c>
      <c r="L272" s="143">
        <v>1.113588</v>
      </c>
      <c r="M272" s="65">
        <f t="shared" si="111"/>
        <v>245.99734856999996</v>
      </c>
      <c r="N272" s="32">
        <f t="shared" si="112"/>
        <v>258.15224040999993</v>
      </c>
      <c r="O272" s="142">
        <v>3.7081179699999995</v>
      </c>
      <c r="P272" s="146">
        <v>0</v>
      </c>
      <c r="Q272" s="75">
        <f t="shared" si="113"/>
        <v>3.7081179699999995</v>
      </c>
      <c r="R272" s="15"/>
      <c r="S272" s="67">
        <v>20.398569630000001</v>
      </c>
      <c r="T272" s="67"/>
      <c r="U272" s="65">
        <f t="shared" si="114"/>
        <v>20.398569630000001</v>
      </c>
      <c r="V272" s="75"/>
      <c r="W272" s="145">
        <v>7.1431171999999998</v>
      </c>
      <c r="X272" s="143">
        <v>9.7996149100000007</v>
      </c>
      <c r="Y272" s="67">
        <v>167.57982009</v>
      </c>
      <c r="Z272" s="13">
        <f t="shared" ref="Z272:Z282" si="115">+Y272+W272+V272+U272+Q272+N272+X272</f>
        <v>466.78148020999993</v>
      </c>
      <c r="AA272" s="74"/>
      <c r="AD272" s="81"/>
      <c r="AE272" s="81"/>
    </row>
    <row r="273" spans="2:31" ht="21" hidden="1" customHeight="1" x14ac:dyDescent="0.2">
      <c r="B273" s="59" t="s">
        <v>8</v>
      </c>
      <c r="C273" s="32"/>
      <c r="D273" s="67"/>
      <c r="E273" s="67"/>
      <c r="F273" s="67"/>
      <c r="G273" s="67">
        <v>12.5303389</v>
      </c>
      <c r="H273" s="64">
        <f t="shared" si="110"/>
        <v>12.5303389</v>
      </c>
      <c r="I273" s="32">
        <v>235.2354711898542</v>
      </c>
      <c r="J273" s="68"/>
      <c r="K273" s="67">
        <v>22.411147380000003</v>
      </c>
      <c r="L273" s="144">
        <v>3.6910600000000002</v>
      </c>
      <c r="M273" s="65">
        <f t="shared" si="111"/>
        <v>261.33767856985418</v>
      </c>
      <c r="N273" s="32">
        <f t="shared" si="112"/>
        <v>273.86801746985418</v>
      </c>
      <c r="O273" s="142">
        <v>3.3076355900000003</v>
      </c>
      <c r="P273" s="144">
        <v>0</v>
      </c>
      <c r="Q273" s="75">
        <f t="shared" si="113"/>
        <v>3.3076355900000003</v>
      </c>
      <c r="R273" s="15"/>
      <c r="S273" s="145">
        <v>33.519888510000001</v>
      </c>
      <c r="T273" s="67"/>
      <c r="U273" s="65">
        <f t="shared" si="114"/>
        <v>33.519888510000001</v>
      </c>
      <c r="V273" s="75"/>
      <c r="W273" s="145">
        <v>2.1951893500000002</v>
      </c>
      <c r="X273" s="145">
        <v>9.2357273600000003</v>
      </c>
      <c r="Y273" s="67">
        <v>174.77438103999998</v>
      </c>
      <c r="Z273" s="13">
        <f t="shared" si="115"/>
        <v>496.90083931985413</v>
      </c>
      <c r="AA273" s="74"/>
      <c r="AD273" s="81"/>
      <c r="AE273" s="81"/>
    </row>
    <row r="274" spans="2:31" ht="21" hidden="1" customHeight="1" x14ac:dyDescent="0.2">
      <c r="B274" s="59" t="s">
        <v>9</v>
      </c>
      <c r="C274" s="32"/>
      <c r="D274" s="67"/>
      <c r="E274" s="67"/>
      <c r="F274" s="67"/>
      <c r="G274" s="67">
        <v>10.548436580000001</v>
      </c>
      <c r="H274" s="64">
        <f t="shared" si="110"/>
        <v>10.548436580000001</v>
      </c>
      <c r="I274" s="32">
        <v>193.85573113997077</v>
      </c>
      <c r="J274" s="68"/>
      <c r="K274" s="67">
        <v>10.693028089999999</v>
      </c>
      <c r="L274" s="144">
        <v>2.9779676500000001</v>
      </c>
      <c r="M274" s="65">
        <f t="shared" si="111"/>
        <v>207.52672687997077</v>
      </c>
      <c r="N274" s="32">
        <f t="shared" si="112"/>
        <v>218.07516345997078</v>
      </c>
      <c r="O274" s="142">
        <v>4.1618532200000002</v>
      </c>
      <c r="P274" s="144">
        <v>0</v>
      </c>
      <c r="Q274" s="75">
        <f t="shared" si="113"/>
        <v>4.1618532200000002</v>
      </c>
      <c r="R274" s="15"/>
      <c r="S274" s="145">
        <v>18.324567909999999</v>
      </c>
      <c r="T274" s="67"/>
      <c r="U274" s="65">
        <f t="shared" si="114"/>
        <v>18.324567909999999</v>
      </c>
      <c r="V274" s="75"/>
      <c r="W274" s="145">
        <v>8.9337727099999995</v>
      </c>
      <c r="X274" s="145">
        <v>8.7211226699999997</v>
      </c>
      <c r="Y274" s="67">
        <v>99.210145409999996</v>
      </c>
      <c r="Z274" s="13">
        <f t="shared" si="115"/>
        <v>357.4266253799708</v>
      </c>
      <c r="AA274" s="74"/>
      <c r="AC274" s="81"/>
      <c r="AD274" s="81"/>
      <c r="AE274" s="81"/>
    </row>
    <row r="275" spans="2:31" ht="21" hidden="1" customHeight="1" x14ac:dyDescent="0.2">
      <c r="B275" s="59" t="s">
        <v>10</v>
      </c>
      <c r="C275" s="32"/>
      <c r="D275" s="67"/>
      <c r="E275" s="67"/>
      <c r="F275" s="67">
        <v>2.8780057099125362</v>
      </c>
      <c r="G275" s="67">
        <v>17.374860860000002</v>
      </c>
      <c r="H275" s="64">
        <f t="shared" si="110"/>
        <v>20.252866569912538</v>
      </c>
      <c r="I275" s="32">
        <v>275.50592265</v>
      </c>
      <c r="J275" s="68"/>
      <c r="K275" s="67">
        <v>15.74177237</v>
      </c>
      <c r="L275" s="144">
        <v>1.4640857999999999</v>
      </c>
      <c r="M275" s="65">
        <f>+I275+K275+L275</f>
        <v>292.71178082</v>
      </c>
      <c r="N275" s="32">
        <f t="shared" si="112"/>
        <v>312.96464738991256</v>
      </c>
      <c r="O275" s="142">
        <v>2.6541129400000001</v>
      </c>
      <c r="P275" s="144">
        <v>0</v>
      </c>
      <c r="Q275" s="75">
        <f t="shared" si="113"/>
        <v>2.6541129400000001</v>
      </c>
      <c r="R275" s="15"/>
      <c r="S275" s="145">
        <v>38.01689666</v>
      </c>
      <c r="T275" s="67"/>
      <c r="U275" s="65">
        <f t="shared" si="114"/>
        <v>38.01689666</v>
      </c>
      <c r="V275" s="75"/>
      <c r="W275" s="145">
        <v>33.1660471</v>
      </c>
      <c r="X275" s="145">
        <v>31.730295599999998</v>
      </c>
      <c r="Y275" s="67">
        <v>100.33334030962099</v>
      </c>
      <c r="Z275" s="13">
        <f t="shared" si="115"/>
        <v>518.8653399995336</v>
      </c>
      <c r="AA275" s="74"/>
      <c r="AD275" s="81"/>
      <c r="AE275" s="81"/>
    </row>
    <row r="276" spans="2:31" ht="21" hidden="1" customHeight="1" x14ac:dyDescent="0.2">
      <c r="B276" s="59" t="s">
        <v>11</v>
      </c>
      <c r="C276" s="32"/>
      <c r="D276" s="67"/>
      <c r="E276" s="67"/>
      <c r="F276" s="67">
        <v>8.2535752299999992</v>
      </c>
      <c r="G276" s="67">
        <v>17.888635200000003</v>
      </c>
      <c r="H276" s="64">
        <f t="shared" si="110"/>
        <v>26.142210430000002</v>
      </c>
      <c r="I276" s="32">
        <v>248.94854753999999</v>
      </c>
      <c r="J276" s="68"/>
      <c r="K276" s="68">
        <v>17.264027609999999</v>
      </c>
      <c r="L276" s="144">
        <v>1.8532700799999999</v>
      </c>
      <c r="M276" s="65">
        <f t="shared" si="111"/>
        <v>268.06584523000004</v>
      </c>
      <c r="N276" s="32">
        <f t="shared" si="112"/>
        <v>294.20805566000001</v>
      </c>
      <c r="O276" s="142">
        <v>2.4655672100000001</v>
      </c>
      <c r="P276" s="144">
        <v>0</v>
      </c>
      <c r="Q276" s="75">
        <f t="shared" si="113"/>
        <v>2.4655672100000001</v>
      </c>
      <c r="R276" s="15"/>
      <c r="S276" s="145">
        <v>31.13771234</v>
      </c>
      <c r="T276" s="67"/>
      <c r="U276" s="65">
        <f t="shared" si="114"/>
        <v>31.13771234</v>
      </c>
      <c r="V276" s="75"/>
      <c r="W276" s="145">
        <v>6.5586577300000002</v>
      </c>
      <c r="X276" s="145">
        <v>15.22841554</v>
      </c>
      <c r="Y276" s="67">
        <v>134.10826125</v>
      </c>
      <c r="Z276" s="13">
        <f t="shared" si="115"/>
        <v>483.70666973000004</v>
      </c>
      <c r="AA276" s="74"/>
      <c r="AD276" s="81"/>
      <c r="AE276" s="81"/>
    </row>
    <row r="277" spans="2:31" ht="21" hidden="1" customHeight="1" x14ac:dyDescent="0.2">
      <c r="B277" s="59" t="s">
        <v>12</v>
      </c>
      <c r="C277" s="32"/>
      <c r="D277" s="67"/>
      <c r="E277" s="67"/>
      <c r="F277" s="67">
        <v>4.5643398199999998</v>
      </c>
      <c r="G277" s="67">
        <v>41.636453119999999</v>
      </c>
      <c r="H277" s="64">
        <f t="shared" si="110"/>
        <v>46.200792939999999</v>
      </c>
      <c r="I277" s="32">
        <v>257.11729471897957</v>
      </c>
      <c r="J277" s="68"/>
      <c r="K277" s="67">
        <v>16.603860860000001</v>
      </c>
      <c r="L277" s="144">
        <v>3.7442933600000003</v>
      </c>
      <c r="M277" s="65">
        <f t="shared" si="111"/>
        <v>277.46544893897953</v>
      </c>
      <c r="N277" s="32">
        <f t="shared" si="112"/>
        <v>323.66624187897952</v>
      </c>
      <c r="O277" s="142">
        <v>6.3444273399999993</v>
      </c>
      <c r="P277" s="144"/>
      <c r="Q277" s="75">
        <f t="shared" si="113"/>
        <v>6.3444273399999993</v>
      </c>
      <c r="R277" s="15"/>
      <c r="S277" s="145">
        <v>29.775253669999998</v>
      </c>
      <c r="T277" s="67"/>
      <c r="U277" s="65">
        <f t="shared" si="114"/>
        <v>29.775253669999998</v>
      </c>
      <c r="V277" s="75"/>
      <c r="W277" s="145">
        <v>1.4770683200000001</v>
      </c>
      <c r="X277" s="145">
        <v>20.203396000000001</v>
      </c>
      <c r="Y277" s="67">
        <v>220.98384837</v>
      </c>
      <c r="Z277" s="13">
        <f t="shared" si="115"/>
        <v>602.45023557897946</v>
      </c>
      <c r="AA277" s="74"/>
      <c r="AD277" s="81"/>
      <c r="AE277" s="81"/>
    </row>
    <row r="278" spans="2:31" ht="21" hidden="1" customHeight="1" x14ac:dyDescent="0.2">
      <c r="B278" s="59" t="s">
        <v>13</v>
      </c>
      <c r="C278" s="32"/>
      <c r="D278" s="67"/>
      <c r="E278" s="67"/>
      <c r="F278" s="67">
        <v>13.559280640000001</v>
      </c>
      <c r="G278" s="67">
        <v>59.994935670991254</v>
      </c>
      <c r="H278" s="64">
        <f t="shared" si="110"/>
        <v>73.554216310991251</v>
      </c>
      <c r="I278" s="32">
        <v>338.12465380000003</v>
      </c>
      <c r="J278" s="68"/>
      <c r="K278" s="67">
        <v>19.15417287</v>
      </c>
      <c r="L278" s="144">
        <v>1.95086688</v>
      </c>
      <c r="M278" s="65">
        <f t="shared" si="111"/>
        <v>359.22969355000004</v>
      </c>
      <c r="N278" s="32">
        <f t="shared" si="112"/>
        <v>432.78390986099129</v>
      </c>
      <c r="O278" s="142">
        <v>5.0915647815743439</v>
      </c>
      <c r="P278" s="144"/>
      <c r="Q278" s="75">
        <f t="shared" si="113"/>
        <v>5.0915647815743439</v>
      </c>
      <c r="R278" s="15"/>
      <c r="S278" s="145">
        <v>41.227162629941688</v>
      </c>
      <c r="T278" s="67"/>
      <c r="U278" s="65">
        <f t="shared" si="114"/>
        <v>41.227162629941688</v>
      </c>
      <c r="V278" s="75"/>
      <c r="W278" s="145">
        <v>3.3841997800000003</v>
      </c>
      <c r="X278" s="145">
        <v>23.135788746501454</v>
      </c>
      <c r="Y278" s="67">
        <v>154.93697774096287</v>
      </c>
      <c r="Z278" s="13">
        <f t="shared" si="115"/>
        <v>660.5596035399717</v>
      </c>
      <c r="AA278" s="74"/>
      <c r="AD278" s="81"/>
      <c r="AE278" s="81"/>
    </row>
    <row r="279" spans="2:31" ht="21" hidden="1" customHeight="1" x14ac:dyDescent="0.2">
      <c r="B279" s="59" t="s">
        <v>14</v>
      </c>
      <c r="C279" s="32"/>
      <c r="D279" s="67"/>
      <c r="E279" s="67"/>
      <c r="F279" s="67">
        <v>6.3467776100000002</v>
      </c>
      <c r="G279" s="67">
        <v>64.838262119999996</v>
      </c>
      <c r="H279" s="64">
        <f t="shared" si="110"/>
        <v>71.18503973</v>
      </c>
      <c r="I279" s="32">
        <v>263.00453214999999</v>
      </c>
      <c r="J279" s="68"/>
      <c r="K279" s="67">
        <v>14.17429125</v>
      </c>
      <c r="L279" s="144">
        <v>1.12905838</v>
      </c>
      <c r="M279" s="65">
        <f t="shared" si="111"/>
        <v>278.30788178</v>
      </c>
      <c r="N279" s="32">
        <f t="shared" si="112"/>
        <v>349.49292150999997</v>
      </c>
      <c r="O279" s="142">
        <v>11.97868317</v>
      </c>
      <c r="P279" s="144"/>
      <c r="Q279" s="75">
        <f t="shared" si="113"/>
        <v>11.97868317</v>
      </c>
      <c r="R279" s="15"/>
      <c r="S279" s="145">
        <v>22.60918736</v>
      </c>
      <c r="T279" s="67"/>
      <c r="U279" s="65">
        <f t="shared" si="114"/>
        <v>22.60918736</v>
      </c>
      <c r="V279" s="75"/>
      <c r="W279" s="145">
        <v>5.3487034799999993</v>
      </c>
      <c r="X279" s="145">
        <v>20.82896959</v>
      </c>
      <c r="Y279" s="67">
        <v>156.56854432000094</v>
      </c>
      <c r="Z279" s="13">
        <f t="shared" si="115"/>
        <v>566.827009430001</v>
      </c>
      <c r="AA279" s="74"/>
      <c r="AD279" s="81"/>
      <c r="AE279" s="81"/>
    </row>
    <row r="280" spans="2:31" ht="21" hidden="1" customHeight="1" x14ac:dyDescent="0.2">
      <c r="B280" s="59" t="s">
        <v>15</v>
      </c>
      <c r="C280" s="32"/>
      <c r="D280" s="67"/>
      <c r="E280" s="67"/>
      <c r="F280" s="67"/>
      <c r="G280" s="67">
        <v>42.107552279912539</v>
      </c>
      <c r="H280" s="64">
        <f t="shared" si="110"/>
        <v>42.107552279912539</v>
      </c>
      <c r="I280" s="32">
        <v>322.68802985999997</v>
      </c>
      <c r="J280" s="68"/>
      <c r="K280" s="67">
        <v>22.740721910000001</v>
      </c>
      <c r="L280" s="144">
        <v>1.2838989600000004</v>
      </c>
      <c r="M280" s="65">
        <f t="shared" si="111"/>
        <v>346.71265072999995</v>
      </c>
      <c r="N280" s="32">
        <f t="shared" si="112"/>
        <v>388.82020300991246</v>
      </c>
      <c r="O280" s="142">
        <v>2.8870769603498543</v>
      </c>
      <c r="P280" s="144"/>
      <c r="Q280" s="75">
        <f t="shared" si="113"/>
        <v>2.8870769603498543</v>
      </c>
      <c r="R280" s="15"/>
      <c r="S280" s="145">
        <v>539.94416769000009</v>
      </c>
      <c r="T280" s="67"/>
      <c r="U280" s="65">
        <f t="shared" si="114"/>
        <v>539.94416769000009</v>
      </c>
      <c r="V280" s="75"/>
      <c r="W280" s="145">
        <v>10.916606460000001</v>
      </c>
      <c r="X280" s="145">
        <v>16.406527115218658</v>
      </c>
      <c r="Y280" s="67">
        <v>272.65476899999999</v>
      </c>
      <c r="Z280" s="13">
        <f t="shared" si="115"/>
        <v>1231.6293502354813</v>
      </c>
      <c r="AA280" s="74"/>
      <c r="AD280" s="81"/>
      <c r="AE280" s="81"/>
    </row>
    <row r="281" spans="2:31" ht="21" hidden="1" customHeight="1" x14ac:dyDescent="0.2">
      <c r="B281" s="59" t="s">
        <v>16</v>
      </c>
      <c r="C281" s="32"/>
      <c r="D281" s="67"/>
      <c r="E281" s="67"/>
      <c r="F281" s="67"/>
      <c r="G281" s="67">
        <v>7.2921136399999993</v>
      </c>
      <c r="H281" s="64">
        <f t="shared" si="110"/>
        <v>7.2921136399999993</v>
      </c>
      <c r="I281" s="32">
        <v>271.73830535029151</v>
      </c>
      <c r="J281" s="68"/>
      <c r="K281" s="67">
        <v>21.735680220000003</v>
      </c>
      <c r="L281" s="144">
        <v>5.3663780000000001E-2</v>
      </c>
      <c r="M281" s="65">
        <f t="shared" si="111"/>
        <v>293.52764935029154</v>
      </c>
      <c r="N281" s="32">
        <f t="shared" si="112"/>
        <v>300.81976299029157</v>
      </c>
      <c r="O281" s="142">
        <v>4.452720861341108</v>
      </c>
      <c r="P281" s="144"/>
      <c r="Q281" s="75">
        <f t="shared" si="113"/>
        <v>4.452720861341108</v>
      </c>
      <c r="R281" s="15"/>
      <c r="S281" s="145">
        <v>42.429798990000002</v>
      </c>
      <c r="T281" s="67"/>
      <c r="U281" s="65">
        <f t="shared" si="114"/>
        <v>42.429798990000002</v>
      </c>
      <c r="V281" s="75"/>
      <c r="W281" s="145">
        <v>7.8024627500000001</v>
      </c>
      <c r="X281" s="145">
        <v>15.99508294</v>
      </c>
      <c r="Y281" s="67">
        <v>140.65305131</v>
      </c>
      <c r="Z281" s="13">
        <f t="shared" si="115"/>
        <v>512.15287984163263</v>
      </c>
      <c r="AA281" s="74"/>
      <c r="AD281" s="81"/>
      <c r="AE281" s="81"/>
    </row>
    <row r="282" spans="2:31" ht="21" hidden="1" customHeight="1" x14ac:dyDescent="0.2">
      <c r="B282" s="59" t="s">
        <v>17</v>
      </c>
      <c r="C282" s="32"/>
      <c r="D282" s="67"/>
      <c r="E282" s="67"/>
      <c r="F282" s="67"/>
      <c r="G282" s="67">
        <v>10.38200865962099</v>
      </c>
      <c r="H282" s="64">
        <f t="shared" si="110"/>
        <v>10.38200865962099</v>
      </c>
      <c r="I282" s="32">
        <v>319.26342690046647</v>
      </c>
      <c r="J282" s="68"/>
      <c r="K282" s="67">
        <v>13.2448482</v>
      </c>
      <c r="L282" s="144">
        <v>0</v>
      </c>
      <c r="M282" s="65">
        <f t="shared" si="111"/>
        <v>332.50827510046645</v>
      </c>
      <c r="N282" s="32">
        <f t="shared" si="112"/>
        <v>342.89028376008741</v>
      </c>
      <c r="O282" s="142">
        <v>5.817270509591836</v>
      </c>
      <c r="P282" s="144"/>
      <c r="Q282" s="75">
        <f t="shared" si="113"/>
        <v>5.817270509591836</v>
      </c>
      <c r="R282" s="15"/>
      <c r="S282" s="145">
        <v>214.83788060950437</v>
      </c>
      <c r="T282" s="67"/>
      <c r="U282" s="65">
        <f t="shared" si="114"/>
        <v>214.83788060950437</v>
      </c>
      <c r="V282" s="75"/>
      <c r="W282" s="145">
        <v>25.45790873</v>
      </c>
      <c r="X282" s="145">
        <v>13.54426286180758</v>
      </c>
      <c r="Y282" s="67">
        <v>96.831948553469374</v>
      </c>
      <c r="Z282" s="13">
        <f t="shared" si="115"/>
        <v>699.37955502446061</v>
      </c>
      <c r="AA282" s="74"/>
      <c r="AD282" s="81"/>
      <c r="AE282" s="81"/>
    </row>
    <row r="283" spans="2:31" ht="21" hidden="1" customHeight="1" x14ac:dyDescent="0.2">
      <c r="B283" s="58"/>
      <c r="C283" s="32"/>
      <c r="D283" s="67"/>
      <c r="E283" s="67"/>
      <c r="F283" s="67"/>
      <c r="G283" s="67"/>
      <c r="H283" s="64"/>
      <c r="I283" s="32"/>
      <c r="J283" s="68"/>
      <c r="K283" s="67"/>
      <c r="L283" s="144"/>
      <c r="M283" s="65"/>
      <c r="N283" s="32"/>
      <c r="O283" s="142"/>
      <c r="P283" s="144"/>
      <c r="Q283" s="75"/>
      <c r="R283" s="15"/>
      <c r="S283" s="145"/>
      <c r="T283" s="67"/>
      <c r="U283" s="65"/>
      <c r="V283" s="75"/>
      <c r="W283" s="145"/>
      <c r="X283" s="145"/>
      <c r="Y283" s="67"/>
      <c r="Z283" s="13"/>
      <c r="AA283" s="74"/>
      <c r="AD283" s="81"/>
      <c r="AE283" s="81"/>
    </row>
    <row r="284" spans="2:31" ht="21" customHeight="1" x14ac:dyDescent="0.2">
      <c r="B284" s="58">
        <v>2013</v>
      </c>
      <c r="C284" s="32">
        <f>SUM(C286:C294)</f>
        <v>0</v>
      </c>
      <c r="D284" s="32">
        <f>SUM(D286:D294)</f>
        <v>0</v>
      </c>
      <c r="E284" s="32">
        <f>SUM(E286:E294)</f>
        <v>0</v>
      </c>
      <c r="F284" s="32">
        <f>SUM(F286:F297)</f>
        <v>5.4647050000000004</v>
      </c>
      <c r="G284" s="32">
        <f>SUM(G286:G297)</f>
        <v>90.050925269708443</v>
      </c>
      <c r="H284" s="64">
        <f>SUM(H286:H297)</f>
        <v>95.515630269708453</v>
      </c>
      <c r="I284" s="32">
        <f>SUM(I286:I297)</f>
        <v>4283.819701190555</v>
      </c>
      <c r="J284" s="32">
        <f>SUM(J286:J296)</f>
        <v>0</v>
      </c>
      <c r="K284" s="32">
        <f>SUM(K286:K297)</f>
        <v>215.97324391000146</v>
      </c>
      <c r="L284" s="32">
        <f>SUM(L286:L297)</f>
        <v>144.56292658999999</v>
      </c>
      <c r="M284" s="65">
        <f t="shared" ref="M284:Z284" si="116">SUM(M286:M297)</f>
        <v>4644.3558716905554</v>
      </c>
      <c r="N284" s="32">
        <f t="shared" si="116"/>
        <v>4739.8715019602641</v>
      </c>
      <c r="O284" s="15">
        <f t="shared" si="116"/>
        <v>60.778508688921278</v>
      </c>
      <c r="P284" s="30">
        <f t="shared" si="116"/>
        <v>0</v>
      </c>
      <c r="Q284" s="75">
        <f t="shared" si="116"/>
        <v>60.778508688921278</v>
      </c>
      <c r="R284" s="15">
        <f t="shared" si="116"/>
        <v>0</v>
      </c>
      <c r="S284" s="75">
        <f t="shared" si="116"/>
        <v>1041.19675067</v>
      </c>
      <c r="T284" s="75">
        <f t="shared" si="116"/>
        <v>0</v>
      </c>
      <c r="U284" s="65">
        <f t="shared" si="116"/>
        <v>1041.19675067</v>
      </c>
      <c r="V284" s="75">
        <f t="shared" si="116"/>
        <v>0</v>
      </c>
      <c r="W284" s="75">
        <f t="shared" si="116"/>
        <v>98.687099200000006</v>
      </c>
      <c r="X284" s="75">
        <f t="shared" si="116"/>
        <v>232.30847454457719</v>
      </c>
      <c r="Y284" s="75">
        <f t="shared" si="116"/>
        <v>1956.3531865179029</v>
      </c>
      <c r="Z284" s="13">
        <f t="shared" si="116"/>
        <v>8129.1955215816652</v>
      </c>
      <c r="AA284" s="74">
        <f>SUM(AA286:AA294)</f>
        <v>0</v>
      </c>
      <c r="AD284" s="81"/>
      <c r="AE284" s="81"/>
    </row>
    <row r="285" spans="2:31" ht="21" hidden="1" customHeight="1" x14ac:dyDescent="0.2">
      <c r="B285" s="58"/>
      <c r="C285" s="32"/>
      <c r="D285" s="67"/>
      <c r="E285" s="67"/>
      <c r="F285" s="67"/>
      <c r="G285" s="32"/>
      <c r="H285" s="64"/>
      <c r="I285" s="32"/>
      <c r="J285" s="68"/>
      <c r="K285" s="67"/>
      <c r="L285" s="68"/>
      <c r="M285" s="65"/>
      <c r="N285" s="32"/>
      <c r="O285" s="15"/>
      <c r="P285" s="30"/>
      <c r="Q285" s="75"/>
      <c r="R285" s="15"/>
      <c r="S285" s="67"/>
      <c r="T285" s="67"/>
      <c r="U285" s="65"/>
      <c r="V285" s="75"/>
      <c r="W285" s="145"/>
      <c r="X285" s="75"/>
      <c r="Y285" s="75"/>
      <c r="Z285" s="13"/>
      <c r="AA285" s="74"/>
      <c r="AD285" s="81"/>
      <c r="AE285" s="81"/>
    </row>
    <row r="286" spans="2:31" ht="21" hidden="1" customHeight="1" x14ac:dyDescent="0.2">
      <c r="B286" s="59" t="s">
        <v>6</v>
      </c>
      <c r="C286" s="32"/>
      <c r="D286" s="67"/>
      <c r="E286" s="67"/>
      <c r="F286" s="67"/>
      <c r="G286" s="67">
        <v>18.349345569999997</v>
      </c>
      <c r="H286" s="64">
        <f t="shared" ref="H286:H297" si="117">C286+D286+E286+G286+F286</f>
        <v>18.349345569999997</v>
      </c>
      <c r="I286" s="32">
        <v>332.34089263999999</v>
      </c>
      <c r="J286" s="68"/>
      <c r="K286" s="32">
        <v>21.493562480000001</v>
      </c>
      <c r="L286" s="156">
        <v>121.56749915</v>
      </c>
      <c r="M286" s="65">
        <f>+I286+K286+L286</f>
        <v>475.40195426999998</v>
      </c>
      <c r="N286" s="32">
        <f t="shared" ref="N286:N297" si="118">H286+M286</f>
        <v>493.75129984</v>
      </c>
      <c r="O286" s="142">
        <v>2.8214358000000002</v>
      </c>
      <c r="P286" s="144"/>
      <c r="Q286" s="75">
        <f t="shared" ref="Q286:Q297" si="119">+O286+P286</f>
        <v>2.8214358000000002</v>
      </c>
      <c r="R286" s="15"/>
      <c r="S286" s="145">
        <v>8.66557815</v>
      </c>
      <c r="T286" s="67"/>
      <c r="U286" s="65">
        <f t="shared" ref="U286:U297" si="120">+R286+S286+T286</f>
        <v>8.66557815</v>
      </c>
      <c r="V286" s="75"/>
      <c r="W286" s="145">
        <v>1.3200783300000001</v>
      </c>
      <c r="X286" s="145">
        <v>11.20072407</v>
      </c>
      <c r="Y286" s="67">
        <v>182.29004383</v>
      </c>
      <c r="Z286" s="13">
        <f>+Y286+W286+V286+U286+Q286+N286+X286</f>
        <v>700.04916001999993</v>
      </c>
      <c r="AA286" s="74"/>
      <c r="AD286" s="81"/>
      <c r="AE286" s="81"/>
    </row>
    <row r="287" spans="2:31" ht="21" hidden="1" customHeight="1" x14ac:dyDescent="0.2">
      <c r="B287" s="59" t="s">
        <v>7</v>
      </c>
      <c r="C287" s="32"/>
      <c r="D287" s="67"/>
      <c r="E287" s="67"/>
      <c r="F287" s="67"/>
      <c r="G287" s="67">
        <v>9.694319799708456</v>
      </c>
      <c r="H287" s="64">
        <f t="shared" si="117"/>
        <v>9.694319799708456</v>
      </c>
      <c r="I287" s="32">
        <v>335.03566888</v>
      </c>
      <c r="J287" s="68"/>
      <c r="K287" s="67">
        <v>14.342232660000002</v>
      </c>
      <c r="L287" s="143">
        <v>1.7953930600000001</v>
      </c>
      <c r="M287" s="65">
        <f>+I287+K287+L287</f>
        <v>351.17329459999996</v>
      </c>
      <c r="N287" s="32">
        <f t="shared" si="118"/>
        <v>360.86761439970843</v>
      </c>
      <c r="O287" s="142">
        <v>2.1529146590087462</v>
      </c>
      <c r="P287" s="146"/>
      <c r="Q287" s="75">
        <f t="shared" si="119"/>
        <v>2.1529146590087462</v>
      </c>
      <c r="R287" s="15"/>
      <c r="S287" s="67">
        <v>7.8316070500000006</v>
      </c>
      <c r="T287" s="67"/>
      <c r="U287" s="65">
        <f t="shared" si="120"/>
        <v>7.8316070500000006</v>
      </c>
      <c r="V287" s="75"/>
      <c r="W287" s="145">
        <v>15.173803490000001</v>
      </c>
      <c r="X287" s="143">
        <v>14.151509580116603</v>
      </c>
      <c r="Y287" s="67">
        <v>166.78316843411076</v>
      </c>
      <c r="Z287" s="13">
        <f>+Y287+W287+V287+U287+Q287+N287+X287</f>
        <v>566.96061761294447</v>
      </c>
      <c r="AA287" s="74"/>
      <c r="AD287" s="81"/>
      <c r="AE287" s="81"/>
    </row>
    <row r="288" spans="2:31" ht="21" hidden="1" customHeight="1" x14ac:dyDescent="0.2">
      <c r="B288" s="59" t="s">
        <v>8</v>
      </c>
      <c r="C288" s="32"/>
      <c r="D288" s="67"/>
      <c r="E288" s="67"/>
      <c r="F288" s="67"/>
      <c r="G288" s="67">
        <v>8.3623136200000001</v>
      </c>
      <c r="H288" s="64">
        <f t="shared" si="117"/>
        <v>8.3623136200000001</v>
      </c>
      <c r="I288" s="32">
        <v>326.31328038000004</v>
      </c>
      <c r="J288" s="68"/>
      <c r="K288" s="67">
        <v>18.338985209999997</v>
      </c>
      <c r="L288" s="144">
        <v>0.91991800000000001</v>
      </c>
      <c r="M288" s="65">
        <f>+I288+K288+L288</f>
        <v>345.57218359000001</v>
      </c>
      <c r="N288" s="32">
        <f t="shared" si="118"/>
        <v>353.93449721000002</v>
      </c>
      <c r="O288" s="142">
        <v>4.0486661999999995</v>
      </c>
      <c r="P288" s="144"/>
      <c r="Q288" s="75">
        <f t="shared" si="119"/>
        <v>4.0486661999999995</v>
      </c>
      <c r="R288" s="15"/>
      <c r="S288" s="145">
        <v>13.690655070000002</v>
      </c>
      <c r="T288" s="67"/>
      <c r="U288" s="65">
        <f t="shared" si="120"/>
        <v>13.690655070000002</v>
      </c>
      <c r="V288" s="75"/>
      <c r="W288" s="145">
        <v>11.23830813</v>
      </c>
      <c r="X288" s="145">
        <v>15.827688940000002</v>
      </c>
      <c r="Y288" s="67">
        <v>156.49640127999999</v>
      </c>
      <c r="Z288" s="13">
        <f t="shared" ref="Z288:Z297" si="121">+Y288+W288+V288+U288+Q288+N288+X288</f>
        <v>555.23621682999999</v>
      </c>
      <c r="AA288" s="74"/>
      <c r="AD288" s="81"/>
      <c r="AE288" s="81"/>
    </row>
    <row r="289" spans="2:31" ht="21" hidden="1" customHeight="1" x14ac:dyDescent="0.2">
      <c r="B289" s="59" t="s">
        <v>9</v>
      </c>
      <c r="C289" s="32"/>
      <c r="D289" s="67"/>
      <c r="E289" s="67"/>
      <c r="F289" s="67"/>
      <c r="G289" s="67">
        <v>4.8385123399999994</v>
      </c>
      <c r="H289" s="64">
        <f t="shared" si="117"/>
        <v>4.8385123399999994</v>
      </c>
      <c r="I289" s="32">
        <v>307.06187534999998</v>
      </c>
      <c r="J289" s="68"/>
      <c r="K289" s="67">
        <v>19.067308570000002</v>
      </c>
      <c r="L289" s="144">
        <v>5.7096019999999997E-2</v>
      </c>
      <c r="M289" s="65">
        <f t="shared" ref="M289:M297" si="122">+I289+K289+L289</f>
        <v>326.18627994000002</v>
      </c>
      <c r="N289" s="32">
        <f t="shared" si="118"/>
        <v>331.02479228000004</v>
      </c>
      <c r="O289" s="142">
        <v>8.6477409499999993</v>
      </c>
      <c r="P289" s="144"/>
      <c r="Q289" s="75">
        <f t="shared" si="119"/>
        <v>8.6477409499999993</v>
      </c>
      <c r="R289" s="15"/>
      <c r="S289" s="145">
        <v>57.745588729999994</v>
      </c>
      <c r="T289" s="67"/>
      <c r="U289" s="65">
        <f t="shared" si="120"/>
        <v>57.745588729999994</v>
      </c>
      <c r="V289" s="75"/>
      <c r="W289" s="145">
        <v>1.4943423899999999</v>
      </c>
      <c r="X289" s="145">
        <v>22.841702340000001</v>
      </c>
      <c r="Y289" s="67">
        <v>142.95185502999999</v>
      </c>
      <c r="Z289" s="13">
        <f t="shared" si="121"/>
        <v>564.70602172000008</v>
      </c>
      <c r="AA289" s="74"/>
      <c r="AD289" s="81"/>
      <c r="AE289" s="81"/>
    </row>
    <row r="290" spans="2:31" ht="21" hidden="1" customHeight="1" x14ac:dyDescent="0.2">
      <c r="B290" s="59" t="s">
        <v>10</v>
      </c>
      <c r="C290" s="32"/>
      <c r="D290" s="67"/>
      <c r="E290" s="67"/>
      <c r="F290" s="67"/>
      <c r="G290" s="67">
        <v>6.9510129900000006</v>
      </c>
      <c r="H290" s="64">
        <f t="shared" si="117"/>
        <v>6.9510129900000006</v>
      </c>
      <c r="I290" s="32">
        <v>320.67752836008754</v>
      </c>
      <c r="J290" s="68"/>
      <c r="K290" s="67">
        <v>14.663210320000001</v>
      </c>
      <c r="L290" s="144">
        <v>0</v>
      </c>
      <c r="M290" s="65">
        <f t="shared" si="122"/>
        <v>335.34073868008755</v>
      </c>
      <c r="N290" s="32">
        <f t="shared" si="118"/>
        <v>342.29175167008754</v>
      </c>
      <c r="O290" s="142">
        <v>5.2930236800000001</v>
      </c>
      <c r="P290" s="144"/>
      <c r="Q290" s="75">
        <f t="shared" si="119"/>
        <v>5.2930236800000001</v>
      </c>
      <c r="R290" s="15"/>
      <c r="S290" s="145">
        <v>12.09468519</v>
      </c>
      <c r="T290" s="67"/>
      <c r="U290" s="65">
        <f t="shared" si="120"/>
        <v>12.09468519</v>
      </c>
      <c r="V290" s="75"/>
      <c r="W290" s="145">
        <v>4.5973766500000002</v>
      </c>
      <c r="X290" s="145">
        <v>15.05449584</v>
      </c>
      <c r="Y290" s="67">
        <v>99.897964130001895</v>
      </c>
      <c r="Z290" s="13">
        <f t="shared" si="121"/>
        <v>479.22929716008946</v>
      </c>
      <c r="AA290" s="74"/>
      <c r="AD290" s="81"/>
      <c r="AE290" s="81"/>
    </row>
    <row r="291" spans="2:31" ht="21" hidden="1" customHeight="1" x14ac:dyDescent="0.2">
      <c r="B291" s="59" t="s">
        <v>11</v>
      </c>
      <c r="C291" s="32"/>
      <c r="D291" s="67"/>
      <c r="E291" s="67"/>
      <c r="F291" s="67"/>
      <c r="G291" s="67">
        <v>7.1200719699999997</v>
      </c>
      <c r="H291" s="64">
        <f t="shared" si="117"/>
        <v>7.1200719699999997</v>
      </c>
      <c r="I291" s="32">
        <v>319.76883104000007</v>
      </c>
      <c r="J291" s="68"/>
      <c r="K291" s="67">
        <v>11.521873190000001</v>
      </c>
      <c r="L291" s="144">
        <v>0.41675995999999998</v>
      </c>
      <c r="M291" s="65">
        <f t="shared" si="122"/>
        <v>331.70746419000005</v>
      </c>
      <c r="N291" s="32">
        <f t="shared" si="118"/>
        <v>338.82753616000008</v>
      </c>
      <c r="O291" s="142">
        <v>7.2952035300000002</v>
      </c>
      <c r="P291" s="144"/>
      <c r="Q291" s="75">
        <f t="shared" si="119"/>
        <v>7.2952035300000002</v>
      </c>
      <c r="R291" s="15"/>
      <c r="S291" s="145">
        <v>42.951933170000004</v>
      </c>
      <c r="T291" s="67"/>
      <c r="U291" s="65">
        <f t="shared" si="120"/>
        <v>42.951933170000004</v>
      </c>
      <c r="V291" s="75"/>
      <c r="W291" s="145">
        <v>5.4126086400000002</v>
      </c>
      <c r="X291" s="145">
        <v>17.509473209999999</v>
      </c>
      <c r="Y291" s="67">
        <v>183.14375548000061</v>
      </c>
      <c r="Z291" s="13">
        <f t="shared" si="121"/>
        <v>595.14051019000067</v>
      </c>
      <c r="AA291" s="74"/>
      <c r="AD291" s="81"/>
      <c r="AE291" s="81"/>
    </row>
    <row r="292" spans="2:31" ht="21" hidden="1" customHeight="1" x14ac:dyDescent="0.2">
      <c r="B292" s="59" t="s">
        <v>12</v>
      </c>
      <c r="C292" s="32"/>
      <c r="D292" s="67"/>
      <c r="E292" s="67"/>
      <c r="F292" s="67"/>
      <c r="G292" s="67">
        <v>4.5863880400000001</v>
      </c>
      <c r="H292" s="64">
        <f t="shared" si="117"/>
        <v>4.5863880400000001</v>
      </c>
      <c r="I292" s="32">
        <v>378.08232202000011</v>
      </c>
      <c r="J292" s="68"/>
      <c r="K292" s="67">
        <v>19.059442449999999</v>
      </c>
      <c r="L292" s="144">
        <v>14.929404259999998</v>
      </c>
      <c r="M292" s="65">
        <f t="shared" si="122"/>
        <v>412.07116873000012</v>
      </c>
      <c r="N292" s="32">
        <f t="shared" si="118"/>
        <v>416.6575567700001</v>
      </c>
      <c r="O292" s="142">
        <v>5.7414281600000008</v>
      </c>
      <c r="P292" s="144"/>
      <c r="Q292" s="75">
        <f t="shared" si="119"/>
        <v>5.7414281600000008</v>
      </c>
      <c r="R292" s="15"/>
      <c r="S292" s="145">
        <v>31.501124739999998</v>
      </c>
      <c r="T292" s="67"/>
      <c r="U292" s="65">
        <f t="shared" si="120"/>
        <v>31.501124739999998</v>
      </c>
      <c r="V292" s="75"/>
      <c r="W292" s="145">
        <v>7.9843093799999991</v>
      </c>
      <c r="X292" s="145">
        <v>29.600660859999998</v>
      </c>
      <c r="Y292" s="67">
        <v>160.46228661999771</v>
      </c>
      <c r="Z292" s="13">
        <f t="shared" si="121"/>
        <v>651.94736652999779</v>
      </c>
      <c r="AA292" s="74"/>
      <c r="AD292" s="81"/>
      <c r="AE292" s="81"/>
    </row>
    <row r="293" spans="2:31" ht="21" hidden="1" customHeight="1" x14ac:dyDescent="0.2">
      <c r="B293" s="59" t="s">
        <v>13</v>
      </c>
      <c r="C293" s="32"/>
      <c r="D293" s="67"/>
      <c r="E293" s="67"/>
      <c r="F293" s="67"/>
      <c r="G293" s="67">
        <v>5.6754681900000001</v>
      </c>
      <c r="H293" s="64">
        <f t="shared" si="117"/>
        <v>5.6754681900000001</v>
      </c>
      <c r="I293" s="32">
        <v>334.83222698000003</v>
      </c>
      <c r="J293" s="68"/>
      <c r="K293" s="67">
        <v>9.1107191499999995</v>
      </c>
      <c r="L293" s="144">
        <v>0.37609056000000002</v>
      </c>
      <c r="M293" s="65">
        <f t="shared" si="122"/>
        <v>344.31903669000008</v>
      </c>
      <c r="N293" s="32">
        <f t="shared" si="118"/>
        <v>349.99450488000008</v>
      </c>
      <c r="O293" s="142">
        <v>3.8597229799999999</v>
      </c>
      <c r="P293" s="144"/>
      <c r="Q293" s="75">
        <f t="shared" si="119"/>
        <v>3.8597229799999999</v>
      </c>
      <c r="R293" s="15"/>
      <c r="S293" s="145">
        <v>501.72838382000003</v>
      </c>
      <c r="T293" s="67"/>
      <c r="U293" s="65">
        <f t="shared" si="120"/>
        <v>501.72838382000003</v>
      </c>
      <c r="V293" s="75"/>
      <c r="W293" s="145">
        <v>11.549266149999999</v>
      </c>
      <c r="X293" s="145">
        <v>24.492763319999998</v>
      </c>
      <c r="Y293" s="67">
        <v>181.10399096000128</v>
      </c>
      <c r="Z293" s="13">
        <f t="shared" si="121"/>
        <v>1072.7286321100014</v>
      </c>
      <c r="AA293" s="74"/>
      <c r="AD293" s="81"/>
      <c r="AE293" s="81"/>
    </row>
    <row r="294" spans="2:31" ht="21" hidden="1" customHeight="1" x14ac:dyDescent="0.2">
      <c r="B294" s="59" t="s">
        <v>14</v>
      </c>
      <c r="C294" s="32"/>
      <c r="D294" s="67"/>
      <c r="E294" s="67"/>
      <c r="F294" s="67"/>
      <c r="G294" s="67">
        <v>7.6843924399999999</v>
      </c>
      <c r="H294" s="64">
        <f t="shared" si="117"/>
        <v>7.6843924399999999</v>
      </c>
      <c r="I294" s="32">
        <v>375.32364048046645</v>
      </c>
      <c r="J294" s="68"/>
      <c r="K294" s="67">
        <v>18.977543749999999</v>
      </c>
      <c r="L294" s="144">
        <v>3.2628944200000003</v>
      </c>
      <c r="M294" s="65">
        <f t="shared" si="122"/>
        <v>397.56407865046646</v>
      </c>
      <c r="N294" s="32">
        <f t="shared" si="118"/>
        <v>405.24847109046647</v>
      </c>
      <c r="O294" s="142">
        <v>3.6935958099999997</v>
      </c>
      <c r="P294" s="144"/>
      <c r="Q294" s="75">
        <f t="shared" si="119"/>
        <v>3.6935958099999997</v>
      </c>
      <c r="R294" s="15"/>
      <c r="S294" s="145">
        <v>46.55863248</v>
      </c>
      <c r="T294" s="67"/>
      <c r="U294" s="65">
        <f t="shared" si="120"/>
        <v>46.55863248</v>
      </c>
      <c r="V294" s="75"/>
      <c r="W294" s="145">
        <v>1.5986968699999999</v>
      </c>
      <c r="X294" s="145">
        <v>28.10081336</v>
      </c>
      <c r="Y294" s="67">
        <v>139.05881119999998</v>
      </c>
      <c r="Z294" s="13">
        <f t="shared" si="121"/>
        <v>624.25902081046638</v>
      </c>
      <c r="AA294" s="74"/>
      <c r="AD294" s="81"/>
      <c r="AE294" s="81"/>
    </row>
    <row r="295" spans="2:31" ht="21" hidden="1" customHeight="1" x14ac:dyDescent="0.2">
      <c r="B295" s="59" t="s">
        <v>15</v>
      </c>
      <c r="C295" s="32"/>
      <c r="D295" s="67"/>
      <c r="E295" s="67"/>
      <c r="F295" s="67"/>
      <c r="G295" s="67">
        <v>6.7692902499999992</v>
      </c>
      <c r="H295" s="64">
        <f t="shared" si="117"/>
        <v>6.7692902499999992</v>
      </c>
      <c r="I295" s="32">
        <v>399.73702383</v>
      </c>
      <c r="J295" s="68"/>
      <c r="K295" s="67">
        <v>26.409323470001453</v>
      </c>
      <c r="L295" s="144">
        <v>0.89955971999999995</v>
      </c>
      <c r="M295" s="65">
        <f t="shared" si="122"/>
        <v>427.04590702000149</v>
      </c>
      <c r="N295" s="32">
        <f t="shared" si="118"/>
        <v>433.81519727000148</v>
      </c>
      <c r="O295" s="142">
        <v>9.1801932199999996</v>
      </c>
      <c r="P295" s="144"/>
      <c r="Q295" s="75">
        <f t="shared" si="119"/>
        <v>9.1801932199999996</v>
      </c>
      <c r="R295" s="15"/>
      <c r="S295" s="145">
        <v>48.039697689999997</v>
      </c>
      <c r="T295" s="67"/>
      <c r="U295" s="65">
        <f t="shared" si="120"/>
        <v>48.039697689999997</v>
      </c>
      <c r="V295" s="75"/>
      <c r="W295" s="145">
        <v>7.8916981600000007</v>
      </c>
      <c r="X295" s="145">
        <v>17.988621500000001</v>
      </c>
      <c r="Y295" s="67">
        <v>154.13887668999857</v>
      </c>
      <c r="Z295" s="13">
        <f t="shared" si="121"/>
        <v>671.05428453000002</v>
      </c>
      <c r="AA295" s="74"/>
      <c r="AD295" s="81"/>
      <c r="AE295" s="81"/>
    </row>
    <row r="296" spans="2:31" ht="21" hidden="1" customHeight="1" x14ac:dyDescent="0.2">
      <c r="B296" s="59" t="s">
        <v>16</v>
      </c>
      <c r="C296" s="32"/>
      <c r="D296" s="67"/>
      <c r="E296" s="67"/>
      <c r="F296" s="67"/>
      <c r="G296" s="120">
        <v>5.8785710600000005</v>
      </c>
      <c r="H296" s="64">
        <f t="shared" si="117"/>
        <v>5.8785710600000005</v>
      </c>
      <c r="I296" s="32">
        <v>362.13784905</v>
      </c>
      <c r="J296" s="68"/>
      <c r="K296" s="67">
        <v>18.863651009999998</v>
      </c>
      <c r="L296" s="144">
        <v>7.6431439999999989E-2</v>
      </c>
      <c r="M296" s="65">
        <f t="shared" si="122"/>
        <v>381.07793150000003</v>
      </c>
      <c r="N296" s="32">
        <f t="shared" si="118"/>
        <v>386.95650256000005</v>
      </c>
      <c r="O296" s="142">
        <v>4.3070881500000002</v>
      </c>
      <c r="P296" s="144"/>
      <c r="Q296" s="75">
        <f t="shared" si="119"/>
        <v>4.3070881500000002</v>
      </c>
      <c r="R296" s="15"/>
      <c r="S296" s="145">
        <v>36.868609120000002</v>
      </c>
      <c r="T296" s="67"/>
      <c r="U296" s="65">
        <f t="shared" si="120"/>
        <v>36.868609120000002</v>
      </c>
      <c r="V296" s="75"/>
      <c r="W296" s="145">
        <v>14.508111209999999</v>
      </c>
      <c r="X296" s="145">
        <v>19.62640974</v>
      </c>
      <c r="Y296" s="67">
        <v>157.56523766000001</v>
      </c>
      <c r="Z296" s="13">
        <f t="shared" si="121"/>
        <v>619.83195843999999</v>
      </c>
      <c r="AA296" s="74"/>
      <c r="AD296" s="81"/>
      <c r="AE296" s="81"/>
    </row>
    <row r="297" spans="2:31" ht="21" hidden="1" customHeight="1" x14ac:dyDescent="0.2">
      <c r="B297" s="59" t="s">
        <v>17</v>
      </c>
      <c r="C297" s="32"/>
      <c r="D297" s="67"/>
      <c r="E297" s="67"/>
      <c r="F297" s="67">
        <v>5.4647050000000004</v>
      </c>
      <c r="G297" s="67">
        <v>4.1412389999999997</v>
      </c>
      <c r="H297" s="64">
        <f t="shared" si="117"/>
        <v>9.6059440000000009</v>
      </c>
      <c r="I297" s="32">
        <v>492.50856218000001</v>
      </c>
      <c r="K297" s="67">
        <v>24.125391650000001</v>
      </c>
      <c r="L297" s="144">
        <v>0.26188</v>
      </c>
      <c r="M297" s="65">
        <f t="shared" si="122"/>
        <v>516.89583383000002</v>
      </c>
      <c r="N297" s="32">
        <f t="shared" si="118"/>
        <v>526.50177783000004</v>
      </c>
      <c r="O297" s="142">
        <v>3.737495549912536</v>
      </c>
      <c r="P297" s="144"/>
      <c r="Q297" s="75">
        <f t="shared" si="119"/>
        <v>3.737495549912536</v>
      </c>
      <c r="R297" s="15"/>
      <c r="S297" s="145">
        <v>233.52025545999999</v>
      </c>
      <c r="T297" s="67"/>
      <c r="U297" s="65">
        <f t="shared" si="120"/>
        <v>233.52025545999999</v>
      </c>
      <c r="V297" s="75"/>
      <c r="W297" s="145">
        <v>15.918499800000001</v>
      </c>
      <c r="X297" s="145">
        <v>15.913611784460649</v>
      </c>
      <c r="Y297" s="67">
        <v>232.46079520379197</v>
      </c>
      <c r="Z297" s="13">
        <f t="shared" si="121"/>
        <v>1028.0524356281653</v>
      </c>
      <c r="AA297" s="74"/>
      <c r="AD297" s="81"/>
      <c r="AE297" s="81"/>
    </row>
    <row r="298" spans="2:31" ht="21" customHeight="1" x14ac:dyDescent="0.2">
      <c r="B298" s="59"/>
      <c r="C298" s="32"/>
      <c r="D298" s="67"/>
      <c r="E298" s="67"/>
      <c r="F298" s="67"/>
      <c r="G298" s="67"/>
      <c r="H298" s="64"/>
      <c r="I298" s="32"/>
      <c r="K298" s="67"/>
      <c r="L298" s="144"/>
      <c r="M298" s="65"/>
      <c r="N298" s="32"/>
      <c r="O298" s="142"/>
      <c r="P298" s="144"/>
      <c r="Q298" s="75"/>
      <c r="R298" s="15"/>
      <c r="S298" s="145"/>
      <c r="T298" s="67"/>
      <c r="U298" s="65"/>
      <c r="V298" s="75"/>
      <c r="W298" s="145"/>
      <c r="X298" s="145"/>
      <c r="Y298" s="67"/>
      <c r="Z298" s="13"/>
      <c r="AA298" s="74"/>
      <c r="AD298" s="81"/>
      <c r="AE298" s="81"/>
    </row>
    <row r="299" spans="2:31" ht="21" customHeight="1" x14ac:dyDescent="0.2">
      <c r="B299" s="58">
        <v>2014</v>
      </c>
      <c r="C299" s="32">
        <f t="shared" ref="C299:Y299" si="123">SUM(C301:C312)</f>
        <v>0</v>
      </c>
      <c r="D299" s="32">
        <f t="shared" si="123"/>
        <v>0</v>
      </c>
      <c r="E299" s="32">
        <f t="shared" si="123"/>
        <v>0</v>
      </c>
      <c r="F299" s="32">
        <f t="shared" si="123"/>
        <v>134.03901239999999</v>
      </c>
      <c r="G299" s="32">
        <f t="shared" si="123"/>
        <v>31.857021579999998</v>
      </c>
      <c r="H299" s="64">
        <f t="shared" si="123"/>
        <v>165.89603398</v>
      </c>
      <c r="I299" s="32">
        <f t="shared" si="123"/>
        <v>5045.2914036800003</v>
      </c>
      <c r="J299" s="32">
        <f t="shared" si="123"/>
        <v>0</v>
      </c>
      <c r="K299" s="32">
        <f t="shared" si="123"/>
        <v>239.02394647</v>
      </c>
      <c r="L299" s="32">
        <f t="shared" si="123"/>
        <v>62.475960669999992</v>
      </c>
      <c r="M299" s="65">
        <f t="shared" si="123"/>
        <v>5346.7913108199991</v>
      </c>
      <c r="N299" s="32">
        <f t="shared" si="123"/>
        <v>5512.6873447999997</v>
      </c>
      <c r="O299" s="15">
        <f t="shared" si="123"/>
        <v>74.258863980000001</v>
      </c>
      <c r="P299" s="30">
        <f t="shared" si="123"/>
        <v>0</v>
      </c>
      <c r="Q299" s="75">
        <f t="shared" si="123"/>
        <v>74.258863980000001</v>
      </c>
      <c r="R299" s="15">
        <f t="shared" si="123"/>
        <v>0</v>
      </c>
      <c r="S299" s="75">
        <f t="shared" si="123"/>
        <v>595.14765081999997</v>
      </c>
      <c r="T299" s="75">
        <f t="shared" si="123"/>
        <v>0</v>
      </c>
      <c r="U299" s="65">
        <f t="shared" si="123"/>
        <v>595.14765081999997</v>
      </c>
      <c r="V299" s="75">
        <f t="shared" si="123"/>
        <v>0</v>
      </c>
      <c r="W299" s="75">
        <f t="shared" si="123"/>
        <v>67.91838937</v>
      </c>
      <c r="X299" s="75">
        <f t="shared" si="123"/>
        <v>253.15610477000001</v>
      </c>
      <c r="Y299" s="75">
        <f t="shared" si="123"/>
        <v>1630.8740679404959</v>
      </c>
      <c r="Z299" s="13">
        <f>SUM(Z301:Z312)</f>
        <v>8134.0424216804959</v>
      </c>
      <c r="AA299" s="74"/>
      <c r="AD299" s="81"/>
      <c r="AE299" s="81"/>
    </row>
    <row r="300" spans="2:31" ht="21" customHeight="1" x14ac:dyDescent="0.2">
      <c r="B300" s="58"/>
      <c r="C300" s="32"/>
      <c r="D300" s="67"/>
      <c r="E300" s="67"/>
      <c r="F300" s="67"/>
      <c r="G300" s="32"/>
      <c r="H300" s="64"/>
      <c r="I300" s="32"/>
      <c r="J300" s="68"/>
      <c r="K300" s="67"/>
      <c r="L300" s="68"/>
      <c r="M300" s="65"/>
      <c r="N300" s="32"/>
      <c r="O300" s="15"/>
      <c r="P300" s="30"/>
      <c r="Q300" s="75"/>
      <c r="R300" s="15"/>
      <c r="S300" s="67"/>
      <c r="T300" s="67"/>
      <c r="U300" s="65"/>
      <c r="V300" s="75"/>
      <c r="W300" s="145"/>
      <c r="X300" s="75"/>
      <c r="Y300" s="75"/>
      <c r="Z300" s="13"/>
      <c r="AA300" s="74"/>
      <c r="AD300" s="81"/>
      <c r="AE300" s="81"/>
    </row>
    <row r="301" spans="2:31" ht="21" customHeight="1" x14ac:dyDescent="0.2">
      <c r="B301" s="59" t="s">
        <v>6</v>
      </c>
      <c r="C301" s="32"/>
      <c r="D301" s="67"/>
      <c r="E301" s="67"/>
      <c r="F301" s="67"/>
      <c r="G301" s="67">
        <v>6.5192264099999999</v>
      </c>
      <c r="H301" s="64">
        <f t="shared" ref="H301:H312" si="124">C301+D301+E301+G301+F301</f>
        <v>6.5192264099999999</v>
      </c>
      <c r="I301" s="32">
        <v>305.78806933999999</v>
      </c>
      <c r="J301" s="68"/>
      <c r="K301" s="32">
        <v>28.77496335</v>
      </c>
      <c r="L301" s="156">
        <v>17.276871359999998</v>
      </c>
      <c r="M301" s="65">
        <f t="shared" ref="M301:M312" si="125">+I301+K301+L301</f>
        <v>351.83990404999997</v>
      </c>
      <c r="N301" s="32">
        <f t="shared" ref="N301:N312" si="126">H301+M301</f>
        <v>358.35913045999996</v>
      </c>
      <c r="O301" s="142">
        <v>2.9900335799999995</v>
      </c>
      <c r="P301" s="144"/>
      <c r="Q301" s="75">
        <f t="shared" ref="Q301:Q312" si="127">+O301+P301</f>
        <v>2.9900335799999995</v>
      </c>
      <c r="R301" s="15"/>
      <c r="S301" s="145">
        <v>4.7023072900000003</v>
      </c>
      <c r="T301" s="67"/>
      <c r="U301" s="65">
        <f t="shared" ref="U301:U312" si="128">+R301+S301+T301</f>
        <v>4.7023072900000003</v>
      </c>
      <c r="V301" s="75"/>
      <c r="W301" s="145">
        <v>0.60579366000000001</v>
      </c>
      <c r="X301" s="145">
        <v>22.573918669999998</v>
      </c>
      <c r="Y301" s="67">
        <v>138.22100921999998</v>
      </c>
      <c r="Z301" s="13">
        <f>+Y301+W301+V301+U301+Q301+N301+X301</f>
        <v>527.45219287999987</v>
      </c>
      <c r="AA301" s="74"/>
      <c r="AD301" s="81"/>
      <c r="AE301" s="81"/>
    </row>
    <row r="302" spans="2:31" ht="21" customHeight="1" x14ac:dyDescent="0.2">
      <c r="B302" s="59" t="s">
        <v>7</v>
      </c>
      <c r="C302" s="32"/>
      <c r="D302" s="67"/>
      <c r="E302" s="67"/>
      <c r="F302" s="67"/>
      <c r="G302" s="67">
        <v>3.4005447700000002</v>
      </c>
      <c r="H302" s="64">
        <f t="shared" si="124"/>
        <v>3.4005447700000002</v>
      </c>
      <c r="I302" s="32">
        <v>295.98588388000002</v>
      </c>
      <c r="J302" s="68"/>
      <c r="K302" s="67">
        <v>23.695701270000001</v>
      </c>
      <c r="L302" s="143">
        <v>0.35355599999999998</v>
      </c>
      <c r="M302" s="65">
        <f t="shared" si="125"/>
        <v>320.03514115000007</v>
      </c>
      <c r="N302" s="32">
        <f t="shared" si="126"/>
        <v>323.43568592000008</v>
      </c>
      <c r="O302" s="142">
        <v>3.29864325</v>
      </c>
      <c r="P302" s="146">
        <v>0</v>
      </c>
      <c r="Q302" s="75">
        <f t="shared" si="127"/>
        <v>3.29864325</v>
      </c>
      <c r="R302" s="15"/>
      <c r="S302" s="67">
        <v>21.12635599</v>
      </c>
      <c r="T302" s="67"/>
      <c r="U302" s="65">
        <f t="shared" si="128"/>
        <v>21.12635599</v>
      </c>
      <c r="V302" s="75"/>
      <c r="W302" s="145">
        <v>3.14193422</v>
      </c>
      <c r="X302" s="143">
        <v>20.083488790000001</v>
      </c>
      <c r="Y302" s="67">
        <v>124.02473864999931</v>
      </c>
      <c r="Z302" s="13">
        <f>+Y302+W302+V302+U302+Q302+N302+X302</f>
        <v>495.11084681999938</v>
      </c>
      <c r="AA302" s="74"/>
      <c r="AD302" s="81"/>
      <c r="AE302" s="81"/>
    </row>
    <row r="303" spans="2:31" ht="21" customHeight="1" x14ac:dyDescent="0.2">
      <c r="B303" s="59" t="s">
        <v>8</v>
      </c>
      <c r="C303" s="32"/>
      <c r="D303" s="67"/>
      <c r="E303" s="67"/>
      <c r="F303" s="67"/>
      <c r="G303" s="67">
        <v>2.44225878</v>
      </c>
      <c r="H303" s="64">
        <f t="shared" si="124"/>
        <v>2.44225878</v>
      </c>
      <c r="I303" s="32">
        <v>352.58024318999998</v>
      </c>
      <c r="J303" s="68"/>
      <c r="K303" s="67">
        <v>20.898393689999999</v>
      </c>
      <c r="L303" s="144">
        <v>0.85592080000000004</v>
      </c>
      <c r="M303" s="65">
        <f t="shared" si="125"/>
        <v>374.33455767999993</v>
      </c>
      <c r="N303" s="32">
        <f t="shared" si="126"/>
        <v>376.77681645999991</v>
      </c>
      <c r="O303" s="142">
        <v>4.81045809</v>
      </c>
      <c r="P303" s="144"/>
      <c r="Q303" s="75">
        <f t="shared" si="127"/>
        <v>4.81045809</v>
      </c>
      <c r="R303" s="15"/>
      <c r="S303" s="145">
        <v>37.097104369999997</v>
      </c>
      <c r="T303" s="67"/>
      <c r="U303" s="65">
        <f t="shared" si="128"/>
        <v>37.097104369999997</v>
      </c>
      <c r="V303" s="75"/>
      <c r="W303" s="145">
        <v>3.5732992600000002</v>
      </c>
      <c r="X303" s="145">
        <v>14.148585049999999</v>
      </c>
      <c r="Y303" s="67">
        <v>139.94355968999892</v>
      </c>
      <c r="Z303" s="13">
        <f t="shared" ref="Z303:Z312" si="129">+Y303+W303+V303+U303+Q303+N303+X303</f>
        <v>576.3498229199987</v>
      </c>
      <c r="AA303" s="74"/>
      <c r="AD303" s="81"/>
      <c r="AE303" s="81"/>
    </row>
    <row r="304" spans="2:31" ht="21" customHeight="1" x14ac:dyDescent="0.2">
      <c r="B304" s="59" t="s">
        <v>9</v>
      </c>
      <c r="C304" s="32"/>
      <c r="D304" s="67"/>
      <c r="E304" s="67"/>
      <c r="F304" s="67">
        <v>2.8354910099999997</v>
      </c>
      <c r="G304" s="67">
        <v>10.287207729999999</v>
      </c>
      <c r="H304" s="64">
        <f t="shared" si="124"/>
        <v>13.122698739999999</v>
      </c>
      <c r="I304" s="32">
        <v>451.20074851000004</v>
      </c>
      <c r="J304" s="68"/>
      <c r="K304" s="67">
        <v>15.033986560000001</v>
      </c>
      <c r="L304" s="144">
        <v>2.3698399999999999</v>
      </c>
      <c r="M304" s="65">
        <f t="shared" si="125"/>
        <v>468.60457507000007</v>
      </c>
      <c r="N304" s="32">
        <f t="shared" si="126"/>
        <v>481.72727381000004</v>
      </c>
      <c r="O304" s="142">
        <v>3.1665545200000005</v>
      </c>
      <c r="P304" s="144">
        <v>0</v>
      </c>
      <c r="Q304" s="75">
        <f t="shared" si="127"/>
        <v>3.1665545200000005</v>
      </c>
      <c r="R304" s="15"/>
      <c r="S304" s="145">
        <v>31.34667108</v>
      </c>
      <c r="T304" s="67"/>
      <c r="U304" s="65">
        <f t="shared" si="128"/>
        <v>31.34667108</v>
      </c>
      <c r="V304" s="75"/>
      <c r="W304" s="145">
        <v>5.1908211500000006</v>
      </c>
      <c r="X304" s="145">
        <v>29.67073538</v>
      </c>
      <c r="Y304" s="67">
        <v>91.101878140000011</v>
      </c>
      <c r="Z304" s="13">
        <f t="shared" si="129"/>
        <v>642.20393408000007</v>
      </c>
      <c r="AA304" s="74"/>
      <c r="AD304" s="81"/>
      <c r="AE304" s="81"/>
    </row>
    <row r="305" spans="2:31" ht="21" customHeight="1" x14ac:dyDescent="0.2">
      <c r="B305" s="59" t="s">
        <v>10</v>
      </c>
      <c r="C305" s="32"/>
      <c r="D305" s="67"/>
      <c r="E305" s="67"/>
      <c r="F305" s="67"/>
      <c r="G305" s="67">
        <v>3.1412927799999997</v>
      </c>
      <c r="H305" s="64">
        <f t="shared" si="124"/>
        <v>3.1412927799999997</v>
      </c>
      <c r="I305" s="32">
        <v>472.25079518000001</v>
      </c>
      <c r="J305" s="68"/>
      <c r="K305" s="67">
        <v>19.18817554</v>
      </c>
      <c r="L305" s="144">
        <v>2.3680760000000003</v>
      </c>
      <c r="M305" s="65">
        <f t="shared" si="125"/>
        <v>493.80704671999996</v>
      </c>
      <c r="N305" s="32">
        <f t="shared" si="126"/>
        <v>496.94833949999997</v>
      </c>
      <c r="O305" s="142">
        <v>6.9916997700000003</v>
      </c>
      <c r="P305" s="144"/>
      <c r="Q305" s="75">
        <f t="shared" si="127"/>
        <v>6.9916997700000003</v>
      </c>
      <c r="R305" s="15"/>
      <c r="S305" s="145">
        <v>22.316139229999997</v>
      </c>
      <c r="T305" s="67"/>
      <c r="U305" s="65">
        <f t="shared" si="128"/>
        <v>22.316139229999997</v>
      </c>
      <c r="V305" s="75"/>
      <c r="W305" s="145">
        <v>4.3115981800000007</v>
      </c>
      <c r="X305" s="145">
        <v>29.809972039999998</v>
      </c>
      <c r="Y305" s="67">
        <v>82.082601330000003</v>
      </c>
      <c r="Z305" s="13">
        <f t="shared" si="129"/>
        <v>642.46035004999999</v>
      </c>
      <c r="AA305" s="74"/>
      <c r="AD305" s="81"/>
      <c r="AE305" s="81"/>
    </row>
    <row r="306" spans="2:31" ht="21" customHeight="1" x14ac:dyDescent="0.2">
      <c r="B306" s="59" t="s">
        <v>11</v>
      </c>
      <c r="C306" s="32"/>
      <c r="D306" s="67"/>
      <c r="E306" s="67"/>
      <c r="F306" s="67">
        <v>10.332603200000001</v>
      </c>
      <c r="G306" s="67">
        <v>4.4510081700000006</v>
      </c>
      <c r="H306" s="64">
        <f t="shared" si="124"/>
        <v>14.783611370000003</v>
      </c>
      <c r="I306" s="32">
        <v>410.51930537999993</v>
      </c>
      <c r="J306" s="68"/>
      <c r="K306" s="67">
        <v>6.9116107299999996</v>
      </c>
      <c r="L306" s="144">
        <v>0.48</v>
      </c>
      <c r="M306" s="65">
        <f t="shared" si="125"/>
        <v>417.91091610999996</v>
      </c>
      <c r="N306" s="32">
        <f t="shared" si="126"/>
        <v>432.69452747999998</v>
      </c>
      <c r="O306" s="142">
        <v>8.7789211599999994</v>
      </c>
      <c r="P306" s="144"/>
      <c r="Q306" s="75">
        <f t="shared" si="127"/>
        <v>8.7789211599999994</v>
      </c>
      <c r="R306" s="15"/>
      <c r="S306" s="145">
        <v>36.171334700000003</v>
      </c>
      <c r="T306" s="67"/>
      <c r="U306" s="65">
        <f t="shared" si="128"/>
        <v>36.171334700000003</v>
      </c>
      <c r="V306" s="75"/>
      <c r="W306" s="145">
        <v>16.968467030000003</v>
      </c>
      <c r="X306" s="145">
        <v>21.406366260000002</v>
      </c>
      <c r="Y306" s="67">
        <v>85.906113499999989</v>
      </c>
      <c r="Z306" s="13">
        <f t="shared" si="129"/>
        <v>601.92573013000003</v>
      </c>
      <c r="AA306" s="74"/>
      <c r="AD306" s="81"/>
      <c r="AE306" s="81"/>
    </row>
    <row r="307" spans="2:31" ht="21" customHeight="1" x14ac:dyDescent="0.2">
      <c r="B307" s="59" t="s">
        <v>12</v>
      </c>
      <c r="C307" s="32"/>
      <c r="D307" s="67"/>
      <c r="E307" s="67"/>
      <c r="F307" s="67">
        <v>11.200897399999999</v>
      </c>
      <c r="G307" s="67">
        <v>0.46204056999999998</v>
      </c>
      <c r="H307" s="64">
        <f t="shared" si="124"/>
        <v>11.662937969999998</v>
      </c>
      <c r="I307" s="32">
        <v>483.38674996000003</v>
      </c>
      <c r="J307" s="68"/>
      <c r="K307" s="67">
        <v>15.614300880000002</v>
      </c>
      <c r="L307" s="144">
        <v>30.035034789999997</v>
      </c>
      <c r="M307" s="65">
        <f t="shared" si="125"/>
        <v>529.03608563000012</v>
      </c>
      <c r="N307" s="32">
        <f t="shared" si="126"/>
        <v>540.69902360000015</v>
      </c>
      <c r="O307" s="142">
        <v>7.7668454899999979</v>
      </c>
      <c r="P307" s="144"/>
      <c r="Q307" s="75">
        <f t="shared" si="127"/>
        <v>7.7668454899999979</v>
      </c>
      <c r="R307" s="15"/>
      <c r="S307" s="145">
        <v>38.082165079999996</v>
      </c>
      <c r="T307" s="67"/>
      <c r="U307" s="65">
        <f t="shared" si="128"/>
        <v>38.082165079999996</v>
      </c>
      <c r="V307" s="75"/>
      <c r="W307" s="145">
        <v>6.7344010700000005</v>
      </c>
      <c r="X307" s="145">
        <v>19.221546530000001</v>
      </c>
      <c r="Y307" s="67">
        <v>76.073712240497485</v>
      </c>
      <c r="Z307" s="13">
        <f t="shared" si="129"/>
        <v>688.57769401049757</v>
      </c>
      <c r="AA307" s="74"/>
      <c r="AD307" s="81"/>
      <c r="AE307" s="81"/>
    </row>
    <row r="308" spans="2:31" ht="21" customHeight="1" x14ac:dyDescent="0.2">
      <c r="B308" s="59" t="s">
        <v>13</v>
      </c>
      <c r="C308" s="32"/>
      <c r="D308" s="67"/>
      <c r="E308" s="67"/>
      <c r="F308" s="67">
        <v>32.164107829999999</v>
      </c>
      <c r="G308" s="67">
        <v>1.0050730800000001</v>
      </c>
      <c r="H308" s="64">
        <f t="shared" si="124"/>
        <v>33.169180910000001</v>
      </c>
      <c r="I308" s="32">
        <v>818.09241043999998</v>
      </c>
      <c r="J308" s="68"/>
      <c r="K308" s="67">
        <v>18.625556029999998</v>
      </c>
      <c r="L308" s="144"/>
      <c r="M308" s="65">
        <f t="shared" si="125"/>
        <v>836.71796646999996</v>
      </c>
      <c r="N308" s="32">
        <f t="shared" si="126"/>
        <v>869.88714737999999</v>
      </c>
      <c r="O308" s="142">
        <v>4.8892732199999998</v>
      </c>
      <c r="P308" s="144"/>
      <c r="Q308" s="75">
        <f t="shared" si="127"/>
        <v>4.8892732199999998</v>
      </c>
      <c r="R308" s="15"/>
      <c r="S308" s="145">
        <v>126.24737214</v>
      </c>
      <c r="T308" s="67"/>
      <c r="U308" s="65">
        <f t="shared" si="128"/>
        <v>126.24737214</v>
      </c>
      <c r="V308" s="75"/>
      <c r="W308" s="145">
        <v>1.56792281</v>
      </c>
      <c r="X308" s="145">
        <v>17.694250240000002</v>
      </c>
      <c r="Y308" s="67">
        <v>198.65812513</v>
      </c>
      <c r="Z308" s="13">
        <f t="shared" si="129"/>
        <v>1218.94409092</v>
      </c>
      <c r="AA308" s="74"/>
      <c r="AD308" s="81"/>
      <c r="AE308" s="81"/>
    </row>
    <row r="309" spans="2:31" ht="21" customHeight="1" x14ac:dyDescent="0.2">
      <c r="B309" s="59" t="s">
        <v>14</v>
      </c>
      <c r="C309" s="32"/>
      <c r="D309" s="67"/>
      <c r="E309" s="67"/>
      <c r="F309" s="67">
        <v>20.74222614</v>
      </c>
      <c r="G309" s="67">
        <v>3.2760200000000003E-2</v>
      </c>
      <c r="H309" s="64">
        <f t="shared" si="124"/>
        <v>20.774986339999998</v>
      </c>
      <c r="I309" s="32">
        <v>333.68019610999994</v>
      </c>
      <c r="J309" s="162"/>
      <c r="K309" s="84">
        <v>31.457594380000003</v>
      </c>
      <c r="L309" s="163"/>
      <c r="M309" s="65">
        <f t="shared" si="125"/>
        <v>365.13779048999993</v>
      </c>
      <c r="N309" s="32">
        <f t="shared" si="126"/>
        <v>385.91277682999993</v>
      </c>
      <c r="O309" s="164">
        <v>7.4033061900000003</v>
      </c>
      <c r="P309" s="163"/>
      <c r="Q309" s="75">
        <f t="shared" si="127"/>
        <v>7.4033061900000003</v>
      </c>
      <c r="R309" s="15"/>
      <c r="S309" s="165">
        <v>52.359205440000004</v>
      </c>
      <c r="T309" s="84"/>
      <c r="U309" s="65">
        <f t="shared" si="128"/>
        <v>52.359205440000004</v>
      </c>
      <c r="V309" s="75"/>
      <c r="W309" s="165">
        <v>1.4371958899999999</v>
      </c>
      <c r="X309" s="165">
        <v>19.15237909</v>
      </c>
      <c r="Y309" s="84">
        <v>89.712727400000389</v>
      </c>
      <c r="Z309" s="13">
        <f t="shared" si="129"/>
        <v>555.97759084000029</v>
      </c>
      <c r="AA309" s="74"/>
      <c r="AD309" s="81"/>
      <c r="AE309" s="81"/>
    </row>
    <row r="310" spans="2:31" ht="21" customHeight="1" x14ac:dyDescent="0.2">
      <c r="B310" s="59" t="s">
        <v>15</v>
      </c>
      <c r="C310" s="32"/>
      <c r="D310" s="67">
        <v>0</v>
      </c>
      <c r="E310" s="67"/>
      <c r="F310" s="67">
        <v>29.8</v>
      </c>
      <c r="G310" s="67">
        <v>0.11560909</v>
      </c>
      <c r="H310" s="64">
        <f t="shared" si="124"/>
        <v>29.91560909</v>
      </c>
      <c r="I310" s="32">
        <v>394.87749586000001</v>
      </c>
      <c r="J310" s="162"/>
      <c r="K310" s="84">
        <v>17.958748799999999</v>
      </c>
      <c r="L310" s="163">
        <v>0</v>
      </c>
      <c r="M310" s="65">
        <f t="shared" si="125"/>
        <v>412.83624466000003</v>
      </c>
      <c r="N310" s="32">
        <f t="shared" si="126"/>
        <v>442.75185375000001</v>
      </c>
      <c r="O310" s="164">
        <v>4.3201469800000005</v>
      </c>
      <c r="P310" s="163"/>
      <c r="Q310" s="75">
        <f t="shared" si="127"/>
        <v>4.3201469800000005</v>
      </c>
      <c r="R310" s="15"/>
      <c r="S310" s="165">
        <v>39.576682140000003</v>
      </c>
      <c r="T310" s="84"/>
      <c r="U310" s="65">
        <f t="shared" si="128"/>
        <v>39.576682140000003</v>
      </c>
      <c r="V310" s="75"/>
      <c r="W310" s="165">
        <v>1.2056028399999998</v>
      </c>
      <c r="X310" s="165">
        <v>23.821385329999984</v>
      </c>
      <c r="Y310" s="84">
        <v>160.43213832999999</v>
      </c>
      <c r="Z310" s="13">
        <f t="shared" si="129"/>
        <v>672.10780937000004</v>
      </c>
      <c r="AA310" s="74"/>
      <c r="AD310" s="81"/>
      <c r="AE310" s="81"/>
    </row>
    <row r="311" spans="2:31" ht="21" customHeight="1" x14ac:dyDescent="0.2">
      <c r="B311" s="59" t="s">
        <v>16</v>
      </c>
      <c r="C311" s="32"/>
      <c r="D311" s="67"/>
      <c r="E311" s="67"/>
      <c r="F311" s="67">
        <v>9.4970030199999993</v>
      </c>
      <c r="G311" s="67"/>
      <c r="H311" s="64">
        <f t="shared" si="124"/>
        <v>9.4970030199999993</v>
      </c>
      <c r="I311" s="32">
        <v>365.03630401999999</v>
      </c>
      <c r="J311" s="162"/>
      <c r="K311" s="84">
        <v>24.394991749999999</v>
      </c>
      <c r="L311" s="163">
        <v>7.5926617200000006</v>
      </c>
      <c r="M311" s="65">
        <f t="shared" si="125"/>
        <v>397.02395748999999</v>
      </c>
      <c r="N311" s="32">
        <f t="shared" si="126"/>
        <v>406.52096051000001</v>
      </c>
      <c r="O311" s="164">
        <v>9.1760586100000001</v>
      </c>
      <c r="P311" s="163"/>
      <c r="Q311" s="75">
        <f t="shared" si="127"/>
        <v>9.1760586100000001</v>
      </c>
      <c r="R311" s="15"/>
      <c r="S311" s="165">
        <v>59.733720769999998</v>
      </c>
      <c r="T311" s="84"/>
      <c r="U311" s="65">
        <f t="shared" si="128"/>
        <v>59.733720769999998</v>
      </c>
      <c r="V311" s="75"/>
      <c r="W311" s="165">
        <v>4.91236695</v>
      </c>
      <c r="X311" s="165">
        <v>16.492494529999995</v>
      </c>
      <c r="Y311" s="84">
        <v>157.23913443999976</v>
      </c>
      <c r="Z311" s="13">
        <f t="shared" si="129"/>
        <v>654.07473580999988</v>
      </c>
      <c r="AA311" s="74"/>
      <c r="AD311" s="81"/>
      <c r="AE311" s="81"/>
    </row>
    <row r="312" spans="2:31" ht="21" customHeight="1" x14ac:dyDescent="0.2">
      <c r="B312" s="59" t="s">
        <v>17</v>
      </c>
      <c r="C312" s="32"/>
      <c r="D312" s="67"/>
      <c r="E312" s="67"/>
      <c r="F312" s="67">
        <v>17.466683799999998</v>
      </c>
      <c r="G312" s="67"/>
      <c r="H312" s="64">
        <f t="shared" si="124"/>
        <v>17.466683799999998</v>
      </c>
      <c r="I312" s="32">
        <v>361.89320180999999</v>
      </c>
      <c r="J312" s="162"/>
      <c r="K312" s="84">
        <v>16.469923489999999</v>
      </c>
      <c r="L312" s="163">
        <v>1.1439999999999999</v>
      </c>
      <c r="M312" s="65">
        <f t="shared" si="125"/>
        <v>379.50712529999998</v>
      </c>
      <c r="N312" s="32">
        <f t="shared" si="126"/>
        <v>396.97380909999998</v>
      </c>
      <c r="O312" s="164">
        <v>10.666923120000002</v>
      </c>
      <c r="P312" s="163"/>
      <c r="Q312" s="75">
        <f t="shared" si="127"/>
        <v>10.666923120000002</v>
      </c>
      <c r="R312" s="15"/>
      <c r="S312" s="165">
        <v>126.38859259</v>
      </c>
      <c r="T312" s="84"/>
      <c r="U312" s="65">
        <f t="shared" si="128"/>
        <v>126.38859259</v>
      </c>
      <c r="V312" s="75"/>
      <c r="W312" s="165">
        <v>18.268986309999999</v>
      </c>
      <c r="X312" s="165">
        <v>19.080982860000002</v>
      </c>
      <c r="Y312" s="84">
        <v>287.47832987000004</v>
      </c>
      <c r="Z312" s="13">
        <f t="shared" si="129"/>
        <v>858.85762384999998</v>
      </c>
      <c r="AA312" s="74"/>
      <c r="AD312" s="81"/>
      <c r="AE312" s="81"/>
    </row>
    <row r="313" spans="2:31" ht="21" customHeight="1" x14ac:dyDescent="0.2">
      <c r="B313" s="59"/>
      <c r="C313" s="32"/>
      <c r="D313" s="67"/>
      <c r="E313" s="67"/>
      <c r="F313" s="67"/>
      <c r="G313" s="67"/>
      <c r="H313" s="64"/>
      <c r="I313" s="32"/>
      <c r="J313" s="162"/>
      <c r="K313" s="84"/>
      <c r="L313" s="163"/>
      <c r="M313" s="65"/>
      <c r="N313" s="32"/>
      <c r="O313" s="164"/>
      <c r="P313" s="163"/>
      <c r="Q313" s="75"/>
      <c r="R313" s="15"/>
      <c r="S313" s="165"/>
      <c r="T313" s="84"/>
      <c r="U313" s="65"/>
      <c r="V313" s="75"/>
      <c r="W313" s="165"/>
      <c r="X313" s="165"/>
      <c r="Y313" s="84"/>
      <c r="Z313" s="13"/>
      <c r="AA313" s="74"/>
      <c r="AD313" s="81"/>
      <c r="AE313" s="81"/>
    </row>
    <row r="314" spans="2:31" ht="21" customHeight="1" x14ac:dyDescent="0.2">
      <c r="B314" s="58">
        <v>2015</v>
      </c>
      <c r="C314" s="32">
        <f t="shared" ref="C314:X314" si="130">SUM(C316:C327)</f>
        <v>0</v>
      </c>
      <c r="D314" s="67">
        <f t="shared" si="130"/>
        <v>0</v>
      </c>
      <c r="E314" s="67">
        <f t="shared" si="130"/>
        <v>0</v>
      </c>
      <c r="F314" s="67">
        <f t="shared" si="130"/>
        <v>0</v>
      </c>
      <c r="G314" s="67">
        <f t="shared" si="130"/>
        <v>0</v>
      </c>
      <c r="H314" s="64">
        <f t="shared" si="130"/>
        <v>0</v>
      </c>
      <c r="I314" s="32">
        <f t="shared" si="130"/>
        <v>2870.6037797800004</v>
      </c>
      <c r="J314" s="162">
        <f t="shared" si="130"/>
        <v>0</v>
      </c>
      <c r="K314" s="84">
        <f t="shared" si="130"/>
        <v>169.56464954000003</v>
      </c>
      <c r="L314" s="163">
        <f t="shared" si="130"/>
        <v>45.825782480000001</v>
      </c>
      <c r="M314" s="65">
        <f t="shared" si="130"/>
        <v>3085.9942118000008</v>
      </c>
      <c r="N314" s="32">
        <f t="shared" si="130"/>
        <v>3085.9942118000008</v>
      </c>
      <c r="O314" s="164">
        <f t="shared" si="130"/>
        <v>56.976555023200007</v>
      </c>
      <c r="P314" s="163">
        <f t="shared" si="130"/>
        <v>0</v>
      </c>
      <c r="Q314" s="75">
        <f t="shared" si="130"/>
        <v>56.976555023200007</v>
      </c>
      <c r="R314" s="15">
        <f t="shared" si="130"/>
        <v>0</v>
      </c>
      <c r="S314" s="165">
        <f t="shared" si="130"/>
        <v>924.73655123000003</v>
      </c>
      <c r="T314" s="84">
        <f t="shared" si="130"/>
        <v>0</v>
      </c>
      <c r="U314" s="65">
        <f t="shared" si="130"/>
        <v>924.73655123000003</v>
      </c>
      <c r="V314" s="75">
        <f t="shared" si="130"/>
        <v>0</v>
      </c>
      <c r="W314" s="165">
        <f t="shared" si="130"/>
        <v>78.961393130000005</v>
      </c>
      <c r="X314" s="165">
        <f t="shared" si="130"/>
        <v>342.47732304999988</v>
      </c>
      <c r="Y314" s="84">
        <f>SUM(Y316:Y327)</f>
        <v>2304.0006251900004</v>
      </c>
      <c r="Z314" s="13">
        <f>SUM(Z316:Z327)</f>
        <v>6793.1466594231988</v>
      </c>
      <c r="AA314" s="74"/>
      <c r="AD314" s="81"/>
      <c r="AE314" s="81"/>
    </row>
    <row r="315" spans="2:31" ht="21" customHeight="1" x14ac:dyDescent="0.2">
      <c r="B315" s="58"/>
      <c r="C315" s="32"/>
      <c r="D315" s="67"/>
      <c r="E315" s="67"/>
      <c r="F315" s="67"/>
      <c r="G315" s="67"/>
      <c r="H315" s="64"/>
      <c r="I315" s="32"/>
      <c r="J315" s="162"/>
      <c r="K315" s="84"/>
      <c r="L315" s="163"/>
      <c r="M315" s="65"/>
      <c r="N315" s="32"/>
      <c r="O315" s="164"/>
      <c r="P315" s="163"/>
      <c r="Q315" s="75"/>
      <c r="R315" s="15"/>
      <c r="S315" s="165"/>
      <c r="T315" s="84"/>
      <c r="U315" s="65"/>
      <c r="V315" s="75"/>
      <c r="W315" s="165"/>
      <c r="X315" s="165"/>
      <c r="Y315" s="84"/>
      <c r="Z315" s="13"/>
      <c r="AA315" s="74"/>
      <c r="AD315" s="81"/>
      <c r="AE315" s="81"/>
    </row>
    <row r="316" spans="2:31" ht="21" customHeight="1" x14ac:dyDescent="0.2">
      <c r="B316" s="59" t="s">
        <v>6</v>
      </c>
      <c r="C316" s="32"/>
      <c r="D316" s="67"/>
      <c r="E316" s="67"/>
      <c r="F316" s="67"/>
      <c r="G316" s="67"/>
      <c r="H316" s="64">
        <f t="shared" ref="H316:H327" si="131">C316+D316+E316+G316+F316</f>
        <v>0</v>
      </c>
      <c r="I316" s="32">
        <v>276.64974590000003</v>
      </c>
      <c r="J316" s="162"/>
      <c r="K316" s="84">
        <v>23.566817690000001</v>
      </c>
      <c r="L316" s="163">
        <v>7.7541858699999997</v>
      </c>
      <c r="M316" s="65">
        <f>+I316+K316+L316</f>
        <v>307.97074946000004</v>
      </c>
      <c r="N316" s="32">
        <f>H316+M316</f>
        <v>307.97074946000004</v>
      </c>
      <c r="O316" s="164">
        <v>3.5573596200000011</v>
      </c>
      <c r="P316" s="163"/>
      <c r="Q316" s="75">
        <f t="shared" ref="Q316:Q327" si="132">+O316+P316</f>
        <v>3.5573596200000011</v>
      </c>
      <c r="R316" s="15"/>
      <c r="S316" s="165">
        <v>23.36840437</v>
      </c>
      <c r="T316" s="84"/>
      <c r="U316" s="65">
        <f t="shared" ref="U316:U327" si="133">+R316+S316+T316</f>
        <v>23.36840437</v>
      </c>
      <c r="V316" s="75"/>
      <c r="W316" s="165">
        <v>0.37142316000000003</v>
      </c>
      <c r="X316" s="165">
        <v>28.787533269999997</v>
      </c>
      <c r="Y316" s="84">
        <v>208.94146750000004</v>
      </c>
      <c r="Z316" s="13">
        <f>+Y316+W316+V316+U316+Q316+N316+X316</f>
        <v>572.99693738000019</v>
      </c>
      <c r="AA316" s="74"/>
      <c r="AD316" s="81"/>
      <c r="AE316" s="81"/>
    </row>
    <row r="317" spans="2:31" ht="21" customHeight="1" x14ac:dyDescent="0.2">
      <c r="B317" s="59" t="s">
        <v>7</v>
      </c>
      <c r="C317" s="32"/>
      <c r="D317" s="67"/>
      <c r="E317" s="67"/>
      <c r="F317" s="67"/>
      <c r="G317" s="67"/>
      <c r="H317" s="64">
        <f t="shared" si="131"/>
        <v>0</v>
      </c>
      <c r="I317" s="32">
        <v>321.60314260000001</v>
      </c>
      <c r="J317" s="162"/>
      <c r="K317" s="84">
        <v>17.92310883</v>
      </c>
      <c r="L317" s="163"/>
      <c r="M317" s="65">
        <f t="shared" ref="M317:M327" si="134">+I317+K317+L317</f>
        <v>339.52625143</v>
      </c>
      <c r="N317" s="32">
        <f t="shared" ref="N317:N327" si="135">H317+M317</f>
        <v>339.52625143</v>
      </c>
      <c r="O317" s="164">
        <v>2.6507302699999999</v>
      </c>
      <c r="P317" s="163"/>
      <c r="Q317" s="75">
        <f t="shared" si="132"/>
        <v>2.6507302699999999</v>
      </c>
      <c r="R317" s="15"/>
      <c r="S317" s="165">
        <v>21.621305420000002</v>
      </c>
      <c r="T317" s="84"/>
      <c r="U317" s="65">
        <f t="shared" si="133"/>
        <v>21.621305420000002</v>
      </c>
      <c r="V317" s="75"/>
      <c r="W317" s="165">
        <v>0.79350692999999994</v>
      </c>
      <c r="X317" s="165">
        <v>23.333240349999997</v>
      </c>
      <c r="Y317" s="84">
        <v>230.20896813999997</v>
      </c>
      <c r="Z317" s="13">
        <f t="shared" ref="Z317:Z327" si="136">+Y317+W317+V317+U317+Q317+N317+X317</f>
        <v>618.13400253999998</v>
      </c>
      <c r="AA317" s="74"/>
      <c r="AD317" s="81"/>
      <c r="AE317" s="81"/>
    </row>
    <row r="318" spans="2:31" ht="21" customHeight="1" x14ac:dyDescent="0.2">
      <c r="B318" s="59" t="s">
        <v>8</v>
      </c>
      <c r="C318" s="32"/>
      <c r="D318" s="67"/>
      <c r="E318" s="67"/>
      <c r="F318" s="67"/>
      <c r="G318" s="67"/>
      <c r="H318" s="64">
        <f t="shared" si="131"/>
        <v>0</v>
      </c>
      <c r="I318" s="32">
        <v>225.07341595</v>
      </c>
      <c r="J318" s="162"/>
      <c r="K318" s="84">
        <v>11.1564526</v>
      </c>
      <c r="L318" s="163">
        <v>10.01985</v>
      </c>
      <c r="M318" s="65">
        <f t="shared" si="134"/>
        <v>246.24971854999998</v>
      </c>
      <c r="N318" s="32">
        <f t="shared" si="135"/>
        <v>246.24971854999998</v>
      </c>
      <c r="O318" s="164">
        <v>4.0941247000000009</v>
      </c>
      <c r="P318" s="163"/>
      <c r="Q318" s="75">
        <f t="shared" si="132"/>
        <v>4.0941247000000009</v>
      </c>
      <c r="R318" s="15"/>
      <c r="S318" s="165">
        <v>25.038978360000005</v>
      </c>
      <c r="T318" s="84"/>
      <c r="U318" s="65">
        <f t="shared" si="133"/>
        <v>25.038978360000005</v>
      </c>
      <c r="V318" s="75"/>
      <c r="W318" s="165">
        <v>9.8490623500000005</v>
      </c>
      <c r="X318" s="165">
        <v>30.792108980000009</v>
      </c>
      <c r="Y318" s="84">
        <v>280.62934740999998</v>
      </c>
      <c r="Z318" s="13">
        <f t="shared" si="136"/>
        <v>596.65334034999989</v>
      </c>
      <c r="AA318" s="74"/>
      <c r="AD318" s="81"/>
      <c r="AE318" s="81"/>
    </row>
    <row r="319" spans="2:31" ht="21" customHeight="1" x14ac:dyDescent="0.2">
      <c r="B319" s="59" t="s">
        <v>9</v>
      </c>
      <c r="C319" s="32"/>
      <c r="D319" s="67"/>
      <c r="E319" s="67"/>
      <c r="F319" s="67"/>
      <c r="G319" s="67"/>
      <c r="H319" s="64">
        <f t="shared" si="131"/>
        <v>0</v>
      </c>
      <c r="I319" s="32">
        <v>269.93459905999998</v>
      </c>
      <c r="J319" s="162"/>
      <c r="K319" s="84">
        <v>13.559646500000001</v>
      </c>
      <c r="L319" s="163"/>
      <c r="M319" s="65">
        <f t="shared" si="134"/>
        <v>283.49424555999997</v>
      </c>
      <c r="N319" s="32">
        <f t="shared" si="135"/>
        <v>283.49424555999997</v>
      </c>
      <c r="O319" s="164">
        <v>2.2042698299999994</v>
      </c>
      <c r="P319" s="163"/>
      <c r="Q319" s="75">
        <f t="shared" si="132"/>
        <v>2.2042698299999994</v>
      </c>
      <c r="R319" s="15"/>
      <c r="S319" s="165">
        <v>39.677432339999996</v>
      </c>
      <c r="T319" s="84"/>
      <c r="U319" s="65">
        <f t="shared" si="133"/>
        <v>39.677432339999996</v>
      </c>
      <c r="V319" s="75"/>
      <c r="W319" s="165">
        <v>2.5533669200000002</v>
      </c>
      <c r="X319" s="165">
        <v>44.172317220000004</v>
      </c>
      <c r="Y319" s="84">
        <v>246.76879963999994</v>
      </c>
      <c r="Z319" s="13">
        <f t="shared" si="136"/>
        <v>618.87043150999989</v>
      </c>
      <c r="AA319" s="74"/>
      <c r="AD319" s="81"/>
      <c r="AE319" s="81"/>
    </row>
    <row r="320" spans="2:31" ht="21" customHeight="1" x14ac:dyDescent="0.2">
      <c r="B320" s="59" t="s">
        <v>10</v>
      </c>
      <c r="C320" s="32"/>
      <c r="D320" s="67"/>
      <c r="E320" s="67"/>
      <c r="F320" s="67"/>
      <c r="G320" s="67"/>
      <c r="H320" s="64">
        <f t="shared" si="131"/>
        <v>0</v>
      </c>
      <c r="I320" s="32">
        <v>234.97953619</v>
      </c>
      <c r="J320" s="162"/>
      <c r="K320" s="84">
        <v>19.954834739999999</v>
      </c>
      <c r="L320" s="163"/>
      <c r="M320" s="65">
        <f t="shared" si="134"/>
        <v>254.93437093</v>
      </c>
      <c r="N320" s="32">
        <f t="shared" si="135"/>
        <v>254.93437093</v>
      </c>
      <c r="O320" s="164">
        <v>6.725220160000001</v>
      </c>
      <c r="P320" s="163"/>
      <c r="Q320" s="75">
        <f t="shared" si="132"/>
        <v>6.725220160000001</v>
      </c>
      <c r="R320" s="15"/>
      <c r="S320" s="165">
        <v>49.749570030000001</v>
      </c>
      <c r="T320" s="84"/>
      <c r="U320" s="65">
        <f t="shared" si="133"/>
        <v>49.749570030000001</v>
      </c>
      <c r="V320" s="75"/>
      <c r="W320" s="165">
        <v>7.39356028</v>
      </c>
      <c r="X320" s="165">
        <v>31.782739759999991</v>
      </c>
      <c r="Y320" s="84">
        <v>142.59513495000002</v>
      </c>
      <c r="Z320" s="13">
        <f t="shared" si="136"/>
        <v>493.18059610999995</v>
      </c>
      <c r="AA320" s="74"/>
      <c r="AD320" s="81"/>
      <c r="AE320" s="81"/>
    </row>
    <row r="321" spans="1:32" ht="21" customHeight="1" x14ac:dyDescent="0.2">
      <c r="B321" s="59" t="s">
        <v>11</v>
      </c>
      <c r="C321" s="32"/>
      <c r="D321" s="67"/>
      <c r="E321" s="67"/>
      <c r="F321" s="67"/>
      <c r="G321" s="67"/>
      <c r="H321" s="64">
        <f t="shared" si="131"/>
        <v>0</v>
      </c>
      <c r="I321" s="32">
        <v>271.64932754</v>
      </c>
      <c r="J321" s="162"/>
      <c r="K321" s="84">
        <v>9.3774246099999985</v>
      </c>
      <c r="L321" s="163"/>
      <c r="M321" s="65">
        <f t="shared" si="134"/>
        <v>281.02675214999999</v>
      </c>
      <c r="N321" s="32">
        <f t="shared" si="135"/>
        <v>281.02675214999999</v>
      </c>
      <c r="O321" s="164">
        <v>3.7782945899999998</v>
      </c>
      <c r="P321" s="163"/>
      <c r="Q321" s="75">
        <f t="shared" si="132"/>
        <v>3.7782945899999998</v>
      </c>
      <c r="R321" s="15"/>
      <c r="S321" s="165">
        <v>246.90405294000001</v>
      </c>
      <c r="T321" s="84"/>
      <c r="U321" s="65">
        <f t="shared" si="133"/>
        <v>246.90405294000001</v>
      </c>
      <c r="V321" s="75"/>
      <c r="W321" s="165">
        <v>3.9137448999999997</v>
      </c>
      <c r="X321" s="165">
        <v>28.75193360999997</v>
      </c>
      <c r="Y321" s="84">
        <f>201.36305264+44</f>
        <v>245.36305264000001</v>
      </c>
      <c r="Z321" s="13">
        <f t="shared" si="136"/>
        <v>809.73783082999989</v>
      </c>
      <c r="AA321" s="74"/>
      <c r="AD321" s="81"/>
      <c r="AE321" s="81"/>
    </row>
    <row r="322" spans="1:32" ht="21" customHeight="1" x14ac:dyDescent="0.2">
      <c r="B322" s="59" t="s">
        <v>12</v>
      </c>
      <c r="C322" s="32"/>
      <c r="D322" s="67"/>
      <c r="E322" s="67"/>
      <c r="F322" s="67"/>
      <c r="G322" s="67"/>
      <c r="H322" s="64">
        <f t="shared" si="131"/>
        <v>0</v>
      </c>
      <c r="I322" s="32">
        <v>216.69249337000005</v>
      </c>
      <c r="J322" s="162"/>
      <c r="K322" s="84">
        <v>22.773105130000001</v>
      </c>
      <c r="L322" s="163">
        <v>7.3016663800000003</v>
      </c>
      <c r="M322" s="65">
        <f t="shared" si="134"/>
        <v>246.76726488000006</v>
      </c>
      <c r="N322" s="32">
        <f t="shared" si="135"/>
        <v>246.76726488000006</v>
      </c>
      <c r="O322" s="164">
        <v>3.9431271900000002</v>
      </c>
      <c r="P322" s="163"/>
      <c r="Q322" s="75">
        <f t="shared" si="132"/>
        <v>3.9431271900000002</v>
      </c>
      <c r="R322" s="15"/>
      <c r="S322" s="165">
        <v>34.582922850000003</v>
      </c>
      <c r="T322" s="84"/>
      <c r="U322" s="65">
        <f t="shared" si="133"/>
        <v>34.582922850000003</v>
      </c>
      <c r="V322" s="75"/>
      <c r="W322" s="165">
        <v>0.70652548999999998</v>
      </c>
      <c r="X322" s="165">
        <v>26.225795230000003</v>
      </c>
      <c r="Y322" s="84">
        <f>134.8132539</f>
        <v>134.81325390000001</v>
      </c>
      <c r="Z322" s="13">
        <f t="shared" si="136"/>
        <v>447.03888954000007</v>
      </c>
      <c r="AA322" s="74"/>
      <c r="AD322" s="81"/>
      <c r="AE322" s="81"/>
    </row>
    <row r="323" spans="1:32" ht="21" customHeight="1" x14ac:dyDescent="0.2">
      <c r="B323" s="59" t="s">
        <v>13</v>
      </c>
      <c r="C323" s="32"/>
      <c r="D323" s="67"/>
      <c r="E323" s="67"/>
      <c r="F323" s="67"/>
      <c r="G323" s="67"/>
      <c r="H323" s="64">
        <f t="shared" si="131"/>
        <v>0</v>
      </c>
      <c r="I323" s="32">
        <v>219.68221712999997</v>
      </c>
      <c r="J323" s="162"/>
      <c r="K323" s="84">
        <v>6.0820726499999989</v>
      </c>
      <c r="L323" s="163">
        <v>13.198292449999999</v>
      </c>
      <c r="M323" s="65">
        <f t="shared" si="134"/>
        <v>238.96258222999995</v>
      </c>
      <c r="N323" s="32">
        <f t="shared" si="135"/>
        <v>238.96258222999995</v>
      </c>
      <c r="O323" s="164">
        <v>2.3962078300000003</v>
      </c>
      <c r="P323" s="163"/>
      <c r="Q323" s="75">
        <f t="shared" si="132"/>
        <v>2.3962078300000003</v>
      </c>
      <c r="R323" s="15"/>
      <c r="S323" s="165">
        <v>184.32189256999999</v>
      </c>
      <c r="T323" s="84"/>
      <c r="U323" s="65">
        <f t="shared" si="133"/>
        <v>184.32189256999999</v>
      </c>
      <c r="V323" s="75"/>
      <c r="W323" s="165">
        <v>3.0931285900000001</v>
      </c>
      <c r="X323" s="165">
        <v>23.96239078000001</v>
      </c>
      <c r="Y323" s="84">
        <f>(133.29525895+9.285338)+0.00000406</f>
        <v>142.58060101000001</v>
      </c>
      <c r="Z323" s="13">
        <f t="shared" si="136"/>
        <v>595.31680300999994</v>
      </c>
      <c r="AA323" s="74"/>
      <c r="AD323" s="81"/>
      <c r="AE323" s="81"/>
    </row>
    <row r="324" spans="1:32" ht="21" customHeight="1" x14ac:dyDescent="0.2">
      <c r="B324" s="59" t="s">
        <v>14</v>
      </c>
      <c r="C324" s="32"/>
      <c r="D324" s="67"/>
      <c r="E324" s="67"/>
      <c r="F324" s="67"/>
      <c r="G324" s="67"/>
      <c r="H324" s="64">
        <f t="shared" si="131"/>
        <v>0</v>
      </c>
      <c r="I324" s="32">
        <v>217.3951568</v>
      </c>
      <c r="J324" s="162"/>
      <c r="K324" s="84">
        <v>9.7977415300000015</v>
      </c>
      <c r="L324" s="163">
        <v>0.14526578000000001</v>
      </c>
      <c r="M324" s="65">
        <f t="shared" si="134"/>
        <v>227.33816410999998</v>
      </c>
      <c r="N324" s="32">
        <f t="shared" si="135"/>
        <v>227.33816410999998</v>
      </c>
      <c r="O324" s="164">
        <v>10.097902359999999</v>
      </c>
      <c r="P324" s="163"/>
      <c r="Q324" s="75">
        <f t="shared" si="132"/>
        <v>10.097902359999999</v>
      </c>
      <c r="R324" s="15"/>
      <c r="S324" s="165">
        <v>42.443954799999993</v>
      </c>
      <c r="T324" s="84"/>
      <c r="U324" s="65">
        <f t="shared" si="133"/>
        <v>42.443954799999993</v>
      </c>
      <c r="V324" s="75"/>
      <c r="W324" s="165">
        <v>12.243230970000001</v>
      </c>
      <c r="X324" s="165">
        <v>25.950327869999988</v>
      </c>
      <c r="Y324" s="84">
        <v>195.7</v>
      </c>
      <c r="Z324" s="13">
        <f t="shared" si="136"/>
        <v>513.77358011000001</v>
      </c>
      <c r="AA324" s="74"/>
      <c r="AD324" s="81"/>
      <c r="AE324" s="81"/>
      <c r="AF324" s="81"/>
    </row>
    <row r="325" spans="1:32" ht="21" customHeight="1" x14ac:dyDescent="0.2">
      <c r="B325" s="59" t="s">
        <v>15</v>
      </c>
      <c r="C325" s="32"/>
      <c r="D325" s="67"/>
      <c r="E325" s="67"/>
      <c r="F325" s="67"/>
      <c r="G325" s="67"/>
      <c r="H325" s="64">
        <f t="shared" si="131"/>
        <v>0</v>
      </c>
      <c r="I325" s="32">
        <v>205.98021825999999</v>
      </c>
      <c r="J325" s="162"/>
      <c r="K325" s="84">
        <v>19.526414340000002</v>
      </c>
      <c r="L325" s="163"/>
      <c r="M325" s="65">
        <f t="shared" si="134"/>
        <v>225.50663259999999</v>
      </c>
      <c r="N325" s="32">
        <f t="shared" si="135"/>
        <v>225.50663259999999</v>
      </c>
      <c r="O325" s="164">
        <v>4.1179602400000004</v>
      </c>
      <c r="P325" s="163"/>
      <c r="Q325" s="75">
        <f t="shared" si="132"/>
        <v>4.1179602400000004</v>
      </c>
      <c r="R325" s="15"/>
      <c r="S325" s="165">
        <v>70.358035610000002</v>
      </c>
      <c r="T325" s="84"/>
      <c r="U325" s="65">
        <f t="shared" si="133"/>
        <v>70.358035610000002</v>
      </c>
      <c r="V325" s="75"/>
      <c r="W325" s="165">
        <v>12.475896030000001</v>
      </c>
      <c r="X325" s="165">
        <v>31.821744239999994</v>
      </c>
      <c r="Y325" s="84">
        <v>137.80000000000001</v>
      </c>
      <c r="Z325" s="13">
        <f t="shared" si="136"/>
        <v>482.08026871999999</v>
      </c>
      <c r="AA325" s="74"/>
      <c r="AD325" s="81"/>
      <c r="AE325" s="81"/>
      <c r="AF325" s="81"/>
    </row>
    <row r="326" spans="1:32" ht="21" customHeight="1" x14ac:dyDescent="0.2">
      <c r="B326" s="59" t="s">
        <v>16</v>
      </c>
      <c r="C326" s="32"/>
      <c r="D326" s="67"/>
      <c r="E326" s="67"/>
      <c r="F326" s="67"/>
      <c r="G326" s="67"/>
      <c r="H326" s="64">
        <f t="shared" si="131"/>
        <v>0</v>
      </c>
      <c r="I326" s="32">
        <v>179.74190784000004</v>
      </c>
      <c r="J326" s="162"/>
      <c r="K326" s="84">
        <v>10.333891939999999</v>
      </c>
      <c r="L326" s="163"/>
      <c r="M326" s="65">
        <f t="shared" si="134"/>
        <v>190.07579978000004</v>
      </c>
      <c r="N326" s="32">
        <f t="shared" si="135"/>
        <v>190.07579978000004</v>
      </c>
      <c r="O326" s="164">
        <v>4.0400812699999999</v>
      </c>
      <c r="P326" s="163"/>
      <c r="Q326" s="75">
        <f t="shared" si="132"/>
        <v>4.0400812699999999</v>
      </c>
      <c r="R326" s="15"/>
      <c r="S326" s="165">
        <v>61.063963819999998</v>
      </c>
      <c r="T326" s="84"/>
      <c r="U326" s="65">
        <f t="shared" si="133"/>
        <v>61.063963819999998</v>
      </c>
      <c r="V326" s="75"/>
      <c r="W326" s="165">
        <v>1.23330385</v>
      </c>
      <c r="X326" s="165">
        <v>21.457475839999997</v>
      </c>
      <c r="Y326" s="84">
        <v>144.80000000000001</v>
      </c>
      <c r="Z326" s="13">
        <f t="shared" si="136"/>
        <v>422.67062456000002</v>
      </c>
      <c r="AA326" s="74"/>
      <c r="AD326" s="81"/>
      <c r="AE326" s="81"/>
      <c r="AF326" s="81"/>
    </row>
    <row r="327" spans="1:32" ht="21" customHeight="1" x14ac:dyDescent="0.2">
      <c r="B327" s="59" t="s">
        <v>17</v>
      </c>
      <c r="C327" s="32"/>
      <c r="D327" s="67"/>
      <c r="E327" s="67"/>
      <c r="F327" s="67"/>
      <c r="G327" s="67"/>
      <c r="H327" s="64">
        <f t="shared" si="131"/>
        <v>0</v>
      </c>
      <c r="I327" s="32">
        <v>231.22201914000004</v>
      </c>
      <c r="J327" s="162"/>
      <c r="K327" s="84">
        <v>5.5131389799999999</v>
      </c>
      <c r="L327" s="163">
        <v>7.4065219999999998</v>
      </c>
      <c r="M327" s="65">
        <f t="shared" si="134"/>
        <v>244.14168012000005</v>
      </c>
      <c r="N327" s="32">
        <f t="shared" si="135"/>
        <v>244.14168012000005</v>
      </c>
      <c r="O327" s="164">
        <v>9.3712769631999997</v>
      </c>
      <c r="P327" s="163"/>
      <c r="Q327" s="75">
        <f t="shared" si="132"/>
        <v>9.3712769631999997</v>
      </c>
      <c r="R327" s="15"/>
      <c r="S327" s="165">
        <v>125.60603811999999</v>
      </c>
      <c r="T327" s="84"/>
      <c r="U327" s="65">
        <f t="shared" si="133"/>
        <v>125.60603811999999</v>
      </c>
      <c r="V327" s="75"/>
      <c r="W327" s="165">
        <v>24.334643660000001</v>
      </c>
      <c r="X327" s="165">
        <v>25.439715899999971</v>
      </c>
      <c r="Y327" s="84">
        <v>193.8</v>
      </c>
      <c r="Z327" s="13">
        <f t="shared" si="136"/>
        <v>622.69335476320009</v>
      </c>
      <c r="AA327" s="74"/>
      <c r="AD327" s="81"/>
      <c r="AE327" s="81"/>
      <c r="AF327" s="81"/>
    </row>
    <row r="328" spans="1:32" ht="5.25" customHeight="1" x14ac:dyDescent="0.2">
      <c r="B328" s="147"/>
      <c r="C328" s="132"/>
      <c r="D328" s="131"/>
      <c r="E328" s="131"/>
      <c r="F328" s="131"/>
      <c r="G328" s="131"/>
      <c r="H328" s="133"/>
      <c r="I328" s="132"/>
      <c r="J328" s="134"/>
      <c r="K328" s="131"/>
      <c r="L328" s="149"/>
      <c r="M328" s="135"/>
      <c r="N328" s="132"/>
      <c r="O328" s="150"/>
      <c r="P328" s="149"/>
      <c r="Q328" s="139"/>
      <c r="R328" s="136"/>
      <c r="S328" s="151"/>
      <c r="T328" s="131"/>
      <c r="U328" s="135"/>
      <c r="V328" s="139"/>
      <c r="W328" s="151"/>
      <c r="X328" s="151"/>
      <c r="Y328" s="131"/>
      <c r="Z328" s="130"/>
      <c r="AA328" s="155"/>
      <c r="AD328" s="81"/>
      <c r="AE328" s="81"/>
    </row>
    <row r="329" spans="1:32" ht="7.5" customHeight="1" x14ac:dyDescent="0.2">
      <c r="B329" s="153"/>
      <c r="C329" s="32"/>
      <c r="D329" s="67"/>
      <c r="E329" s="67"/>
      <c r="F329" s="67"/>
      <c r="G329" s="32"/>
      <c r="H329" s="32"/>
      <c r="I329" s="32"/>
      <c r="J329" s="68"/>
      <c r="K329" s="32"/>
      <c r="L329" s="145"/>
      <c r="M329" s="75"/>
      <c r="N329" s="32"/>
      <c r="O329" s="145"/>
      <c r="P329" s="145"/>
      <c r="Q329" s="75"/>
      <c r="R329" s="75"/>
      <c r="S329" s="145"/>
      <c r="T329" s="67"/>
      <c r="U329" s="75"/>
      <c r="V329" s="75"/>
      <c r="W329" s="145"/>
      <c r="X329" s="145"/>
      <c r="Y329" s="67"/>
      <c r="Z329" s="32"/>
      <c r="AA329" s="154"/>
      <c r="AD329" s="81"/>
      <c r="AE329" s="81"/>
    </row>
    <row r="330" spans="1:32" s="6" customFormat="1" ht="21" customHeight="1" x14ac:dyDescent="0.2">
      <c r="A330" s="5"/>
      <c r="B330" s="6" t="s">
        <v>76</v>
      </c>
      <c r="C330" s="103" t="s">
        <v>79</v>
      </c>
      <c r="D330" s="69"/>
      <c r="E330" s="69"/>
      <c r="F330" s="69"/>
      <c r="G330" s="14"/>
      <c r="H330" s="69"/>
      <c r="I330" s="69"/>
      <c r="J330" s="26"/>
      <c r="K330" s="69"/>
      <c r="L330" s="69"/>
      <c r="M330" s="69"/>
      <c r="N330" s="26"/>
      <c r="O330" s="69"/>
      <c r="P330" s="69"/>
      <c r="Q330" s="69"/>
      <c r="R330" s="69"/>
      <c r="S330" s="69"/>
      <c r="T330" s="69"/>
      <c r="U330" s="26"/>
      <c r="V330" s="26"/>
      <c r="W330" s="26"/>
      <c r="X330" s="26"/>
      <c r="Y330" s="26"/>
      <c r="AA330" s="5"/>
      <c r="AB330" s="26"/>
      <c r="AD330" s="57"/>
      <c r="AE330" s="57"/>
      <c r="AF330" s="57"/>
    </row>
    <row r="331" spans="1:32" s="6" customFormat="1" ht="15.95" customHeight="1" x14ac:dyDescent="0.2">
      <c r="A331" s="5"/>
      <c r="B331" s="6" t="s">
        <v>77</v>
      </c>
      <c r="C331" s="20" t="s">
        <v>79</v>
      </c>
      <c r="D331" s="7"/>
      <c r="E331" s="7"/>
      <c r="F331" s="7"/>
      <c r="G331" s="7"/>
      <c r="H331" s="7"/>
      <c r="I331" s="7"/>
      <c r="J331" s="5"/>
      <c r="K331" s="7"/>
      <c r="L331" s="7"/>
      <c r="M331" s="7"/>
      <c r="N331" s="5"/>
      <c r="O331" s="7"/>
      <c r="P331" s="7"/>
      <c r="Q331" s="7"/>
      <c r="R331" s="7"/>
      <c r="S331" s="7"/>
      <c r="T331" s="7"/>
      <c r="U331" s="56"/>
      <c r="V331" s="56"/>
      <c r="W331" s="56"/>
      <c r="X331" s="56"/>
      <c r="Y331" s="31"/>
      <c r="Z331" s="5"/>
      <c r="AA331" s="5"/>
      <c r="AB331" s="5"/>
    </row>
    <row r="332" spans="1:32" s="6" customFormat="1" ht="15.95" customHeight="1" x14ac:dyDescent="0.2">
      <c r="A332" s="5"/>
      <c r="B332" s="20" t="s">
        <v>78</v>
      </c>
      <c r="C332" s="24" t="s">
        <v>89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32" s="6" customFormat="1" ht="15.75" hidden="1" customHeight="1" x14ac:dyDescent="0.2">
      <c r="A333" s="5"/>
      <c r="C333" s="24" t="s">
        <v>61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32" s="6" customFormat="1" ht="14.25" hidden="1" customHeight="1" x14ac:dyDescent="0.2">
      <c r="A334" s="5"/>
      <c r="C334" s="24" t="s">
        <v>68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32" s="6" customFormat="1" ht="14.25" hidden="1" customHeight="1" x14ac:dyDescent="0.2">
      <c r="A335" s="5"/>
      <c r="C335" s="24" t="s">
        <v>74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32" ht="14.25" hidden="1" customHeight="1" x14ac:dyDescent="0.2">
      <c r="C336" s="25" t="s">
        <v>69</v>
      </c>
    </row>
    <row r="337" spans="3:26" ht="14.25" hidden="1" x14ac:dyDescent="0.2">
      <c r="C337" s="25" t="s">
        <v>65</v>
      </c>
    </row>
    <row r="338" spans="3:26" ht="14.25" hidden="1" x14ac:dyDescent="0.2">
      <c r="C338" s="25" t="s">
        <v>70</v>
      </c>
    </row>
    <row r="339" spans="3:26" ht="14.25" hidden="1" x14ac:dyDescent="0.2">
      <c r="C339" s="25" t="s">
        <v>64</v>
      </c>
      <c r="Z339" s="82" t="s">
        <v>71</v>
      </c>
    </row>
    <row r="340" spans="3:26" ht="14.25" x14ac:dyDescent="0.2">
      <c r="C340" s="24" t="s">
        <v>88</v>
      </c>
      <c r="Z340" s="79"/>
    </row>
    <row r="342" spans="3:26" x14ac:dyDescent="0.2">
      <c r="Z342" s="26"/>
    </row>
    <row r="366" spans="2:2" x14ac:dyDescent="0.2">
      <c r="B366" s="3" t="s">
        <v>80</v>
      </c>
    </row>
  </sheetData>
  <mergeCells count="15">
    <mergeCell ref="C5:N5"/>
    <mergeCell ref="O5:Y5"/>
    <mergeCell ref="H7:H8"/>
    <mergeCell ref="C6:H6"/>
    <mergeCell ref="I6:M6"/>
    <mergeCell ref="Y6:Y8"/>
    <mergeCell ref="Q7:Q8"/>
    <mergeCell ref="U7:U8"/>
    <mergeCell ref="R6:U6"/>
    <mergeCell ref="O6:Q6"/>
    <mergeCell ref="F7:F8"/>
    <mergeCell ref="C7:C8"/>
    <mergeCell ref="K7:K8"/>
    <mergeCell ref="M7:M8"/>
    <mergeCell ref="L7:L8"/>
  </mergeCells>
  <phoneticPr fontId="0" type="noConversion"/>
  <printOptions horizontalCentered="1" verticalCentered="1"/>
  <pageMargins left="0.74803149606299213" right="0.74803149606299213" top="0.23622047244094491" bottom="0.39370078740157483" header="0.39370078740157483" footer="0.31496062992125984"/>
  <pageSetup scale="4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91" transitionEvaluation="1" codeName="Hoja2"/>
  <dimension ref="A1:AD115"/>
  <sheetViews>
    <sheetView showGridLines="0" showZeros="0" topLeftCell="A91" zoomScale="75" zoomScaleNormal="75" workbookViewId="0">
      <selection activeCell="AA95" sqref="AA95"/>
    </sheetView>
  </sheetViews>
  <sheetFormatPr baseColWidth="10" defaultColWidth="5.77734375" defaultRowHeight="12.75" x14ac:dyDescent="0.2"/>
  <cols>
    <col min="1" max="1" width="2.77734375" style="3" customWidth="1"/>
    <col min="2" max="2" width="13.5546875" style="3" customWidth="1"/>
    <col min="3" max="3" width="9.21875" style="3" customWidth="1"/>
    <col min="4" max="4" width="7.6640625" style="3" customWidth="1"/>
    <col min="5" max="5" width="11.88671875" style="3" customWidth="1"/>
    <col min="6" max="6" width="11.6640625" style="3" customWidth="1"/>
    <col min="7" max="7" width="7.6640625" style="3" customWidth="1"/>
    <col min="8" max="8" width="11.109375" style="3" customWidth="1"/>
    <col min="9" max="9" width="1.5546875" style="3" customWidth="1"/>
    <col min="10" max="10" width="7.77734375" style="3" customWidth="1"/>
    <col min="11" max="11" width="7.44140625" style="3" customWidth="1"/>
    <col min="12" max="12" width="7.77734375" style="3" customWidth="1"/>
    <col min="13" max="13" width="7.5546875" style="3" customWidth="1"/>
    <col min="14" max="14" width="8.44140625" style="3" customWidth="1"/>
    <col min="15" max="15" width="7.88671875" style="3" customWidth="1"/>
    <col min="16" max="16" width="7.109375" style="3" customWidth="1"/>
    <col min="17" max="17" width="9.21875" style="3" customWidth="1"/>
    <col min="18" max="19" width="10.21875" style="3" customWidth="1"/>
    <col min="20" max="20" width="8.44140625" style="3" customWidth="1"/>
    <col min="21" max="21" width="6.5546875" style="3" customWidth="1"/>
    <col min="22" max="22" width="8.109375" style="3" customWidth="1"/>
    <col min="23" max="23" width="8.88671875" style="3" customWidth="1"/>
    <col min="24" max="24" width="10.77734375" style="3" customWidth="1"/>
    <col min="25" max="25" width="1" style="3" customWidth="1"/>
    <col min="26" max="26" width="2.77734375" style="3" customWidth="1"/>
    <col min="27" max="27" width="9.109375" style="109" customWidth="1"/>
    <col min="28" max="16384" width="5.77734375" style="3"/>
  </cols>
  <sheetData>
    <row r="1" spans="1:27" s="86" customFormat="1" ht="27" customHeight="1" x14ac:dyDescent="0.3">
      <c r="A1" s="85"/>
      <c r="B1" s="93"/>
      <c r="C1" s="85"/>
      <c r="D1" s="85"/>
      <c r="E1" s="85"/>
      <c r="F1" s="85"/>
      <c r="G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105"/>
    </row>
    <row r="2" spans="1:27" s="96" customFormat="1" ht="27.75" x14ac:dyDescent="0.4">
      <c r="A2" s="94"/>
      <c r="B2" s="95" t="s">
        <v>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4"/>
      <c r="AA2" s="106"/>
    </row>
    <row r="3" spans="1:27" s="92" customFormat="1" ht="23.25" x14ac:dyDescent="0.35">
      <c r="A3" s="87"/>
      <c r="B3" s="88"/>
      <c r="C3" s="89"/>
      <c r="D3" s="89"/>
      <c r="E3" s="89"/>
      <c r="F3" s="89"/>
      <c r="G3" s="89"/>
      <c r="H3" s="90"/>
      <c r="I3" s="90"/>
      <c r="J3" s="90"/>
      <c r="K3" s="91"/>
      <c r="L3" s="91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7"/>
      <c r="Z3" s="87"/>
      <c r="AA3" s="107"/>
    </row>
    <row r="4" spans="1:27" s="92" customFormat="1" ht="11.25" customHeight="1" x14ac:dyDescent="0.35">
      <c r="A4" s="87"/>
      <c r="B4" s="88"/>
      <c r="C4" s="89"/>
      <c r="D4" s="89"/>
      <c r="E4" s="89"/>
      <c r="F4" s="89"/>
      <c r="G4" s="89"/>
      <c r="H4" s="90"/>
      <c r="I4" s="90"/>
      <c r="J4" s="90"/>
      <c r="K4" s="91"/>
      <c r="L4" s="91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7"/>
      <c r="Z4" s="87"/>
      <c r="AA4" s="107"/>
    </row>
    <row r="5" spans="1:27" s="99" customFormat="1" ht="18.75" customHeight="1" x14ac:dyDescent="0.2">
      <c r="A5" s="97"/>
      <c r="B5" s="98"/>
      <c r="C5" s="97"/>
      <c r="D5" s="97"/>
      <c r="E5" s="97"/>
      <c r="F5" s="97"/>
      <c r="G5" s="97"/>
      <c r="H5" s="97"/>
      <c r="I5" s="97"/>
      <c r="K5" s="97"/>
      <c r="L5" s="97"/>
      <c r="M5" s="97"/>
      <c r="N5" s="97"/>
      <c r="O5" s="97"/>
      <c r="P5" s="97"/>
      <c r="Q5" s="97"/>
      <c r="R5" s="97"/>
      <c r="S5" s="97"/>
      <c r="U5" s="97"/>
      <c r="V5" s="100"/>
      <c r="W5" s="97"/>
      <c r="X5" s="101" t="s">
        <v>72</v>
      </c>
      <c r="Y5" s="102"/>
      <c r="Z5" s="97"/>
      <c r="AA5" s="108"/>
    </row>
    <row r="6" spans="1:27" ht="18.95" customHeight="1" x14ac:dyDescent="0.2">
      <c r="A6" s="2"/>
      <c r="B6" s="36"/>
      <c r="C6" s="181" t="s">
        <v>21</v>
      </c>
      <c r="D6" s="182"/>
      <c r="E6" s="182"/>
      <c r="F6" s="182"/>
      <c r="G6" s="182"/>
      <c r="H6" s="182"/>
      <c r="I6" s="182"/>
      <c r="J6" s="182"/>
      <c r="K6" s="182"/>
      <c r="L6" s="182"/>
      <c r="M6" s="183"/>
      <c r="N6" s="181" t="s">
        <v>23</v>
      </c>
      <c r="O6" s="182"/>
      <c r="P6" s="182"/>
      <c r="Q6" s="182"/>
      <c r="R6" s="182"/>
      <c r="S6" s="182"/>
      <c r="T6" s="182"/>
      <c r="U6" s="182"/>
      <c r="V6" s="182"/>
      <c r="W6" s="183"/>
      <c r="X6" s="37" t="s">
        <v>1</v>
      </c>
      <c r="Y6" s="71"/>
      <c r="Z6" s="2"/>
    </row>
    <row r="7" spans="1:27" ht="18.95" customHeight="1" x14ac:dyDescent="0.2">
      <c r="A7" s="2"/>
      <c r="B7" s="38" t="s">
        <v>57</v>
      </c>
      <c r="C7" s="181" t="s">
        <v>2</v>
      </c>
      <c r="D7" s="186"/>
      <c r="E7" s="186"/>
      <c r="F7" s="186"/>
      <c r="G7" s="187"/>
      <c r="H7" s="181" t="s">
        <v>22</v>
      </c>
      <c r="I7" s="186"/>
      <c r="J7" s="186"/>
      <c r="K7" s="186"/>
      <c r="L7" s="187"/>
      <c r="M7" s="40"/>
      <c r="N7" s="201" t="s">
        <v>3</v>
      </c>
      <c r="O7" s="202"/>
      <c r="P7" s="203"/>
      <c r="Q7" s="181" t="s">
        <v>75</v>
      </c>
      <c r="R7" s="186"/>
      <c r="S7" s="186"/>
      <c r="T7" s="187"/>
      <c r="U7" s="41"/>
      <c r="V7" s="39"/>
      <c r="W7" s="198" t="s">
        <v>60</v>
      </c>
      <c r="X7" s="42" t="s">
        <v>4</v>
      </c>
      <c r="Y7" s="72"/>
      <c r="Z7" s="2"/>
    </row>
    <row r="8" spans="1:27" ht="18.95" customHeight="1" x14ac:dyDescent="0.2">
      <c r="A8" s="2"/>
      <c r="B8" s="43" t="s">
        <v>58</v>
      </c>
      <c r="C8" s="204" t="s">
        <v>38</v>
      </c>
      <c r="D8" s="45" t="s">
        <v>39</v>
      </c>
      <c r="E8" s="45" t="s">
        <v>66</v>
      </c>
      <c r="F8" s="45" t="s">
        <v>41</v>
      </c>
      <c r="G8" s="184" t="s">
        <v>43</v>
      </c>
      <c r="H8" s="44" t="s">
        <v>44</v>
      </c>
      <c r="I8" s="46"/>
      <c r="J8" s="195" t="s">
        <v>38</v>
      </c>
      <c r="K8" s="195" t="s">
        <v>59</v>
      </c>
      <c r="L8" s="184" t="s">
        <v>43</v>
      </c>
      <c r="M8" s="47" t="s">
        <v>4</v>
      </c>
      <c r="N8" s="44" t="s">
        <v>46</v>
      </c>
      <c r="O8" s="45" t="s">
        <v>48</v>
      </c>
      <c r="P8" s="184" t="s">
        <v>43</v>
      </c>
      <c r="Q8" s="44" t="s">
        <v>50</v>
      </c>
      <c r="R8" s="45" t="s">
        <v>52</v>
      </c>
      <c r="S8" s="45" t="s">
        <v>73</v>
      </c>
      <c r="T8" s="184" t="s">
        <v>43</v>
      </c>
      <c r="U8" s="43" t="s">
        <v>53</v>
      </c>
      <c r="V8" s="48" t="s">
        <v>55</v>
      </c>
      <c r="W8" s="199"/>
      <c r="X8" s="49" t="s">
        <v>5</v>
      </c>
      <c r="Y8" s="72"/>
      <c r="Z8" s="2"/>
    </row>
    <row r="9" spans="1:27" ht="18.95" customHeight="1" x14ac:dyDescent="0.2">
      <c r="A9" s="2"/>
      <c r="B9" s="50"/>
      <c r="C9" s="205"/>
      <c r="D9" s="51" t="s">
        <v>40</v>
      </c>
      <c r="E9" s="70" t="s">
        <v>45</v>
      </c>
      <c r="F9" s="51" t="s">
        <v>42</v>
      </c>
      <c r="G9" s="185"/>
      <c r="H9" s="52" t="s">
        <v>45</v>
      </c>
      <c r="I9" s="53"/>
      <c r="J9" s="196"/>
      <c r="K9" s="197"/>
      <c r="L9" s="185"/>
      <c r="M9" s="54"/>
      <c r="N9" s="52" t="s">
        <v>47</v>
      </c>
      <c r="O9" s="51" t="s">
        <v>49</v>
      </c>
      <c r="P9" s="185"/>
      <c r="Q9" s="52" t="s">
        <v>51</v>
      </c>
      <c r="R9" s="51" t="s">
        <v>51</v>
      </c>
      <c r="S9" s="51"/>
      <c r="T9" s="185"/>
      <c r="U9" s="50" t="s">
        <v>54</v>
      </c>
      <c r="V9" s="53" t="s">
        <v>56</v>
      </c>
      <c r="W9" s="200"/>
      <c r="X9" s="55"/>
      <c r="Y9" s="73"/>
      <c r="Z9" s="2"/>
    </row>
    <row r="10" spans="1:27" ht="18.95" customHeight="1" x14ac:dyDescent="0.2">
      <c r="A10" s="2"/>
      <c r="B10" s="110">
        <v>1980</v>
      </c>
      <c r="C10" s="111"/>
      <c r="D10" s="48"/>
      <c r="E10" s="112"/>
      <c r="F10" s="48"/>
      <c r="G10" s="113"/>
      <c r="H10" s="43"/>
      <c r="I10" s="114"/>
      <c r="J10" s="115"/>
      <c r="K10" s="48"/>
      <c r="L10" s="113"/>
      <c r="M10" s="116"/>
      <c r="N10" s="43"/>
      <c r="O10" s="48"/>
      <c r="P10" s="113"/>
      <c r="Q10" s="43"/>
      <c r="R10" s="48"/>
      <c r="S10" s="48"/>
      <c r="T10" s="113"/>
      <c r="U10" s="38"/>
      <c r="V10" s="114"/>
      <c r="W10" s="104"/>
      <c r="X10" s="13">
        <v>1380.6859999999999</v>
      </c>
      <c r="Y10" s="72"/>
      <c r="Z10" s="2"/>
    </row>
    <row r="11" spans="1:27" ht="18.95" customHeight="1" x14ac:dyDescent="0.2">
      <c r="A11" s="2"/>
      <c r="B11" s="110">
        <v>1981</v>
      </c>
      <c r="C11" s="111"/>
      <c r="D11" s="48"/>
      <c r="E11" s="112"/>
      <c r="F11" s="48"/>
      <c r="G11" s="113"/>
      <c r="H11" s="43"/>
      <c r="I11" s="114"/>
      <c r="J11" s="115"/>
      <c r="K11" s="48"/>
      <c r="L11" s="113"/>
      <c r="M11" s="116"/>
      <c r="N11" s="43"/>
      <c r="O11" s="48"/>
      <c r="P11" s="113"/>
      <c r="Q11" s="43"/>
      <c r="R11" s="48"/>
      <c r="S11" s="48"/>
      <c r="T11" s="113"/>
      <c r="U11" s="38"/>
      <c r="V11" s="114"/>
      <c r="W11" s="104"/>
      <c r="X11" s="13">
        <v>1349.1</v>
      </c>
      <c r="Y11" s="72"/>
      <c r="Z11" s="2"/>
    </row>
    <row r="12" spans="1:27" ht="18.95" customHeight="1" x14ac:dyDescent="0.2">
      <c r="A12" s="2"/>
      <c r="B12" s="110">
        <v>1982</v>
      </c>
      <c r="C12" s="111"/>
      <c r="D12" s="48"/>
      <c r="E12" s="112"/>
      <c r="F12" s="48"/>
      <c r="G12" s="113"/>
      <c r="H12" s="43"/>
      <c r="I12" s="114"/>
      <c r="J12" s="115"/>
      <c r="K12" s="48"/>
      <c r="L12" s="113"/>
      <c r="M12" s="116"/>
      <c r="N12" s="43"/>
      <c r="O12" s="48"/>
      <c r="P12" s="113"/>
      <c r="Q12" s="43"/>
      <c r="R12" s="48"/>
      <c r="S12" s="48"/>
      <c r="T12" s="113"/>
      <c r="U12" s="38"/>
      <c r="V12" s="114"/>
      <c r="W12" s="104"/>
      <c r="X12" s="13">
        <v>591.64099999999996</v>
      </c>
      <c r="Y12" s="72"/>
      <c r="Z12" s="2"/>
    </row>
    <row r="13" spans="1:27" ht="18.95" customHeight="1" x14ac:dyDescent="0.2">
      <c r="A13" s="2"/>
      <c r="B13" s="110">
        <v>1983</v>
      </c>
      <c r="C13" s="117"/>
      <c r="D13" s="48"/>
      <c r="E13" s="118"/>
      <c r="F13" s="118"/>
      <c r="G13" s="119">
        <v>64.3</v>
      </c>
      <c r="H13" s="43"/>
      <c r="I13" s="114"/>
      <c r="J13" s="115"/>
      <c r="K13" s="48"/>
      <c r="L13" s="64">
        <v>666</v>
      </c>
      <c r="M13" s="64">
        <f t="shared" ref="M13:M19" si="0">+L13+G13</f>
        <v>730.3</v>
      </c>
      <c r="N13" s="43"/>
      <c r="O13" s="48"/>
      <c r="P13" s="64">
        <v>32.700000000000003</v>
      </c>
      <c r="Q13" s="43"/>
      <c r="R13" s="48"/>
      <c r="S13" s="48"/>
      <c r="T13" s="64">
        <v>52.7</v>
      </c>
      <c r="U13" s="38"/>
      <c r="V13" s="114"/>
      <c r="W13" s="120">
        <v>24.8</v>
      </c>
      <c r="X13" s="13">
        <f t="shared" ref="X13:X19" si="1">+M13+P13+T13+W13</f>
        <v>840.5</v>
      </c>
      <c r="Y13" s="72"/>
      <c r="Z13" s="2"/>
    </row>
    <row r="14" spans="1:27" ht="18.95" customHeight="1" x14ac:dyDescent="0.2">
      <c r="A14" s="2"/>
      <c r="B14" s="110">
        <v>1984</v>
      </c>
      <c r="C14" s="34"/>
      <c r="D14" s="48"/>
      <c r="E14" s="112"/>
      <c r="F14" s="48"/>
      <c r="G14" s="119">
        <v>42.3</v>
      </c>
      <c r="H14" s="43"/>
      <c r="I14" s="114"/>
      <c r="J14" s="115"/>
      <c r="K14" s="48"/>
      <c r="L14" s="64">
        <v>679.5</v>
      </c>
      <c r="M14" s="64">
        <f t="shared" si="0"/>
        <v>721.8</v>
      </c>
      <c r="N14" s="43"/>
      <c r="O14" s="48"/>
      <c r="P14" s="64">
        <v>33.9</v>
      </c>
      <c r="Q14" s="43"/>
      <c r="R14" s="48"/>
      <c r="S14" s="48"/>
      <c r="T14" s="64">
        <v>85.4</v>
      </c>
      <c r="U14" s="38"/>
      <c r="V14" s="114"/>
      <c r="W14" s="120">
        <v>11.8</v>
      </c>
      <c r="X14" s="13">
        <f t="shared" si="1"/>
        <v>852.89999999999986</v>
      </c>
      <c r="Y14" s="72"/>
      <c r="Z14" s="2"/>
    </row>
    <row r="15" spans="1:27" ht="18.95" customHeight="1" x14ac:dyDescent="0.2">
      <c r="A15" s="2"/>
      <c r="B15" s="110">
        <v>1985</v>
      </c>
      <c r="C15" s="111"/>
      <c r="D15" s="48"/>
      <c r="E15" s="112"/>
      <c r="F15" s="48"/>
      <c r="G15" s="119">
        <v>69.400000000000006</v>
      </c>
      <c r="H15" s="43"/>
      <c r="I15" s="114"/>
      <c r="J15" s="115"/>
      <c r="K15" s="48"/>
      <c r="L15" s="64">
        <v>553.20000000000005</v>
      </c>
      <c r="M15" s="64">
        <f t="shared" si="0"/>
        <v>622.6</v>
      </c>
      <c r="N15" s="43"/>
      <c r="O15" s="48"/>
      <c r="P15" s="64">
        <v>61</v>
      </c>
      <c r="Q15" s="43"/>
      <c r="R15" s="48"/>
      <c r="S15" s="48"/>
      <c r="T15" s="64">
        <v>166.8</v>
      </c>
      <c r="U15" s="38"/>
      <c r="V15" s="114"/>
      <c r="W15" s="120">
        <v>0.3</v>
      </c>
      <c r="X15" s="13">
        <f t="shared" si="1"/>
        <v>850.7</v>
      </c>
      <c r="Y15" s="72"/>
      <c r="Z15" s="2"/>
    </row>
    <row r="16" spans="1:27" ht="18.95" customHeight="1" x14ac:dyDescent="0.2">
      <c r="A16" s="2"/>
      <c r="B16" s="110">
        <v>1986</v>
      </c>
      <c r="C16" s="111"/>
      <c r="D16" s="48"/>
      <c r="E16" s="112"/>
      <c r="F16" s="48"/>
      <c r="G16" s="119">
        <v>126.8</v>
      </c>
      <c r="H16" s="43"/>
      <c r="I16" s="114"/>
      <c r="J16" s="115"/>
      <c r="K16" s="48"/>
      <c r="L16" s="64">
        <v>437.1</v>
      </c>
      <c r="M16" s="64">
        <f t="shared" si="0"/>
        <v>563.9</v>
      </c>
      <c r="N16" s="43"/>
      <c r="O16" s="48"/>
      <c r="P16" s="64">
        <v>48.8</v>
      </c>
      <c r="Q16" s="43"/>
      <c r="R16" s="48"/>
      <c r="S16" s="48"/>
      <c r="T16" s="64">
        <v>357.4</v>
      </c>
      <c r="U16" s="38"/>
      <c r="V16" s="114"/>
      <c r="W16" s="120">
        <v>189.4</v>
      </c>
      <c r="X16" s="13">
        <f t="shared" si="1"/>
        <v>1159.5</v>
      </c>
      <c r="Y16" s="72"/>
      <c r="Z16" s="2"/>
    </row>
    <row r="17" spans="1:27" ht="18.95" customHeight="1" x14ac:dyDescent="0.2">
      <c r="A17" s="2"/>
      <c r="B17" s="110">
        <v>1987</v>
      </c>
      <c r="C17" s="111"/>
      <c r="D17" s="48"/>
      <c r="E17" s="112"/>
      <c r="F17" s="48"/>
      <c r="G17" s="119">
        <v>154.1</v>
      </c>
      <c r="H17" s="43"/>
      <c r="I17" s="114"/>
      <c r="J17" s="115"/>
      <c r="K17" s="48"/>
      <c r="L17" s="64">
        <v>168.1</v>
      </c>
      <c r="M17" s="64">
        <f t="shared" si="0"/>
        <v>322.2</v>
      </c>
      <c r="N17" s="43"/>
      <c r="O17" s="48"/>
      <c r="P17" s="64">
        <v>46.3</v>
      </c>
      <c r="Q17" s="43"/>
      <c r="R17" s="48"/>
      <c r="S17" s="48"/>
      <c r="T17" s="64">
        <v>138.6</v>
      </c>
      <c r="U17" s="38"/>
      <c r="V17" s="114"/>
      <c r="W17" s="120">
        <v>175.3</v>
      </c>
      <c r="X17" s="13">
        <f t="shared" si="1"/>
        <v>682.40000000000009</v>
      </c>
      <c r="Y17" s="72"/>
      <c r="Z17" s="2"/>
    </row>
    <row r="18" spans="1:27" ht="18.95" customHeight="1" x14ac:dyDescent="0.2">
      <c r="A18" s="2"/>
      <c r="B18" s="110">
        <v>1988</v>
      </c>
      <c r="C18" s="111"/>
      <c r="D18" s="48"/>
      <c r="E18" s="112"/>
      <c r="F18" s="48"/>
      <c r="G18" s="119">
        <v>151</v>
      </c>
      <c r="H18" s="43"/>
      <c r="I18" s="114"/>
      <c r="J18" s="115"/>
      <c r="K18" s="48"/>
      <c r="L18" s="64">
        <v>281.3</v>
      </c>
      <c r="M18" s="64">
        <f t="shared" si="0"/>
        <v>432.3</v>
      </c>
      <c r="N18" s="43"/>
      <c r="O18" s="48"/>
      <c r="P18" s="64">
        <v>111.7</v>
      </c>
      <c r="Q18" s="43"/>
      <c r="R18" s="48"/>
      <c r="S18" s="48"/>
      <c r="T18" s="64">
        <v>337.9</v>
      </c>
      <c r="U18" s="38"/>
      <c r="V18" s="114"/>
      <c r="W18" s="120">
        <v>194.9</v>
      </c>
      <c r="X18" s="13">
        <f t="shared" si="1"/>
        <v>1076.8</v>
      </c>
      <c r="Y18" s="72"/>
      <c r="Z18" s="2"/>
    </row>
    <row r="19" spans="1:27" ht="18.95" customHeight="1" x14ac:dyDescent="0.2">
      <c r="A19" s="2"/>
      <c r="B19" s="110">
        <v>1989</v>
      </c>
      <c r="C19" s="111"/>
      <c r="D19" s="48"/>
      <c r="E19" s="112"/>
      <c r="F19" s="48"/>
      <c r="G19" s="119">
        <v>216.2</v>
      </c>
      <c r="H19" s="43"/>
      <c r="I19" s="114"/>
      <c r="J19" s="115"/>
      <c r="K19" s="48"/>
      <c r="L19" s="64">
        <v>218</v>
      </c>
      <c r="M19" s="64">
        <f t="shared" si="0"/>
        <v>434.2</v>
      </c>
      <c r="N19" s="43"/>
      <c r="O19" s="48"/>
      <c r="P19" s="64">
        <v>260.3</v>
      </c>
      <c r="Q19" s="43"/>
      <c r="R19" s="48"/>
      <c r="S19" s="48"/>
      <c r="T19" s="64">
        <v>364</v>
      </c>
      <c r="U19" s="38"/>
      <c r="V19" s="114"/>
      <c r="W19" s="120">
        <v>327</v>
      </c>
      <c r="X19" s="13">
        <f t="shared" si="1"/>
        <v>1385.5</v>
      </c>
      <c r="Y19" s="72"/>
      <c r="Z19" s="2"/>
    </row>
    <row r="20" spans="1:27" ht="24.95" customHeight="1" x14ac:dyDescent="0.2">
      <c r="A20" s="2"/>
      <c r="B20" s="18">
        <v>1990</v>
      </c>
      <c r="C20" s="13">
        <v>128.19999999999999</v>
      </c>
      <c r="D20" s="32">
        <v>85.3</v>
      </c>
      <c r="E20" s="32"/>
      <c r="F20" s="32">
        <v>66.2</v>
      </c>
      <c r="G20" s="64">
        <v>279.7</v>
      </c>
      <c r="H20" s="13">
        <v>159</v>
      </c>
      <c r="I20" s="75"/>
      <c r="J20" s="32">
        <v>70.2</v>
      </c>
      <c r="K20" s="32">
        <v>63.9</v>
      </c>
      <c r="L20" s="64">
        <v>293.10000000000002</v>
      </c>
      <c r="M20" s="13">
        <v>572.79999999999995</v>
      </c>
      <c r="N20" s="13">
        <v>16.8</v>
      </c>
      <c r="O20" s="32">
        <v>11.7</v>
      </c>
      <c r="P20" s="64">
        <v>28.5</v>
      </c>
      <c r="Q20" s="13">
        <v>109.6</v>
      </c>
      <c r="R20" s="32">
        <v>247.2</v>
      </c>
      <c r="S20" s="32"/>
      <c r="T20" s="64">
        <v>356.8</v>
      </c>
      <c r="U20" s="13">
        <v>8</v>
      </c>
      <c r="V20" s="32">
        <v>31.7</v>
      </c>
      <c r="W20" s="120">
        <v>935.5</v>
      </c>
      <c r="X20" s="13">
        <v>1933.3</v>
      </c>
      <c r="Y20" s="74"/>
      <c r="Z20" s="2"/>
      <c r="AA20" s="121"/>
    </row>
    <row r="21" spans="1:27" ht="24.95" customHeight="1" x14ac:dyDescent="0.2">
      <c r="A21" s="2"/>
      <c r="B21" s="18">
        <v>1991</v>
      </c>
      <c r="C21" s="13">
        <v>84.2</v>
      </c>
      <c r="D21" s="32">
        <v>53.5</v>
      </c>
      <c r="E21" s="32"/>
      <c r="F21" s="32">
        <v>57.7</v>
      </c>
      <c r="G21" s="64">
        <v>195.4</v>
      </c>
      <c r="H21" s="13">
        <v>197.5</v>
      </c>
      <c r="I21" s="32"/>
      <c r="J21" s="32">
        <v>92.9</v>
      </c>
      <c r="K21" s="32">
        <v>21</v>
      </c>
      <c r="L21" s="64">
        <v>311.39999999999998</v>
      </c>
      <c r="M21" s="13">
        <v>506.8</v>
      </c>
      <c r="N21" s="13">
        <v>29.6</v>
      </c>
      <c r="O21" s="32">
        <v>15.4</v>
      </c>
      <c r="P21" s="64">
        <v>45</v>
      </c>
      <c r="Q21" s="13">
        <v>49</v>
      </c>
      <c r="R21" s="32">
        <v>152.19999999999999</v>
      </c>
      <c r="S21" s="32"/>
      <c r="T21" s="64">
        <v>201.2</v>
      </c>
      <c r="U21" s="13">
        <v>34.700000000000003</v>
      </c>
      <c r="V21" s="32">
        <v>61.5</v>
      </c>
      <c r="W21" s="120">
        <v>915.4</v>
      </c>
      <c r="X21" s="13">
        <v>1764.6</v>
      </c>
      <c r="Y21" s="74"/>
      <c r="Z21" s="2"/>
      <c r="AA21" s="121"/>
    </row>
    <row r="22" spans="1:27" ht="24.95" customHeight="1" x14ac:dyDescent="0.2">
      <c r="A22" s="2"/>
      <c r="B22" s="18">
        <v>1992</v>
      </c>
      <c r="C22" s="13">
        <v>69.599999999999994</v>
      </c>
      <c r="D22" s="32">
        <v>7.8</v>
      </c>
      <c r="E22" s="32"/>
      <c r="F22" s="32">
        <v>15.5</v>
      </c>
      <c r="G22" s="64">
        <v>92.9</v>
      </c>
      <c r="H22" s="13">
        <v>136.1</v>
      </c>
      <c r="I22" s="32"/>
      <c r="J22" s="32">
        <v>86.6</v>
      </c>
      <c r="K22" s="32">
        <v>29.8</v>
      </c>
      <c r="L22" s="64">
        <v>252.5</v>
      </c>
      <c r="M22" s="13">
        <v>345.4</v>
      </c>
      <c r="N22" s="13">
        <v>118.2</v>
      </c>
      <c r="O22" s="32">
        <v>8.6</v>
      </c>
      <c r="P22" s="64">
        <v>126.8</v>
      </c>
      <c r="Q22" s="13">
        <v>11.1</v>
      </c>
      <c r="R22" s="32">
        <v>221</v>
      </c>
      <c r="S22" s="32"/>
      <c r="T22" s="64">
        <v>232.1</v>
      </c>
      <c r="U22" s="13">
        <v>9.6999999999999993</v>
      </c>
      <c r="V22" s="32">
        <v>81.5</v>
      </c>
      <c r="W22" s="120">
        <v>678.3</v>
      </c>
      <c r="X22" s="13">
        <v>1473.8</v>
      </c>
      <c r="Y22" s="74"/>
      <c r="Z22" s="2"/>
      <c r="AA22" s="121"/>
    </row>
    <row r="23" spans="1:27" ht="20.100000000000001" customHeight="1" x14ac:dyDescent="0.2">
      <c r="A23" s="2"/>
      <c r="B23" s="18">
        <v>1993</v>
      </c>
      <c r="C23" s="13">
        <v>130.69999999999999</v>
      </c>
      <c r="D23" s="32">
        <v>16.3</v>
      </c>
      <c r="E23" s="32"/>
      <c r="F23" s="32">
        <v>25.1</v>
      </c>
      <c r="G23" s="64">
        <v>172.1</v>
      </c>
      <c r="H23" s="13">
        <v>110.9</v>
      </c>
      <c r="I23" s="32"/>
      <c r="J23" s="32">
        <v>76.7</v>
      </c>
      <c r="K23" s="32">
        <v>22.5</v>
      </c>
      <c r="L23" s="64">
        <v>210.1</v>
      </c>
      <c r="M23" s="13">
        <v>382.2</v>
      </c>
      <c r="N23" s="13">
        <v>41.3</v>
      </c>
      <c r="O23" s="32">
        <v>5.9</v>
      </c>
      <c r="P23" s="64">
        <v>47.2</v>
      </c>
      <c r="Q23" s="13">
        <v>20</v>
      </c>
      <c r="R23" s="32">
        <v>132.30000000000001</v>
      </c>
      <c r="S23" s="32"/>
      <c r="T23" s="64">
        <v>152.30000000000001</v>
      </c>
      <c r="U23" s="13">
        <v>0</v>
      </c>
      <c r="V23" s="32">
        <v>29.2</v>
      </c>
      <c r="W23" s="120">
        <v>1050.2</v>
      </c>
      <c r="X23" s="13">
        <f t="shared" ref="X23:X64" si="2">W23+V23+U23+T23+P23+M23</f>
        <v>1661.1000000000001</v>
      </c>
      <c r="Y23" s="74"/>
      <c r="Z23" s="2"/>
      <c r="AA23" s="121"/>
    </row>
    <row r="24" spans="1:27" ht="20.100000000000001" customHeight="1" x14ac:dyDescent="0.2">
      <c r="A24" s="2"/>
      <c r="B24" s="18">
        <v>1994</v>
      </c>
      <c r="C24" s="13">
        <v>169.1</v>
      </c>
      <c r="D24" s="32">
        <v>11.5</v>
      </c>
      <c r="E24" s="32"/>
      <c r="F24" s="32">
        <v>8.6999999999999993</v>
      </c>
      <c r="G24" s="64">
        <v>189.3</v>
      </c>
      <c r="H24" s="13">
        <v>90.4</v>
      </c>
      <c r="I24" s="32"/>
      <c r="J24" s="32">
        <v>90.9</v>
      </c>
      <c r="K24" s="32">
        <v>31.7</v>
      </c>
      <c r="L24" s="64">
        <v>213</v>
      </c>
      <c r="M24" s="13">
        <v>402.3</v>
      </c>
      <c r="N24" s="13">
        <v>34.799999999999997</v>
      </c>
      <c r="O24" s="32">
        <v>11.2</v>
      </c>
      <c r="P24" s="64">
        <v>46</v>
      </c>
      <c r="Q24" s="13">
        <v>0</v>
      </c>
      <c r="R24" s="32">
        <v>237.8</v>
      </c>
      <c r="S24" s="32"/>
      <c r="T24" s="64">
        <v>237.8</v>
      </c>
      <c r="U24" s="13">
        <v>0.1</v>
      </c>
      <c r="V24" s="32">
        <v>81.8</v>
      </c>
      <c r="W24" s="120">
        <v>1019.7</v>
      </c>
      <c r="X24" s="13">
        <f t="shared" si="2"/>
        <v>1787.6999999999998</v>
      </c>
      <c r="Y24" s="74"/>
      <c r="Z24" s="2"/>
      <c r="AA24" s="121"/>
    </row>
    <row r="25" spans="1:27" ht="20.100000000000001" customHeight="1" x14ac:dyDescent="0.2">
      <c r="A25" s="2"/>
      <c r="B25" s="18">
        <v>1995</v>
      </c>
      <c r="C25" s="13">
        <v>208.3</v>
      </c>
      <c r="D25" s="32">
        <v>49</v>
      </c>
      <c r="E25" s="32"/>
      <c r="F25" s="32">
        <v>293.3</v>
      </c>
      <c r="G25" s="64">
        <v>550.6</v>
      </c>
      <c r="H25" s="13">
        <v>102.6</v>
      </c>
      <c r="I25" s="32"/>
      <c r="J25" s="32">
        <v>84.4</v>
      </c>
      <c r="K25" s="32">
        <v>58</v>
      </c>
      <c r="L25" s="64">
        <v>245</v>
      </c>
      <c r="M25" s="13">
        <v>795.6</v>
      </c>
      <c r="N25" s="13">
        <v>48.9</v>
      </c>
      <c r="O25" s="32">
        <v>28.4</v>
      </c>
      <c r="P25" s="64">
        <v>77.3</v>
      </c>
      <c r="Q25" s="13">
        <v>0</v>
      </c>
      <c r="R25" s="32">
        <v>316.10000000000002</v>
      </c>
      <c r="S25" s="32"/>
      <c r="T25" s="64">
        <v>316.10000000000002</v>
      </c>
      <c r="U25" s="13">
        <v>0.5</v>
      </c>
      <c r="V25" s="32">
        <v>65</v>
      </c>
      <c r="W25" s="120">
        <v>1140.0999999999999</v>
      </c>
      <c r="X25" s="13">
        <f t="shared" si="2"/>
        <v>2394.6</v>
      </c>
      <c r="Y25" s="74"/>
      <c r="Z25" s="2"/>
      <c r="AA25" s="121"/>
    </row>
    <row r="26" spans="1:27" ht="24.95" customHeight="1" x14ac:dyDescent="0.2">
      <c r="A26" s="2"/>
      <c r="B26" s="18" t="s">
        <v>6</v>
      </c>
      <c r="C26" s="13">
        <v>17.100000000000001</v>
      </c>
      <c r="D26" s="32">
        <v>4.7</v>
      </c>
      <c r="E26" s="32"/>
      <c r="F26" s="32">
        <v>16.8</v>
      </c>
      <c r="G26" s="64">
        <v>38.6</v>
      </c>
      <c r="H26" s="13">
        <v>11</v>
      </c>
      <c r="I26" s="32"/>
      <c r="J26" s="32">
        <v>6.9</v>
      </c>
      <c r="K26" s="32">
        <v>2.7</v>
      </c>
      <c r="L26" s="64">
        <v>20.6</v>
      </c>
      <c r="M26" s="13">
        <v>59.2</v>
      </c>
      <c r="N26" s="13">
        <v>1.6</v>
      </c>
      <c r="O26" s="32">
        <v>2.9</v>
      </c>
      <c r="P26" s="64">
        <v>4.5</v>
      </c>
      <c r="Q26" s="13">
        <v>0</v>
      </c>
      <c r="R26" s="32">
        <v>6.3</v>
      </c>
      <c r="S26" s="32"/>
      <c r="T26" s="64">
        <v>6.3</v>
      </c>
      <c r="U26" s="13">
        <v>0</v>
      </c>
      <c r="V26" s="32">
        <v>10.9</v>
      </c>
      <c r="W26" s="120">
        <v>96.5</v>
      </c>
      <c r="X26" s="13">
        <f t="shared" si="2"/>
        <v>177.4</v>
      </c>
      <c r="Y26" s="74"/>
      <c r="Z26" s="2"/>
      <c r="AA26" s="121"/>
    </row>
    <row r="27" spans="1:27" ht="24.95" customHeight="1" x14ac:dyDescent="0.2">
      <c r="A27" s="2"/>
      <c r="B27" s="18" t="s">
        <v>7</v>
      </c>
      <c r="C27" s="13">
        <v>11.7</v>
      </c>
      <c r="D27" s="32">
        <v>5.5</v>
      </c>
      <c r="E27" s="32"/>
      <c r="F27" s="32">
        <v>13.2</v>
      </c>
      <c r="G27" s="64">
        <v>30.4</v>
      </c>
      <c r="H27" s="13">
        <v>0</v>
      </c>
      <c r="I27" s="32"/>
      <c r="J27" s="32">
        <v>6.9</v>
      </c>
      <c r="K27" s="32">
        <v>0.8</v>
      </c>
      <c r="L27" s="64">
        <v>7.7</v>
      </c>
      <c r="M27" s="13">
        <v>38.1</v>
      </c>
      <c r="N27" s="13">
        <v>1.8</v>
      </c>
      <c r="O27" s="32">
        <v>0.6</v>
      </c>
      <c r="P27" s="64">
        <v>2.4</v>
      </c>
      <c r="Q27" s="13">
        <v>0</v>
      </c>
      <c r="R27" s="32">
        <v>1.9</v>
      </c>
      <c r="S27" s="32"/>
      <c r="T27" s="64">
        <v>1.9</v>
      </c>
      <c r="U27" s="13">
        <v>0</v>
      </c>
      <c r="V27" s="32">
        <v>16.899999999999999</v>
      </c>
      <c r="W27" s="120">
        <v>86.4</v>
      </c>
      <c r="X27" s="13">
        <f t="shared" si="2"/>
        <v>145.70000000000002</v>
      </c>
      <c r="Y27" s="74"/>
      <c r="Z27" s="2"/>
      <c r="AA27" s="121"/>
    </row>
    <row r="28" spans="1:27" ht="24.95" customHeight="1" x14ac:dyDescent="0.2">
      <c r="A28" s="2"/>
      <c r="B28" s="18" t="s">
        <v>8</v>
      </c>
      <c r="C28" s="13">
        <v>14.8</v>
      </c>
      <c r="D28" s="32">
        <v>1</v>
      </c>
      <c r="E28" s="32"/>
      <c r="F28" s="32">
        <v>47.9</v>
      </c>
      <c r="G28" s="64">
        <v>63.7</v>
      </c>
      <c r="H28" s="13">
        <v>5.6</v>
      </c>
      <c r="I28" s="32"/>
      <c r="J28" s="32">
        <v>5.6</v>
      </c>
      <c r="K28" s="32">
        <v>3.4</v>
      </c>
      <c r="L28" s="64">
        <v>14.6</v>
      </c>
      <c r="M28" s="13">
        <v>78.3</v>
      </c>
      <c r="N28" s="13">
        <v>4.0999999999999996</v>
      </c>
      <c r="O28" s="32">
        <v>3.3</v>
      </c>
      <c r="P28" s="64">
        <v>7.4</v>
      </c>
      <c r="Q28" s="13">
        <v>0</v>
      </c>
      <c r="R28" s="32">
        <v>17.899999999999999</v>
      </c>
      <c r="S28" s="32"/>
      <c r="T28" s="64">
        <v>17.899999999999999</v>
      </c>
      <c r="U28" s="13">
        <v>0</v>
      </c>
      <c r="V28" s="32">
        <v>0.8</v>
      </c>
      <c r="W28" s="120">
        <v>110.5</v>
      </c>
      <c r="X28" s="13">
        <f t="shared" si="2"/>
        <v>214.89999999999998</v>
      </c>
      <c r="Y28" s="74"/>
      <c r="Z28" s="2"/>
      <c r="AA28" s="121"/>
    </row>
    <row r="29" spans="1:27" ht="24.95" customHeight="1" x14ac:dyDescent="0.2">
      <c r="A29" s="2"/>
      <c r="B29" s="18" t="s">
        <v>9</v>
      </c>
      <c r="C29" s="13">
        <v>14.3</v>
      </c>
      <c r="D29" s="32">
        <v>1</v>
      </c>
      <c r="E29" s="32"/>
      <c r="F29" s="32">
        <v>28.8</v>
      </c>
      <c r="G29" s="64">
        <v>44.1</v>
      </c>
      <c r="H29" s="13">
        <v>13.5</v>
      </c>
      <c r="I29" s="75"/>
      <c r="J29" s="32">
        <v>3.9</v>
      </c>
      <c r="K29" s="32">
        <v>6.4</v>
      </c>
      <c r="L29" s="64">
        <v>23.8</v>
      </c>
      <c r="M29" s="13">
        <v>67.900000000000006</v>
      </c>
      <c r="N29" s="13">
        <v>5</v>
      </c>
      <c r="O29" s="32">
        <v>2.2000000000000002</v>
      </c>
      <c r="P29" s="64">
        <v>7.2</v>
      </c>
      <c r="Q29" s="13">
        <v>0</v>
      </c>
      <c r="R29" s="32">
        <v>6.1</v>
      </c>
      <c r="S29" s="32"/>
      <c r="T29" s="64">
        <v>6.1</v>
      </c>
      <c r="U29" s="13">
        <v>0.1</v>
      </c>
      <c r="V29" s="32">
        <v>4.7</v>
      </c>
      <c r="W29" s="120">
        <v>122.1</v>
      </c>
      <c r="X29" s="13">
        <f t="shared" si="2"/>
        <v>208.1</v>
      </c>
      <c r="Y29" s="74"/>
      <c r="Z29" s="2"/>
      <c r="AA29" s="121"/>
    </row>
    <row r="30" spans="1:27" ht="24.95" customHeight="1" x14ac:dyDescent="0.2">
      <c r="A30" s="2"/>
      <c r="B30" s="18" t="s">
        <v>10</v>
      </c>
      <c r="C30" s="13">
        <v>12.9</v>
      </c>
      <c r="D30" s="32">
        <v>0.7</v>
      </c>
      <c r="E30" s="32"/>
      <c r="F30" s="32">
        <v>19.899999999999999</v>
      </c>
      <c r="G30" s="64">
        <v>33.5</v>
      </c>
      <c r="H30" s="13">
        <v>11.2</v>
      </c>
      <c r="I30" s="75"/>
      <c r="J30" s="32">
        <v>8.4</v>
      </c>
      <c r="K30" s="32">
        <v>2.5</v>
      </c>
      <c r="L30" s="64">
        <v>22.1</v>
      </c>
      <c r="M30" s="13">
        <v>55.6</v>
      </c>
      <c r="N30" s="13">
        <v>3.6</v>
      </c>
      <c r="O30" s="32">
        <v>1.7</v>
      </c>
      <c r="P30" s="64">
        <v>5.3</v>
      </c>
      <c r="Q30" s="13">
        <v>0</v>
      </c>
      <c r="R30" s="32">
        <v>25.8</v>
      </c>
      <c r="S30" s="32"/>
      <c r="T30" s="64">
        <v>25.8</v>
      </c>
      <c r="U30" s="13">
        <v>0.1</v>
      </c>
      <c r="V30" s="32">
        <v>1</v>
      </c>
      <c r="W30" s="120">
        <v>103.9</v>
      </c>
      <c r="X30" s="13">
        <f t="shared" si="2"/>
        <v>191.70000000000002</v>
      </c>
      <c r="Y30" s="74"/>
      <c r="Z30" s="2"/>
      <c r="AA30" s="121"/>
    </row>
    <row r="31" spans="1:27" ht="24.95" customHeight="1" x14ac:dyDescent="0.2">
      <c r="A31" s="2"/>
      <c r="B31" s="18" t="s">
        <v>11</v>
      </c>
      <c r="C31" s="13">
        <v>18.5</v>
      </c>
      <c r="D31" s="32">
        <v>1.7</v>
      </c>
      <c r="E31" s="32"/>
      <c r="F31" s="32">
        <v>16.600000000000001</v>
      </c>
      <c r="G31" s="64">
        <v>36.799999999999997</v>
      </c>
      <c r="H31" s="13">
        <v>7.6</v>
      </c>
      <c r="I31" s="75"/>
      <c r="J31" s="32">
        <v>6.6</v>
      </c>
      <c r="K31" s="32">
        <v>1.3</v>
      </c>
      <c r="L31" s="64">
        <v>15.5</v>
      </c>
      <c r="M31" s="13">
        <v>52.3</v>
      </c>
      <c r="N31" s="13">
        <v>7.5</v>
      </c>
      <c r="O31" s="32">
        <v>2.6</v>
      </c>
      <c r="P31" s="64">
        <v>10.1</v>
      </c>
      <c r="Q31" s="13">
        <v>0</v>
      </c>
      <c r="R31" s="32">
        <v>17.3</v>
      </c>
      <c r="S31" s="32"/>
      <c r="T31" s="64">
        <v>17.3</v>
      </c>
      <c r="U31" s="13">
        <v>0.1</v>
      </c>
      <c r="V31" s="32">
        <v>1.4</v>
      </c>
      <c r="W31" s="120">
        <v>82.2</v>
      </c>
      <c r="X31" s="13">
        <f t="shared" si="2"/>
        <v>163.39999999999998</v>
      </c>
      <c r="Y31" s="74"/>
      <c r="Z31" s="2"/>
      <c r="AA31" s="121"/>
    </row>
    <row r="32" spans="1:27" ht="24.95" customHeight="1" x14ac:dyDescent="0.2">
      <c r="A32" s="2"/>
      <c r="B32" s="18" t="s">
        <v>12</v>
      </c>
      <c r="C32" s="13">
        <v>16.7</v>
      </c>
      <c r="D32" s="32">
        <v>1.5</v>
      </c>
      <c r="E32" s="32"/>
      <c r="F32" s="32">
        <v>27</v>
      </c>
      <c r="G32" s="64">
        <v>45.2</v>
      </c>
      <c r="H32" s="13">
        <v>9.6</v>
      </c>
      <c r="I32" s="75"/>
      <c r="J32" s="32">
        <v>8</v>
      </c>
      <c r="K32" s="32">
        <v>3.1</v>
      </c>
      <c r="L32" s="64">
        <v>20.7</v>
      </c>
      <c r="M32" s="13">
        <v>65.900000000000006</v>
      </c>
      <c r="N32" s="13">
        <v>4.4000000000000004</v>
      </c>
      <c r="O32" s="32">
        <v>2.5</v>
      </c>
      <c r="P32" s="64">
        <v>6.9</v>
      </c>
      <c r="Q32" s="13">
        <v>0</v>
      </c>
      <c r="R32" s="32">
        <v>14.6</v>
      </c>
      <c r="S32" s="32"/>
      <c r="T32" s="64">
        <v>14.6</v>
      </c>
      <c r="U32" s="13">
        <v>0.2</v>
      </c>
      <c r="V32" s="32">
        <v>6.2</v>
      </c>
      <c r="W32" s="120">
        <v>125</v>
      </c>
      <c r="X32" s="13">
        <f t="shared" si="2"/>
        <v>218.79999999999998</v>
      </c>
      <c r="Y32" s="74"/>
      <c r="Z32" s="2"/>
      <c r="AA32" s="121"/>
    </row>
    <row r="33" spans="1:27" ht="24.95" customHeight="1" x14ac:dyDescent="0.2">
      <c r="A33" s="2"/>
      <c r="B33" s="18" t="s">
        <v>13</v>
      </c>
      <c r="C33" s="13">
        <v>17.100000000000001</v>
      </c>
      <c r="D33" s="32">
        <v>4.4000000000000004</v>
      </c>
      <c r="E33" s="32"/>
      <c r="F33" s="32">
        <v>26.1</v>
      </c>
      <c r="G33" s="64">
        <v>47.6</v>
      </c>
      <c r="H33" s="13">
        <v>8.9</v>
      </c>
      <c r="I33" s="75"/>
      <c r="J33" s="32">
        <v>6</v>
      </c>
      <c r="K33" s="32">
        <v>6.2</v>
      </c>
      <c r="L33" s="64">
        <v>21.1</v>
      </c>
      <c r="M33" s="13">
        <v>68.7</v>
      </c>
      <c r="N33" s="13">
        <v>1.2</v>
      </c>
      <c r="O33" s="32">
        <v>2.2000000000000002</v>
      </c>
      <c r="P33" s="64">
        <v>3.4</v>
      </c>
      <c r="Q33" s="13">
        <v>0</v>
      </c>
      <c r="R33" s="32">
        <v>35.1</v>
      </c>
      <c r="S33" s="32"/>
      <c r="T33" s="64">
        <v>35.1</v>
      </c>
      <c r="U33" s="13">
        <v>0</v>
      </c>
      <c r="V33" s="32">
        <v>3.5</v>
      </c>
      <c r="W33" s="120">
        <v>135.4</v>
      </c>
      <c r="X33" s="13">
        <f t="shared" si="2"/>
        <v>246.10000000000002</v>
      </c>
      <c r="Y33" s="74"/>
      <c r="Z33" s="2"/>
      <c r="AA33" s="121"/>
    </row>
    <row r="34" spans="1:27" ht="24.95" customHeight="1" x14ac:dyDescent="0.2">
      <c r="A34" s="2"/>
      <c r="B34" s="18" t="s">
        <v>14</v>
      </c>
      <c r="C34" s="13">
        <v>18.2</v>
      </c>
      <c r="D34" s="32">
        <v>8.1999999999999993</v>
      </c>
      <c r="E34" s="32"/>
      <c r="F34" s="32">
        <v>17.100000000000001</v>
      </c>
      <c r="G34" s="64">
        <v>43.5</v>
      </c>
      <c r="H34" s="13">
        <v>13.5</v>
      </c>
      <c r="I34" s="75"/>
      <c r="J34" s="32">
        <v>7.9</v>
      </c>
      <c r="K34" s="32">
        <v>6.2</v>
      </c>
      <c r="L34" s="64">
        <v>27.6</v>
      </c>
      <c r="M34" s="13">
        <v>71.099999999999994</v>
      </c>
      <c r="N34" s="13">
        <v>3.6</v>
      </c>
      <c r="O34" s="32">
        <v>2.7</v>
      </c>
      <c r="P34" s="64">
        <v>6.3</v>
      </c>
      <c r="Q34" s="13">
        <v>0</v>
      </c>
      <c r="R34" s="32">
        <v>38.6</v>
      </c>
      <c r="S34" s="32"/>
      <c r="T34" s="64">
        <v>38.6</v>
      </c>
      <c r="U34" s="13">
        <v>0</v>
      </c>
      <c r="V34" s="32">
        <v>1.8</v>
      </c>
      <c r="W34" s="120">
        <v>94.7</v>
      </c>
      <c r="X34" s="13">
        <f t="shared" si="2"/>
        <v>212.5</v>
      </c>
      <c r="Y34" s="74"/>
      <c r="Z34" s="2"/>
      <c r="AA34" s="121"/>
    </row>
    <row r="35" spans="1:27" ht="24.95" customHeight="1" x14ac:dyDescent="0.2">
      <c r="A35" s="2"/>
      <c r="B35" s="18" t="s">
        <v>15</v>
      </c>
      <c r="C35" s="13">
        <v>22.4</v>
      </c>
      <c r="D35" s="32">
        <v>4.7</v>
      </c>
      <c r="E35" s="32"/>
      <c r="F35" s="32">
        <v>29.2</v>
      </c>
      <c r="G35" s="64">
        <v>56.3</v>
      </c>
      <c r="H35" s="13">
        <v>9.6</v>
      </c>
      <c r="I35" s="32"/>
      <c r="J35" s="32">
        <v>5.4</v>
      </c>
      <c r="K35" s="32">
        <v>12.6</v>
      </c>
      <c r="L35" s="64">
        <v>27.6</v>
      </c>
      <c r="M35" s="13">
        <v>83.9</v>
      </c>
      <c r="N35" s="13">
        <v>6.8</v>
      </c>
      <c r="O35" s="32">
        <v>1.9</v>
      </c>
      <c r="P35" s="64">
        <v>8.6999999999999993</v>
      </c>
      <c r="Q35" s="13">
        <v>0</v>
      </c>
      <c r="R35" s="32">
        <v>3.8</v>
      </c>
      <c r="S35" s="32"/>
      <c r="T35" s="64">
        <v>3.8</v>
      </c>
      <c r="U35" s="13">
        <v>0</v>
      </c>
      <c r="V35" s="32">
        <v>6</v>
      </c>
      <c r="W35" s="120">
        <v>73</v>
      </c>
      <c r="X35" s="13">
        <f t="shared" si="2"/>
        <v>175.4</v>
      </c>
      <c r="Y35" s="76"/>
      <c r="Z35" s="1"/>
      <c r="AA35" s="121"/>
    </row>
    <row r="36" spans="1:27" ht="24.95" customHeight="1" x14ac:dyDescent="0.2">
      <c r="A36" s="2"/>
      <c r="B36" s="18" t="s">
        <v>16</v>
      </c>
      <c r="C36" s="13">
        <v>19</v>
      </c>
      <c r="D36" s="32">
        <v>13.1</v>
      </c>
      <c r="E36" s="32"/>
      <c r="F36" s="32">
        <v>27.7</v>
      </c>
      <c r="G36" s="64">
        <v>59.8</v>
      </c>
      <c r="H36" s="13">
        <v>0.3</v>
      </c>
      <c r="I36" s="32"/>
      <c r="J36" s="32">
        <v>11.1</v>
      </c>
      <c r="K36" s="32">
        <v>7.4</v>
      </c>
      <c r="L36" s="64">
        <v>18.8</v>
      </c>
      <c r="M36" s="13">
        <v>78.599999999999994</v>
      </c>
      <c r="N36" s="13">
        <v>4.3</v>
      </c>
      <c r="O36" s="32">
        <v>2.6</v>
      </c>
      <c r="P36" s="64">
        <v>6.9</v>
      </c>
      <c r="Q36" s="13">
        <v>0</v>
      </c>
      <c r="R36" s="32">
        <v>24.6</v>
      </c>
      <c r="S36" s="32"/>
      <c r="T36" s="64">
        <v>24.6</v>
      </c>
      <c r="U36" s="13">
        <v>0</v>
      </c>
      <c r="V36" s="32">
        <v>7.4</v>
      </c>
      <c r="W36" s="120">
        <v>39.1</v>
      </c>
      <c r="X36" s="13">
        <f t="shared" si="2"/>
        <v>156.6</v>
      </c>
      <c r="Y36" s="76"/>
      <c r="Z36" s="1"/>
      <c r="AA36" s="121"/>
    </row>
    <row r="37" spans="1:27" ht="24.95" customHeight="1" x14ac:dyDescent="0.2">
      <c r="A37" s="2"/>
      <c r="B37" s="18" t="s">
        <v>17</v>
      </c>
      <c r="C37" s="13">
        <v>25.6</v>
      </c>
      <c r="D37" s="32">
        <v>2.5</v>
      </c>
      <c r="E37" s="32"/>
      <c r="F37" s="32">
        <v>23</v>
      </c>
      <c r="G37" s="64">
        <v>51.1</v>
      </c>
      <c r="H37" s="13">
        <v>11.8</v>
      </c>
      <c r="I37" s="32"/>
      <c r="J37" s="32">
        <v>7.7</v>
      </c>
      <c r="K37" s="32">
        <v>5.4</v>
      </c>
      <c r="L37" s="64">
        <v>24.9</v>
      </c>
      <c r="M37" s="13">
        <v>76</v>
      </c>
      <c r="N37" s="13">
        <v>5</v>
      </c>
      <c r="O37" s="32">
        <v>3.2</v>
      </c>
      <c r="P37" s="64">
        <v>8.1999999999999993</v>
      </c>
      <c r="Q37" s="13">
        <v>0</v>
      </c>
      <c r="R37" s="32">
        <v>124.1</v>
      </c>
      <c r="S37" s="32"/>
      <c r="T37" s="64">
        <v>124.1</v>
      </c>
      <c r="U37" s="13">
        <v>0</v>
      </c>
      <c r="V37" s="32">
        <v>4.4000000000000004</v>
      </c>
      <c r="W37" s="120">
        <v>71.3</v>
      </c>
      <c r="X37" s="13">
        <f t="shared" si="2"/>
        <v>284</v>
      </c>
      <c r="Y37" s="76"/>
      <c r="Z37" s="1"/>
      <c r="AA37" s="121"/>
    </row>
    <row r="38" spans="1:27" s="23" customFormat="1" ht="20.100000000000001" customHeight="1" x14ac:dyDescent="0.2">
      <c r="A38" s="21"/>
      <c r="B38" s="27">
        <v>1996</v>
      </c>
      <c r="C38" s="22">
        <v>213</v>
      </c>
      <c r="D38" s="33">
        <v>82.9</v>
      </c>
      <c r="E38" s="33"/>
      <c r="F38" s="33">
        <v>270.7</v>
      </c>
      <c r="G38" s="64">
        <v>566.6</v>
      </c>
      <c r="H38" s="13">
        <v>103.2</v>
      </c>
      <c r="I38" s="32"/>
      <c r="J38" s="32">
        <v>69.400000000000006</v>
      </c>
      <c r="K38" s="32">
        <v>71.2</v>
      </c>
      <c r="L38" s="64">
        <v>243.8</v>
      </c>
      <c r="M38" s="13">
        <v>810.4</v>
      </c>
      <c r="N38" s="13">
        <v>15.4</v>
      </c>
      <c r="O38" s="32">
        <v>37.78</v>
      </c>
      <c r="P38" s="64">
        <v>53.18</v>
      </c>
      <c r="Q38" s="13">
        <v>48.58</v>
      </c>
      <c r="R38" s="32">
        <v>213.48</v>
      </c>
      <c r="S38" s="32"/>
      <c r="T38" s="64">
        <v>262.06</v>
      </c>
      <c r="U38" s="13">
        <v>0</v>
      </c>
      <c r="V38" s="32">
        <v>53.4</v>
      </c>
      <c r="W38" s="120">
        <v>2599</v>
      </c>
      <c r="X38" s="13">
        <f t="shared" si="2"/>
        <v>3778.04</v>
      </c>
      <c r="Y38" s="76"/>
      <c r="Z38" s="21"/>
      <c r="AA38" s="122"/>
    </row>
    <row r="39" spans="1:27" ht="24.95" customHeight="1" x14ac:dyDescent="0.2">
      <c r="A39" s="2"/>
      <c r="B39" s="8" t="s">
        <v>6</v>
      </c>
      <c r="C39" s="13">
        <v>20</v>
      </c>
      <c r="D39" s="32">
        <v>10.7</v>
      </c>
      <c r="E39" s="32"/>
      <c r="F39" s="32">
        <v>29.2</v>
      </c>
      <c r="G39" s="64">
        <v>59.9</v>
      </c>
      <c r="H39" s="13">
        <v>15.3</v>
      </c>
      <c r="I39" s="32"/>
      <c r="J39" s="32">
        <v>4.9000000000000004</v>
      </c>
      <c r="K39" s="32">
        <v>10.5</v>
      </c>
      <c r="L39" s="64">
        <v>30.7</v>
      </c>
      <c r="M39" s="13">
        <v>90.6</v>
      </c>
      <c r="N39" s="13">
        <v>1.2</v>
      </c>
      <c r="O39" s="32">
        <v>2.5</v>
      </c>
      <c r="P39" s="64">
        <v>3.7</v>
      </c>
      <c r="Q39" s="13">
        <v>0</v>
      </c>
      <c r="R39" s="32">
        <v>4.9000000000000004</v>
      </c>
      <c r="S39" s="32"/>
      <c r="T39" s="64">
        <v>4.9000000000000004</v>
      </c>
      <c r="U39" s="13">
        <v>0</v>
      </c>
      <c r="V39" s="32">
        <v>0.7</v>
      </c>
      <c r="W39" s="120">
        <v>122.9</v>
      </c>
      <c r="X39" s="13">
        <f t="shared" si="2"/>
        <v>222.79999999999998</v>
      </c>
      <c r="Y39" s="76"/>
      <c r="Z39" s="2"/>
      <c r="AA39" s="121"/>
    </row>
    <row r="40" spans="1:27" ht="24.95" customHeight="1" x14ac:dyDescent="0.2">
      <c r="A40" s="2"/>
      <c r="B40" s="8" t="s">
        <v>7</v>
      </c>
      <c r="C40" s="13">
        <v>21.4</v>
      </c>
      <c r="D40" s="32">
        <v>7.6</v>
      </c>
      <c r="E40" s="32"/>
      <c r="F40" s="32">
        <v>19.8</v>
      </c>
      <c r="G40" s="64">
        <v>48.8</v>
      </c>
      <c r="H40" s="13">
        <v>7.4</v>
      </c>
      <c r="I40" s="32"/>
      <c r="J40" s="32">
        <v>2.4</v>
      </c>
      <c r="K40" s="32">
        <v>2.5</v>
      </c>
      <c r="L40" s="64">
        <v>12.3</v>
      </c>
      <c r="M40" s="13">
        <v>61.1</v>
      </c>
      <c r="N40" s="13">
        <v>2.4</v>
      </c>
      <c r="O40" s="32">
        <v>1.8</v>
      </c>
      <c r="P40" s="64">
        <v>4.2</v>
      </c>
      <c r="Q40" s="13">
        <v>0</v>
      </c>
      <c r="R40" s="32">
        <v>9.4</v>
      </c>
      <c r="S40" s="32"/>
      <c r="T40" s="64">
        <v>9.4</v>
      </c>
      <c r="U40" s="13">
        <v>0</v>
      </c>
      <c r="V40" s="32">
        <v>0.8</v>
      </c>
      <c r="W40" s="120">
        <v>205.3</v>
      </c>
      <c r="X40" s="13">
        <f t="shared" si="2"/>
        <v>280.8</v>
      </c>
      <c r="Y40" s="76"/>
      <c r="Z40" s="2"/>
      <c r="AA40" s="121"/>
    </row>
    <row r="41" spans="1:27" ht="24.95" customHeight="1" x14ac:dyDescent="0.2">
      <c r="A41" s="2"/>
      <c r="B41" s="8" t="s">
        <v>8</v>
      </c>
      <c r="C41" s="13">
        <v>18.5</v>
      </c>
      <c r="D41" s="32">
        <v>1.9</v>
      </c>
      <c r="E41" s="32"/>
      <c r="F41" s="32">
        <v>24.5</v>
      </c>
      <c r="G41" s="64">
        <v>44.9</v>
      </c>
      <c r="H41" s="13">
        <v>7.7</v>
      </c>
      <c r="I41" s="32"/>
      <c r="J41" s="32">
        <v>6.1</v>
      </c>
      <c r="K41" s="32">
        <v>3.4</v>
      </c>
      <c r="L41" s="64">
        <v>17.2</v>
      </c>
      <c r="M41" s="13">
        <v>62.1</v>
      </c>
      <c r="N41" s="13">
        <v>0.2</v>
      </c>
      <c r="O41" s="32">
        <v>3</v>
      </c>
      <c r="P41" s="64">
        <v>3.2</v>
      </c>
      <c r="Q41" s="13">
        <v>0</v>
      </c>
      <c r="R41" s="32">
        <v>20.5</v>
      </c>
      <c r="S41" s="32"/>
      <c r="T41" s="64">
        <v>20.5</v>
      </c>
      <c r="U41" s="13">
        <v>0</v>
      </c>
      <c r="V41" s="32">
        <v>15.8</v>
      </c>
      <c r="W41" s="120">
        <v>198</v>
      </c>
      <c r="X41" s="13">
        <f t="shared" si="2"/>
        <v>299.60000000000002</v>
      </c>
      <c r="Y41" s="74"/>
      <c r="Z41" s="2"/>
      <c r="AA41" s="121"/>
    </row>
    <row r="42" spans="1:27" ht="24.95" customHeight="1" x14ac:dyDescent="0.2">
      <c r="A42" s="2"/>
      <c r="B42" s="8" t="s">
        <v>9</v>
      </c>
      <c r="C42" s="13">
        <v>18.8</v>
      </c>
      <c r="D42" s="32">
        <v>8.1999999999999993</v>
      </c>
      <c r="E42" s="32"/>
      <c r="F42" s="32">
        <v>14.8</v>
      </c>
      <c r="G42" s="64">
        <v>41.8</v>
      </c>
      <c r="H42" s="13">
        <v>6.6</v>
      </c>
      <c r="I42" s="32"/>
      <c r="J42" s="32">
        <v>6.7</v>
      </c>
      <c r="K42" s="32">
        <v>3.3</v>
      </c>
      <c r="L42" s="64">
        <v>16.600000000000001</v>
      </c>
      <c r="M42" s="13">
        <v>58.4</v>
      </c>
      <c r="N42" s="13">
        <v>0.8</v>
      </c>
      <c r="O42" s="32">
        <v>1.9</v>
      </c>
      <c r="P42" s="64">
        <v>2.7</v>
      </c>
      <c r="Q42" s="13">
        <v>24.4</v>
      </c>
      <c r="R42" s="32">
        <v>33</v>
      </c>
      <c r="S42" s="32"/>
      <c r="T42" s="64">
        <v>57.4</v>
      </c>
      <c r="U42" s="13">
        <v>0</v>
      </c>
      <c r="V42" s="32">
        <v>1.6</v>
      </c>
      <c r="W42" s="120">
        <v>227.7</v>
      </c>
      <c r="X42" s="13">
        <f t="shared" si="2"/>
        <v>347.79999999999995</v>
      </c>
      <c r="Y42" s="74"/>
      <c r="Z42" s="2"/>
      <c r="AA42" s="121"/>
    </row>
    <row r="43" spans="1:27" ht="24.95" customHeight="1" x14ac:dyDescent="0.2">
      <c r="A43" s="2"/>
      <c r="B43" s="8" t="s">
        <v>10</v>
      </c>
      <c r="C43" s="13">
        <v>16.600000000000001</v>
      </c>
      <c r="D43" s="32">
        <v>4.9000000000000004</v>
      </c>
      <c r="E43" s="32"/>
      <c r="F43" s="32">
        <v>19.8</v>
      </c>
      <c r="G43" s="64">
        <v>41.3</v>
      </c>
      <c r="H43" s="13">
        <v>7.2</v>
      </c>
      <c r="I43" s="32"/>
      <c r="J43" s="32">
        <v>6.7</v>
      </c>
      <c r="K43" s="32">
        <v>7</v>
      </c>
      <c r="L43" s="64">
        <v>20.9</v>
      </c>
      <c r="M43" s="13">
        <v>62.2</v>
      </c>
      <c r="N43" s="13">
        <v>1.5</v>
      </c>
      <c r="O43" s="32">
        <v>3</v>
      </c>
      <c r="P43" s="64">
        <v>4.5</v>
      </c>
      <c r="Q43" s="13">
        <v>0</v>
      </c>
      <c r="R43" s="32">
        <v>11.5</v>
      </c>
      <c r="S43" s="32"/>
      <c r="T43" s="64">
        <v>11.5</v>
      </c>
      <c r="U43" s="13">
        <v>0</v>
      </c>
      <c r="V43" s="32">
        <v>0.7</v>
      </c>
      <c r="W43" s="120">
        <v>244.3</v>
      </c>
      <c r="X43" s="13">
        <f t="shared" si="2"/>
        <v>323.2</v>
      </c>
      <c r="Y43" s="74"/>
      <c r="Z43" s="2"/>
      <c r="AA43" s="121"/>
    </row>
    <row r="44" spans="1:27" ht="24.95" customHeight="1" x14ac:dyDescent="0.2">
      <c r="A44" s="2"/>
      <c r="B44" s="8" t="s">
        <v>11</v>
      </c>
      <c r="C44" s="13">
        <v>16.7</v>
      </c>
      <c r="D44" s="32">
        <v>3.4</v>
      </c>
      <c r="E44" s="32"/>
      <c r="F44" s="32">
        <v>10.199999999999999</v>
      </c>
      <c r="G44" s="64">
        <v>30.3</v>
      </c>
      <c r="H44" s="13">
        <v>0</v>
      </c>
      <c r="I44" s="32"/>
      <c r="J44" s="32">
        <v>5.3</v>
      </c>
      <c r="K44" s="32">
        <v>5.3</v>
      </c>
      <c r="L44" s="64">
        <v>10.6</v>
      </c>
      <c r="M44" s="13">
        <v>40.9</v>
      </c>
      <c r="N44" s="13">
        <v>1.2</v>
      </c>
      <c r="O44" s="32">
        <v>3</v>
      </c>
      <c r="P44" s="64">
        <v>4.2</v>
      </c>
      <c r="Q44" s="13">
        <v>0</v>
      </c>
      <c r="R44" s="32">
        <v>7.8</v>
      </c>
      <c r="S44" s="32"/>
      <c r="T44" s="64">
        <v>7.8</v>
      </c>
      <c r="U44" s="13">
        <v>0</v>
      </c>
      <c r="V44" s="32">
        <v>2</v>
      </c>
      <c r="W44" s="120">
        <v>191</v>
      </c>
      <c r="X44" s="13">
        <f t="shared" si="2"/>
        <v>245.9</v>
      </c>
      <c r="Y44" s="74"/>
      <c r="Z44" s="2"/>
      <c r="AA44" s="121"/>
    </row>
    <row r="45" spans="1:27" ht="24.95" customHeight="1" x14ac:dyDescent="0.2">
      <c r="A45" s="2"/>
      <c r="B45" s="8" t="s">
        <v>12</v>
      </c>
      <c r="C45" s="13">
        <v>16.100000000000001</v>
      </c>
      <c r="D45" s="32">
        <v>3.3</v>
      </c>
      <c r="E45" s="32"/>
      <c r="F45" s="32">
        <v>16.5</v>
      </c>
      <c r="G45" s="64">
        <v>35.9</v>
      </c>
      <c r="H45" s="13">
        <v>15.7</v>
      </c>
      <c r="I45" s="32"/>
      <c r="J45" s="32">
        <v>5.9</v>
      </c>
      <c r="K45" s="32">
        <v>7.2</v>
      </c>
      <c r="L45" s="64">
        <v>28.8</v>
      </c>
      <c r="M45" s="13">
        <v>64.7</v>
      </c>
      <c r="N45" s="13">
        <v>2.2999999999999998</v>
      </c>
      <c r="O45" s="32">
        <v>5.8</v>
      </c>
      <c r="P45" s="64">
        <v>8.1</v>
      </c>
      <c r="Q45" s="13">
        <v>0</v>
      </c>
      <c r="R45" s="32">
        <v>13.9</v>
      </c>
      <c r="S45" s="32"/>
      <c r="T45" s="64">
        <v>13.9</v>
      </c>
      <c r="U45" s="13">
        <v>0</v>
      </c>
      <c r="V45" s="32">
        <v>0</v>
      </c>
      <c r="W45" s="120">
        <v>238.4</v>
      </c>
      <c r="X45" s="13">
        <f t="shared" si="2"/>
        <v>325.10000000000002</v>
      </c>
      <c r="Y45" s="74"/>
      <c r="Z45" s="2"/>
      <c r="AA45" s="121"/>
    </row>
    <row r="46" spans="1:27" ht="24.95" customHeight="1" x14ac:dyDescent="0.2">
      <c r="A46" s="2"/>
      <c r="B46" s="8" t="s">
        <v>13</v>
      </c>
      <c r="C46" s="13">
        <v>14.6</v>
      </c>
      <c r="D46" s="32">
        <v>5.9</v>
      </c>
      <c r="E46" s="32"/>
      <c r="F46" s="32">
        <v>24.6</v>
      </c>
      <c r="G46" s="64">
        <v>45.1</v>
      </c>
      <c r="H46" s="13">
        <v>9.3000000000000007</v>
      </c>
      <c r="I46" s="32"/>
      <c r="J46" s="32">
        <v>5.2</v>
      </c>
      <c r="K46" s="32">
        <v>7.1</v>
      </c>
      <c r="L46" s="64">
        <v>21.6</v>
      </c>
      <c r="M46" s="13">
        <v>66.7</v>
      </c>
      <c r="N46" s="13">
        <v>1.5</v>
      </c>
      <c r="O46" s="32">
        <v>3.2</v>
      </c>
      <c r="P46" s="64">
        <v>4.7</v>
      </c>
      <c r="Q46" s="13">
        <v>0</v>
      </c>
      <c r="R46" s="32">
        <v>14.1</v>
      </c>
      <c r="S46" s="32"/>
      <c r="T46" s="64">
        <v>14.1</v>
      </c>
      <c r="U46" s="13">
        <v>0</v>
      </c>
      <c r="V46" s="32">
        <v>6.1</v>
      </c>
      <c r="W46" s="120">
        <v>231.1</v>
      </c>
      <c r="X46" s="13">
        <f t="shared" si="2"/>
        <v>322.7</v>
      </c>
      <c r="Y46" s="74"/>
      <c r="Z46" s="2"/>
      <c r="AA46" s="121"/>
    </row>
    <row r="47" spans="1:27" ht="24.95" customHeight="1" x14ac:dyDescent="0.2">
      <c r="A47" s="2"/>
      <c r="B47" s="8" t="s">
        <v>14</v>
      </c>
      <c r="C47" s="13">
        <v>18.100000000000001</v>
      </c>
      <c r="D47" s="32">
        <v>7.3</v>
      </c>
      <c r="E47" s="32"/>
      <c r="F47" s="32">
        <v>54.8</v>
      </c>
      <c r="G47" s="64">
        <v>80.2</v>
      </c>
      <c r="H47" s="13">
        <v>10</v>
      </c>
      <c r="I47" s="32"/>
      <c r="J47" s="32">
        <v>4.9000000000000004</v>
      </c>
      <c r="K47" s="32">
        <v>5.6</v>
      </c>
      <c r="L47" s="64">
        <v>20.5</v>
      </c>
      <c r="M47" s="13">
        <v>100.7</v>
      </c>
      <c r="N47" s="13">
        <v>0.4</v>
      </c>
      <c r="O47" s="32">
        <v>3.4</v>
      </c>
      <c r="P47" s="64">
        <v>3.8</v>
      </c>
      <c r="Q47" s="13">
        <v>0</v>
      </c>
      <c r="R47" s="32">
        <v>8.6</v>
      </c>
      <c r="S47" s="32"/>
      <c r="T47" s="64">
        <v>8.6</v>
      </c>
      <c r="U47" s="13">
        <v>0</v>
      </c>
      <c r="V47" s="32">
        <v>1.1000000000000001</v>
      </c>
      <c r="W47" s="120">
        <v>203.7</v>
      </c>
      <c r="X47" s="13">
        <f t="shared" si="2"/>
        <v>317.89999999999998</v>
      </c>
      <c r="Y47" s="74"/>
      <c r="Z47" s="2"/>
      <c r="AA47" s="121"/>
    </row>
    <row r="48" spans="1:27" ht="24.95" customHeight="1" x14ac:dyDescent="0.2">
      <c r="A48" s="2"/>
      <c r="B48" s="8" t="s">
        <v>15</v>
      </c>
      <c r="C48" s="13">
        <v>21.1</v>
      </c>
      <c r="D48" s="32">
        <v>9.1</v>
      </c>
      <c r="E48" s="32"/>
      <c r="F48" s="32">
        <v>24.4</v>
      </c>
      <c r="G48" s="64">
        <v>54.6</v>
      </c>
      <c r="H48" s="13">
        <v>8.5</v>
      </c>
      <c r="I48" s="32"/>
      <c r="J48" s="32">
        <v>7.6</v>
      </c>
      <c r="K48" s="32">
        <v>8.3000000000000007</v>
      </c>
      <c r="L48" s="64">
        <v>24.4</v>
      </c>
      <c r="M48" s="13">
        <v>79</v>
      </c>
      <c r="N48" s="13">
        <v>1.4</v>
      </c>
      <c r="O48" s="32">
        <v>2.4</v>
      </c>
      <c r="P48" s="64">
        <v>3.8</v>
      </c>
      <c r="Q48" s="13">
        <v>0</v>
      </c>
      <c r="R48" s="32">
        <v>15.6</v>
      </c>
      <c r="S48" s="32"/>
      <c r="T48" s="64">
        <v>15.6</v>
      </c>
      <c r="U48" s="13">
        <v>0</v>
      </c>
      <c r="V48" s="32">
        <v>4.0999999999999996</v>
      </c>
      <c r="W48" s="120">
        <v>257.10000000000002</v>
      </c>
      <c r="X48" s="13">
        <f t="shared" si="2"/>
        <v>359.60000000000008</v>
      </c>
      <c r="Y48" s="74"/>
      <c r="Z48" s="2"/>
      <c r="AA48" s="121"/>
    </row>
    <row r="49" spans="1:29" ht="24.95" customHeight="1" x14ac:dyDescent="0.2">
      <c r="A49" s="2"/>
      <c r="B49" s="8" t="s">
        <v>16</v>
      </c>
      <c r="C49" s="13">
        <v>15.9</v>
      </c>
      <c r="D49" s="32">
        <v>10.3</v>
      </c>
      <c r="E49" s="32"/>
      <c r="F49" s="32">
        <v>18.5</v>
      </c>
      <c r="G49" s="64">
        <v>44.7</v>
      </c>
      <c r="H49" s="13">
        <v>0</v>
      </c>
      <c r="I49" s="32"/>
      <c r="J49" s="32">
        <v>8.8000000000000007</v>
      </c>
      <c r="K49" s="32">
        <v>6.2</v>
      </c>
      <c r="L49" s="64">
        <v>15</v>
      </c>
      <c r="M49" s="13">
        <v>59.7</v>
      </c>
      <c r="N49" s="13">
        <v>0.2</v>
      </c>
      <c r="O49" s="32">
        <v>2.1</v>
      </c>
      <c r="P49" s="64">
        <v>2.2999999999999998</v>
      </c>
      <c r="Q49" s="13">
        <v>0</v>
      </c>
      <c r="R49" s="32">
        <v>7</v>
      </c>
      <c r="S49" s="32"/>
      <c r="T49" s="64">
        <v>7</v>
      </c>
      <c r="U49" s="13">
        <v>0</v>
      </c>
      <c r="V49" s="32">
        <v>11.7</v>
      </c>
      <c r="W49" s="120">
        <v>239.1</v>
      </c>
      <c r="X49" s="13">
        <f t="shared" si="2"/>
        <v>319.79999999999995</v>
      </c>
      <c r="Y49" s="74"/>
      <c r="Z49" s="2"/>
      <c r="AA49" s="121"/>
    </row>
    <row r="50" spans="1:29" ht="24.95" customHeight="1" x14ac:dyDescent="0.2">
      <c r="A50" s="2"/>
      <c r="B50" s="8" t="s">
        <v>17</v>
      </c>
      <c r="C50" s="13">
        <v>15.2</v>
      </c>
      <c r="D50" s="32">
        <v>10.3</v>
      </c>
      <c r="E50" s="32"/>
      <c r="F50" s="32">
        <v>13.6</v>
      </c>
      <c r="G50" s="64">
        <v>39.1</v>
      </c>
      <c r="H50" s="13">
        <v>15.5</v>
      </c>
      <c r="I50" s="32"/>
      <c r="J50" s="32">
        <v>4.9000000000000004</v>
      </c>
      <c r="K50" s="32">
        <v>4.8</v>
      </c>
      <c r="L50" s="64">
        <v>25.2</v>
      </c>
      <c r="M50" s="13">
        <v>64.3</v>
      </c>
      <c r="N50" s="13">
        <v>2.2999999999999998</v>
      </c>
      <c r="O50" s="32">
        <v>5.68</v>
      </c>
      <c r="P50" s="64">
        <v>7.98</v>
      </c>
      <c r="Q50" s="13">
        <v>24.18</v>
      </c>
      <c r="R50" s="32">
        <v>67.180000000000007</v>
      </c>
      <c r="S50" s="32"/>
      <c r="T50" s="64">
        <f>Q50+R50</f>
        <v>91.360000000000014</v>
      </c>
      <c r="U50" s="13">
        <v>0</v>
      </c>
      <c r="V50" s="32">
        <v>8.8000000000000007</v>
      </c>
      <c r="W50" s="120">
        <v>240.4</v>
      </c>
      <c r="X50" s="13">
        <f t="shared" si="2"/>
        <v>412.84000000000009</v>
      </c>
      <c r="Y50" s="74"/>
      <c r="Z50" s="2"/>
      <c r="AA50" s="121"/>
    </row>
    <row r="51" spans="1:29" ht="16.5" customHeight="1" x14ac:dyDescent="0.2">
      <c r="A51" s="2"/>
      <c r="B51" s="8"/>
      <c r="C51" s="13"/>
      <c r="D51" s="32"/>
      <c r="E51" s="32"/>
      <c r="F51" s="32"/>
      <c r="G51" s="64"/>
      <c r="H51" s="13"/>
      <c r="I51" s="32"/>
      <c r="J51" s="32"/>
      <c r="K51" s="32"/>
      <c r="L51" s="64"/>
      <c r="M51" s="13"/>
      <c r="N51" s="13"/>
      <c r="O51" s="32"/>
      <c r="P51" s="64"/>
      <c r="Q51" s="13"/>
      <c r="R51" s="32"/>
      <c r="S51" s="32"/>
      <c r="T51" s="64"/>
      <c r="U51" s="13"/>
      <c r="V51" s="32"/>
      <c r="W51" s="120"/>
      <c r="X51" s="13">
        <f t="shared" si="2"/>
        <v>0</v>
      </c>
      <c r="Y51" s="74"/>
      <c r="Z51" s="2"/>
      <c r="AA51" s="121"/>
    </row>
    <row r="52" spans="1:29" ht="20.100000000000001" customHeight="1" x14ac:dyDescent="0.2">
      <c r="A52" s="2"/>
      <c r="B52" s="28" t="s">
        <v>62</v>
      </c>
      <c r="C52" s="13">
        <f>SUM(C53:C64)</f>
        <v>175.4</v>
      </c>
      <c r="D52" s="32">
        <f>SUM(D53:D64)</f>
        <v>90.9</v>
      </c>
      <c r="E52" s="32"/>
      <c r="F52" s="32">
        <f t="shared" ref="F52:K52" si="3">SUM(F53:F64)</f>
        <v>191.6</v>
      </c>
      <c r="G52" s="64">
        <f t="shared" si="3"/>
        <v>457.90000000000003</v>
      </c>
      <c r="H52" s="32">
        <f t="shared" si="3"/>
        <v>71.700000000000017</v>
      </c>
      <c r="I52" s="32">
        <f t="shared" si="3"/>
        <v>0</v>
      </c>
      <c r="J52" s="32">
        <f t="shared" si="3"/>
        <v>67.400000000000006</v>
      </c>
      <c r="K52" s="32">
        <f t="shared" si="3"/>
        <v>52.05</v>
      </c>
      <c r="L52" s="64">
        <f t="shared" ref="L52:L64" si="4">H52+J52+K52</f>
        <v>191.15000000000003</v>
      </c>
      <c r="M52" s="13">
        <f t="shared" ref="M52:M64" si="5">L52+G52</f>
        <v>649.05000000000007</v>
      </c>
      <c r="N52" s="13">
        <f>SUM(N53:N64)</f>
        <v>7.1000000000000005</v>
      </c>
      <c r="O52" s="32">
        <f>SUM(O53:O64)</f>
        <v>57.2</v>
      </c>
      <c r="P52" s="64">
        <f t="shared" ref="P52:P64" si="6">O52+N52</f>
        <v>64.3</v>
      </c>
      <c r="Q52" s="32">
        <f>SUM(Q53:Q64)</f>
        <v>0</v>
      </c>
      <c r="R52" s="32">
        <f>SUM(R53:R64)</f>
        <v>247.60000000000002</v>
      </c>
      <c r="S52" s="32">
        <f>SUM(S53:S64)</f>
        <v>22.9</v>
      </c>
      <c r="T52" s="65">
        <f t="shared" ref="T52:T83" si="7">R52+Q52+S52</f>
        <v>270.5</v>
      </c>
      <c r="U52" s="13">
        <v>0</v>
      </c>
      <c r="V52" s="32">
        <f>SUM(V53:V64)</f>
        <v>73.799999999999983</v>
      </c>
      <c r="W52" s="120">
        <f>SUM(W53:W64)</f>
        <v>4053.1</v>
      </c>
      <c r="X52" s="13">
        <f t="shared" si="2"/>
        <v>5110.75</v>
      </c>
      <c r="Y52" s="74"/>
      <c r="AA52" s="121"/>
    </row>
    <row r="53" spans="1:29" ht="20.100000000000001" customHeight="1" x14ac:dyDescent="0.2">
      <c r="A53" s="2"/>
      <c r="B53" s="29" t="s">
        <v>24</v>
      </c>
      <c r="C53" s="13">
        <v>17.2</v>
      </c>
      <c r="D53" s="32">
        <v>7.3</v>
      </c>
      <c r="E53" s="32"/>
      <c r="F53" s="32">
        <v>20.6</v>
      </c>
      <c r="G53" s="64">
        <f t="shared" ref="G53:G64" si="8">C53+D53+F53</f>
        <v>45.1</v>
      </c>
      <c r="H53" s="13">
        <v>9.6</v>
      </c>
      <c r="I53" s="32"/>
      <c r="J53" s="32">
        <v>6.7</v>
      </c>
      <c r="K53" s="32">
        <v>3.8</v>
      </c>
      <c r="L53" s="64">
        <f t="shared" si="4"/>
        <v>20.100000000000001</v>
      </c>
      <c r="M53" s="13">
        <f t="shared" si="5"/>
        <v>65.2</v>
      </c>
      <c r="N53" s="13">
        <v>0.7</v>
      </c>
      <c r="O53" s="32">
        <v>4.3</v>
      </c>
      <c r="P53" s="64">
        <f t="shared" si="6"/>
        <v>5</v>
      </c>
      <c r="Q53" s="13">
        <v>0</v>
      </c>
      <c r="R53" s="32">
        <v>6.3</v>
      </c>
      <c r="S53" s="32"/>
      <c r="T53" s="65">
        <f t="shared" si="7"/>
        <v>6.3</v>
      </c>
      <c r="U53" s="13">
        <v>0</v>
      </c>
      <c r="V53" s="32">
        <v>1.5</v>
      </c>
      <c r="W53" s="120">
        <v>310.5</v>
      </c>
      <c r="X53" s="13">
        <f t="shared" si="2"/>
        <v>388.5</v>
      </c>
      <c r="Y53" s="74"/>
      <c r="AA53" s="123"/>
    </row>
    <row r="54" spans="1:29" ht="20.100000000000001" customHeight="1" x14ac:dyDescent="0.2">
      <c r="A54" s="2"/>
      <c r="B54" s="29" t="s">
        <v>25</v>
      </c>
      <c r="C54" s="13">
        <v>11.8</v>
      </c>
      <c r="D54" s="32">
        <v>3.5</v>
      </c>
      <c r="E54" s="32"/>
      <c r="F54" s="32">
        <v>25.3</v>
      </c>
      <c r="G54" s="64">
        <f t="shared" si="8"/>
        <v>40.6</v>
      </c>
      <c r="H54" s="13">
        <v>6.9</v>
      </c>
      <c r="I54" s="32"/>
      <c r="J54" s="32">
        <v>2.4</v>
      </c>
      <c r="K54" s="32">
        <v>1.1000000000000001</v>
      </c>
      <c r="L54" s="64">
        <f t="shared" si="4"/>
        <v>10.4</v>
      </c>
      <c r="M54" s="13">
        <f t="shared" si="5"/>
        <v>51</v>
      </c>
      <c r="N54" s="13">
        <v>0.8</v>
      </c>
      <c r="O54" s="32">
        <v>5.6</v>
      </c>
      <c r="P54" s="64">
        <f t="shared" si="6"/>
        <v>6.3999999999999995</v>
      </c>
      <c r="Q54" s="13">
        <v>0</v>
      </c>
      <c r="R54" s="32">
        <v>2.8</v>
      </c>
      <c r="S54" s="32"/>
      <c r="T54" s="65">
        <f t="shared" si="7"/>
        <v>2.8</v>
      </c>
      <c r="U54" s="13">
        <v>0</v>
      </c>
      <c r="V54" s="32">
        <v>3.9</v>
      </c>
      <c r="W54" s="120">
        <v>269.5</v>
      </c>
      <c r="X54" s="13">
        <f t="shared" si="2"/>
        <v>333.59999999999997</v>
      </c>
      <c r="Y54" s="74"/>
      <c r="AA54" s="123"/>
    </row>
    <row r="55" spans="1:29" ht="20.100000000000001" customHeight="1" x14ac:dyDescent="0.2">
      <c r="A55" s="2"/>
      <c r="B55" s="29" t="s">
        <v>26</v>
      </c>
      <c r="C55" s="13">
        <v>14.3</v>
      </c>
      <c r="D55" s="32">
        <v>6.5</v>
      </c>
      <c r="E55" s="32"/>
      <c r="F55" s="32">
        <v>25.2</v>
      </c>
      <c r="G55" s="64">
        <f t="shared" si="8"/>
        <v>46</v>
      </c>
      <c r="H55" s="13">
        <v>3.5</v>
      </c>
      <c r="I55" s="32"/>
      <c r="J55" s="32">
        <v>5.9</v>
      </c>
      <c r="K55" s="32">
        <v>4.0999999999999996</v>
      </c>
      <c r="L55" s="64">
        <f t="shared" si="4"/>
        <v>13.5</v>
      </c>
      <c r="M55" s="13">
        <f t="shared" si="5"/>
        <v>59.5</v>
      </c>
      <c r="N55" s="13">
        <v>0.1</v>
      </c>
      <c r="O55" s="32">
        <v>5.0999999999999996</v>
      </c>
      <c r="P55" s="64">
        <f t="shared" si="6"/>
        <v>5.1999999999999993</v>
      </c>
      <c r="Q55" s="13">
        <v>0</v>
      </c>
      <c r="R55" s="32">
        <v>12.2</v>
      </c>
      <c r="S55" s="32"/>
      <c r="T55" s="65">
        <f t="shared" si="7"/>
        <v>12.2</v>
      </c>
      <c r="U55" s="13">
        <v>0</v>
      </c>
      <c r="V55" s="32">
        <v>12.5</v>
      </c>
      <c r="W55" s="120">
        <v>293.3</v>
      </c>
      <c r="X55" s="13">
        <f t="shared" si="2"/>
        <v>382.7</v>
      </c>
      <c r="Y55" s="74"/>
      <c r="AA55" s="123"/>
    </row>
    <row r="56" spans="1:29" ht="20.100000000000001" customHeight="1" x14ac:dyDescent="0.2">
      <c r="B56" s="29" t="s">
        <v>27</v>
      </c>
      <c r="C56" s="13">
        <v>30.2</v>
      </c>
      <c r="D56" s="32">
        <v>10.6</v>
      </c>
      <c r="E56" s="32"/>
      <c r="F56" s="32">
        <v>23.1</v>
      </c>
      <c r="G56" s="64">
        <f t="shared" si="8"/>
        <v>63.9</v>
      </c>
      <c r="H56" s="13">
        <v>6.1</v>
      </c>
      <c r="I56" s="75"/>
      <c r="J56" s="32">
        <v>6.4</v>
      </c>
      <c r="K56" s="32">
        <v>4.7</v>
      </c>
      <c r="L56" s="64">
        <f t="shared" si="4"/>
        <v>17.2</v>
      </c>
      <c r="M56" s="13">
        <f t="shared" si="5"/>
        <v>81.099999999999994</v>
      </c>
      <c r="N56" s="13">
        <v>0.2</v>
      </c>
      <c r="O56" s="32">
        <v>3.4</v>
      </c>
      <c r="P56" s="64">
        <f t="shared" si="6"/>
        <v>3.6</v>
      </c>
      <c r="Q56" s="15"/>
      <c r="R56" s="32">
        <f>32.5-10</f>
        <v>22.5</v>
      </c>
      <c r="S56" s="32"/>
      <c r="T56" s="65">
        <f t="shared" si="7"/>
        <v>22.5</v>
      </c>
      <c r="U56" s="15"/>
      <c r="V56" s="32">
        <v>2.4</v>
      </c>
      <c r="W56" s="120">
        <f>1.5+0.1+2+343.6</f>
        <v>347.20000000000005</v>
      </c>
      <c r="X56" s="13">
        <f t="shared" si="2"/>
        <v>456.80000000000007</v>
      </c>
      <c r="Y56" s="74"/>
      <c r="AA56" s="123"/>
    </row>
    <row r="57" spans="1:29" ht="20.100000000000001" customHeight="1" x14ac:dyDescent="0.2">
      <c r="B57" s="29" t="s">
        <v>28</v>
      </c>
      <c r="C57" s="13">
        <v>36.1</v>
      </c>
      <c r="D57" s="32">
        <v>8.1</v>
      </c>
      <c r="E57" s="32"/>
      <c r="F57" s="32">
        <v>14.7</v>
      </c>
      <c r="G57" s="64">
        <f t="shared" si="8"/>
        <v>58.900000000000006</v>
      </c>
      <c r="H57" s="13">
        <v>4.8</v>
      </c>
      <c r="I57" s="75"/>
      <c r="J57" s="32">
        <v>4.8</v>
      </c>
      <c r="K57" s="32">
        <v>3.2</v>
      </c>
      <c r="L57" s="64">
        <f t="shared" si="4"/>
        <v>12.8</v>
      </c>
      <c r="M57" s="13">
        <f t="shared" si="5"/>
        <v>71.7</v>
      </c>
      <c r="N57" s="13">
        <v>0.2</v>
      </c>
      <c r="O57" s="32">
        <v>3.9</v>
      </c>
      <c r="P57" s="64">
        <f t="shared" si="6"/>
        <v>4.0999999999999996</v>
      </c>
      <c r="Q57" s="15"/>
      <c r="R57" s="32">
        <f>42.1+10</f>
        <v>52.1</v>
      </c>
      <c r="S57" s="32"/>
      <c r="T57" s="65">
        <f t="shared" si="7"/>
        <v>52.1</v>
      </c>
      <c r="U57" s="15"/>
      <c r="V57" s="32">
        <v>0.5</v>
      </c>
      <c r="W57" s="120">
        <f>5.5+23.3+34.4+321.1</f>
        <v>384.3</v>
      </c>
      <c r="X57" s="13">
        <f t="shared" si="2"/>
        <v>512.70000000000005</v>
      </c>
      <c r="Y57" s="74"/>
      <c r="AA57" s="123"/>
    </row>
    <row r="58" spans="1:29" ht="20.100000000000001" customHeight="1" x14ac:dyDescent="0.2">
      <c r="B58" s="29" t="s">
        <v>29</v>
      </c>
      <c r="C58" s="13">
        <v>21</v>
      </c>
      <c r="D58" s="32">
        <v>17.100000000000001</v>
      </c>
      <c r="E58" s="32"/>
      <c r="F58" s="32">
        <v>17.899999999999999</v>
      </c>
      <c r="G58" s="64">
        <f t="shared" si="8"/>
        <v>56</v>
      </c>
      <c r="H58" s="13">
        <v>1.7</v>
      </c>
      <c r="I58" s="75"/>
      <c r="J58" s="32">
        <v>5</v>
      </c>
      <c r="K58" s="32">
        <v>5.7</v>
      </c>
      <c r="L58" s="64">
        <f t="shared" si="4"/>
        <v>12.4</v>
      </c>
      <c r="M58" s="13">
        <f t="shared" si="5"/>
        <v>68.400000000000006</v>
      </c>
      <c r="N58" s="13">
        <v>0</v>
      </c>
      <c r="O58" s="32">
        <v>4.9000000000000004</v>
      </c>
      <c r="P58" s="64">
        <f t="shared" si="6"/>
        <v>4.9000000000000004</v>
      </c>
      <c r="Q58" s="15"/>
      <c r="R58" s="32">
        <v>18.600000000000001</v>
      </c>
      <c r="S58" s="32"/>
      <c r="T58" s="65">
        <f t="shared" si="7"/>
        <v>18.600000000000001</v>
      </c>
      <c r="U58" s="15"/>
      <c r="V58" s="32">
        <v>2.7</v>
      </c>
      <c r="W58" s="120">
        <f>0.1+10+22.6+276.9</f>
        <v>309.59999999999997</v>
      </c>
      <c r="X58" s="13">
        <f t="shared" si="2"/>
        <v>404.19999999999993</v>
      </c>
      <c r="Y58" s="74"/>
      <c r="AA58" s="123"/>
    </row>
    <row r="59" spans="1:29" ht="20.100000000000001" customHeight="1" x14ac:dyDescent="0.2">
      <c r="B59" s="29" t="s">
        <v>30</v>
      </c>
      <c r="C59" s="13">
        <v>21.5</v>
      </c>
      <c r="D59" s="32">
        <v>9.1</v>
      </c>
      <c r="E59" s="32"/>
      <c r="F59" s="32">
        <f>32.4+5.2</f>
        <v>37.6</v>
      </c>
      <c r="G59" s="64">
        <f t="shared" si="8"/>
        <v>68.2</v>
      </c>
      <c r="H59" s="13">
        <v>11.9</v>
      </c>
      <c r="I59" s="75"/>
      <c r="J59" s="32">
        <v>7.7</v>
      </c>
      <c r="K59" s="32">
        <f>8.7*0.4</f>
        <v>3.48</v>
      </c>
      <c r="L59" s="64">
        <f t="shared" si="4"/>
        <v>23.080000000000002</v>
      </c>
      <c r="M59" s="13">
        <f t="shared" si="5"/>
        <v>91.28</v>
      </c>
      <c r="N59" s="13">
        <v>0.7</v>
      </c>
      <c r="O59" s="32">
        <v>3.8</v>
      </c>
      <c r="P59" s="64">
        <f t="shared" si="6"/>
        <v>4.5</v>
      </c>
      <c r="Q59" s="13">
        <v>0</v>
      </c>
      <c r="R59" s="32">
        <v>39.6</v>
      </c>
      <c r="S59" s="32"/>
      <c r="T59" s="65">
        <f t="shared" si="7"/>
        <v>39.6</v>
      </c>
      <c r="U59" s="13">
        <v>0</v>
      </c>
      <c r="V59" s="32">
        <v>1.5</v>
      </c>
      <c r="W59" s="120">
        <f>1+3.9+45.2+358.8</f>
        <v>408.90000000000003</v>
      </c>
      <c r="X59" s="13">
        <f t="shared" si="2"/>
        <v>545.78000000000009</v>
      </c>
      <c r="Y59" s="76"/>
      <c r="Z59" s="4"/>
      <c r="AA59" s="124"/>
      <c r="AB59" s="4"/>
      <c r="AC59" s="4"/>
    </row>
    <row r="60" spans="1:29" ht="20.100000000000001" customHeight="1" x14ac:dyDescent="0.2">
      <c r="B60" s="29" t="s">
        <v>31</v>
      </c>
      <c r="C60" s="13">
        <v>10.5</v>
      </c>
      <c r="D60" s="32">
        <v>21.7</v>
      </c>
      <c r="E60" s="32"/>
      <c r="F60" s="32">
        <f>14.4+4.2</f>
        <v>18.600000000000001</v>
      </c>
      <c r="G60" s="64">
        <f t="shared" si="8"/>
        <v>50.800000000000004</v>
      </c>
      <c r="H60" s="13">
        <v>0.1</v>
      </c>
      <c r="I60" s="75"/>
      <c r="J60" s="32">
        <v>6.4</v>
      </c>
      <c r="K60" s="32">
        <f>7*0.4</f>
        <v>2.8000000000000003</v>
      </c>
      <c r="L60" s="64">
        <f t="shared" si="4"/>
        <v>9.3000000000000007</v>
      </c>
      <c r="M60" s="13">
        <f t="shared" si="5"/>
        <v>60.100000000000009</v>
      </c>
      <c r="N60" s="13">
        <v>0.8</v>
      </c>
      <c r="O60" s="32">
        <v>4.5</v>
      </c>
      <c r="P60" s="64">
        <f t="shared" si="6"/>
        <v>5.3</v>
      </c>
      <c r="Q60" s="13">
        <v>0</v>
      </c>
      <c r="R60" s="32">
        <v>21.9</v>
      </c>
      <c r="S60" s="32"/>
      <c r="T60" s="65">
        <f t="shared" si="7"/>
        <v>21.9</v>
      </c>
      <c r="U60" s="13">
        <v>0</v>
      </c>
      <c r="V60" s="32">
        <v>20.9</v>
      </c>
      <c r="W60" s="120">
        <f>267.5+21.2+4.5</f>
        <v>293.2</v>
      </c>
      <c r="X60" s="13">
        <f t="shared" si="2"/>
        <v>401.4</v>
      </c>
      <c r="Y60" s="76"/>
      <c r="Z60" s="4"/>
      <c r="AA60" s="124"/>
      <c r="AB60" s="4"/>
      <c r="AC60" s="4"/>
    </row>
    <row r="61" spans="1:29" ht="20.100000000000001" customHeight="1" x14ac:dyDescent="0.2">
      <c r="B61" s="29" t="s">
        <v>32</v>
      </c>
      <c r="C61" s="13">
        <v>5.9</v>
      </c>
      <c r="D61" s="32">
        <v>2.7</v>
      </c>
      <c r="E61" s="32"/>
      <c r="F61" s="32">
        <f>1.3+5.3</f>
        <v>6.6</v>
      </c>
      <c r="G61" s="64">
        <f t="shared" si="8"/>
        <v>15.200000000000001</v>
      </c>
      <c r="H61" s="13">
        <v>7.2</v>
      </c>
      <c r="I61" s="75"/>
      <c r="J61" s="32">
        <v>4.9000000000000004</v>
      </c>
      <c r="K61" s="32">
        <f>8.8*0.4</f>
        <v>3.5200000000000005</v>
      </c>
      <c r="L61" s="64">
        <f t="shared" si="4"/>
        <v>15.620000000000001</v>
      </c>
      <c r="M61" s="13">
        <f t="shared" si="5"/>
        <v>30.82</v>
      </c>
      <c r="N61" s="13">
        <v>0.2</v>
      </c>
      <c r="O61" s="32">
        <v>7.6</v>
      </c>
      <c r="P61" s="64">
        <f t="shared" si="6"/>
        <v>7.8</v>
      </c>
      <c r="Q61" s="13">
        <v>0</v>
      </c>
      <c r="R61" s="32">
        <f>30.3-22.9</f>
        <v>7.4000000000000021</v>
      </c>
      <c r="S61" s="32">
        <v>22.9</v>
      </c>
      <c r="T61" s="65">
        <f t="shared" si="7"/>
        <v>30.3</v>
      </c>
      <c r="U61" s="13">
        <v>0</v>
      </c>
      <c r="V61" s="32">
        <v>1.4</v>
      </c>
      <c r="W61" s="120">
        <f>330.2+14+4.8</f>
        <v>349</v>
      </c>
      <c r="X61" s="13">
        <f t="shared" si="2"/>
        <v>419.32</v>
      </c>
      <c r="Y61" s="76"/>
      <c r="Z61" s="4"/>
      <c r="AA61" s="124"/>
      <c r="AB61" s="4"/>
      <c r="AC61" s="4"/>
    </row>
    <row r="62" spans="1:29" ht="20.100000000000001" customHeight="1" x14ac:dyDescent="0.2">
      <c r="B62" s="29" t="s">
        <v>33</v>
      </c>
      <c r="C62" s="13">
        <v>2.4</v>
      </c>
      <c r="D62" s="32">
        <v>1.2</v>
      </c>
      <c r="E62" s="32"/>
      <c r="F62" s="32">
        <v>1.2</v>
      </c>
      <c r="G62" s="64">
        <f t="shared" si="8"/>
        <v>4.8</v>
      </c>
      <c r="H62" s="13">
        <v>7</v>
      </c>
      <c r="I62" s="75"/>
      <c r="J62" s="32">
        <v>6.2</v>
      </c>
      <c r="K62" s="32">
        <v>7.4</v>
      </c>
      <c r="L62" s="64">
        <f t="shared" si="4"/>
        <v>20.6</v>
      </c>
      <c r="M62" s="13">
        <f t="shared" si="5"/>
        <v>25.400000000000002</v>
      </c>
      <c r="N62" s="13">
        <v>1.1000000000000001</v>
      </c>
      <c r="O62" s="32">
        <v>5.2</v>
      </c>
      <c r="P62" s="64">
        <f t="shared" si="6"/>
        <v>6.3000000000000007</v>
      </c>
      <c r="Q62" s="13">
        <v>0</v>
      </c>
      <c r="R62" s="32">
        <v>7.4</v>
      </c>
      <c r="S62" s="32"/>
      <c r="T62" s="65">
        <f t="shared" si="7"/>
        <v>7.4</v>
      </c>
      <c r="U62" s="13">
        <v>0</v>
      </c>
      <c r="V62" s="32">
        <v>9.5</v>
      </c>
      <c r="W62" s="120">
        <f>8.4+374.5</f>
        <v>382.9</v>
      </c>
      <c r="X62" s="13">
        <f t="shared" si="2"/>
        <v>431.49999999999994</v>
      </c>
      <c r="Y62" s="74"/>
      <c r="AA62" s="123"/>
    </row>
    <row r="63" spans="1:29" ht="20.100000000000001" customHeight="1" x14ac:dyDescent="0.2">
      <c r="B63" s="29" t="s">
        <v>34</v>
      </c>
      <c r="C63" s="13">
        <v>2.7</v>
      </c>
      <c r="D63" s="32">
        <v>2.8</v>
      </c>
      <c r="E63" s="32"/>
      <c r="F63" s="32">
        <v>0.8</v>
      </c>
      <c r="G63" s="64">
        <f t="shared" si="8"/>
        <v>6.3</v>
      </c>
      <c r="H63" s="13">
        <v>6.5</v>
      </c>
      <c r="I63" s="75"/>
      <c r="J63" s="32">
        <v>5.2</v>
      </c>
      <c r="K63" s="32">
        <v>5.6</v>
      </c>
      <c r="L63" s="64">
        <f t="shared" si="4"/>
        <v>17.299999999999997</v>
      </c>
      <c r="M63" s="13">
        <f t="shared" si="5"/>
        <v>23.599999999999998</v>
      </c>
      <c r="N63" s="13">
        <v>1.5</v>
      </c>
      <c r="O63" s="32">
        <v>4.9000000000000004</v>
      </c>
      <c r="P63" s="64">
        <f t="shared" si="6"/>
        <v>6.4</v>
      </c>
      <c r="Q63" s="13">
        <v>0</v>
      </c>
      <c r="R63" s="32">
        <v>12.8</v>
      </c>
      <c r="S63" s="32"/>
      <c r="T63" s="65">
        <f t="shared" si="7"/>
        <v>12.8</v>
      </c>
      <c r="U63" s="13">
        <v>0</v>
      </c>
      <c r="V63" s="32">
        <v>1.8</v>
      </c>
      <c r="W63" s="120">
        <f>0.2+1.2+296.9</f>
        <v>298.29999999999995</v>
      </c>
      <c r="X63" s="13">
        <f t="shared" si="2"/>
        <v>342.9</v>
      </c>
      <c r="Y63" s="74"/>
      <c r="AA63" s="123"/>
    </row>
    <row r="64" spans="1:29" ht="20.100000000000001" customHeight="1" x14ac:dyDescent="0.2">
      <c r="B64" s="29" t="s">
        <v>35</v>
      </c>
      <c r="C64" s="13">
        <v>1.8</v>
      </c>
      <c r="D64" s="32">
        <v>0.3</v>
      </c>
      <c r="E64" s="32"/>
      <c r="F64" s="32">
        <v>0</v>
      </c>
      <c r="G64" s="64">
        <f t="shared" si="8"/>
        <v>2.1</v>
      </c>
      <c r="H64" s="13">
        <f>5.9+0.5</f>
        <v>6.4</v>
      </c>
      <c r="I64" s="75"/>
      <c r="J64" s="32">
        <v>5.8</v>
      </c>
      <c r="K64" s="32">
        <v>6.65</v>
      </c>
      <c r="L64" s="64">
        <f t="shared" si="4"/>
        <v>18.850000000000001</v>
      </c>
      <c r="M64" s="13">
        <f t="shared" si="5"/>
        <v>20.950000000000003</v>
      </c>
      <c r="N64" s="13">
        <v>0.8</v>
      </c>
      <c r="O64" s="32">
        <v>4</v>
      </c>
      <c r="P64" s="64">
        <f t="shared" si="6"/>
        <v>4.8</v>
      </c>
      <c r="Q64" s="13">
        <v>0</v>
      </c>
      <c r="R64" s="32">
        <v>44</v>
      </c>
      <c r="S64" s="32"/>
      <c r="T64" s="65">
        <f t="shared" si="7"/>
        <v>44</v>
      </c>
      <c r="U64" s="13">
        <v>0</v>
      </c>
      <c r="V64" s="32">
        <v>15.2</v>
      </c>
      <c r="W64" s="120">
        <f>2+4.1+400.3</f>
        <v>406.40000000000003</v>
      </c>
      <c r="X64" s="13">
        <f t="shared" si="2"/>
        <v>491.35</v>
      </c>
      <c r="Y64" s="74"/>
      <c r="AA64" s="123"/>
    </row>
    <row r="65" spans="2:25" ht="20.100000000000001" customHeight="1" x14ac:dyDescent="0.2">
      <c r="B65" s="28" t="s">
        <v>36</v>
      </c>
      <c r="C65" s="13">
        <f>SUM(C66:C77)</f>
        <v>10.84</v>
      </c>
      <c r="D65" s="32">
        <f>SUM(D66:D77)</f>
        <v>3.38</v>
      </c>
      <c r="E65" s="32"/>
      <c r="F65" s="32">
        <f t="shared" ref="F65:S65" si="9">SUM(F66:F77)</f>
        <v>4.1400000000000006</v>
      </c>
      <c r="G65" s="64">
        <f t="shared" si="9"/>
        <v>18.36</v>
      </c>
      <c r="H65" s="13">
        <f t="shared" si="9"/>
        <v>75.099999999999994</v>
      </c>
      <c r="I65" s="75">
        <f t="shared" si="9"/>
        <v>0</v>
      </c>
      <c r="J65" s="32">
        <f t="shared" si="9"/>
        <v>35.76</v>
      </c>
      <c r="K65" s="32">
        <f t="shared" si="9"/>
        <v>35.5</v>
      </c>
      <c r="L65" s="64">
        <f t="shared" si="9"/>
        <v>146.36000000000001</v>
      </c>
      <c r="M65" s="13">
        <f t="shared" si="9"/>
        <v>164.72</v>
      </c>
      <c r="N65" s="13">
        <f t="shared" si="9"/>
        <v>2.5</v>
      </c>
      <c r="O65" s="32">
        <f t="shared" si="9"/>
        <v>43.39</v>
      </c>
      <c r="P65" s="64">
        <f t="shared" si="9"/>
        <v>45.89</v>
      </c>
      <c r="Q65" s="32">
        <f t="shared" si="9"/>
        <v>0</v>
      </c>
      <c r="R65" s="32">
        <f t="shared" si="9"/>
        <v>191.88</v>
      </c>
      <c r="S65" s="32">
        <f t="shared" si="9"/>
        <v>46</v>
      </c>
      <c r="T65" s="65">
        <f t="shared" si="7"/>
        <v>237.88</v>
      </c>
      <c r="U65" s="13">
        <f>SUM(U66:U77)</f>
        <v>0</v>
      </c>
      <c r="V65" s="32">
        <f>SUM(V66:V77)</f>
        <v>72.249999999999986</v>
      </c>
      <c r="W65" s="120">
        <f>SUM(W66:W77)</f>
        <v>2723.7900000000009</v>
      </c>
      <c r="X65" s="13">
        <f>W65+V65+U65+T65+P65+M65-0.07</f>
        <v>3244.4600000000005</v>
      </c>
      <c r="Y65" s="74"/>
    </row>
    <row r="66" spans="2:25" ht="20.100000000000001" customHeight="1" x14ac:dyDescent="0.2">
      <c r="B66" s="29" t="s">
        <v>24</v>
      </c>
      <c r="C66" s="13">
        <v>1.1000000000000001</v>
      </c>
      <c r="D66" s="32">
        <v>2.2999999999999998</v>
      </c>
      <c r="E66" s="32"/>
      <c r="F66" s="32">
        <f>3.2</f>
        <v>3.2</v>
      </c>
      <c r="G66" s="64">
        <f t="shared" ref="G66:G77" si="10">C66+D66+F66</f>
        <v>6.6</v>
      </c>
      <c r="H66" s="13">
        <v>4.5</v>
      </c>
      <c r="I66" s="75"/>
      <c r="J66" s="32">
        <v>2.6</v>
      </c>
      <c r="K66" s="32">
        <v>11</v>
      </c>
      <c r="L66" s="65">
        <f t="shared" ref="L66:L77" si="11">K66+J66+H66</f>
        <v>18.100000000000001</v>
      </c>
      <c r="M66" s="13">
        <f t="shared" ref="M66:M77" si="12">L66+G66</f>
        <v>24.700000000000003</v>
      </c>
      <c r="N66" s="13">
        <v>0.2</v>
      </c>
      <c r="O66" s="32">
        <v>7.84</v>
      </c>
      <c r="P66" s="65">
        <f t="shared" ref="P66:P77" si="13">O66+N66</f>
        <v>8.0399999999999991</v>
      </c>
      <c r="Q66" s="15"/>
      <c r="R66" s="32">
        <v>4.6500000000000004</v>
      </c>
      <c r="S66" s="32"/>
      <c r="T66" s="65">
        <f t="shared" si="7"/>
        <v>4.6500000000000004</v>
      </c>
      <c r="U66" s="15"/>
      <c r="V66" s="32">
        <v>11.14</v>
      </c>
      <c r="W66" s="120">
        <f>367.9+16.2+0.04</f>
        <v>384.14</v>
      </c>
      <c r="X66" s="13">
        <f t="shared" ref="X66:X77" si="14">W66+V66+U66+T66+P66+M66</f>
        <v>432.66999999999996</v>
      </c>
      <c r="Y66" s="74"/>
    </row>
    <row r="67" spans="2:25" ht="20.100000000000001" customHeight="1" x14ac:dyDescent="0.2">
      <c r="B67" s="29" t="s">
        <v>25</v>
      </c>
      <c r="C67" s="13">
        <v>1</v>
      </c>
      <c r="D67" s="32">
        <v>0.3</v>
      </c>
      <c r="E67" s="32"/>
      <c r="F67" s="32">
        <f>0.7</f>
        <v>0.7</v>
      </c>
      <c r="G67" s="64">
        <f t="shared" si="10"/>
        <v>2</v>
      </c>
      <c r="H67" s="13">
        <v>5</v>
      </c>
      <c r="I67" s="75"/>
      <c r="J67" s="32">
        <v>2.9</v>
      </c>
      <c r="K67" s="75">
        <v>4.5</v>
      </c>
      <c r="L67" s="65">
        <f t="shared" si="11"/>
        <v>12.4</v>
      </c>
      <c r="M67" s="13">
        <f t="shared" si="12"/>
        <v>14.4</v>
      </c>
      <c r="N67" s="13">
        <v>0.5</v>
      </c>
      <c r="O67" s="32">
        <v>3.5</v>
      </c>
      <c r="P67" s="65">
        <f t="shared" si="13"/>
        <v>4</v>
      </c>
      <c r="Q67" s="15"/>
      <c r="R67" s="32">
        <v>9.26</v>
      </c>
      <c r="S67" s="32"/>
      <c r="T67" s="65">
        <f t="shared" si="7"/>
        <v>9.26</v>
      </c>
      <c r="U67" s="15"/>
      <c r="V67" s="32">
        <v>6.2</v>
      </c>
      <c r="W67" s="120">
        <f>331+1.3</f>
        <v>332.3</v>
      </c>
      <c r="X67" s="13">
        <f t="shared" si="14"/>
        <v>366.15999999999997</v>
      </c>
      <c r="Y67" s="74"/>
    </row>
    <row r="68" spans="2:25" ht="20.100000000000001" customHeight="1" x14ac:dyDescent="0.2">
      <c r="B68" s="29" t="s">
        <v>26</v>
      </c>
      <c r="C68" s="13">
        <v>1.5</v>
      </c>
      <c r="D68" s="32">
        <v>0.2</v>
      </c>
      <c r="E68" s="32"/>
      <c r="F68" s="32"/>
      <c r="G68" s="64">
        <f t="shared" si="10"/>
        <v>1.7</v>
      </c>
      <c r="H68" s="13">
        <v>6.2</v>
      </c>
      <c r="I68" s="75"/>
      <c r="J68" s="32">
        <v>5</v>
      </c>
      <c r="K68" s="75">
        <v>2.6</v>
      </c>
      <c r="L68" s="65">
        <f t="shared" si="11"/>
        <v>13.8</v>
      </c>
      <c r="M68" s="13">
        <f t="shared" si="12"/>
        <v>15.5</v>
      </c>
      <c r="N68" s="13">
        <v>0.4</v>
      </c>
      <c r="O68" s="32">
        <v>5.5</v>
      </c>
      <c r="P68" s="65">
        <f t="shared" si="13"/>
        <v>5.9</v>
      </c>
      <c r="Q68" s="15"/>
      <c r="R68" s="32">
        <f>28.36-22.7</f>
        <v>5.66</v>
      </c>
      <c r="S68" s="32">
        <v>22.7</v>
      </c>
      <c r="T68" s="65">
        <f t="shared" si="7"/>
        <v>28.36</v>
      </c>
      <c r="U68" s="15"/>
      <c r="V68" s="32">
        <v>0.4</v>
      </c>
      <c r="W68" s="120">
        <f>474.7+18.2+6</f>
        <v>498.9</v>
      </c>
      <c r="X68" s="13">
        <f t="shared" si="14"/>
        <v>549.05999999999995</v>
      </c>
      <c r="Y68" s="74"/>
    </row>
    <row r="69" spans="2:25" ht="20.100000000000001" customHeight="1" x14ac:dyDescent="0.2">
      <c r="B69" s="29" t="s">
        <v>27</v>
      </c>
      <c r="C69" s="13">
        <v>1.4</v>
      </c>
      <c r="D69" s="67">
        <v>0.1</v>
      </c>
      <c r="E69" s="67"/>
      <c r="F69" s="67"/>
      <c r="G69" s="64">
        <f t="shared" si="10"/>
        <v>1.5</v>
      </c>
      <c r="H69" s="15">
        <v>7.5</v>
      </c>
      <c r="I69" s="68"/>
      <c r="J69" s="67">
        <v>4</v>
      </c>
      <c r="K69" s="68">
        <v>0.9</v>
      </c>
      <c r="L69" s="65">
        <f t="shared" si="11"/>
        <v>12.4</v>
      </c>
      <c r="M69" s="13">
        <f t="shared" si="12"/>
        <v>13.9</v>
      </c>
      <c r="N69" s="13">
        <v>0.6</v>
      </c>
      <c r="O69" s="67">
        <v>3</v>
      </c>
      <c r="P69" s="65">
        <f t="shared" si="13"/>
        <v>3.6</v>
      </c>
      <c r="Q69" s="15"/>
      <c r="R69" s="67">
        <v>27.9</v>
      </c>
      <c r="S69" s="67"/>
      <c r="T69" s="65">
        <f t="shared" si="7"/>
        <v>27.9</v>
      </c>
      <c r="U69" s="15"/>
      <c r="V69" s="67">
        <f>0.1-0.04</f>
        <v>6.0000000000000005E-2</v>
      </c>
      <c r="W69" s="30">
        <f>323.5+27.9</f>
        <v>351.4</v>
      </c>
      <c r="X69" s="13">
        <f t="shared" si="14"/>
        <v>396.85999999999996</v>
      </c>
      <c r="Y69" s="74"/>
    </row>
    <row r="70" spans="2:25" ht="20.100000000000001" customHeight="1" x14ac:dyDescent="0.2">
      <c r="B70" s="29" t="s">
        <v>28</v>
      </c>
      <c r="C70" s="13">
        <v>0.2</v>
      </c>
      <c r="D70" s="67">
        <v>0.04</v>
      </c>
      <c r="E70" s="67"/>
      <c r="F70" s="67"/>
      <c r="G70" s="64">
        <f t="shared" si="10"/>
        <v>0.24000000000000002</v>
      </c>
      <c r="H70" s="15">
        <v>5.3</v>
      </c>
      <c r="I70" s="68"/>
      <c r="J70" s="67">
        <v>2.6</v>
      </c>
      <c r="K70" s="68">
        <v>3.3</v>
      </c>
      <c r="L70" s="65">
        <f t="shared" si="11"/>
        <v>11.2</v>
      </c>
      <c r="M70" s="13">
        <f t="shared" si="12"/>
        <v>11.44</v>
      </c>
      <c r="N70" s="13">
        <v>0.8</v>
      </c>
      <c r="O70" s="67">
        <v>0.9</v>
      </c>
      <c r="P70" s="65">
        <f t="shared" si="13"/>
        <v>1.7000000000000002</v>
      </c>
      <c r="Q70" s="15"/>
      <c r="R70" s="67">
        <v>3.7</v>
      </c>
      <c r="S70" s="67"/>
      <c r="T70" s="65">
        <f t="shared" si="7"/>
        <v>3.7</v>
      </c>
      <c r="U70" s="15"/>
      <c r="V70" s="67">
        <v>0.4</v>
      </c>
      <c r="W70" s="30">
        <f>142.5+5.9+1.6</f>
        <v>150</v>
      </c>
      <c r="X70" s="13">
        <f t="shared" si="14"/>
        <v>167.23999999999998</v>
      </c>
      <c r="Y70" s="74"/>
    </row>
    <row r="71" spans="2:25" ht="20.100000000000001" customHeight="1" x14ac:dyDescent="0.2">
      <c r="B71" s="29" t="s">
        <v>29</v>
      </c>
      <c r="C71" s="13">
        <v>0.14000000000000001</v>
      </c>
      <c r="D71" s="67">
        <v>0.04</v>
      </c>
      <c r="E71" s="67"/>
      <c r="F71" s="67">
        <v>0.04</v>
      </c>
      <c r="G71" s="64">
        <f t="shared" si="10"/>
        <v>0.22000000000000003</v>
      </c>
      <c r="H71" s="13">
        <f>10.2+5.5</f>
        <v>15.7</v>
      </c>
      <c r="I71" s="68"/>
      <c r="J71" s="67"/>
      <c r="K71" s="68">
        <v>1.5</v>
      </c>
      <c r="L71" s="65">
        <f t="shared" si="11"/>
        <v>17.2</v>
      </c>
      <c r="M71" s="13">
        <f t="shared" si="12"/>
        <v>17.419999999999998</v>
      </c>
      <c r="N71" s="15"/>
      <c r="O71" s="67">
        <v>3.1</v>
      </c>
      <c r="P71" s="65">
        <f t="shared" si="13"/>
        <v>3.1</v>
      </c>
      <c r="Q71" s="15"/>
      <c r="R71" s="67">
        <v>2.16</v>
      </c>
      <c r="S71" s="67"/>
      <c r="T71" s="65">
        <f t="shared" si="7"/>
        <v>2.16</v>
      </c>
      <c r="U71" s="15"/>
      <c r="V71" s="67">
        <v>2.65</v>
      </c>
      <c r="W71" s="30">
        <f>93.9+4.7+47.1+0.04</f>
        <v>145.74</v>
      </c>
      <c r="X71" s="13">
        <f t="shared" si="14"/>
        <v>171.07</v>
      </c>
      <c r="Y71" s="74"/>
    </row>
    <row r="72" spans="2:25" ht="20.100000000000001" customHeight="1" x14ac:dyDescent="0.2">
      <c r="B72" s="29" t="s">
        <v>30</v>
      </c>
      <c r="C72" s="13">
        <v>0.5</v>
      </c>
      <c r="D72" s="67"/>
      <c r="E72" s="67"/>
      <c r="F72" s="67"/>
      <c r="G72" s="64">
        <f t="shared" si="10"/>
        <v>0.5</v>
      </c>
      <c r="H72" s="13">
        <v>4.8</v>
      </c>
      <c r="I72" s="68"/>
      <c r="J72" s="67">
        <v>5.5</v>
      </c>
      <c r="K72" s="68">
        <v>2.6</v>
      </c>
      <c r="L72" s="65">
        <f t="shared" si="11"/>
        <v>12.899999999999999</v>
      </c>
      <c r="M72" s="13">
        <f t="shared" si="12"/>
        <v>13.399999999999999</v>
      </c>
      <c r="N72" s="15"/>
      <c r="O72" s="67">
        <v>4.0999999999999996</v>
      </c>
      <c r="P72" s="65">
        <f t="shared" si="13"/>
        <v>4.0999999999999996</v>
      </c>
      <c r="Q72" s="15"/>
      <c r="R72" s="67">
        <v>4.45</v>
      </c>
      <c r="S72" s="67"/>
      <c r="T72" s="65">
        <f t="shared" si="7"/>
        <v>4.45</v>
      </c>
      <c r="U72" s="15"/>
      <c r="V72" s="67">
        <v>14.15</v>
      </c>
      <c r="W72" s="30">
        <f>196.1+6.5</f>
        <v>202.6</v>
      </c>
      <c r="X72" s="13">
        <f t="shared" si="14"/>
        <v>238.7</v>
      </c>
      <c r="Y72" s="74"/>
    </row>
    <row r="73" spans="2:25" ht="20.100000000000001" customHeight="1" x14ac:dyDescent="0.2">
      <c r="B73" s="29" t="s">
        <v>31</v>
      </c>
      <c r="C73" s="13">
        <v>1.6</v>
      </c>
      <c r="D73" s="67"/>
      <c r="E73" s="67"/>
      <c r="F73" s="67"/>
      <c r="G73" s="64">
        <f t="shared" si="10"/>
        <v>1.6</v>
      </c>
      <c r="H73" s="13">
        <f>4.9+0.2</f>
        <v>5.1000000000000005</v>
      </c>
      <c r="I73" s="68"/>
      <c r="J73" s="67">
        <v>2.9</v>
      </c>
      <c r="K73" s="68">
        <v>1.8</v>
      </c>
      <c r="L73" s="65">
        <f t="shared" si="11"/>
        <v>9.8000000000000007</v>
      </c>
      <c r="M73" s="13">
        <f t="shared" si="12"/>
        <v>11.4</v>
      </c>
      <c r="N73" s="15"/>
      <c r="O73" s="67">
        <v>3.1</v>
      </c>
      <c r="P73" s="65">
        <f t="shared" si="13"/>
        <v>3.1</v>
      </c>
      <c r="Q73" s="15"/>
      <c r="R73" s="67">
        <v>8.5</v>
      </c>
      <c r="S73" s="67"/>
      <c r="T73" s="65">
        <f t="shared" si="7"/>
        <v>8.5</v>
      </c>
      <c r="U73" s="15"/>
      <c r="V73" s="67">
        <v>14.3</v>
      </c>
      <c r="W73" s="30">
        <f>73.14+8+42.6</f>
        <v>123.74000000000001</v>
      </c>
      <c r="X73" s="13">
        <f t="shared" si="14"/>
        <v>161.04000000000002</v>
      </c>
      <c r="Y73" s="74"/>
    </row>
    <row r="74" spans="2:25" ht="20.100000000000001" customHeight="1" x14ac:dyDescent="0.2">
      <c r="B74" s="29" t="s">
        <v>32</v>
      </c>
      <c r="C74" s="13">
        <v>0.6</v>
      </c>
      <c r="D74" s="67">
        <v>0.1</v>
      </c>
      <c r="E74" s="67"/>
      <c r="F74" s="67"/>
      <c r="G74" s="64">
        <f t="shared" si="10"/>
        <v>0.7</v>
      </c>
      <c r="H74" s="13">
        <v>5.3</v>
      </c>
      <c r="I74" s="68"/>
      <c r="J74" s="67">
        <v>3.9</v>
      </c>
      <c r="K74" s="68">
        <v>4.9000000000000004</v>
      </c>
      <c r="L74" s="65">
        <f t="shared" si="11"/>
        <v>14.100000000000001</v>
      </c>
      <c r="M74" s="13">
        <f t="shared" si="12"/>
        <v>14.8</v>
      </c>
      <c r="N74" s="15"/>
      <c r="O74" s="67">
        <v>1.6</v>
      </c>
      <c r="P74" s="65">
        <f t="shared" si="13"/>
        <v>1.6</v>
      </c>
      <c r="Q74" s="15"/>
      <c r="R74" s="67">
        <f>5.4+0.04</f>
        <v>5.44</v>
      </c>
      <c r="S74" s="67"/>
      <c r="T74" s="65">
        <f t="shared" si="7"/>
        <v>5.44</v>
      </c>
      <c r="U74" s="15"/>
      <c r="V74" s="67">
        <v>2.8</v>
      </c>
      <c r="W74" s="30">
        <f>123.34+8.9+0.04</f>
        <v>132.28</v>
      </c>
      <c r="X74" s="13">
        <f t="shared" si="14"/>
        <v>156.92000000000002</v>
      </c>
      <c r="Y74" s="74"/>
    </row>
    <row r="75" spans="2:25" ht="20.100000000000001" customHeight="1" x14ac:dyDescent="0.2">
      <c r="B75" s="29" t="s">
        <v>33</v>
      </c>
      <c r="C75" s="13">
        <v>0.6</v>
      </c>
      <c r="D75" s="67">
        <v>0.3</v>
      </c>
      <c r="E75" s="67"/>
      <c r="F75" s="67"/>
      <c r="G75" s="64">
        <f t="shared" si="10"/>
        <v>0.89999999999999991</v>
      </c>
      <c r="H75" s="13">
        <v>5.3</v>
      </c>
      <c r="I75" s="68"/>
      <c r="J75" s="67">
        <v>1.9</v>
      </c>
      <c r="K75" s="68">
        <v>0.9</v>
      </c>
      <c r="L75" s="65">
        <f t="shared" si="11"/>
        <v>8.1</v>
      </c>
      <c r="M75" s="13">
        <f t="shared" si="12"/>
        <v>9</v>
      </c>
      <c r="N75" s="15"/>
      <c r="O75" s="67">
        <v>4</v>
      </c>
      <c r="P75" s="65">
        <f t="shared" si="13"/>
        <v>4</v>
      </c>
      <c r="Q75" s="15"/>
      <c r="R75" s="67">
        <f>49.8-23.3</f>
        <v>26.499999999999996</v>
      </c>
      <c r="S75" s="67">
        <v>23.3</v>
      </c>
      <c r="T75" s="65">
        <f t="shared" si="7"/>
        <v>49.8</v>
      </c>
      <c r="U75" s="15"/>
      <c r="V75" s="67">
        <v>9.65</v>
      </c>
      <c r="W75" s="30">
        <f>114.54+7.25</f>
        <v>121.79</v>
      </c>
      <c r="X75" s="13">
        <f t="shared" si="14"/>
        <v>194.24</v>
      </c>
      <c r="Y75" s="74"/>
    </row>
    <row r="76" spans="2:25" ht="20.100000000000001" customHeight="1" x14ac:dyDescent="0.2">
      <c r="B76" s="29" t="s">
        <v>34</v>
      </c>
      <c r="C76" s="13">
        <v>1.3</v>
      </c>
      <c r="D76" s="67"/>
      <c r="E76" s="67"/>
      <c r="F76" s="32"/>
      <c r="G76" s="64">
        <f t="shared" si="10"/>
        <v>1.3</v>
      </c>
      <c r="H76" s="13">
        <v>5.3</v>
      </c>
      <c r="I76" s="68"/>
      <c r="J76" s="67">
        <v>2.36</v>
      </c>
      <c r="K76" s="68">
        <v>0.9</v>
      </c>
      <c r="L76" s="65">
        <f t="shared" si="11"/>
        <v>8.5599999999999987</v>
      </c>
      <c r="M76" s="13">
        <f t="shared" si="12"/>
        <v>9.86</v>
      </c>
      <c r="N76" s="15"/>
      <c r="O76" s="67">
        <v>1.95</v>
      </c>
      <c r="P76" s="65">
        <f t="shared" si="13"/>
        <v>1.95</v>
      </c>
      <c r="Q76" s="15"/>
      <c r="R76" s="67">
        <f>24.26</f>
        <v>24.26</v>
      </c>
      <c r="S76" s="67"/>
      <c r="T76" s="65">
        <f t="shared" si="7"/>
        <v>24.26</v>
      </c>
      <c r="U76" s="15"/>
      <c r="V76" s="67">
        <v>2.2599999999999998</v>
      </c>
      <c r="W76" s="30">
        <f>106.2+0.8+2.4</f>
        <v>109.4</v>
      </c>
      <c r="X76" s="13">
        <f t="shared" si="14"/>
        <v>147.73000000000002</v>
      </c>
      <c r="Y76" s="74"/>
    </row>
    <row r="77" spans="2:25" ht="20.100000000000001" customHeight="1" x14ac:dyDescent="0.2">
      <c r="B77" s="29" t="s">
        <v>35</v>
      </c>
      <c r="C77" s="13">
        <v>0.9</v>
      </c>
      <c r="D77" s="67"/>
      <c r="E77" s="67"/>
      <c r="F77" s="32">
        <v>0.2</v>
      </c>
      <c r="G77" s="64">
        <f t="shared" si="10"/>
        <v>1.1000000000000001</v>
      </c>
      <c r="H77" s="13">
        <v>5.0999999999999996</v>
      </c>
      <c r="I77" s="68"/>
      <c r="J77" s="67">
        <v>2.1</v>
      </c>
      <c r="K77" s="68">
        <v>0.6</v>
      </c>
      <c r="L77" s="65">
        <f t="shared" si="11"/>
        <v>7.8</v>
      </c>
      <c r="M77" s="13">
        <f t="shared" si="12"/>
        <v>8.9</v>
      </c>
      <c r="N77" s="15"/>
      <c r="O77" s="67">
        <v>4.8</v>
      </c>
      <c r="P77" s="65">
        <f t="shared" si="13"/>
        <v>4.8</v>
      </c>
      <c r="Q77" s="15"/>
      <c r="R77" s="67">
        <v>69.400000000000006</v>
      </c>
      <c r="S77" s="67"/>
      <c r="T77" s="65">
        <f t="shared" si="7"/>
        <v>69.400000000000006</v>
      </c>
      <c r="U77" s="15"/>
      <c r="V77" s="67">
        <v>8.24</v>
      </c>
      <c r="W77" s="125">
        <f>156.8+14.7</f>
        <v>171.5</v>
      </c>
      <c r="X77" s="13">
        <f t="shared" si="14"/>
        <v>262.84000000000003</v>
      </c>
      <c r="Y77" s="74"/>
    </row>
    <row r="78" spans="2:25" ht="20.100000000000001" customHeight="1" x14ac:dyDescent="0.2">
      <c r="B78" s="12"/>
      <c r="C78" s="13"/>
      <c r="D78" s="67"/>
      <c r="E78" s="67"/>
      <c r="F78" s="32"/>
      <c r="G78" s="64"/>
      <c r="H78" s="13"/>
      <c r="I78" s="68"/>
      <c r="J78" s="67"/>
      <c r="K78" s="68"/>
      <c r="L78" s="65"/>
      <c r="M78" s="13"/>
      <c r="N78" s="15"/>
      <c r="O78" s="67"/>
      <c r="P78" s="65"/>
      <c r="Q78" s="15"/>
      <c r="R78" s="67"/>
      <c r="S78" s="67"/>
      <c r="T78" s="65">
        <f t="shared" si="7"/>
        <v>0</v>
      </c>
      <c r="U78" s="15"/>
      <c r="V78" s="67"/>
      <c r="W78" s="30"/>
      <c r="X78" s="13"/>
      <c r="Y78" s="74"/>
    </row>
    <row r="79" spans="2:25" ht="20.100000000000001" customHeight="1" x14ac:dyDescent="0.2">
      <c r="B79" s="28" t="s">
        <v>37</v>
      </c>
      <c r="C79" s="13">
        <f>SUM(C80:C91)</f>
        <v>11.89</v>
      </c>
      <c r="D79" s="32">
        <f>SUM(D80:D91)</f>
        <v>0</v>
      </c>
      <c r="E79" s="32"/>
      <c r="F79" s="32">
        <f t="shared" ref="F79:S79" si="15">SUM(F80:F91)</f>
        <v>0.3</v>
      </c>
      <c r="G79" s="64">
        <f t="shared" si="15"/>
        <v>20.28</v>
      </c>
      <c r="H79" s="13">
        <f t="shared" si="15"/>
        <v>21.799999999999997</v>
      </c>
      <c r="I79" s="75">
        <f t="shared" si="15"/>
        <v>0</v>
      </c>
      <c r="J79" s="32">
        <f t="shared" si="15"/>
        <v>45.25</v>
      </c>
      <c r="K79" s="32">
        <f t="shared" si="15"/>
        <v>8.6000000000000014</v>
      </c>
      <c r="L79" s="64">
        <f t="shared" si="15"/>
        <v>75.650000000000006</v>
      </c>
      <c r="M79" s="13">
        <f t="shared" si="15"/>
        <v>95.93</v>
      </c>
      <c r="N79" s="13">
        <f t="shared" si="15"/>
        <v>0.7</v>
      </c>
      <c r="O79" s="32">
        <f t="shared" si="15"/>
        <v>47.750000000000007</v>
      </c>
      <c r="P79" s="64">
        <f t="shared" si="15"/>
        <v>48.45</v>
      </c>
      <c r="Q79" s="32">
        <f t="shared" si="15"/>
        <v>0</v>
      </c>
      <c r="R79" s="32">
        <f t="shared" si="15"/>
        <v>171.29053802999999</v>
      </c>
      <c r="S79" s="32">
        <f t="shared" si="15"/>
        <v>22.5</v>
      </c>
      <c r="T79" s="65">
        <f t="shared" si="7"/>
        <v>193.79053802999999</v>
      </c>
      <c r="U79" s="13">
        <f>SUM(U80:U91)</f>
        <v>0</v>
      </c>
      <c r="V79" s="32">
        <f>SUM(V80:V91)</f>
        <v>23.599243179999998</v>
      </c>
      <c r="W79" s="120">
        <f>SUM(W80:W91)+0.09</f>
        <v>1526.18</v>
      </c>
      <c r="X79" s="13">
        <f>W79+V79+U79+T79+P79+M79-0.07</f>
        <v>1887.8797812100004</v>
      </c>
      <c r="Y79" s="74"/>
    </row>
    <row r="80" spans="2:25" ht="20.100000000000001" customHeight="1" x14ac:dyDescent="0.2">
      <c r="B80" s="29" t="s">
        <v>24</v>
      </c>
      <c r="C80" s="13">
        <v>0.8</v>
      </c>
      <c r="D80" s="67">
        <v>0</v>
      </c>
      <c r="E80" s="67"/>
      <c r="F80" s="32"/>
      <c r="G80" s="64">
        <f t="shared" ref="G80:G86" si="16">C80+D80+F80</f>
        <v>0.8</v>
      </c>
      <c r="H80" s="13">
        <v>4.5</v>
      </c>
      <c r="I80" s="68"/>
      <c r="J80" s="67">
        <v>2.5</v>
      </c>
      <c r="K80" s="68">
        <v>0.5</v>
      </c>
      <c r="L80" s="65">
        <f t="shared" ref="L80:L92" si="17">K80+J80+H80</f>
        <v>7.5</v>
      </c>
      <c r="M80" s="13">
        <f t="shared" ref="M80:M92" si="18">L80+G80</f>
        <v>8.3000000000000007</v>
      </c>
      <c r="N80" s="15"/>
      <c r="O80" s="67">
        <v>5.3</v>
      </c>
      <c r="P80" s="65">
        <f t="shared" ref="P80:P92" si="19">O80+N80</f>
        <v>5.3</v>
      </c>
      <c r="Q80" s="15"/>
      <c r="R80" s="67">
        <v>3.8</v>
      </c>
      <c r="S80" s="67"/>
      <c r="T80" s="65">
        <f t="shared" si="7"/>
        <v>3.8</v>
      </c>
      <c r="U80" s="15"/>
      <c r="V80" s="67">
        <v>2.34</v>
      </c>
      <c r="W80" s="30">
        <f>96.9+8.9</f>
        <v>105.80000000000001</v>
      </c>
      <c r="X80" s="13">
        <f t="shared" ref="X80:X93" si="20">W80+V80+U80+T80+P80+M80</f>
        <v>125.54</v>
      </c>
      <c r="Y80" s="74"/>
    </row>
    <row r="81" spans="2:30" ht="20.100000000000001" customHeight="1" x14ac:dyDescent="0.2">
      <c r="B81" s="29" t="s">
        <v>25</v>
      </c>
      <c r="C81" s="13">
        <v>0.8</v>
      </c>
      <c r="D81" s="67">
        <v>0</v>
      </c>
      <c r="E81" s="67"/>
      <c r="F81" s="32"/>
      <c r="G81" s="64">
        <f t="shared" si="16"/>
        <v>0.8</v>
      </c>
      <c r="H81" s="13">
        <v>3.1</v>
      </c>
      <c r="I81" s="68"/>
      <c r="J81" s="67">
        <v>1.9</v>
      </c>
      <c r="K81" s="68">
        <v>0.4</v>
      </c>
      <c r="L81" s="65">
        <f t="shared" si="17"/>
        <v>5.4</v>
      </c>
      <c r="M81" s="13">
        <f t="shared" si="18"/>
        <v>6.2</v>
      </c>
      <c r="N81" s="15"/>
      <c r="O81" s="67">
        <v>2.6</v>
      </c>
      <c r="P81" s="65">
        <f t="shared" si="19"/>
        <v>2.6</v>
      </c>
      <c r="Q81" s="15"/>
      <c r="R81" s="67">
        <v>9.1</v>
      </c>
      <c r="S81" s="67"/>
      <c r="T81" s="65">
        <f t="shared" si="7"/>
        <v>9.1</v>
      </c>
      <c r="U81" s="15"/>
      <c r="V81" s="67">
        <v>1.34</v>
      </c>
      <c r="W81" s="30">
        <f>107.7+8.44</f>
        <v>116.14</v>
      </c>
      <c r="X81" s="13">
        <f t="shared" si="20"/>
        <v>135.38</v>
      </c>
      <c r="Y81" s="74"/>
    </row>
    <row r="82" spans="2:30" ht="20.100000000000001" customHeight="1" x14ac:dyDescent="0.2">
      <c r="B82" s="29" t="s">
        <v>26</v>
      </c>
      <c r="C82" s="13">
        <v>1.1000000000000001</v>
      </c>
      <c r="D82" s="67"/>
      <c r="E82" s="67"/>
      <c r="F82" s="32"/>
      <c r="G82" s="64">
        <f t="shared" si="16"/>
        <v>1.1000000000000001</v>
      </c>
      <c r="H82" s="13">
        <v>2.8</v>
      </c>
      <c r="I82" s="68"/>
      <c r="J82" s="67">
        <v>3.4</v>
      </c>
      <c r="K82" s="68"/>
      <c r="L82" s="65">
        <f t="shared" si="17"/>
        <v>6.1999999999999993</v>
      </c>
      <c r="M82" s="13">
        <f t="shared" si="18"/>
        <v>7.2999999999999989</v>
      </c>
      <c r="N82" s="15"/>
      <c r="O82" s="67"/>
      <c r="P82" s="65">
        <f t="shared" si="19"/>
        <v>0</v>
      </c>
      <c r="Q82" s="15"/>
      <c r="R82" s="67">
        <v>20.2</v>
      </c>
      <c r="S82" s="67"/>
      <c r="T82" s="65">
        <f t="shared" si="7"/>
        <v>20.2</v>
      </c>
      <c r="U82" s="15"/>
      <c r="V82" s="67">
        <f>2.4-0.04</f>
        <v>2.36</v>
      </c>
      <c r="W82" s="30">
        <f>97.2+12.7-0.04</f>
        <v>109.86</v>
      </c>
      <c r="X82" s="13">
        <f t="shared" si="20"/>
        <v>139.72</v>
      </c>
      <c r="Y82" s="74"/>
    </row>
    <row r="83" spans="2:30" ht="20.100000000000001" customHeight="1" x14ac:dyDescent="0.2">
      <c r="B83" s="29" t="s">
        <v>27</v>
      </c>
      <c r="C83" s="13">
        <v>0.7</v>
      </c>
      <c r="D83" s="67"/>
      <c r="E83" s="67"/>
      <c r="F83" s="32"/>
      <c r="G83" s="64">
        <f t="shared" si="16"/>
        <v>0.7</v>
      </c>
      <c r="H83" s="13">
        <v>3.3</v>
      </c>
      <c r="I83" s="68"/>
      <c r="J83" s="67">
        <v>1.4</v>
      </c>
      <c r="K83" s="68">
        <v>0.4</v>
      </c>
      <c r="L83" s="65">
        <f t="shared" si="17"/>
        <v>5.0999999999999996</v>
      </c>
      <c r="M83" s="13">
        <f t="shared" si="18"/>
        <v>5.8</v>
      </c>
      <c r="N83" s="15"/>
      <c r="O83" s="67">
        <v>1.8</v>
      </c>
      <c r="P83" s="65">
        <f t="shared" si="19"/>
        <v>1.8</v>
      </c>
      <c r="Q83" s="15"/>
      <c r="R83" s="67">
        <v>4.9000000000000004</v>
      </c>
      <c r="S83" s="67"/>
      <c r="T83" s="65">
        <f t="shared" si="7"/>
        <v>4.9000000000000004</v>
      </c>
      <c r="U83" s="15"/>
      <c r="V83" s="67">
        <v>1</v>
      </c>
      <c r="W83" s="30">
        <f>82.5+10.7</f>
        <v>93.2</v>
      </c>
      <c r="X83" s="13">
        <f t="shared" si="20"/>
        <v>106.7</v>
      </c>
      <c r="Y83" s="74"/>
    </row>
    <row r="84" spans="2:30" ht="20.100000000000001" customHeight="1" x14ac:dyDescent="0.2">
      <c r="B84" s="29" t="s">
        <v>28</v>
      </c>
      <c r="C84" s="13">
        <v>1</v>
      </c>
      <c r="D84" s="67"/>
      <c r="E84" s="67"/>
      <c r="F84" s="32"/>
      <c r="G84" s="64">
        <f t="shared" si="16"/>
        <v>1</v>
      </c>
      <c r="H84" s="13">
        <v>2.9</v>
      </c>
      <c r="I84" s="68"/>
      <c r="J84" s="67">
        <v>3.2</v>
      </c>
      <c r="K84" s="68">
        <v>0.4</v>
      </c>
      <c r="L84" s="65">
        <f t="shared" si="17"/>
        <v>6.5</v>
      </c>
      <c r="M84" s="13">
        <f t="shared" si="18"/>
        <v>7.5</v>
      </c>
      <c r="N84" s="15"/>
      <c r="O84" s="67">
        <v>1.8</v>
      </c>
      <c r="P84" s="65">
        <f t="shared" si="19"/>
        <v>1.8</v>
      </c>
      <c r="Q84" s="15"/>
      <c r="R84" s="67">
        <v>10</v>
      </c>
      <c r="S84" s="67"/>
      <c r="T84" s="65">
        <f t="shared" ref="T84:T106" si="21">R84+Q84+S84</f>
        <v>10</v>
      </c>
      <c r="U84" s="15"/>
      <c r="V84" s="67">
        <v>1.4</v>
      </c>
      <c r="W84" s="30">
        <f>140+1.7+14.7</f>
        <v>156.39999999999998</v>
      </c>
      <c r="X84" s="13">
        <f t="shared" si="20"/>
        <v>177.1</v>
      </c>
      <c r="Y84" s="74"/>
    </row>
    <row r="85" spans="2:30" ht="20.100000000000001" customHeight="1" x14ac:dyDescent="0.2">
      <c r="B85" s="29" t="s">
        <v>29</v>
      </c>
      <c r="C85" s="13">
        <v>1</v>
      </c>
      <c r="D85" s="67"/>
      <c r="E85" s="67"/>
      <c r="F85" s="32"/>
      <c r="G85" s="64">
        <f t="shared" si="16"/>
        <v>1</v>
      </c>
      <c r="H85" s="13">
        <v>2.8</v>
      </c>
      <c r="I85" s="68"/>
      <c r="J85" s="67">
        <v>4.3</v>
      </c>
      <c r="K85" s="68"/>
      <c r="L85" s="65">
        <f t="shared" si="17"/>
        <v>7.1</v>
      </c>
      <c r="M85" s="13">
        <f t="shared" si="18"/>
        <v>8.1</v>
      </c>
      <c r="N85" s="15"/>
      <c r="O85" s="67">
        <v>1.4</v>
      </c>
      <c r="P85" s="65">
        <f t="shared" si="19"/>
        <v>1.4</v>
      </c>
      <c r="Q85" s="15"/>
      <c r="R85" s="67">
        <f>34.94-22.5</f>
        <v>12.439999999999998</v>
      </c>
      <c r="S85" s="67">
        <v>22.5</v>
      </c>
      <c r="T85" s="65">
        <f t="shared" si="21"/>
        <v>34.94</v>
      </c>
      <c r="U85" s="15"/>
      <c r="V85" s="67">
        <v>0.64</v>
      </c>
      <c r="W85" s="30">
        <f>103.7+8.8+76</f>
        <v>188.5</v>
      </c>
      <c r="X85" s="13">
        <f t="shared" si="20"/>
        <v>233.57999999999998</v>
      </c>
      <c r="Y85" s="74"/>
    </row>
    <row r="86" spans="2:30" ht="20.100000000000001" customHeight="1" x14ac:dyDescent="0.2">
      <c r="B86" s="29" t="s">
        <v>30</v>
      </c>
      <c r="C86" s="13">
        <v>0.8</v>
      </c>
      <c r="D86" s="67"/>
      <c r="E86" s="67"/>
      <c r="F86" s="32"/>
      <c r="G86" s="64">
        <f t="shared" si="16"/>
        <v>0.8</v>
      </c>
      <c r="H86" s="13">
        <v>2.4</v>
      </c>
      <c r="I86" s="68"/>
      <c r="J86" s="67">
        <v>4.4000000000000004</v>
      </c>
      <c r="K86" s="68"/>
      <c r="L86" s="65">
        <f t="shared" si="17"/>
        <v>6.8000000000000007</v>
      </c>
      <c r="M86" s="13">
        <f t="shared" si="18"/>
        <v>7.6000000000000005</v>
      </c>
      <c r="N86" s="15"/>
      <c r="O86" s="67">
        <v>3</v>
      </c>
      <c r="P86" s="65">
        <f t="shared" si="19"/>
        <v>3</v>
      </c>
      <c r="Q86" s="15"/>
      <c r="R86" s="78">
        <v>13.14</v>
      </c>
      <c r="S86" s="78"/>
      <c r="T86" s="65">
        <f t="shared" si="21"/>
        <v>13.14</v>
      </c>
      <c r="U86" s="15"/>
      <c r="V86" s="67">
        <v>8.5</v>
      </c>
      <c r="W86" s="30">
        <f>85.3+11.5+0.1</f>
        <v>96.899999999999991</v>
      </c>
      <c r="X86" s="13">
        <f t="shared" si="20"/>
        <v>129.13999999999999</v>
      </c>
      <c r="Y86" s="74"/>
    </row>
    <row r="87" spans="2:30" ht="20.100000000000001" customHeight="1" x14ac:dyDescent="0.2">
      <c r="B87" s="29" t="s">
        <v>31</v>
      </c>
      <c r="C87" s="13">
        <v>1.3</v>
      </c>
      <c r="D87" s="67"/>
      <c r="E87" s="32"/>
      <c r="F87" s="32"/>
      <c r="G87" s="64">
        <f>SUM(C87:F87)</f>
        <v>1.3</v>
      </c>
      <c r="H87" s="13"/>
      <c r="I87" s="68"/>
      <c r="J87" s="67">
        <f>4.4-0.04</f>
        <v>4.3600000000000003</v>
      </c>
      <c r="K87" s="68">
        <f>2.2-0.04</f>
        <v>2.16</v>
      </c>
      <c r="L87" s="65">
        <f t="shared" si="17"/>
        <v>6.5200000000000005</v>
      </c>
      <c r="M87" s="13">
        <f t="shared" si="18"/>
        <v>7.82</v>
      </c>
      <c r="N87" s="15"/>
      <c r="O87" s="67">
        <v>2.7</v>
      </c>
      <c r="P87" s="65">
        <f t="shared" si="19"/>
        <v>2.7</v>
      </c>
      <c r="Q87" s="15"/>
      <c r="R87" s="67">
        <v>6.7</v>
      </c>
      <c r="S87" s="67"/>
      <c r="T87" s="65">
        <f t="shared" si="21"/>
        <v>6.7</v>
      </c>
      <c r="U87" s="15"/>
      <c r="V87" s="67">
        <v>0.51514651</v>
      </c>
      <c r="W87" s="30">
        <f>67.1+27.9+3.9+0.1</f>
        <v>99</v>
      </c>
      <c r="X87" s="13">
        <f t="shared" si="20"/>
        <v>116.73514650999999</v>
      </c>
      <c r="Y87" s="74"/>
    </row>
    <row r="88" spans="2:30" ht="20.100000000000001" customHeight="1" x14ac:dyDescent="0.2">
      <c r="B88" s="29" t="s">
        <v>32</v>
      </c>
      <c r="C88" s="13">
        <v>1.24</v>
      </c>
      <c r="D88" s="67"/>
      <c r="E88" s="32">
        <v>1.34</v>
      </c>
      <c r="F88" s="32"/>
      <c r="G88" s="64">
        <f>SUM(C88:F88)</f>
        <v>2.58</v>
      </c>
      <c r="H88" s="13"/>
      <c r="I88" s="68"/>
      <c r="J88" s="67">
        <v>4.6399999999999997</v>
      </c>
      <c r="K88" s="68">
        <v>2.74</v>
      </c>
      <c r="L88" s="65">
        <f t="shared" si="17"/>
        <v>7.38</v>
      </c>
      <c r="M88" s="13">
        <f t="shared" si="18"/>
        <v>9.9600000000000009</v>
      </c>
      <c r="N88" s="15">
        <v>0.7</v>
      </c>
      <c r="O88" s="67">
        <v>19.3</v>
      </c>
      <c r="P88" s="65">
        <f t="shared" si="19"/>
        <v>20</v>
      </c>
      <c r="Q88" s="15"/>
      <c r="R88" s="67">
        <v>18.8</v>
      </c>
      <c r="S88" s="67"/>
      <c r="T88" s="65">
        <f t="shared" si="21"/>
        <v>18.8</v>
      </c>
      <c r="U88" s="15"/>
      <c r="V88" s="67">
        <v>0.81463470000000004</v>
      </c>
      <c r="W88" s="30">
        <f>54.2+48.2+34.3</f>
        <v>136.69999999999999</v>
      </c>
      <c r="X88" s="13">
        <f t="shared" si="20"/>
        <v>186.27463470000001</v>
      </c>
      <c r="Y88" s="74"/>
    </row>
    <row r="89" spans="2:30" ht="20.100000000000001" customHeight="1" x14ac:dyDescent="0.2">
      <c r="B89" s="29" t="s">
        <v>33</v>
      </c>
      <c r="C89" s="13">
        <v>1.1000000000000001</v>
      </c>
      <c r="D89" s="67"/>
      <c r="E89" s="32">
        <v>1.6</v>
      </c>
      <c r="F89" s="32"/>
      <c r="G89" s="64">
        <f>SUM(C89:F89)</f>
        <v>2.7</v>
      </c>
      <c r="H89" s="13"/>
      <c r="I89" s="68"/>
      <c r="J89" s="67">
        <v>5.3</v>
      </c>
      <c r="K89" s="68">
        <v>1.2</v>
      </c>
      <c r="L89" s="65">
        <f t="shared" si="17"/>
        <v>6.5</v>
      </c>
      <c r="M89" s="13">
        <f t="shared" si="18"/>
        <v>9.1999999999999993</v>
      </c>
      <c r="N89" s="15"/>
      <c r="O89" s="67">
        <v>2.4</v>
      </c>
      <c r="P89" s="65">
        <f t="shared" si="19"/>
        <v>2.4</v>
      </c>
      <c r="Q89" s="15"/>
      <c r="R89" s="78">
        <v>7.7450967100000003</v>
      </c>
      <c r="S89" s="78"/>
      <c r="T89" s="65">
        <f t="shared" si="21"/>
        <v>7.7450967100000003</v>
      </c>
      <c r="U89" s="15"/>
      <c r="V89" s="67">
        <v>0.35490328999999982</v>
      </c>
      <c r="W89" s="30">
        <v>78</v>
      </c>
      <c r="X89" s="13">
        <f t="shared" si="20"/>
        <v>97.7</v>
      </c>
      <c r="Y89" s="74"/>
    </row>
    <row r="90" spans="2:30" ht="20.100000000000001" customHeight="1" x14ac:dyDescent="0.2">
      <c r="B90" s="29" t="s">
        <v>34</v>
      </c>
      <c r="C90" s="13">
        <v>1.25</v>
      </c>
      <c r="D90" s="67"/>
      <c r="E90" s="32">
        <v>1.85</v>
      </c>
      <c r="F90" s="32"/>
      <c r="G90" s="64">
        <f>SUM(C90:F90)</f>
        <v>3.1</v>
      </c>
      <c r="H90" s="13"/>
      <c r="I90" s="68"/>
      <c r="J90" s="67">
        <v>5.45</v>
      </c>
      <c r="K90" s="68">
        <v>0.4</v>
      </c>
      <c r="L90" s="65">
        <f t="shared" si="17"/>
        <v>5.8500000000000005</v>
      </c>
      <c r="M90" s="13">
        <f t="shared" si="18"/>
        <v>8.9500000000000011</v>
      </c>
      <c r="N90" s="15"/>
      <c r="O90" s="67">
        <v>3.25</v>
      </c>
      <c r="P90" s="65">
        <f t="shared" si="19"/>
        <v>3.25</v>
      </c>
      <c r="Q90" s="15"/>
      <c r="R90" s="67">
        <v>13.70776294</v>
      </c>
      <c r="S90" s="67"/>
      <c r="T90" s="65">
        <f t="shared" si="21"/>
        <v>13.70776294</v>
      </c>
      <c r="U90" s="15"/>
      <c r="V90" s="67">
        <v>2.7922370600000002</v>
      </c>
      <c r="W90" s="30">
        <v>79.900000000000006</v>
      </c>
      <c r="X90" s="13">
        <f t="shared" si="20"/>
        <v>108.60000000000001</v>
      </c>
      <c r="Y90" s="74"/>
    </row>
    <row r="91" spans="2:30" ht="20.100000000000001" customHeight="1" x14ac:dyDescent="0.2">
      <c r="B91" s="29" t="s">
        <v>35</v>
      </c>
      <c r="C91" s="13">
        <v>0.8</v>
      </c>
      <c r="D91" s="67"/>
      <c r="E91" s="32">
        <f>1.9+1.4</f>
        <v>3.3</v>
      </c>
      <c r="F91" s="32">
        <v>0.3</v>
      </c>
      <c r="G91" s="64">
        <f>SUM(C91:F91)</f>
        <v>4.3999999999999995</v>
      </c>
      <c r="H91" s="13"/>
      <c r="I91" s="68"/>
      <c r="J91" s="67">
        <v>4.4000000000000004</v>
      </c>
      <c r="K91" s="68">
        <v>0.4</v>
      </c>
      <c r="L91" s="65">
        <f t="shared" si="17"/>
        <v>4.8000000000000007</v>
      </c>
      <c r="M91" s="13">
        <f t="shared" si="18"/>
        <v>9.1999999999999993</v>
      </c>
      <c r="N91" s="15"/>
      <c r="O91" s="67">
        <v>4.2</v>
      </c>
      <c r="P91" s="65">
        <f t="shared" si="19"/>
        <v>4.2</v>
      </c>
      <c r="Q91" s="15"/>
      <c r="R91" s="67">
        <v>50.757678380000009</v>
      </c>
      <c r="S91" s="67"/>
      <c r="T91" s="65">
        <f t="shared" si="21"/>
        <v>50.757678380000009</v>
      </c>
      <c r="U91" s="15"/>
      <c r="V91" s="67">
        <v>1.5423216199999998</v>
      </c>
      <c r="W91" s="30">
        <v>265.69</v>
      </c>
      <c r="X91" s="13">
        <f t="shared" si="20"/>
        <v>331.39</v>
      </c>
      <c r="Y91" s="74"/>
    </row>
    <row r="92" spans="2:30" ht="20.100000000000001" customHeight="1" x14ac:dyDescent="0.2">
      <c r="B92" s="29"/>
      <c r="C92" s="13"/>
      <c r="D92" s="67"/>
      <c r="E92" s="32"/>
      <c r="F92" s="32"/>
      <c r="G92" s="64">
        <f>C92+D92+F92</f>
        <v>0</v>
      </c>
      <c r="H92" s="13"/>
      <c r="I92" s="68"/>
      <c r="J92" s="67"/>
      <c r="K92" s="68"/>
      <c r="L92" s="65">
        <f t="shared" si="17"/>
        <v>0</v>
      </c>
      <c r="M92" s="13">
        <f t="shared" si="18"/>
        <v>0</v>
      </c>
      <c r="N92" s="15"/>
      <c r="O92" s="67"/>
      <c r="P92" s="65">
        <f t="shared" si="19"/>
        <v>0</v>
      </c>
      <c r="Q92" s="15"/>
      <c r="R92" s="78"/>
      <c r="S92" s="78"/>
      <c r="T92" s="65">
        <f t="shared" si="21"/>
        <v>0</v>
      </c>
      <c r="U92" s="15"/>
      <c r="V92" s="67"/>
      <c r="W92" s="30"/>
      <c r="X92" s="13">
        <f t="shared" si="20"/>
        <v>0</v>
      </c>
      <c r="Y92" s="74"/>
      <c r="AD92" s="56"/>
    </row>
    <row r="93" spans="2:30" ht="20.100000000000001" customHeight="1" x14ac:dyDescent="0.2">
      <c r="B93" s="58">
        <v>2000</v>
      </c>
      <c r="C93" s="13">
        <f>SUM(C94:C106)</f>
        <v>10.888700000000002</v>
      </c>
      <c r="D93" s="67">
        <f>SUM(D94:D106)</f>
        <v>0</v>
      </c>
      <c r="E93" s="32">
        <f>SUM(E94:E106)</f>
        <v>89.045400000000001</v>
      </c>
      <c r="F93" s="32">
        <f>SUM(F94:F106)</f>
        <v>0.30099999999999999</v>
      </c>
      <c r="G93" s="64">
        <f>SUM(C93:F93)</f>
        <v>100.2351</v>
      </c>
      <c r="H93" s="13"/>
      <c r="I93" s="68">
        <f t="shared" ref="I93:S93" si="22">SUM(I94:I106)</f>
        <v>0</v>
      </c>
      <c r="J93" s="67">
        <f t="shared" si="22"/>
        <v>16.404299999999999</v>
      </c>
      <c r="K93" s="68">
        <f t="shared" si="22"/>
        <v>11.373999999999999</v>
      </c>
      <c r="L93" s="65">
        <f t="shared" si="22"/>
        <v>27.778300000000002</v>
      </c>
      <c r="M93" s="13">
        <f t="shared" si="22"/>
        <v>128.01340000000002</v>
      </c>
      <c r="N93" s="15">
        <f t="shared" si="22"/>
        <v>0.624</v>
      </c>
      <c r="O93" s="67">
        <f t="shared" si="22"/>
        <v>42.822400000000016</v>
      </c>
      <c r="P93" s="65">
        <f t="shared" si="22"/>
        <v>43.446400000000011</v>
      </c>
      <c r="Q93" s="67">
        <f t="shared" si="22"/>
        <v>0</v>
      </c>
      <c r="R93" s="67">
        <f t="shared" si="22"/>
        <v>198.64869999999999</v>
      </c>
      <c r="S93" s="67">
        <f t="shared" si="22"/>
        <v>15.1</v>
      </c>
      <c r="T93" s="65">
        <f t="shared" si="21"/>
        <v>213.74869999999999</v>
      </c>
      <c r="U93" s="15">
        <f>SUM(U94:U106)</f>
        <v>0</v>
      </c>
      <c r="V93" s="67">
        <f>SUM(V94:V106)</f>
        <v>75.421099999999996</v>
      </c>
      <c r="W93" s="30">
        <f>SUM(W94:W106)</f>
        <v>1223.6423999999997</v>
      </c>
      <c r="X93" s="13">
        <f t="shared" si="20"/>
        <v>1684.2719999999999</v>
      </c>
      <c r="Y93" s="74"/>
    </row>
    <row r="94" spans="2:30" ht="20.100000000000001" customHeight="1" x14ac:dyDescent="0.2">
      <c r="B94" s="58"/>
      <c r="C94" s="13"/>
      <c r="D94" s="67"/>
      <c r="E94" s="32"/>
      <c r="F94" s="32"/>
      <c r="G94" s="64"/>
      <c r="H94" s="13"/>
      <c r="I94" s="68"/>
      <c r="J94" s="67"/>
      <c r="K94" s="68"/>
      <c r="L94" s="65"/>
      <c r="M94" s="13"/>
      <c r="N94" s="15"/>
      <c r="O94" s="67"/>
      <c r="P94" s="65"/>
      <c r="Q94" s="15"/>
      <c r="R94" s="67"/>
      <c r="S94" s="67"/>
      <c r="T94" s="65">
        <f t="shared" si="21"/>
        <v>0</v>
      </c>
      <c r="U94" s="15"/>
      <c r="V94" s="67"/>
      <c r="W94" s="30"/>
      <c r="X94" s="13"/>
      <c r="Y94" s="74"/>
    </row>
    <row r="95" spans="2:30" ht="20.100000000000001" customHeight="1" x14ac:dyDescent="0.2">
      <c r="B95" s="59" t="s">
        <v>6</v>
      </c>
      <c r="C95" s="13">
        <v>0.82699999999999996</v>
      </c>
      <c r="D95" s="67"/>
      <c r="E95" s="32">
        <f>2.823+0.384</f>
        <v>3.2069999999999999</v>
      </c>
      <c r="F95" s="32"/>
      <c r="G95" s="64">
        <f t="shared" ref="G95:G106" si="23">SUM(C95:F95)</f>
        <v>4.0339999999999998</v>
      </c>
      <c r="H95" s="13"/>
      <c r="I95" s="68"/>
      <c r="J95" s="67">
        <v>6.0389999999999997</v>
      </c>
      <c r="K95" s="68">
        <v>0.89700000000000002</v>
      </c>
      <c r="L95" s="65">
        <f t="shared" ref="L95:L106" si="24">K95+J95+H95</f>
        <v>6.9359999999999999</v>
      </c>
      <c r="M95" s="13">
        <f t="shared" ref="M95:M106" si="25">L95+G95</f>
        <v>10.969999999999999</v>
      </c>
      <c r="N95" s="15">
        <v>0</v>
      </c>
      <c r="O95" s="67">
        <v>2.98</v>
      </c>
      <c r="P95" s="65">
        <f t="shared" ref="P95:P106" si="26">O95+N95</f>
        <v>2.98</v>
      </c>
      <c r="Q95" s="15"/>
      <c r="R95" s="67">
        <v>5.71</v>
      </c>
      <c r="S95" s="67"/>
      <c r="T95" s="65">
        <f t="shared" si="21"/>
        <v>5.71</v>
      </c>
      <c r="U95" s="15"/>
      <c r="V95" s="67">
        <v>1.7</v>
      </c>
      <c r="W95" s="30">
        <v>201.726</v>
      </c>
      <c r="X95" s="13">
        <f t="shared" ref="X95:X106" si="27">W95+V95+U95+T95+P95+M95</f>
        <v>223.08599999999998</v>
      </c>
      <c r="Y95" s="74"/>
      <c r="AA95" s="126"/>
    </row>
    <row r="96" spans="2:30" ht="20.100000000000001" customHeight="1" x14ac:dyDescent="0.2">
      <c r="B96" s="59" t="s">
        <v>7</v>
      </c>
      <c r="C96" s="13">
        <v>1.129</v>
      </c>
      <c r="D96" s="67"/>
      <c r="E96" s="32">
        <f>3.067+0.181</f>
        <v>3.2480000000000002</v>
      </c>
      <c r="F96" s="32"/>
      <c r="G96" s="64">
        <f t="shared" si="23"/>
        <v>4.3770000000000007</v>
      </c>
      <c r="H96" s="13"/>
      <c r="I96" s="68"/>
      <c r="J96" s="67">
        <v>6.6909999999999998</v>
      </c>
      <c r="K96" s="68">
        <v>1.1619999999999999</v>
      </c>
      <c r="L96" s="65">
        <f t="shared" si="24"/>
        <v>7.8529999999999998</v>
      </c>
      <c r="M96" s="13">
        <f t="shared" si="25"/>
        <v>12.23</v>
      </c>
      <c r="N96" s="15">
        <v>0.622</v>
      </c>
      <c r="O96" s="67">
        <v>2.1</v>
      </c>
      <c r="P96" s="65">
        <f t="shared" si="26"/>
        <v>2.722</v>
      </c>
      <c r="Q96" s="15"/>
      <c r="R96" s="67">
        <v>4.9219999999999997</v>
      </c>
      <c r="S96" s="67">
        <v>15.1</v>
      </c>
      <c r="T96" s="65">
        <f t="shared" si="21"/>
        <v>20.021999999999998</v>
      </c>
      <c r="U96" s="15"/>
      <c r="V96" s="67">
        <v>3.548</v>
      </c>
      <c r="W96" s="30">
        <f>158.059-15.1</f>
        <v>142.959</v>
      </c>
      <c r="X96" s="13">
        <f t="shared" si="27"/>
        <v>181.48099999999999</v>
      </c>
      <c r="Y96" s="74"/>
      <c r="AA96" s="127"/>
    </row>
    <row r="97" spans="1:30" ht="20.100000000000001" customHeight="1" x14ac:dyDescent="0.2">
      <c r="B97" s="59" t="s">
        <v>8</v>
      </c>
      <c r="C97" s="13">
        <v>0.79300000000000004</v>
      </c>
      <c r="D97" s="67"/>
      <c r="E97" s="32">
        <v>3.831</v>
      </c>
      <c r="F97" s="32"/>
      <c r="G97" s="64">
        <f t="shared" si="23"/>
        <v>4.6239999999999997</v>
      </c>
      <c r="H97" s="13"/>
      <c r="I97" s="68"/>
      <c r="J97" s="67">
        <v>3.4540000000000002</v>
      </c>
      <c r="K97" s="68">
        <v>0.74</v>
      </c>
      <c r="L97" s="65">
        <f t="shared" si="24"/>
        <v>4.194</v>
      </c>
      <c r="M97" s="13">
        <f t="shared" si="25"/>
        <v>8.8179999999999996</v>
      </c>
      <c r="N97" s="15">
        <v>2E-3</v>
      </c>
      <c r="O97" s="67">
        <v>11.178000000000001</v>
      </c>
      <c r="P97" s="65">
        <f t="shared" si="26"/>
        <v>11.180000000000001</v>
      </c>
      <c r="Q97" s="15"/>
      <c r="R97" s="67">
        <v>4.9279999999999999</v>
      </c>
      <c r="S97" s="67"/>
      <c r="T97" s="65">
        <f t="shared" si="21"/>
        <v>4.9279999999999999</v>
      </c>
      <c r="U97" s="15"/>
      <c r="V97" s="67">
        <v>0.27300000000000002</v>
      </c>
      <c r="W97" s="30">
        <v>117.76</v>
      </c>
      <c r="X97" s="13">
        <f t="shared" si="27"/>
        <v>142.959</v>
      </c>
      <c r="Y97" s="74"/>
      <c r="AA97" s="126"/>
    </row>
    <row r="98" spans="1:30" ht="20.100000000000001" customHeight="1" x14ac:dyDescent="0.2">
      <c r="B98" s="59" t="s">
        <v>9</v>
      </c>
      <c r="C98" s="13">
        <v>0.81499999999999995</v>
      </c>
      <c r="D98" s="67"/>
      <c r="E98" s="32">
        <f>6.554+0.116</f>
        <v>6.67</v>
      </c>
      <c r="F98" s="32"/>
      <c r="G98" s="64">
        <f t="shared" si="23"/>
        <v>7.4849999999999994</v>
      </c>
      <c r="H98" s="13"/>
      <c r="I98" s="68"/>
      <c r="J98" s="67"/>
      <c r="K98" s="68">
        <v>1.3779999999999999</v>
      </c>
      <c r="L98" s="65">
        <f t="shared" si="24"/>
        <v>1.3779999999999999</v>
      </c>
      <c r="M98" s="13">
        <f t="shared" si="25"/>
        <v>8.8629999999999995</v>
      </c>
      <c r="N98" s="15"/>
      <c r="O98" s="67">
        <v>2.335</v>
      </c>
      <c r="P98" s="65">
        <f t="shared" si="26"/>
        <v>2.335</v>
      </c>
      <c r="Q98" s="15"/>
      <c r="R98" s="67">
        <v>7.3310000000000004</v>
      </c>
      <c r="S98" s="67"/>
      <c r="T98" s="65">
        <f t="shared" si="21"/>
        <v>7.3310000000000004</v>
      </c>
      <c r="U98" s="15"/>
      <c r="V98" s="67">
        <v>2.17</v>
      </c>
      <c r="W98" s="30">
        <v>63.338999999999999</v>
      </c>
      <c r="X98" s="13">
        <f t="shared" si="27"/>
        <v>84.037999999999997</v>
      </c>
      <c r="Y98" s="74"/>
    </row>
    <row r="99" spans="1:30" ht="20.100000000000001" customHeight="1" x14ac:dyDescent="0.2">
      <c r="B99" s="59" t="s">
        <v>10</v>
      </c>
      <c r="C99" s="13">
        <v>1.1020000000000001</v>
      </c>
      <c r="D99" s="67"/>
      <c r="E99" s="32">
        <v>6.1609999999999996</v>
      </c>
      <c r="F99" s="32">
        <v>0.30099999999999999</v>
      </c>
      <c r="G99" s="64">
        <f t="shared" si="23"/>
        <v>7.5640000000000001</v>
      </c>
      <c r="H99" s="13"/>
      <c r="I99" s="68"/>
      <c r="J99" s="67"/>
      <c r="K99" s="68">
        <v>0.79100000000000004</v>
      </c>
      <c r="L99" s="65">
        <f t="shared" si="24"/>
        <v>0.79100000000000004</v>
      </c>
      <c r="M99" s="13">
        <f t="shared" si="25"/>
        <v>8.3550000000000004</v>
      </c>
      <c r="N99" s="15"/>
      <c r="O99" s="67">
        <v>2.2370000000000001</v>
      </c>
      <c r="P99" s="65">
        <f t="shared" si="26"/>
        <v>2.2370000000000001</v>
      </c>
      <c r="Q99" s="15"/>
      <c r="R99" s="67">
        <v>9.0709999999999997</v>
      </c>
      <c r="S99" s="67"/>
      <c r="T99" s="65">
        <f t="shared" si="21"/>
        <v>9.0709999999999997</v>
      </c>
      <c r="U99" s="15"/>
      <c r="V99" s="67">
        <v>3.0209999999999999</v>
      </c>
      <c r="W99" s="30">
        <f>107.995+2.341</f>
        <v>110.336</v>
      </c>
      <c r="X99" s="13">
        <f t="shared" si="27"/>
        <v>133.01999999999998</v>
      </c>
      <c r="Y99" s="74"/>
    </row>
    <row r="100" spans="1:30" ht="20.100000000000001" customHeight="1" x14ac:dyDescent="0.2">
      <c r="B100" s="59" t="s">
        <v>11</v>
      </c>
      <c r="C100" s="13">
        <v>0.55600000000000005</v>
      </c>
      <c r="D100" s="67"/>
      <c r="E100" s="32">
        <v>6.5919999999999996</v>
      </c>
      <c r="F100" s="32"/>
      <c r="G100" s="64">
        <f t="shared" si="23"/>
        <v>7.1479999999999997</v>
      </c>
      <c r="H100" s="13"/>
      <c r="I100" s="68"/>
      <c r="J100" s="67"/>
      <c r="K100" s="68">
        <v>3.4729999999999999</v>
      </c>
      <c r="L100" s="65">
        <f t="shared" si="24"/>
        <v>3.4729999999999999</v>
      </c>
      <c r="M100" s="13">
        <f t="shared" si="25"/>
        <v>10.620999999999999</v>
      </c>
      <c r="N100" s="15"/>
      <c r="O100" s="67">
        <v>2.2949999999999999</v>
      </c>
      <c r="P100" s="65">
        <f t="shared" si="26"/>
        <v>2.2949999999999999</v>
      </c>
      <c r="Q100" s="15"/>
      <c r="R100" s="67">
        <v>19.052</v>
      </c>
      <c r="S100" s="67"/>
      <c r="T100" s="65">
        <f t="shared" si="21"/>
        <v>19.052</v>
      </c>
      <c r="U100" s="15"/>
      <c r="V100" s="67">
        <v>3.8809999999999998</v>
      </c>
      <c r="W100" s="30">
        <v>84.79</v>
      </c>
      <c r="X100" s="13">
        <f t="shared" si="27"/>
        <v>120.63900000000001</v>
      </c>
      <c r="Y100" s="74"/>
      <c r="AA100" s="128"/>
    </row>
    <row r="101" spans="1:30" ht="20.100000000000001" customHeight="1" x14ac:dyDescent="0.2">
      <c r="B101" s="59" t="s">
        <v>12</v>
      </c>
      <c r="C101" s="13">
        <f>0.985</f>
        <v>0.98499999999999999</v>
      </c>
      <c r="D101" s="67"/>
      <c r="E101" s="32">
        <v>7.3037000000000001</v>
      </c>
      <c r="F101" s="32"/>
      <c r="G101" s="64">
        <f t="shared" si="23"/>
        <v>8.2887000000000004</v>
      </c>
      <c r="H101" s="13"/>
      <c r="I101" s="68"/>
      <c r="J101" s="67"/>
      <c r="K101" s="68">
        <v>0.495</v>
      </c>
      <c r="L101" s="65">
        <f t="shared" si="24"/>
        <v>0.495</v>
      </c>
      <c r="M101" s="13">
        <f t="shared" si="25"/>
        <v>8.7836999999999996</v>
      </c>
      <c r="N101" s="15"/>
      <c r="O101" s="67">
        <f>3.0776</f>
        <v>3.0775999999999999</v>
      </c>
      <c r="P101" s="65">
        <f t="shared" si="26"/>
        <v>3.0775999999999999</v>
      </c>
      <c r="Q101" s="15"/>
      <c r="R101" s="67">
        <f>20.2871</f>
        <v>20.287099999999999</v>
      </c>
      <c r="S101" s="67"/>
      <c r="T101" s="65">
        <f t="shared" si="21"/>
        <v>20.287099999999999</v>
      </c>
      <c r="U101" s="15"/>
      <c r="V101" s="67">
        <v>0.85699999999999998</v>
      </c>
      <c r="W101" s="30">
        <f>66.9614</f>
        <v>66.961399999999998</v>
      </c>
      <c r="X101" s="13">
        <f t="shared" si="27"/>
        <v>99.966799999999992</v>
      </c>
      <c r="Y101" s="74"/>
    </row>
    <row r="102" spans="1:30" ht="20.100000000000001" customHeight="1" x14ac:dyDescent="0.2">
      <c r="B102" s="59" t="s">
        <v>13</v>
      </c>
      <c r="C102" s="13">
        <v>1.0165</v>
      </c>
      <c r="D102" s="67"/>
      <c r="E102" s="32">
        <v>7.5327000000000002</v>
      </c>
      <c r="F102" s="32"/>
      <c r="G102" s="64">
        <f t="shared" si="23"/>
        <v>8.5492000000000008</v>
      </c>
      <c r="H102" s="13"/>
      <c r="I102" s="68"/>
      <c r="J102" s="67">
        <v>2.2000000000000001E-3</v>
      </c>
      <c r="K102" s="68">
        <v>0.15</v>
      </c>
      <c r="L102" s="65">
        <f t="shared" si="24"/>
        <v>0.1522</v>
      </c>
      <c r="M102" s="13">
        <f t="shared" si="25"/>
        <v>8.7014000000000014</v>
      </c>
      <c r="N102" s="15">
        <f>ROUND(0.049,1)</f>
        <v>0</v>
      </c>
      <c r="O102" s="67">
        <v>4.6033999999999997</v>
      </c>
      <c r="P102" s="65">
        <f t="shared" si="26"/>
        <v>4.6033999999999997</v>
      </c>
      <c r="Q102" s="15"/>
      <c r="R102" s="67">
        <v>27.055900000000001</v>
      </c>
      <c r="S102" s="67"/>
      <c r="T102" s="65">
        <f t="shared" si="21"/>
        <v>27.055900000000001</v>
      </c>
      <c r="U102" s="15"/>
      <c r="V102" s="67">
        <v>0.66649999999999998</v>
      </c>
      <c r="W102" s="30">
        <v>93.580299999999994</v>
      </c>
      <c r="X102" s="13">
        <f t="shared" si="27"/>
        <v>134.60749999999999</v>
      </c>
      <c r="Y102" s="74"/>
    </row>
    <row r="103" spans="1:30" ht="20.100000000000001" customHeight="1" x14ac:dyDescent="0.2">
      <c r="B103" s="59" t="s">
        <v>14</v>
      </c>
      <c r="C103" s="13">
        <v>0.96519999999999995</v>
      </c>
      <c r="D103" s="67"/>
      <c r="E103" s="32">
        <f>ROUND(9.7456,1)</f>
        <v>9.6999999999999993</v>
      </c>
      <c r="F103" s="32"/>
      <c r="G103" s="64">
        <f t="shared" si="23"/>
        <v>10.665199999999999</v>
      </c>
      <c r="H103" s="13"/>
      <c r="I103" s="68"/>
      <c r="J103" s="67">
        <v>0.21809999999999999</v>
      </c>
      <c r="K103" s="68">
        <f>0.788</f>
        <v>0.78800000000000003</v>
      </c>
      <c r="L103" s="65">
        <f t="shared" si="24"/>
        <v>1.0061</v>
      </c>
      <c r="M103" s="13">
        <f t="shared" si="25"/>
        <v>11.671299999999999</v>
      </c>
      <c r="N103" s="15"/>
      <c r="O103" s="67">
        <v>3.0164</v>
      </c>
      <c r="P103" s="65">
        <f t="shared" si="26"/>
        <v>3.0164</v>
      </c>
      <c r="Q103" s="15"/>
      <c r="R103" s="67">
        <v>9.0916999999999994</v>
      </c>
      <c r="S103" s="67"/>
      <c r="T103" s="65">
        <f t="shared" si="21"/>
        <v>9.0916999999999994</v>
      </c>
      <c r="U103" s="15"/>
      <c r="V103" s="67">
        <v>0.90459999999999996</v>
      </c>
      <c r="W103" s="30">
        <v>98.490700000000004</v>
      </c>
      <c r="X103" s="13">
        <f t="shared" si="27"/>
        <v>123.17470000000002</v>
      </c>
      <c r="Y103" s="74"/>
    </row>
    <row r="104" spans="1:30" ht="20.100000000000001" customHeight="1" x14ac:dyDescent="0.2">
      <c r="B104" s="59" t="s">
        <v>15</v>
      </c>
      <c r="C104" s="13">
        <v>1.1000000000000001</v>
      </c>
      <c r="D104" s="67"/>
      <c r="E104" s="32">
        <v>13.4</v>
      </c>
      <c r="F104" s="32"/>
      <c r="G104" s="64">
        <f t="shared" si="23"/>
        <v>14.5</v>
      </c>
      <c r="H104" s="13"/>
      <c r="I104" s="68"/>
      <c r="J104" s="67"/>
      <c r="K104" s="68">
        <v>0.2</v>
      </c>
      <c r="L104" s="65">
        <f t="shared" si="24"/>
        <v>0.2</v>
      </c>
      <c r="M104" s="13">
        <f t="shared" si="25"/>
        <v>14.7</v>
      </c>
      <c r="N104" s="15"/>
      <c r="O104" s="67">
        <v>3.2</v>
      </c>
      <c r="P104" s="65">
        <f t="shared" si="26"/>
        <v>3.2</v>
      </c>
      <c r="Q104" s="15"/>
      <c r="R104" s="67">
        <v>7.8</v>
      </c>
      <c r="S104" s="67"/>
      <c r="T104" s="65">
        <f t="shared" si="21"/>
        <v>7.8</v>
      </c>
      <c r="U104" s="15"/>
      <c r="V104" s="67">
        <v>10.8</v>
      </c>
      <c r="W104" s="30">
        <v>90.1</v>
      </c>
      <c r="X104" s="13">
        <f t="shared" si="27"/>
        <v>126.6</v>
      </c>
      <c r="Y104" s="74"/>
      <c r="AA104" s="109">
        <v>671.05428453000002</v>
      </c>
    </row>
    <row r="105" spans="1:30" ht="20.100000000000001" customHeight="1" x14ac:dyDescent="0.2">
      <c r="B105" s="59" t="s">
        <v>16</v>
      </c>
      <c r="C105" s="13">
        <v>0.8</v>
      </c>
      <c r="D105" s="67"/>
      <c r="E105" s="32">
        <v>10.5</v>
      </c>
      <c r="F105" s="32"/>
      <c r="G105" s="64">
        <f t="shared" si="23"/>
        <v>11.3</v>
      </c>
      <c r="H105" s="13"/>
      <c r="I105" s="68"/>
      <c r="J105" s="67"/>
      <c r="K105" s="68">
        <v>0.6</v>
      </c>
      <c r="L105" s="65">
        <f t="shared" si="24"/>
        <v>0.6</v>
      </c>
      <c r="M105" s="13">
        <f t="shared" si="25"/>
        <v>11.9</v>
      </c>
      <c r="N105" s="15"/>
      <c r="O105" s="67">
        <v>3.2</v>
      </c>
      <c r="P105" s="65">
        <f t="shared" si="26"/>
        <v>3.2</v>
      </c>
      <c r="Q105" s="15"/>
      <c r="R105" s="67">
        <v>11.1</v>
      </c>
      <c r="S105" s="67"/>
      <c r="T105" s="65">
        <f t="shared" si="21"/>
        <v>11.1</v>
      </c>
      <c r="U105" s="15"/>
      <c r="V105" s="67">
        <v>1.1000000000000001</v>
      </c>
      <c r="W105" s="30">
        <v>67.8</v>
      </c>
      <c r="X105" s="13">
        <f t="shared" si="27"/>
        <v>95.1</v>
      </c>
      <c r="Y105" s="74"/>
      <c r="AA105" s="109">
        <v>619.83195843999999</v>
      </c>
    </row>
    <row r="106" spans="1:30" ht="20.100000000000001" customHeight="1" x14ac:dyDescent="0.2">
      <c r="B106" s="129" t="s">
        <v>17</v>
      </c>
      <c r="C106" s="130">
        <v>0.8</v>
      </c>
      <c r="D106" s="131"/>
      <c r="E106" s="132">
        <v>10.9</v>
      </c>
      <c r="F106" s="132"/>
      <c r="G106" s="133">
        <f t="shared" si="23"/>
        <v>11.700000000000001</v>
      </c>
      <c r="H106" s="130"/>
      <c r="I106" s="134"/>
      <c r="J106" s="131"/>
      <c r="K106" s="134">
        <v>0.7</v>
      </c>
      <c r="L106" s="135">
        <f t="shared" si="24"/>
        <v>0.7</v>
      </c>
      <c r="M106" s="130">
        <f t="shared" si="25"/>
        <v>12.4</v>
      </c>
      <c r="N106" s="136"/>
      <c r="O106" s="131">
        <v>2.6</v>
      </c>
      <c r="P106" s="135">
        <f t="shared" si="26"/>
        <v>2.6</v>
      </c>
      <c r="Q106" s="136"/>
      <c r="R106" s="131">
        <v>72.3</v>
      </c>
      <c r="S106" s="131"/>
      <c r="T106" s="135">
        <f t="shared" si="21"/>
        <v>72.3</v>
      </c>
      <c r="U106" s="136"/>
      <c r="V106" s="131">
        <v>46.5</v>
      </c>
      <c r="W106" s="137">
        <v>85.8</v>
      </c>
      <c r="X106" s="13">
        <f t="shared" si="27"/>
        <v>219.60000000000002</v>
      </c>
      <c r="Y106" s="74"/>
      <c r="AA106" s="109">
        <v>1028.0524356281651</v>
      </c>
    </row>
    <row r="107" spans="1:30" s="6" customFormat="1" ht="21" customHeight="1" x14ac:dyDescent="0.2">
      <c r="A107" s="5"/>
      <c r="B107" s="6" t="s">
        <v>18</v>
      </c>
      <c r="C107" s="103" t="s">
        <v>67</v>
      </c>
      <c r="D107" s="69"/>
      <c r="E107" s="69"/>
      <c r="F107" s="14"/>
      <c r="G107" s="69"/>
      <c r="H107" s="69"/>
      <c r="I107" s="26"/>
      <c r="J107" s="69"/>
      <c r="K107" s="69"/>
      <c r="L107" s="69"/>
      <c r="M107" s="26"/>
      <c r="N107" s="69"/>
      <c r="O107" s="69"/>
      <c r="P107" s="69"/>
      <c r="Q107" s="69"/>
      <c r="R107" s="69"/>
      <c r="S107" s="69"/>
      <c r="T107" s="26"/>
      <c r="U107" s="26"/>
      <c r="V107" s="26"/>
      <c r="W107" s="26"/>
      <c r="Y107" s="5"/>
      <c r="Z107" s="5"/>
      <c r="AA107" s="138"/>
      <c r="AB107" s="57"/>
      <c r="AC107" s="57"/>
      <c r="AD107" s="57"/>
    </row>
    <row r="108" spans="1:30" s="6" customFormat="1" ht="15.95" customHeight="1" x14ac:dyDescent="0.2">
      <c r="A108" s="5"/>
      <c r="B108" s="6" t="s">
        <v>19</v>
      </c>
      <c r="C108" s="20" t="s">
        <v>67</v>
      </c>
      <c r="D108" s="7"/>
      <c r="E108" s="7"/>
      <c r="F108" s="7"/>
      <c r="G108" s="7"/>
      <c r="H108" s="7"/>
      <c r="I108" s="5"/>
      <c r="J108" s="7"/>
      <c r="K108" s="7"/>
      <c r="L108" s="7"/>
      <c r="M108" s="5"/>
      <c r="N108" s="7"/>
      <c r="O108" s="7"/>
      <c r="P108" s="7"/>
      <c r="Q108" s="7"/>
      <c r="R108" s="7"/>
      <c r="S108" s="7"/>
      <c r="T108" s="56"/>
      <c r="U108" s="56"/>
      <c r="V108" s="56"/>
      <c r="W108" s="31"/>
      <c r="X108" s="5"/>
      <c r="Y108" s="5"/>
      <c r="Z108" s="5"/>
      <c r="AA108" s="138"/>
    </row>
    <row r="109" spans="1:30" s="6" customFormat="1" ht="15.95" customHeight="1" x14ac:dyDescent="0.2">
      <c r="A109" s="5"/>
      <c r="B109" s="20" t="s">
        <v>20</v>
      </c>
      <c r="C109" s="24" t="s">
        <v>63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38"/>
    </row>
    <row r="110" spans="1:30" s="6" customFormat="1" ht="15.95" customHeight="1" x14ac:dyDescent="0.2">
      <c r="A110" s="5"/>
      <c r="C110" s="24" t="s">
        <v>61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38"/>
    </row>
    <row r="111" spans="1:30" s="6" customFormat="1" ht="14.25" customHeight="1" x14ac:dyDescent="0.2">
      <c r="A111" s="5"/>
      <c r="C111" s="24" t="s">
        <v>68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38"/>
    </row>
    <row r="112" spans="1:30" ht="14.25" x14ac:dyDescent="0.2">
      <c r="C112" s="25" t="s">
        <v>64</v>
      </c>
      <c r="X112" s="82" t="s">
        <v>71</v>
      </c>
    </row>
    <row r="113" spans="24:24" x14ac:dyDescent="0.2">
      <c r="X113" s="79"/>
    </row>
    <row r="115" spans="24:24" x14ac:dyDescent="0.2">
      <c r="X115" s="26"/>
    </row>
  </sheetData>
  <mergeCells count="14">
    <mergeCell ref="N6:W6"/>
    <mergeCell ref="G8:G9"/>
    <mergeCell ref="C7:G7"/>
    <mergeCell ref="H7:L7"/>
    <mergeCell ref="W7:W9"/>
    <mergeCell ref="P8:P9"/>
    <mergeCell ref="T8:T9"/>
    <mergeCell ref="Q7:T7"/>
    <mergeCell ref="N7:P7"/>
    <mergeCell ref="C8:C9"/>
    <mergeCell ref="J8:J9"/>
    <mergeCell ref="L8:L9"/>
    <mergeCell ref="K8:K9"/>
    <mergeCell ref="C6:M6"/>
  </mergeCells>
  <phoneticPr fontId="0" type="noConversion"/>
  <printOptions horizontalCentered="1" verticalCentered="1"/>
  <pageMargins left="0.75" right="0.75" top="0.23" bottom="0.39370078740157483" header="0.39370078740157483" footer="0.31496062992125984"/>
  <pageSetup scale="4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08-05</vt:lpstr>
      <vt:lpstr>Histórico</vt:lpstr>
      <vt:lpstr>'08-05'!A_impresión_IM</vt:lpstr>
      <vt:lpstr>Histórico!A_impresión_IM</vt:lpstr>
      <vt:lpstr>'08-05'!Área_de_impresión</vt:lpstr>
      <vt:lpstr>Histórico!Área_de_impresión</vt:lpstr>
      <vt:lpstr>Histórico!Títulos_a_imprimir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2016-03-16T20:02:16Z</cp:lastPrinted>
  <dcterms:created xsi:type="dcterms:W3CDTF">1998-08-31T17:17:42Z</dcterms:created>
  <dcterms:modified xsi:type="dcterms:W3CDTF">2016-05-20T22:01:12Z</dcterms:modified>
</cp:coreProperties>
</file>