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1725" yWindow="525" windowWidth="12450" windowHeight="9180"/>
  </bookViews>
  <sheets>
    <sheet name="08-06" sheetId="1" r:id="rId1"/>
    <sheet name="Histórico" sheetId="2" r:id="rId2"/>
  </sheets>
  <definedNames>
    <definedName name="_Regression_Int" localSheetId="0" hidden="1">1</definedName>
    <definedName name="_Regression_Int" localSheetId="1" hidden="1">1</definedName>
    <definedName name="A_impresión_IM" localSheetId="0">'08-06'!$A$1:$S$334</definedName>
    <definedName name="A_impresión_IM" localSheetId="1">Histórico!$A$1:$S$119</definedName>
    <definedName name="_xlnm.Print_Area" localSheetId="0">'08-06'!$B$1:$R$338</definedName>
    <definedName name="_xlnm.Print_Area" localSheetId="1">Histórico!$B$1:$S$119</definedName>
    <definedName name="_xlnm.Print_Titles" localSheetId="1">Histórico!$1:$12</definedName>
  </definedNames>
  <calcPr calcId="145621"/>
</workbook>
</file>

<file path=xl/calcChain.xml><?xml version="1.0" encoding="utf-8"?>
<calcChain xmlns="http://schemas.openxmlformats.org/spreadsheetml/2006/main">
  <c r="O320" i="1" l="1"/>
  <c r="N321" i="1" l="1"/>
  <c r="K322" i="1"/>
  <c r="N322" i="1" s="1"/>
  <c r="K321" i="1"/>
  <c r="K320" i="1"/>
  <c r="N320" i="1" s="1"/>
  <c r="H322" i="1"/>
  <c r="H321" i="1"/>
  <c r="H320" i="1"/>
  <c r="Q320" i="1" l="1"/>
  <c r="Q321" i="1"/>
  <c r="Q322" i="1"/>
  <c r="C317" i="1"/>
  <c r="C309" i="1" s="1"/>
  <c r="C316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K319" i="1" l="1"/>
  <c r="N319" i="1" s="1"/>
  <c r="K318" i="1"/>
  <c r="N318" i="1" s="1"/>
  <c r="K317" i="1"/>
  <c r="N317" i="1" s="1"/>
  <c r="H319" i="1"/>
  <c r="H318" i="1"/>
  <c r="H317" i="1"/>
  <c r="Q319" i="1" l="1"/>
  <c r="Q318" i="1"/>
  <c r="Q317" i="1"/>
  <c r="Q314" i="1" l="1"/>
  <c r="Q315" i="1"/>
  <c r="Q316" i="1"/>
  <c r="N312" i="1"/>
  <c r="N313" i="1"/>
  <c r="N314" i="1"/>
  <c r="N315" i="1"/>
  <c r="N316" i="1"/>
  <c r="K314" i="1"/>
  <c r="K315" i="1"/>
  <c r="K316" i="1"/>
  <c r="H312" i="1"/>
  <c r="H313" i="1"/>
  <c r="H314" i="1"/>
  <c r="H315" i="1"/>
  <c r="H316" i="1"/>
  <c r="Q309" i="1" l="1"/>
  <c r="P309" i="1"/>
  <c r="K313" i="1" l="1"/>
  <c r="K312" i="1"/>
  <c r="Q313" i="1" l="1"/>
  <c r="Q312" i="1"/>
  <c r="K311" i="1"/>
  <c r="H311" i="1"/>
  <c r="N311" i="1" l="1"/>
  <c r="O294" i="1"/>
  <c r="M294" i="1"/>
  <c r="L294" i="1"/>
  <c r="J294" i="1"/>
  <c r="I294" i="1"/>
  <c r="G294" i="1"/>
  <c r="F294" i="1"/>
  <c r="E294" i="1"/>
  <c r="D294" i="1"/>
  <c r="C294" i="1"/>
  <c r="Q311" i="1" l="1"/>
  <c r="K307" i="1"/>
  <c r="N307" i="1" s="1"/>
  <c r="K306" i="1"/>
  <c r="N306" i="1" s="1"/>
  <c r="K305" i="1"/>
  <c r="N305" i="1" s="1"/>
  <c r="H305" i="1"/>
  <c r="H306" i="1"/>
  <c r="H307" i="1"/>
  <c r="Q306" i="1" l="1"/>
  <c r="Q307" i="1"/>
  <c r="Q305" i="1"/>
  <c r="K304" i="1"/>
  <c r="N304" i="1" s="1"/>
  <c r="K303" i="1"/>
  <c r="N303" i="1" s="1"/>
  <c r="K302" i="1"/>
  <c r="N302" i="1" s="1"/>
  <c r="H304" i="1"/>
  <c r="H303" i="1"/>
  <c r="H302" i="1"/>
  <c r="Q303" i="1" l="1"/>
  <c r="Q304" i="1"/>
  <c r="Q302" i="1"/>
  <c r="K301" i="1" l="1"/>
  <c r="N301" i="1" s="1"/>
  <c r="K300" i="1"/>
  <c r="N300" i="1" s="1"/>
  <c r="K299" i="1"/>
  <c r="N299" i="1" s="1"/>
  <c r="H301" i="1"/>
  <c r="H300" i="1"/>
  <c r="H299" i="1"/>
  <c r="Q301" i="1" l="1"/>
  <c r="Q300" i="1"/>
  <c r="Q299" i="1"/>
  <c r="K298" i="1"/>
  <c r="N298" i="1" s="1"/>
  <c r="H298" i="1"/>
  <c r="K297" i="1"/>
  <c r="N297" i="1" s="1"/>
  <c r="H297" i="1"/>
  <c r="K296" i="1"/>
  <c r="H296" i="1"/>
  <c r="H294" i="1" s="1"/>
  <c r="P294" i="1"/>
  <c r="N296" i="1" l="1"/>
  <c r="N294" i="1" s="1"/>
  <c r="K294" i="1"/>
  <c r="Q297" i="1"/>
  <c r="Q298" i="1"/>
  <c r="Q296" i="1"/>
  <c r="H292" i="1"/>
  <c r="H291" i="1"/>
  <c r="K292" i="1"/>
  <c r="N292" i="1" s="1"/>
  <c r="K291" i="1"/>
  <c r="N291" i="1" s="1"/>
  <c r="P279" i="1"/>
  <c r="O279" i="1"/>
  <c r="M279" i="1"/>
  <c r="L279" i="1"/>
  <c r="J279" i="1"/>
  <c r="I279" i="1"/>
  <c r="G279" i="1"/>
  <c r="F279" i="1"/>
  <c r="E279" i="1"/>
  <c r="D279" i="1"/>
  <c r="C279" i="1"/>
  <c r="K290" i="1"/>
  <c r="N290" i="1" s="1"/>
  <c r="H290" i="1"/>
  <c r="Q294" i="1" l="1"/>
  <c r="Q290" i="1"/>
  <c r="Q292" i="1"/>
  <c r="Q291" i="1"/>
  <c r="K289" i="1"/>
  <c r="N289" i="1" s="1"/>
  <c r="H289" i="1"/>
  <c r="K288" i="1"/>
  <c r="N288" i="1" s="1"/>
  <c r="H288" i="1"/>
  <c r="K287" i="1"/>
  <c r="N287" i="1" s="1"/>
  <c r="H287" i="1"/>
  <c r="Q288" i="1" l="1"/>
  <c r="Q287" i="1"/>
  <c r="Q289" i="1"/>
  <c r="K286" i="1" l="1"/>
  <c r="N286" i="1" s="1"/>
  <c r="K285" i="1"/>
  <c r="K284" i="1"/>
  <c r="N284" i="1" s="1"/>
  <c r="H286" i="1"/>
  <c r="H285" i="1"/>
  <c r="H284" i="1"/>
  <c r="Q286" i="1" l="1"/>
  <c r="N285" i="1"/>
  <c r="Q285" i="1" s="1"/>
  <c r="Q284" i="1"/>
  <c r="K283" i="1" l="1"/>
  <c r="H283" i="1"/>
  <c r="K282" i="1"/>
  <c r="N282" i="1" s="1"/>
  <c r="H282" i="1"/>
  <c r="K281" i="1"/>
  <c r="H281" i="1"/>
  <c r="K279" i="1" l="1"/>
  <c r="H279" i="1"/>
  <c r="Q282" i="1"/>
  <c r="N283" i="1"/>
  <c r="N281" i="1"/>
  <c r="N279" i="1" l="1"/>
  <c r="Q283" i="1"/>
  <c r="Q281" i="1"/>
  <c r="Q279" i="1" l="1"/>
  <c r="C264" i="1"/>
  <c r="K277" i="1" l="1"/>
  <c r="N277" i="1" s="1"/>
  <c r="H277" i="1"/>
  <c r="K276" i="1"/>
  <c r="N276" i="1" s="1"/>
  <c r="H276" i="1"/>
  <c r="K275" i="1"/>
  <c r="N275" i="1" s="1"/>
  <c r="H275" i="1"/>
  <c r="K274" i="1"/>
  <c r="N274" i="1" s="1"/>
  <c r="H274" i="1"/>
  <c r="K273" i="1"/>
  <c r="N273" i="1" s="1"/>
  <c r="H273" i="1"/>
  <c r="K272" i="1"/>
  <c r="N272" i="1" s="1"/>
  <c r="H272" i="1"/>
  <c r="K271" i="1"/>
  <c r="N271" i="1" s="1"/>
  <c r="H271" i="1"/>
  <c r="K270" i="1"/>
  <c r="N270" i="1" s="1"/>
  <c r="H270" i="1"/>
  <c r="K269" i="1"/>
  <c r="N269" i="1" s="1"/>
  <c r="H269" i="1"/>
  <c r="K268" i="1"/>
  <c r="N268" i="1" s="1"/>
  <c r="H268" i="1"/>
  <c r="K267" i="1"/>
  <c r="N267" i="1" s="1"/>
  <c r="H267" i="1"/>
  <c r="K266" i="1"/>
  <c r="H266" i="1"/>
  <c r="P264" i="1"/>
  <c r="O264" i="1"/>
  <c r="M264" i="1"/>
  <c r="L264" i="1"/>
  <c r="J264" i="1"/>
  <c r="I264" i="1"/>
  <c r="G264" i="1"/>
  <c r="F264" i="1"/>
  <c r="E264" i="1"/>
  <c r="D264" i="1"/>
  <c r="Q272" i="1" l="1"/>
  <c r="Q270" i="1"/>
  <c r="Q274" i="1"/>
  <c r="Q268" i="1"/>
  <c r="H264" i="1"/>
  <c r="K264" i="1"/>
  <c r="Q267" i="1"/>
  <c r="Q269" i="1"/>
  <c r="Q271" i="1"/>
  <c r="Q273" i="1"/>
  <c r="Q275" i="1"/>
  <c r="Q276" i="1"/>
  <c r="Q277" i="1"/>
  <c r="N266" i="1"/>
  <c r="N264" i="1" s="1"/>
  <c r="Q266" i="1" l="1"/>
  <c r="Q264" i="1" s="1"/>
  <c r="P249" i="1" l="1"/>
  <c r="M249" i="1"/>
  <c r="L249" i="1"/>
  <c r="J249" i="1"/>
  <c r="I249" i="1"/>
  <c r="G249" i="1"/>
  <c r="F249" i="1"/>
  <c r="E249" i="1"/>
  <c r="D249" i="1"/>
  <c r="C249" i="1"/>
  <c r="K262" i="1"/>
  <c r="N262" i="1" s="1"/>
  <c r="K261" i="1"/>
  <c r="N261" i="1" s="1"/>
  <c r="K260" i="1"/>
  <c r="N260" i="1" s="1"/>
  <c r="H262" i="1"/>
  <c r="H261" i="1"/>
  <c r="H260" i="1"/>
  <c r="Q262" i="1" l="1"/>
  <c r="Q261" i="1"/>
  <c r="Q260" i="1"/>
  <c r="O251" i="1" l="1"/>
  <c r="O249" i="1" s="1"/>
  <c r="K259" i="1" l="1"/>
  <c r="N259" i="1" s="1"/>
  <c r="K258" i="1"/>
  <c r="N258" i="1" s="1"/>
  <c r="K257" i="1"/>
  <c r="N257" i="1" s="1"/>
  <c r="H259" i="1"/>
  <c r="H258" i="1"/>
  <c r="H257" i="1"/>
  <c r="Q257" i="1" l="1"/>
  <c r="Q259" i="1"/>
  <c r="Q258" i="1"/>
  <c r="H256" i="1" l="1"/>
  <c r="H255" i="1"/>
  <c r="H254" i="1"/>
  <c r="K256" i="1"/>
  <c r="N256" i="1" s="1"/>
  <c r="K255" i="1"/>
  <c r="N255" i="1" s="1"/>
  <c r="K254" i="1"/>
  <c r="N254" i="1" s="1"/>
  <c r="Q255" i="1" l="1"/>
  <c r="Q256" i="1"/>
  <c r="Q254" i="1"/>
  <c r="O239" i="1"/>
  <c r="K253" i="1" l="1"/>
  <c r="N253" i="1" s="1"/>
  <c r="H253" i="1"/>
  <c r="K252" i="1"/>
  <c r="N252" i="1" s="1"/>
  <c r="H252" i="1"/>
  <c r="K251" i="1"/>
  <c r="H251" i="1"/>
  <c r="M234" i="1"/>
  <c r="L234" i="1"/>
  <c r="J234" i="1"/>
  <c r="I234" i="1"/>
  <c r="G234" i="1"/>
  <c r="F234" i="1"/>
  <c r="E234" i="1"/>
  <c r="D234" i="1"/>
  <c r="C234" i="1"/>
  <c r="K247" i="1"/>
  <c r="N247" i="1" s="1"/>
  <c r="H247" i="1"/>
  <c r="K246" i="1"/>
  <c r="N246" i="1" s="1"/>
  <c r="H246" i="1"/>
  <c r="K245" i="1"/>
  <c r="N245" i="1" s="1"/>
  <c r="H245" i="1"/>
  <c r="H249" i="1" l="1"/>
  <c r="N251" i="1"/>
  <c r="N249" i="1" s="1"/>
  <c r="K249" i="1"/>
  <c r="Q252" i="1"/>
  <c r="Q253" i="1"/>
  <c r="Q246" i="1"/>
  <c r="Q245" i="1"/>
  <c r="Q247" i="1"/>
  <c r="Q251" i="1" l="1"/>
  <c r="Q249" i="1" s="1"/>
  <c r="P234" i="1"/>
  <c r="K244" i="1" l="1"/>
  <c r="N244" i="1" s="1"/>
  <c r="K243" i="1"/>
  <c r="N243" i="1" s="1"/>
  <c r="H243" i="1"/>
  <c r="H242" i="1"/>
  <c r="K242" i="1"/>
  <c r="N242" i="1" s="1"/>
  <c r="H244" i="1"/>
  <c r="Q242" i="1" l="1"/>
  <c r="Q244" i="1"/>
  <c r="Q243" i="1"/>
  <c r="O234" i="1" l="1"/>
  <c r="K241" i="1" l="1"/>
  <c r="N241" i="1" s="1"/>
  <c r="H241" i="1"/>
  <c r="K240" i="1"/>
  <c r="N240" i="1" s="1"/>
  <c r="H240" i="1"/>
  <c r="K239" i="1"/>
  <c r="N239" i="1" s="1"/>
  <c r="H239" i="1"/>
  <c r="K238" i="1"/>
  <c r="N238" i="1" s="1"/>
  <c r="H238" i="1"/>
  <c r="K237" i="1"/>
  <c r="N237" i="1" s="1"/>
  <c r="H237" i="1"/>
  <c r="K236" i="1"/>
  <c r="H236" i="1"/>
  <c r="R234" i="1"/>
  <c r="H234" i="1" l="1"/>
  <c r="N236" i="1"/>
  <c r="N234" i="1" s="1"/>
  <c r="K234" i="1"/>
  <c r="Q237" i="1"/>
  <c r="Q239" i="1"/>
  <c r="Q238" i="1"/>
  <c r="Q241" i="1"/>
  <c r="Q240" i="1"/>
  <c r="R219" i="1"/>
  <c r="P219" i="1"/>
  <c r="M219" i="1"/>
  <c r="L219" i="1"/>
  <c r="J219" i="1"/>
  <c r="I219" i="1"/>
  <c r="G219" i="1"/>
  <c r="F219" i="1"/>
  <c r="E219" i="1"/>
  <c r="D219" i="1"/>
  <c r="C219" i="1"/>
  <c r="K232" i="1"/>
  <c r="N232" i="1" s="1"/>
  <c r="H232" i="1"/>
  <c r="K231" i="1"/>
  <c r="N231" i="1" s="1"/>
  <c r="H231" i="1"/>
  <c r="K230" i="1"/>
  <c r="N230" i="1" s="1"/>
  <c r="H230" i="1"/>
  <c r="C50" i="1"/>
  <c r="D50" i="1"/>
  <c r="E50" i="1"/>
  <c r="F50" i="1"/>
  <c r="G50" i="1"/>
  <c r="I50" i="1"/>
  <c r="J50" i="1"/>
  <c r="N51" i="1"/>
  <c r="Q51" i="1" s="1"/>
  <c r="N52" i="1"/>
  <c r="O52" i="1"/>
  <c r="H53" i="1"/>
  <c r="N53" i="1"/>
  <c r="H54" i="1"/>
  <c r="K54" i="1"/>
  <c r="N54" i="1" s="1"/>
  <c r="O54" i="1"/>
  <c r="H55" i="1"/>
  <c r="K55" i="1"/>
  <c r="N55" i="1" s="1"/>
  <c r="O55" i="1"/>
  <c r="H56" i="1"/>
  <c r="K56" i="1"/>
  <c r="N56" i="1" s="1"/>
  <c r="O56" i="1"/>
  <c r="H57" i="1"/>
  <c r="K57" i="1"/>
  <c r="L57" i="1"/>
  <c r="O57" i="1"/>
  <c r="H58" i="1"/>
  <c r="K58" i="1"/>
  <c r="N58" i="1" s="1"/>
  <c r="O58" i="1"/>
  <c r="H59" i="1"/>
  <c r="K59" i="1"/>
  <c r="N59" i="1" s="1"/>
  <c r="O59" i="1"/>
  <c r="H60" i="1"/>
  <c r="K60" i="1"/>
  <c r="N60" i="1" s="1"/>
  <c r="O60" i="1"/>
  <c r="H61" i="1"/>
  <c r="K61" i="1"/>
  <c r="L61" i="1"/>
  <c r="O61" i="1"/>
  <c r="H62" i="1"/>
  <c r="K62" i="1"/>
  <c r="N62" i="1" s="1"/>
  <c r="O62" i="1"/>
  <c r="D64" i="1"/>
  <c r="E64" i="1"/>
  <c r="F64" i="1"/>
  <c r="G64" i="1"/>
  <c r="J64" i="1"/>
  <c r="M64" i="1"/>
  <c r="P64" i="1"/>
  <c r="H65" i="1"/>
  <c r="I65" i="1"/>
  <c r="K65" i="1" s="1"/>
  <c r="N65" i="1" s="1"/>
  <c r="O65" i="1"/>
  <c r="H66" i="1"/>
  <c r="I66" i="1"/>
  <c r="K66" i="1" s="1"/>
  <c r="N66" i="1" s="1"/>
  <c r="O66" i="1"/>
  <c r="H67" i="1"/>
  <c r="I67" i="1"/>
  <c r="K67" i="1" s="1"/>
  <c r="N67" i="1" s="1"/>
  <c r="O67" i="1"/>
  <c r="C68" i="1"/>
  <c r="H68" i="1"/>
  <c r="I68" i="1"/>
  <c r="K68" i="1" s="1"/>
  <c r="N68" i="1" s="1"/>
  <c r="O68" i="1"/>
  <c r="H69" i="1"/>
  <c r="K69" i="1"/>
  <c r="N69" i="1" s="1"/>
  <c r="O69" i="1"/>
  <c r="C70" i="1"/>
  <c r="H70" i="1"/>
  <c r="I70" i="1"/>
  <c r="K70" i="1" s="1"/>
  <c r="N70" i="1" s="1"/>
  <c r="O70" i="1"/>
  <c r="C71" i="1"/>
  <c r="H71" i="1"/>
  <c r="K71" i="1"/>
  <c r="L71" i="1"/>
  <c r="L64" i="1" s="1"/>
  <c r="O71" i="1"/>
  <c r="H72" i="1"/>
  <c r="I72" i="1"/>
  <c r="K72" i="1" s="1"/>
  <c r="N72" i="1" s="1"/>
  <c r="O72" i="1"/>
  <c r="H73" i="1"/>
  <c r="I73" i="1"/>
  <c r="K73" i="1" s="1"/>
  <c r="N73" i="1" s="1"/>
  <c r="O73" i="1"/>
  <c r="H74" i="1"/>
  <c r="I74" i="1"/>
  <c r="K74" i="1" s="1"/>
  <c r="N74" i="1" s="1"/>
  <c r="O74" i="1"/>
  <c r="H75" i="1"/>
  <c r="K75" i="1"/>
  <c r="N75" i="1" s="1"/>
  <c r="O75" i="1"/>
  <c r="H76" i="1"/>
  <c r="I76" i="1"/>
  <c r="K76" i="1" s="1"/>
  <c r="N76" i="1" s="1"/>
  <c r="O76" i="1"/>
  <c r="C78" i="1"/>
  <c r="D78" i="1"/>
  <c r="E78" i="1"/>
  <c r="F78" i="1"/>
  <c r="G78" i="1"/>
  <c r="J78" i="1"/>
  <c r="L78" i="1"/>
  <c r="M78" i="1"/>
  <c r="P78" i="1"/>
  <c r="H79" i="1"/>
  <c r="I79" i="1"/>
  <c r="O79" i="1"/>
  <c r="H80" i="1"/>
  <c r="K80" i="1"/>
  <c r="N80" i="1" s="1"/>
  <c r="O80" i="1"/>
  <c r="H81" i="1"/>
  <c r="I81" i="1"/>
  <c r="K81" i="1" s="1"/>
  <c r="N81" i="1" s="1"/>
  <c r="O81" i="1"/>
  <c r="H82" i="1"/>
  <c r="I82" i="1"/>
  <c r="K82" i="1" s="1"/>
  <c r="N82" i="1" s="1"/>
  <c r="O82" i="1"/>
  <c r="H83" i="1"/>
  <c r="K83" i="1"/>
  <c r="N83" i="1" s="1"/>
  <c r="O83" i="1"/>
  <c r="H84" i="1"/>
  <c r="I84" i="1"/>
  <c r="K84" i="1" s="1"/>
  <c r="N84" i="1" s="1"/>
  <c r="O84" i="1"/>
  <c r="H85" i="1"/>
  <c r="K85" i="1"/>
  <c r="N85" i="1" s="1"/>
  <c r="O85" i="1"/>
  <c r="H86" i="1"/>
  <c r="K86" i="1"/>
  <c r="N86" i="1" s="1"/>
  <c r="O86" i="1"/>
  <c r="H87" i="1"/>
  <c r="K87" i="1"/>
  <c r="N87" i="1" s="1"/>
  <c r="O87" i="1"/>
  <c r="H88" i="1"/>
  <c r="K88" i="1"/>
  <c r="N88" i="1" s="1"/>
  <c r="O88" i="1"/>
  <c r="H89" i="1"/>
  <c r="K89" i="1"/>
  <c r="N89" i="1" s="1"/>
  <c r="O89" i="1"/>
  <c r="H90" i="1"/>
  <c r="K90" i="1"/>
  <c r="N90" i="1" s="1"/>
  <c r="O90" i="1"/>
  <c r="C92" i="1"/>
  <c r="D92" i="1"/>
  <c r="E92" i="1"/>
  <c r="F92" i="1"/>
  <c r="G92" i="1"/>
  <c r="I92" i="1"/>
  <c r="J92" i="1"/>
  <c r="L92" i="1"/>
  <c r="M92" i="1"/>
  <c r="P92" i="1"/>
  <c r="H93" i="1"/>
  <c r="K93" i="1"/>
  <c r="H94" i="1"/>
  <c r="K94" i="1"/>
  <c r="N94" i="1" s="1"/>
  <c r="H95" i="1"/>
  <c r="K95" i="1"/>
  <c r="N95" i="1" s="1"/>
  <c r="H96" i="1"/>
  <c r="K96" i="1"/>
  <c r="N96" i="1" s="1"/>
  <c r="H97" i="1"/>
  <c r="K97" i="1"/>
  <c r="N97" i="1" s="1"/>
  <c r="H98" i="1"/>
  <c r="K98" i="1"/>
  <c r="N98" i="1" s="1"/>
  <c r="H99" i="1"/>
  <c r="K99" i="1"/>
  <c r="N99" i="1" s="1"/>
  <c r="H100" i="1"/>
  <c r="K100" i="1"/>
  <c r="N100" i="1" s="1"/>
  <c r="O100" i="1"/>
  <c r="O92" i="1" s="1"/>
  <c r="H101" i="1"/>
  <c r="K101" i="1"/>
  <c r="N101" i="1" s="1"/>
  <c r="H102" i="1"/>
  <c r="K102" i="1"/>
  <c r="N102" i="1" s="1"/>
  <c r="H103" i="1"/>
  <c r="K103" i="1"/>
  <c r="N103" i="1" s="1"/>
  <c r="H104" i="1"/>
  <c r="K104" i="1"/>
  <c r="N104" i="1" s="1"/>
  <c r="C106" i="1"/>
  <c r="D106" i="1"/>
  <c r="E106" i="1"/>
  <c r="F106" i="1"/>
  <c r="G106" i="1"/>
  <c r="I106" i="1"/>
  <c r="J106" i="1"/>
  <c r="L106" i="1"/>
  <c r="M106" i="1"/>
  <c r="P106" i="1"/>
  <c r="R106" i="1"/>
  <c r="H107" i="1"/>
  <c r="K107" i="1"/>
  <c r="O107" i="1"/>
  <c r="X107" i="1"/>
  <c r="H108" i="1"/>
  <c r="K108" i="1"/>
  <c r="N108" i="1" s="1"/>
  <c r="O108" i="1"/>
  <c r="H109" i="1"/>
  <c r="K109" i="1"/>
  <c r="N109" i="1" s="1"/>
  <c r="O109" i="1"/>
  <c r="H110" i="1"/>
  <c r="K110" i="1"/>
  <c r="N110" i="1" s="1"/>
  <c r="O110" i="1"/>
  <c r="H111" i="1"/>
  <c r="K111" i="1"/>
  <c r="N111" i="1" s="1"/>
  <c r="O111" i="1"/>
  <c r="H112" i="1"/>
  <c r="K112" i="1"/>
  <c r="N112" i="1" s="1"/>
  <c r="O112" i="1"/>
  <c r="H113" i="1"/>
  <c r="K113" i="1"/>
  <c r="N113" i="1" s="1"/>
  <c r="O113" i="1"/>
  <c r="H114" i="1"/>
  <c r="K114" i="1"/>
  <c r="N114" i="1" s="1"/>
  <c r="O114" i="1"/>
  <c r="H115" i="1"/>
  <c r="K115" i="1"/>
  <c r="N115" i="1" s="1"/>
  <c r="O115" i="1"/>
  <c r="H116" i="1"/>
  <c r="K116" i="1"/>
  <c r="N116" i="1" s="1"/>
  <c r="O116" i="1"/>
  <c r="H117" i="1"/>
  <c r="K117" i="1"/>
  <c r="N117" i="1" s="1"/>
  <c r="O117" i="1"/>
  <c r="H118" i="1"/>
  <c r="K118" i="1"/>
  <c r="N118" i="1" s="1"/>
  <c r="O118" i="1"/>
  <c r="D120" i="1"/>
  <c r="E120" i="1"/>
  <c r="F120" i="1"/>
  <c r="G120" i="1"/>
  <c r="I120" i="1"/>
  <c r="J120" i="1"/>
  <c r="L120" i="1"/>
  <c r="M120" i="1"/>
  <c r="P120" i="1"/>
  <c r="R120" i="1"/>
  <c r="H121" i="1"/>
  <c r="K121" i="1"/>
  <c r="N121" i="1" s="1"/>
  <c r="O121" i="1"/>
  <c r="C122" i="1"/>
  <c r="H122" i="1"/>
  <c r="K122" i="1"/>
  <c r="N122" i="1" s="1"/>
  <c r="O122" i="1"/>
  <c r="C123" i="1"/>
  <c r="H123" i="1"/>
  <c r="K123" i="1"/>
  <c r="N123" i="1" s="1"/>
  <c r="O123" i="1"/>
  <c r="C124" i="1"/>
  <c r="H124" i="1"/>
  <c r="K124" i="1"/>
  <c r="N124" i="1" s="1"/>
  <c r="O124" i="1"/>
  <c r="H125" i="1"/>
  <c r="K125" i="1"/>
  <c r="N125" i="1" s="1"/>
  <c r="O125" i="1"/>
  <c r="C126" i="1"/>
  <c r="H126" i="1"/>
  <c r="K126" i="1"/>
  <c r="N126" i="1" s="1"/>
  <c r="O126" i="1"/>
  <c r="C127" i="1"/>
  <c r="H127" i="1"/>
  <c r="K127" i="1"/>
  <c r="N127" i="1" s="1"/>
  <c r="O127" i="1"/>
  <c r="C128" i="1"/>
  <c r="H128" i="1"/>
  <c r="K128" i="1"/>
  <c r="N128" i="1" s="1"/>
  <c r="O128" i="1"/>
  <c r="C129" i="1"/>
  <c r="H129" i="1"/>
  <c r="K129" i="1"/>
  <c r="N129" i="1" s="1"/>
  <c r="O129" i="1"/>
  <c r="H130" i="1"/>
  <c r="K130" i="1"/>
  <c r="N130" i="1" s="1"/>
  <c r="O130" i="1"/>
  <c r="H131" i="1"/>
  <c r="K131" i="1"/>
  <c r="N131" i="1" s="1"/>
  <c r="O131" i="1"/>
  <c r="H132" i="1"/>
  <c r="K132" i="1"/>
  <c r="N132" i="1" s="1"/>
  <c r="O132" i="1"/>
  <c r="C134" i="1"/>
  <c r="D134" i="1"/>
  <c r="E134" i="1"/>
  <c r="F134" i="1"/>
  <c r="G134" i="1"/>
  <c r="I134" i="1"/>
  <c r="J134" i="1"/>
  <c r="L134" i="1"/>
  <c r="M134" i="1"/>
  <c r="P134" i="1"/>
  <c r="R134" i="1"/>
  <c r="H135" i="1"/>
  <c r="K135" i="1"/>
  <c r="O135" i="1"/>
  <c r="H136" i="1"/>
  <c r="K136" i="1"/>
  <c r="N136" i="1" s="1"/>
  <c r="O136" i="1"/>
  <c r="H137" i="1"/>
  <c r="K137" i="1"/>
  <c r="N137" i="1" s="1"/>
  <c r="O137" i="1"/>
  <c r="H138" i="1"/>
  <c r="K138" i="1"/>
  <c r="N138" i="1" s="1"/>
  <c r="O138" i="1"/>
  <c r="H139" i="1"/>
  <c r="K139" i="1"/>
  <c r="N139" i="1" s="1"/>
  <c r="O139" i="1"/>
  <c r="H140" i="1"/>
  <c r="K140" i="1"/>
  <c r="N140" i="1" s="1"/>
  <c r="O140" i="1"/>
  <c r="H141" i="1"/>
  <c r="K141" i="1"/>
  <c r="N141" i="1" s="1"/>
  <c r="O141" i="1"/>
  <c r="H142" i="1"/>
  <c r="K142" i="1"/>
  <c r="N142" i="1" s="1"/>
  <c r="O142" i="1"/>
  <c r="H143" i="1"/>
  <c r="K143" i="1"/>
  <c r="N143" i="1" s="1"/>
  <c r="O143" i="1"/>
  <c r="H144" i="1"/>
  <c r="K144" i="1"/>
  <c r="N144" i="1" s="1"/>
  <c r="O144" i="1"/>
  <c r="H145" i="1"/>
  <c r="K145" i="1"/>
  <c r="N145" i="1" s="1"/>
  <c r="O145" i="1"/>
  <c r="H146" i="1"/>
  <c r="K146" i="1"/>
  <c r="N146" i="1" s="1"/>
  <c r="O146" i="1"/>
  <c r="C148" i="1"/>
  <c r="D148" i="1"/>
  <c r="E148" i="1"/>
  <c r="F148" i="1"/>
  <c r="G148" i="1"/>
  <c r="I148" i="1"/>
  <c r="J148" i="1"/>
  <c r="L148" i="1"/>
  <c r="M148" i="1"/>
  <c r="P148" i="1"/>
  <c r="R148" i="1"/>
  <c r="Y148" i="1"/>
  <c r="H149" i="1"/>
  <c r="K149" i="1"/>
  <c r="O149" i="1"/>
  <c r="H150" i="1"/>
  <c r="K150" i="1"/>
  <c r="N150" i="1" s="1"/>
  <c r="O150" i="1"/>
  <c r="H151" i="1"/>
  <c r="K151" i="1"/>
  <c r="N151" i="1" s="1"/>
  <c r="O151" i="1"/>
  <c r="H152" i="1"/>
  <c r="K152" i="1"/>
  <c r="N152" i="1" s="1"/>
  <c r="O152" i="1"/>
  <c r="H153" i="1"/>
  <c r="K153" i="1"/>
  <c r="N153" i="1" s="1"/>
  <c r="O153" i="1"/>
  <c r="H154" i="1"/>
  <c r="K154" i="1"/>
  <c r="N154" i="1" s="1"/>
  <c r="O154" i="1"/>
  <c r="H155" i="1"/>
  <c r="K155" i="1"/>
  <c r="N155" i="1" s="1"/>
  <c r="O155" i="1"/>
  <c r="H156" i="1"/>
  <c r="K156" i="1"/>
  <c r="N156" i="1" s="1"/>
  <c r="H157" i="1"/>
  <c r="K157" i="1"/>
  <c r="N157" i="1" s="1"/>
  <c r="O157" i="1"/>
  <c r="H158" i="1"/>
  <c r="K158" i="1"/>
  <c r="N158" i="1" s="1"/>
  <c r="O158" i="1"/>
  <c r="H159" i="1"/>
  <c r="K159" i="1"/>
  <c r="N159" i="1" s="1"/>
  <c r="O159" i="1"/>
  <c r="H160" i="1"/>
  <c r="K160" i="1"/>
  <c r="N160" i="1" s="1"/>
  <c r="O160" i="1"/>
  <c r="D162" i="1"/>
  <c r="E162" i="1"/>
  <c r="F162" i="1"/>
  <c r="G162" i="1"/>
  <c r="J162" i="1"/>
  <c r="L162" i="1"/>
  <c r="M162" i="1"/>
  <c r="P162" i="1"/>
  <c r="R162" i="1"/>
  <c r="H163" i="1"/>
  <c r="K163" i="1"/>
  <c r="O163" i="1"/>
  <c r="H164" i="1"/>
  <c r="K164" i="1"/>
  <c r="N164" i="1" s="1"/>
  <c r="O164" i="1"/>
  <c r="H165" i="1"/>
  <c r="K165" i="1"/>
  <c r="N165" i="1" s="1"/>
  <c r="O165" i="1"/>
  <c r="H166" i="1"/>
  <c r="K166" i="1"/>
  <c r="N166" i="1" s="1"/>
  <c r="H167" i="1"/>
  <c r="K167" i="1"/>
  <c r="N167" i="1" s="1"/>
  <c r="O167" i="1"/>
  <c r="H168" i="1"/>
  <c r="K168" i="1"/>
  <c r="N168" i="1" s="1"/>
  <c r="O168" i="1"/>
  <c r="H169" i="1"/>
  <c r="I169" i="1"/>
  <c r="O169" i="1"/>
  <c r="H170" i="1"/>
  <c r="K170" i="1"/>
  <c r="N170" i="1" s="1"/>
  <c r="O170" i="1"/>
  <c r="H171" i="1"/>
  <c r="K171" i="1"/>
  <c r="N171" i="1" s="1"/>
  <c r="O171" i="1"/>
  <c r="C172" i="1"/>
  <c r="H172" i="1"/>
  <c r="I172" i="1"/>
  <c r="K172" i="1" s="1"/>
  <c r="N172" i="1" s="1"/>
  <c r="O172" i="1"/>
  <c r="C173" i="1"/>
  <c r="H173" i="1"/>
  <c r="K173" i="1"/>
  <c r="N173" i="1" s="1"/>
  <c r="O173" i="1"/>
  <c r="C174" i="1"/>
  <c r="H174" i="1"/>
  <c r="I174" i="1"/>
  <c r="K174" i="1" s="1"/>
  <c r="N174" i="1" s="1"/>
  <c r="O174" i="1"/>
  <c r="E176" i="1"/>
  <c r="F176" i="1"/>
  <c r="G176" i="1"/>
  <c r="I176" i="1"/>
  <c r="J176" i="1"/>
  <c r="L176" i="1"/>
  <c r="M176" i="1"/>
  <c r="O176" i="1"/>
  <c r="P176" i="1"/>
  <c r="R176" i="1"/>
  <c r="C177" i="1"/>
  <c r="K177" i="1"/>
  <c r="C178" i="1"/>
  <c r="H178" i="1"/>
  <c r="K178" i="1"/>
  <c r="N178" i="1" s="1"/>
  <c r="C179" i="1"/>
  <c r="H179" i="1"/>
  <c r="K179" i="1"/>
  <c r="N179" i="1" s="1"/>
  <c r="H180" i="1"/>
  <c r="K180" i="1"/>
  <c r="N180" i="1" s="1"/>
  <c r="H181" i="1"/>
  <c r="K181" i="1"/>
  <c r="N181" i="1" s="1"/>
  <c r="H182" i="1"/>
  <c r="K182" i="1"/>
  <c r="N182" i="1" s="1"/>
  <c r="H183" i="1"/>
  <c r="K183" i="1"/>
  <c r="N183" i="1" s="1"/>
  <c r="H184" i="1"/>
  <c r="K184" i="1"/>
  <c r="N184" i="1" s="1"/>
  <c r="H185" i="1"/>
  <c r="K185" i="1"/>
  <c r="N185" i="1" s="1"/>
  <c r="H186" i="1"/>
  <c r="K186" i="1"/>
  <c r="N186" i="1" s="1"/>
  <c r="H187" i="1"/>
  <c r="K187" i="1"/>
  <c r="N187" i="1" s="1"/>
  <c r="H188" i="1"/>
  <c r="K188" i="1"/>
  <c r="N188" i="1" s="1"/>
  <c r="D190" i="1"/>
  <c r="E190" i="1"/>
  <c r="F190" i="1"/>
  <c r="G190" i="1"/>
  <c r="I190" i="1"/>
  <c r="J190" i="1"/>
  <c r="L190" i="1"/>
  <c r="O190" i="1"/>
  <c r="C191" i="1"/>
  <c r="H191" i="1"/>
  <c r="K191" i="1"/>
  <c r="C192" i="1"/>
  <c r="H192" i="1"/>
  <c r="K192" i="1"/>
  <c r="N192" i="1" s="1"/>
  <c r="C193" i="1"/>
  <c r="H193" i="1"/>
  <c r="K193" i="1"/>
  <c r="N193" i="1" s="1"/>
  <c r="H194" i="1"/>
  <c r="K194" i="1"/>
  <c r="N194" i="1" s="1"/>
  <c r="H195" i="1"/>
  <c r="K195" i="1"/>
  <c r="N195" i="1" s="1"/>
  <c r="C196" i="1"/>
  <c r="H196" i="1"/>
  <c r="K196" i="1"/>
  <c r="N196" i="1" s="1"/>
  <c r="H197" i="1"/>
  <c r="K197" i="1"/>
  <c r="N197" i="1" s="1"/>
  <c r="H198" i="1"/>
  <c r="K198" i="1"/>
  <c r="N198" i="1" s="1"/>
  <c r="H199" i="1"/>
  <c r="K199" i="1"/>
  <c r="N199" i="1" s="1"/>
  <c r="H200" i="1"/>
  <c r="K200" i="1"/>
  <c r="N200" i="1" s="1"/>
  <c r="C201" i="1"/>
  <c r="H201" i="1"/>
  <c r="K201" i="1"/>
  <c r="N201" i="1" s="1"/>
  <c r="C202" i="1"/>
  <c r="H202" i="1"/>
  <c r="K202" i="1"/>
  <c r="N202" i="1" s="1"/>
  <c r="K203" i="1"/>
  <c r="N203" i="1" s="1"/>
  <c r="Q203" i="1" s="1"/>
  <c r="C204" i="1"/>
  <c r="D204" i="1"/>
  <c r="E204" i="1"/>
  <c r="F204" i="1"/>
  <c r="G204" i="1"/>
  <c r="I204" i="1"/>
  <c r="J204" i="1"/>
  <c r="L204" i="1"/>
  <c r="M204" i="1"/>
  <c r="O204" i="1"/>
  <c r="P204" i="1"/>
  <c r="H206" i="1"/>
  <c r="K206" i="1"/>
  <c r="H207" i="1"/>
  <c r="K207" i="1"/>
  <c r="N207" i="1" s="1"/>
  <c r="H208" i="1"/>
  <c r="K208" i="1"/>
  <c r="N208" i="1" s="1"/>
  <c r="H209" i="1"/>
  <c r="K209" i="1"/>
  <c r="N209" i="1" s="1"/>
  <c r="H210" i="1"/>
  <c r="K210" i="1"/>
  <c r="N210" i="1" s="1"/>
  <c r="H211" i="1"/>
  <c r="K211" i="1"/>
  <c r="N211" i="1" s="1"/>
  <c r="H212" i="1"/>
  <c r="K212" i="1"/>
  <c r="N212" i="1" s="1"/>
  <c r="H213" i="1"/>
  <c r="K213" i="1"/>
  <c r="N213" i="1" s="1"/>
  <c r="H214" i="1"/>
  <c r="K214" i="1"/>
  <c r="N214" i="1" s="1"/>
  <c r="H215" i="1"/>
  <c r="K215" i="1"/>
  <c r="N215" i="1" s="1"/>
  <c r="H216" i="1"/>
  <c r="K216" i="1"/>
  <c r="N216" i="1" s="1"/>
  <c r="H217" i="1"/>
  <c r="K217" i="1"/>
  <c r="N217" i="1" s="1"/>
  <c r="H221" i="1"/>
  <c r="K221" i="1"/>
  <c r="N221" i="1" s="1"/>
  <c r="H222" i="1"/>
  <c r="K222" i="1"/>
  <c r="N222" i="1" s="1"/>
  <c r="H223" i="1"/>
  <c r="K223" i="1"/>
  <c r="N223" i="1" s="1"/>
  <c r="H224" i="1"/>
  <c r="K224" i="1"/>
  <c r="N224" i="1" s="1"/>
  <c r="H225" i="1"/>
  <c r="K225" i="1"/>
  <c r="N225" i="1" s="1"/>
  <c r="O225" i="1"/>
  <c r="H226" i="1"/>
  <c r="K226" i="1"/>
  <c r="N226" i="1" s="1"/>
  <c r="H227" i="1"/>
  <c r="K227" i="1"/>
  <c r="N227" i="1" s="1"/>
  <c r="O227" i="1"/>
  <c r="H228" i="1"/>
  <c r="K228" i="1"/>
  <c r="N228" i="1" s="1"/>
  <c r="H229" i="1"/>
  <c r="K229" i="1"/>
  <c r="N229" i="1" s="1"/>
  <c r="R341" i="1"/>
  <c r="Q16" i="2"/>
  <c r="Q17" i="2"/>
  <c r="Q18" i="2"/>
  <c r="Q19" i="2"/>
  <c r="Q20" i="2"/>
  <c r="Q21" i="2"/>
  <c r="Q22" i="2"/>
  <c r="C59" i="2"/>
  <c r="D59" i="2"/>
  <c r="E59" i="2"/>
  <c r="F59" i="2"/>
  <c r="G59" i="2"/>
  <c r="I59" i="2"/>
  <c r="J59" i="2"/>
  <c r="N60" i="2"/>
  <c r="N61" i="2"/>
  <c r="Q61" i="2" s="1"/>
  <c r="O61" i="2"/>
  <c r="H62" i="2"/>
  <c r="N62" i="2"/>
  <c r="H63" i="2"/>
  <c r="K63" i="2"/>
  <c r="O63" i="2"/>
  <c r="H64" i="2"/>
  <c r="K64" i="2"/>
  <c r="N64" i="2" s="1"/>
  <c r="O64" i="2"/>
  <c r="H65" i="2"/>
  <c r="K65" i="2"/>
  <c r="N65" i="2" s="1"/>
  <c r="O65" i="2"/>
  <c r="H66" i="2"/>
  <c r="K66" i="2"/>
  <c r="L66" i="2"/>
  <c r="O66" i="2"/>
  <c r="H67" i="2"/>
  <c r="K67" i="2"/>
  <c r="N67" i="2" s="1"/>
  <c r="O67" i="2"/>
  <c r="H68" i="2"/>
  <c r="K68" i="2"/>
  <c r="N68" i="2" s="1"/>
  <c r="O68" i="2"/>
  <c r="H69" i="2"/>
  <c r="K69" i="2"/>
  <c r="N69" i="2" s="1"/>
  <c r="O69" i="2"/>
  <c r="H70" i="2"/>
  <c r="K70" i="2"/>
  <c r="L70" i="2"/>
  <c r="O70" i="2"/>
  <c r="H71" i="2"/>
  <c r="K71" i="2"/>
  <c r="N71" i="2" s="1"/>
  <c r="O71" i="2"/>
  <c r="D73" i="2"/>
  <c r="E73" i="2"/>
  <c r="F73" i="2"/>
  <c r="G73" i="2"/>
  <c r="J73" i="2"/>
  <c r="M73" i="2"/>
  <c r="P73" i="2"/>
  <c r="H74" i="2"/>
  <c r="I74" i="2"/>
  <c r="O74" i="2"/>
  <c r="H75" i="2"/>
  <c r="I75" i="2"/>
  <c r="K75" i="2" s="1"/>
  <c r="N75" i="2" s="1"/>
  <c r="Q75" i="2" s="1"/>
  <c r="O75" i="2"/>
  <c r="H76" i="2"/>
  <c r="I76" i="2"/>
  <c r="K76" i="2" s="1"/>
  <c r="N76" i="2" s="1"/>
  <c r="O76" i="2"/>
  <c r="C77" i="2"/>
  <c r="H77" i="2"/>
  <c r="I77" i="2"/>
  <c r="K77" i="2"/>
  <c r="N77" i="2" s="1"/>
  <c r="O77" i="2"/>
  <c r="H78" i="2"/>
  <c r="K78" i="2"/>
  <c r="N78" i="2"/>
  <c r="Q78" i="2" s="1"/>
  <c r="O78" i="2"/>
  <c r="C79" i="2"/>
  <c r="H79" i="2"/>
  <c r="I79" i="2"/>
  <c r="K79" i="2" s="1"/>
  <c r="N79" i="2" s="1"/>
  <c r="O79" i="2"/>
  <c r="C80" i="2"/>
  <c r="H80" i="2"/>
  <c r="K80" i="2"/>
  <c r="L80" i="2"/>
  <c r="L73" i="2" s="1"/>
  <c r="O80" i="2"/>
  <c r="H81" i="2"/>
  <c r="I81" i="2"/>
  <c r="K81" i="2" s="1"/>
  <c r="N81" i="2" s="1"/>
  <c r="O81" i="2"/>
  <c r="H82" i="2"/>
  <c r="I82" i="2"/>
  <c r="K82" i="2" s="1"/>
  <c r="N82" i="2" s="1"/>
  <c r="O82" i="2"/>
  <c r="H83" i="2"/>
  <c r="I83" i="2"/>
  <c r="K83" i="2" s="1"/>
  <c r="N83" i="2" s="1"/>
  <c r="O83" i="2"/>
  <c r="H84" i="2"/>
  <c r="K84" i="2"/>
  <c r="N84" i="2" s="1"/>
  <c r="O84" i="2"/>
  <c r="H85" i="2"/>
  <c r="I85" i="2"/>
  <c r="K85" i="2" s="1"/>
  <c r="N85" i="2" s="1"/>
  <c r="O85" i="2"/>
  <c r="C87" i="2"/>
  <c r="D87" i="2"/>
  <c r="E87" i="2"/>
  <c r="F87" i="2"/>
  <c r="G87" i="2"/>
  <c r="J87" i="2"/>
  <c r="L87" i="2"/>
  <c r="M87" i="2"/>
  <c r="P87" i="2"/>
  <c r="H88" i="2"/>
  <c r="I88" i="2"/>
  <c r="K88" i="2" s="1"/>
  <c r="N88" i="2" s="1"/>
  <c r="O88" i="2"/>
  <c r="H89" i="2"/>
  <c r="K89" i="2"/>
  <c r="N89" i="2" s="1"/>
  <c r="O89" i="2"/>
  <c r="Q89" i="2" s="1"/>
  <c r="H90" i="2"/>
  <c r="I90" i="2"/>
  <c r="K90" i="2" s="1"/>
  <c r="N90" i="2" s="1"/>
  <c r="O90" i="2"/>
  <c r="H91" i="2"/>
  <c r="I91" i="2"/>
  <c r="K91" i="2" s="1"/>
  <c r="N91" i="2" s="1"/>
  <c r="O91" i="2"/>
  <c r="H92" i="2"/>
  <c r="K92" i="2"/>
  <c r="N92" i="2" s="1"/>
  <c r="O92" i="2"/>
  <c r="H93" i="2"/>
  <c r="I93" i="2"/>
  <c r="K93" i="2" s="1"/>
  <c r="N93" i="2" s="1"/>
  <c r="O93" i="2"/>
  <c r="H94" i="2"/>
  <c r="K94" i="2"/>
  <c r="N94" i="2" s="1"/>
  <c r="O94" i="2"/>
  <c r="H95" i="2"/>
  <c r="K95" i="2"/>
  <c r="N95" i="2" s="1"/>
  <c r="O95" i="2"/>
  <c r="H96" i="2"/>
  <c r="K96" i="2"/>
  <c r="N96" i="2" s="1"/>
  <c r="O96" i="2"/>
  <c r="H97" i="2"/>
  <c r="K97" i="2"/>
  <c r="N97" i="2" s="1"/>
  <c r="O97" i="2"/>
  <c r="H98" i="2"/>
  <c r="K98" i="2"/>
  <c r="N98" i="2" s="1"/>
  <c r="O98" i="2"/>
  <c r="H99" i="2"/>
  <c r="K99" i="2"/>
  <c r="N99" i="2" s="1"/>
  <c r="O99" i="2"/>
  <c r="C101" i="2"/>
  <c r="D101" i="2"/>
  <c r="E101" i="2"/>
  <c r="F101" i="2"/>
  <c r="G101" i="2"/>
  <c r="I101" i="2"/>
  <c r="J101" i="2"/>
  <c r="L101" i="2"/>
  <c r="M101" i="2"/>
  <c r="P101" i="2"/>
  <c r="H102" i="2"/>
  <c r="K102" i="2"/>
  <c r="N102" i="2" s="1"/>
  <c r="H103" i="2"/>
  <c r="K103" i="2"/>
  <c r="H104" i="2"/>
  <c r="K104" i="2"/>
  <c r="N104" i="2" s="1"/>
  <c r="H105" i="2"/>
  <c r="K105" i="2"/>
  <c r="N105" i="2" s="1"/>
  <c r="H106" i="2"/>
  <c r="K106" i="2"/>
  <c r="N106" i="2" s="1"/>
  <c r="H107" i="2"/>
  <c r="K107" i="2"/>
  <c r="N107" i="2" s="1"/>
  <c r="H108" i="2"/>
  <c r="K108" i="2"/>
  <c r="N108" i="2" s="1"/>
  <c r="Q108" i="2" s="1"/>
  <c r="T108" i="2" s="1"/>
  <c r="H109" i="2"/>
  <c r="K109" i="2"/>
  <c r="N109" i="2" s="1"/>
  <c r="O109" i="2"/>
  <c r="O101" i="2" s="1"/>
  <c r="H110" i="2"/>
  <c r="K110" i="2"/>
  <c r="N110" i="2" s="1"/>
  <c r="H111" i="2"/>
  <c r="K111" i="2"/>
  <c r="N111" i="2" s="1"/>
  <c r="H112" i="2"/>
  <c r="K112" i="2"/>
  <c r="N112" i="2" s="1"/>
  <c r="H113" i="2"/>
  <c r="K113" i="2"/>
  <c r="N113" i="2" s="1"/>
  <c r="Q113" i="2" s="1"/>
  <c r="R120" i="2"/>
  <c r="R101" i="2" s="1"/>
  <c r="R87" i="2" s="1"/>
  <c r="R73" i="2" s="1"/>
  <c r="Q236" i="1" l="1"/>
  <c r="Q111" i="2"/>
  <c r="R279" i="1"/>
  <c r="R264" i="1" s="1"/>
  <c r="R249" i="1" s="1"/>
  <c r="R92" i="1" s="1"/>
  <c r="R78" i="1" s="1"/>
  <c r="R64" i="1" s="1"/>
  <c r="Q211" i="1"/>
  <c r="Q207" i="1"/>
  <c r="Q202" i="1"/>
  <c r="Q199" i="1"/>
  <c r="Q192" i="1"/>
  <c r="Q166" i="1"/>
  <c r="Q197" i="1"/>
  <c r="Q130" i="1"/>
  <c r="Q107" i="2"/>
  <c r="N80" i="2"/>
  <c r="Q80" i="2" s="1"/>
  <c r="N66" i="2"/>
  <c r="Q66" i="2" s="1"/>
  <c r="Q62" i="2"/>
  <c r="Q106" i="2"/>
  <c r="T106" i="2" s="1"/>
  <c r="Q104" i="2"/>
  <c r="T104" i="2" s="1"/>
  <c r="Q71" i="2"/>
  <c r="Q90" i="1"/>
  <c r="Q86" i="1"/>
  <c r="Q88" i="1"/>
  <c r="Q75" i="1"/>
  <c r="Q69" i="1"/>
  <c r="Q68" i="1"/>
  <c r="Q99" i="1"/>
  <c r="T99" i="1" s="1"/>
  <c r="O219" i="1"/>
  <c r="Q160" i="1"/>
  <c r="Q153" i="1"/>
  <c r="Q76" i="1"/>
  <c r="Q226" i="1"/>
  <c r="Q80" i="1"/>
  <c r="Q96" i="1"/>
  <c r="T96" i="1" s="1"/>
  <c r="Q94" i="1"/>
  <c r="T94" i="1" s="1"/>
  <c r="Q200" i="1"/>
  <c r="Q198" i="1"/>
  <c r="Q68" i="2"/>
  <c r="Q215" i="1"/>
  <c r="Q213" i="1"/>
  <c r="Q158" i="1"/>
  <c r="Q155" i="1"/>
  <c r="Q151" i="1"/>
  <c r="Q137" i="1"/>
  <c r="Y137" i="1" s="1"/>
  <c r="Q132" i="1"/>
  <c r="Q124" i="1"/>
  <c r="Q123" i="1"/>
  <c r="Q122" i="1"/>
  <c r="Q121" i="1"/>
  <c r="Q60" i="1"/>
  <c r="Q65" i="2"/>
  <c r="Q212" i="1"/>
  <c r="Q58" i="1"/>
  <c r="Q234" i="1"/>
  <c r="Q90" i="2"/>
  <c r="Q196" i="1"/>
  <c r="Q101" i="1"/>
  <c r="T101" i="1" s="1"/>
  <c r="H219" i="1"/>
  <c r="Q227" i="1"/>
  <c r="N219" i="1"/>
  <c r="Q217" i="1"/>
  <c r="Q216" i="1"/>
  <c r="Q209" i="1"/>
  <c r="Q208" i="1"/>
  <c r="Q174" i="1"/>
  <c r="Q167" i="1"/>
  <c r="Q104" i="1"/>
  <c r="Q103" i="1"/>
  <c r="Q102" i="1"/>
  <c r="Q55" i="1"/>
  <c r="Q53" i="1"/>
  <c r="Q98" i="2"/>
  <c r="Q96" i="2"/>
  <c r="Q94" i="2"/>
  <c r="Q164" i="1"/>
  <c r="Q146" i="1"/>
  <c r="Q144" i="1"/>
  <c r="Q142" i="1"/>
  <c r="Q140" i="1"/>
  <c r="Q138" i="1"/>
  <c r="Q112" i="2"/>
  <c r="Q117" i="1"/>
  <c r="Q115" i="1"/>
  <c r="Q113" i="1"/>
  <c r="Q111" i="1"/>
  <c r="Q109" i="1"/>
  <c r="Q98" i="1"/>
  <c r="Q97" i="1"/>
  <c r="T97" i="1" s="1"/>
  <c r="Q83" i="1"/>
  <c r="Q224" i="1"/>
  <c r="Q223" i="1"/>
  <c r="Q222" i="1"/>
  <c r="Q214" i="1"/>
  <c r="Q210" i="1"/>
  <c r="Q201" i="1"/>
  <c r="Q179" i="1"/>
  <c r="Y179" i="1" s="1"/>
  <c r="C64" i="1"/>
  <c r="Q62" i="1"/>
  <c r="N61" i="1"/>
  <c r="Q61" i="1" s="1"/>
  <c r="Q59" i="1"/>
  <c r="Q56" i="1"/>
  <c r="Q54" i="1"/>
  <c r="K219" i="1"/>
  <c r="Q83" i="2"/>
  <c r="Q81" i="2"/>
  <c r="Q173" i="1"/>
  <c r="Y173" i="1" s="1"/>
  <c r="K101" i="2"/>
  <c r="H101" i="2"/>
  <c r="K59" i="2"/>
  <c r="K204" i="1"/>
  <c r="H190" i="1"/>
  <c r="K190" i="1"/>
  <c r="C190" i="1"/>
  <c r="K176" i="1"/>
  <c r="C176" i="1"/>
  <c r="I162" i="1"/>
  <c r="H162" i="1"/>
  <c r="O148" i="1"/>
  <c r="K148" i="1"/>
  <c r="K134" i="1"/>
  <c r="O106" i="1"/>
  <c r="K92" i="1"/>
  <c r="Q82" i="1"/>
  <c r="Q81" i="1"/>
  <c r="I78" i="1"/>
  <c r="H64" i="1"/>
  <c r="O50" i="1"/>
  <c r="Q110" i="2"/>
  <c r="T110" i="2" s="1"/>
  <c r="Q109" i="2"/>
  <c r="Q105" i="2"/>
  <c r="T105" i="2" s="1"/>
  <c r="Q99" i="2"/>
  <c r="Q97" i="2"/>
  <c r="Q95" i="2"/>
  <c r="Q93" i="2"/>
  <c r="Q92" i="2"/>
  <c r="Q91" i="2"/>
  <c r="Q88" i="2"/>
  <c r="Q82" i="2"/>
  <c r="Q79" i="2"/>
  <c r="Q77" i="2"/>
  <c r="C73" i="2"/>
  <c r="Q76" i="2"/>
  <c r="N70" i="2"/>
  <c r="N63" i="2"/>
  <c r="Q63" i="2" s="1"/>
  <c r="H59" i="2"/>
  <c r="Q229" i="1"/>
  <c r="Q228" i="1"/>
  <c r="Q225" i="1"/>
  <c r="N206" i="1"/>
  <c r="Q206" i="1" s="1"/>
  <c r="H204" i="1"/>
  <c r="Q195" i="1"/>
  <c r="Q194" i="1"/>
  <c r="Q193" i="1"/>
  <c r="Q188" i="1"/>
  <c r="Q187" i="1"/>
  <c r="Q186" i="1"/>
  <c r="Q185" i="1"/>
  <c r="Q184" i="1"/>
  <c r="Q183" i="1"/>
  <c r="Q182" i="1"/>
  <c r="Q181" i="1"/>
  <c r="Q180" i="1"/>
  <c r="Q178" i="1"/>
  <c r="D177" i="1"/>
  <c r="H177" i="1" s="1"/>
  <c r="H176" i="1" s="1"/>
  <c r="Q172" i="1"/>
  <c r="Y172" i="1" s="1"/>
  <c r="C162" i="1"/>
  <c r="Q170" i="1"/>
  <c r="Y170" i="1" s="1"/>
  <c r="K169" i="1"/>
  <c r="N169" i="1" s="1"/>
  <c r="Q169" i="1" s="1"/>
  <c r="Y169" i="1" s="1"/>
  <c r="Q165" i="1"/>
  <c r="O162" i="1"/>
  <c r="Q156" i="1"/>
  <c r="N149" i="1"/>
  <c r="Q149" i="1" s="1"/>
  <c r="H148" i="1"/>
  <c r="Q145" i="1"/>
  <c r="Q143" i="1"/>
  <c r="Q141" i="1"/>
  <c r="Q139" i="1"/>
  <c r="H134" i="1"/>
  <c r="O134" i="1"/>
  <c r="C120" i="1"/>
  <c r="H120" i="1"/>
  <c r="H106" i="1"/>
  <c r="K106" i="1"/>
  <c r="Q95" i="1"/>
  <c r="T95" i="1" s="1"/>
  <c r="H92" i="1"/>
  <c r="Q84" i="1"/>
  <c r="O78" i="1"/>
  <c r="H78" i="1"/>
  <c r="Q70" i="1"/>
  <c r="I64" i="1"/>
  <c r="L50" i="1"/>
  <c r="H50" i="1"/>
  <c r="Q230" i="1"/>
  <c r="Q231" i="1"/>
  <c r="Q232" i="1"/>
  <c r="Q87" i="2"/>
  <c r="Q221" i="1"/>
  <c r="N103" i="2"/>
  <c r="Q103" i="2" s="1"/>
  <c r="T103" i="2" s="1"/>
  <c r="Q102" i="2"/>
  <c r="N87" i="2"/>
  <c r="H87" i="2"/>
  <c r="K87" i="2"/>
  <c r="I87" i="2"/>
  <c r="Q85" i="2"/>
  <c r="Q84" i="2"/>
  <c r="H73" i="2"/>
  <c r="O73" i="2"/>
  <c r="Q70" i="2"/>
  <c r="Q69" i="2"/>
  <c r="Q67" i="2"/>
  <c r="Q64" i="2"/>
  <c r="Q171" i="1"/>
  <c r="Y171" i="1" s="1"/>
  <c r="Q168" i="1"/>
  <c r="Q159" i="1"/>
  <c r="Q157" i="1"/>
  <c r="Q154" i="1"/>
  <c r="Q152" i="1"/>
  <c r="Q150" i="1"/>
  <c r="Q136" i="1"/>
  <c r="Q131" i="1"/>
  <c r="Q129" i="1"/>
  <c r="Q128" i="1"/>
  <c r="Q127" i="1"/>
  <c r="Q126" i="1"/>
  <c r="Q125" i="1"/>
  <c r="Q118" i="1"/>
  <c r="Q116" i="1"/>
  <c r="Q114" i="1"/>
  <c r="Q112" i="1"/>
  <c r="Q110" i="1"/>
  <c r="Q108" i="1"/>
  <c r="O87" i="2"/>
  <c r="I73" i="2"/>
  <c r="N59" i="2"/>
  <c r="N120" i="1"/>
  <c r="Q89" i="1"/>
  <c r="Q87" i="1"/>
  <c r="Q85" i="1"/>
  <c r="Q74" i="1"/>
  <c r="Q73" i="1"/>
  <c r="Q72" i="1"/>
  <c r="Q67" i="1"/>
  <c r="Q66" i="1"/>
  <c r="Q65" i="1"/>
  <c r="O59" i="2"/>
  <c r="Q59" i="2" s="1"/>
  <c r="L59" i="2"/>
  <c r="O120" i="1"/>
  <c r="K120" i="1"/>
  <c r="O64" i="1"/>
  <c r="K64" i="1"/>
  <c r="K50" i="1"/>
  <c r="K74" i="2"/>
  <c r="Q60" i="2"/>
  <c r="N191" i="1"/>
  <c r="N177" i="1"/>
  <c r="N163" i="1"/>
  <c r="N135" i="1"/>
  <c r="N134" i="1" s="1"/>
  <c r="N107" i="1"/>
  <c r="N106" i="1" s="1"/>
  <c r="Q100" i="1"/>
  <c r="N93" i="1"/>
  <c r="K79" i="1"/>
  <c r="N71" i="1"/>
  <c r="Q71" i="1" s="1"/>
  <c r="N57" i="1"/>
  <c r="Q57" i="1" s="1"/>
  <c r="Q52" i="1"/>
  <c r="N204" i="1" l="1"/>
  <c r="Q204" i="1"/>
  <c r="K162" i="1"/>
  <c r="N162" i="1"/>
  <c r="N148" i="1"/>
  <c r="Q120" i="1"/>
  <c r="D176" i="1"/>
  <c r="Q219" i="1"/>
  <c r="Q148" i="1"/>
  <c r="Q107" i="1"/>
  <c r="Q106" i="1" s="1"/>
  <c r="Q135" i="1"/>
  <c r="Q134" i="1" s="1"/>
  <c r="Q163" i="1"/>
  <c r="Q162" i="1" s="1"/>
  <c r="N92" i="1"/>
  <c r="Q93" i="1"/>
  <c r="N176" i="1"/>
  <c r="Q177" i="1"/>
  <c r="Q64" i="1"/>
  <c r="N64" i="1"/>
  <c r="N101" i="2"/>
  <c r="K78" i="1"/>
  <c r="N79" i="1"/>
  <c r="N190" i="1"/>
  <c r="Q191" i="1"/>
  <c r="Q190" i="1" s="1"/>
  <c r="K73" i="2"/>
  <c r="N74" i="2"/>
  <c r="Q101" i="2"/>
  <c r="T102" i="2"/>
  <c r="N50" i="1"/>
  <c r="Q50" i="1" s="1"/>
  <c r="Y135" i="1" l="1"/>
  <c r="N73" i="2"/>
  <c r="Q74" i="2"/>
  <c r="Q73" i="2" s="1"/>
  <c r="N78" i="1"/>
  <c r="Q79" i="1"/>
  <c r="Q78" i="1" s="1"/>
  <c r="Q176" i="1"/>
  <c r="Y177" i="1"/>
  <c r="Q92" i="1"/>
  <c r="T93" i="1"/>
</calcChain>
</file>

<file path=xl/comments1.xml><?xml version="1.0" encoding="utf-8"?>
<comments xmlns="http://schemas.openxmlformats.org/spreadsheetml/2006/main">
  <authors>
    <author>LVillamil</author>
    <author>Tatiana Renjel</author>
    <author>Villamil Liliana</author>
  </authors>
  <commentList>
    <comment ref="O10" authorId="0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Incluye, Bolsin otros Costos y Retribuciones YPFB
</t>
        </r>
      </text>
    </comment>
    <comment ref="D11" authorId="1">
      <text>
        <r>
          <rPr>
            <sz val="8"/>
            <color indexed="81"/>
            <rFont val="Tahoma"/>
            <family val="2"/>
          </rPr>
          <t xml:space="preserve">Incluye COMIBOL-ENAF
</t>
        </r>
      </text>
    </comment>
    <comment ref="E11" authorId="1">
      <text>
        <r>
          <rPr>
            <sz val="8"/>
            <color indexed="81"/>
            <rFont val="Tahoma"/>
            <family val="2"/>
          </rPr>
          <t xml:space="preserve">Es YPFB
</t>
        </r>
      </text>
    </comment>
    <comment ref="I12" authorId="0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Capital Med y LP, Corto Plazo y FMI</t>
        </r>
      </text>
    </comment>
    <comment ref="J12" authorId="0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Intereses Med y LP, Corto Plazo y FMI</t>
        </r>
      </text>
    </comment>
    <comment ref="D200" authorId="0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Comibol</t>
        </r>
      </text>
    </comment>
    <comment ref="D215" authorId="0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Comibol</t>
        </r>
      </text>
    </comment>
    <comment ref="D230" authorId="0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Comibol</t>
        </r>
      </text>
    </comment>
    <comment ref="D245" authorId="0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Comibol</t>
        </r>
      </text>
    </comment>
    <comment ref="B313" authorId="2">
      <text>
        <r>
          <rPr>
            <b/>
            <sz val="9"/>
            <color indexed="81"/>
            <rFont val="Tahoma"/>
            <family val="2"/>
          </rPr>
          <t>Villamil Liliana:</t>
        </r>
        <r>
          <rPr>
            <sz val="9"/>
            <color indexed="81"/>
            <rFont val="Tahoma"/>
            <family val="2"/>
          </rPr>
          <t xml:space="preserve">
igual a la 08-05</t>
        </r>
      </text>
    </comment>
  </commentList>
</comments>
</file>

<file path=xl/sharedStrings.xml><?xml version="1.0" encoding="utf-8"?>
<sst xmlns="http://schemas.openxmlformats.org/spreadsheetml/2006/main" count="446" uniqueCount="113">
  <si>
    <t/>
  </si>
  <si>
    <t>EGRESO DE DIVISAS</t>
  </si>
  <si>
    <t>SECTOR</t>
  </si>
  <si>
    <t>PRIVADO</t>
  </si>
  <si>
    <t xml:space="preserve"> </t>
  </si>
  <si>
    <t>TOTAL</t>
  </si>
  <si>
    <t xml:space="preserve">  BANCOS</t>
  </si>
  <si>
    <t>EGRESOS</t>
  </si>
  <si>
    <t>1990</t>
  </si>
  <si>
    <t>1991</t>
  </si>
  <si>
    <t>1992</t>
  </si>
  <si>
    <t>1993</t>
  </si>
  <si>
    <t>1994</t>
  </si>
  <si>
    <t>1995</t>
  </si>
  <si>
    <t>ENE95</t>
  </si>
  <si>
    <t>FEB95</t>
  </si>
  <si>
    <t>MAR95</t>
  </si>
  <si>
    <t>ABR95</t>
  </si>
  <si>
    <t>MAY95</t>
  </si>
  <si>
    <t>JUN95</t>
  </si>
  <si>
    <t>JUL95</t>
  </si>
  <si>
    <t>AGO95</t>
  </si>
  <si>
    <t>SEP95</t>
  </si>
  <si>
    <t>OCT95</t>
  </si>
  <si>
    <t>NOV95</t>
  </si>
  <si>
    <t>DIC95</t>
  </si>
  <si>
    <t>1996</t>
  </si>
  <si>
    <t>ENE96</t>
  </si>
  <si>
    <t>FEB96</t>
  </si>
  <si>
    <t>MAR96</t>
  </si>
  <si>
    <t>ABR96</t>
  </si>
  <si>
    <t>MAY96</t>
  </si>
  <si>
    <t>JUN96</t>
  </si>
  <si>
    <t>JUL96</t>
  </si>
  <si>
    <t>AGO96</t>
  </si>
  <si>
    <t>SEP96</t>
  </si>
  <si>
    <t>OCT96</t>
  </si>
  <si>
    <t>NOV96</t>
  </si>
  <si>
    <t>DIC96</t>
  </si>
  <si>
    <t xml:space="preserve"> *</t>
  </si>
  <si>
    <t>|</t>
  </si>
  <si>
    <t>(3) : Incluye pago de YPFB a contratistas, (Tesoro y Occidental) $us 19,6 millones</t>
  </si>
  <si>
    <t>(4) : Incluye pago de $us. 10,8 millones que corresponde a Stand By 1986 y Financiamiento Compensatorio al F.M.I.</t>
  </si>
  <si>
    <t>(5) : Incluye pago de $us. 1,5 millones que corresponde a Stand By 1986 y Financiamiento Compensatorio al F.M.I.</t>
  </si>
  <si>
    <t>(6) : Incluye pago de $us. 7.8 millones que corresponde a Stand By 1986 y Financiamiento Compensatorio al F.M.I.</t>
  </si>
  <si>
    <t>(7) : Incluye pago de $us. 2.6 millones que corresponde a F.M.I - S.A.E.</t>
  </si>
  <si>
    <t xml:space="preserve">                  B I E N E S  O  M E R C A N C Í A S</t>
  </si>
  <si>
    <t>S    E    C    T    O    R        P    Ú    B    L    I    C    O</t>
  </si>
  <si>
    <t>FUENTE</t>
  </si>
  <si>
    <t>NOTAS</t>
  </si>
  <si>
    <t xml:space="preserve">        ENE</t>
  </si>
  <si>
    <t xml:space="preserve">        FEB</t>
  </si>
  <si>
    <t xml:space="preserve">        MAR</t>
  </si>
  <si>
    <t xml:space="preserve">        ABR</t>
  </si>
  <si>
    <t xml:space="preserve">        MAY</t>
  </si>
  <si>
    <t xml:space="preserve">        JUN</t>
  </si>
  <si>
    <t xml:space="preserve">        JUL</t>
  </si>
  <si>
    <t xml:space="preserve">        AGO</t>
  </si>
  <si>
    <t xml:space="preserve">        SEP</t>
  </si>
  <si>
    <t xml:space="preserve">        OCT</t>
  </si>
  <si>
    <t xml:space="preserve">        NOV</t>
  </si>
  <si>
    <t xml:space="preserve">        DIC</t>
  </si>
  <si>
    <t>(En millones de $us)</t>
  </si>
  <si>
    <t>DIC</t>
  </si>
  <si>
    <t>Minería</t>
  </si>
  <si>
    <t>Petróleo y</t>
  </si>
  <si>
    <t>Derivados</t>
  </si>
  <si>
    <t>Otros</t>
  </si>
  <si>
    <t>Capital</t>
  </si>
  <si>
    <t>Intereses</t>
  </si>
  <si>
    <t>Corrientes</t>
  </si>
  <si>
    <t>Total</t>
  </si>
  <si>
    <t>1998</t>
  </si>
  <si>
    <t>1999</t>
  </si>
  <si>
    <t>ELABORACIÓN</t>
  </si>
  <si>
    <t>A fin de:</t>
  </si>
  <si>
    <t>Convenio Crédi-</t>
  </si>
  <si>
    <r>
      <t>to Recíproco</t>
    </r>
    <r>
      <rPr>
        <b/>
        <sz val="10"/>
        <color indexed="8"/>
        <rFont val="Arial"/>
        <family val="2"/>
      </rPr>
      <t xml:space="preserve"> </t>
    </r>
    <r>
      <rPr>
        <b/>
        <vertAlign val="superscript"/>
        <sz val="12"/>
        <color indexed="8"/>
        <rFont val="Arial"/>
        <family val="2"/>
      </rPr>
      <t>(1)</t>
    </r>
  </si>
  <si>
    <t>S    E    R    V    I    C    I    O    S</t>
  </si>
  <si>
    <t>1997*</t>
  </si>
  <si>
    <t xml:space="preserve">  */ Desde Ene/97, se revisaron los datos por actualización de cifras referidas a operaciones con títulos valores, que modificaron Ingresos y Egresos.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</si>
  <si>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</si>
  <si>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</si>
  <si>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</si>
  <si>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</si>
  <si>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</si>
  <si>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</si>
  <si>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</si>
  <si>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</si>
  <si>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</si>
  <si>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</si>
  <si>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</si>
  <si>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: BANCO CENTRAL DE BOLIVIA - ASESORíA DE POLíTICA ECONÓMICA - SECTOR EXTERNO</t>
  </si>
  <si>
    <t>: BANCO CENTRAL DE BOLIVIA - ASESORÍA DE POLÍTICA ECONÓMICA - SECTOR EXTERNO</t>
  </si>
  <si>
    <t xml:space="preserve">   Cifras de Sector Privado-Bancos revisadas.  A partir del boletín N° 298 (junio de 1998) hasta el boletín N° 300 (diciembre de 1998) las cifras de abril a diciembre de 1998 fueron registradas con base </t>
  </si>
  <si>
    <t xml:space="preserve">  en operaciones  netas diarias (ingresos mensos egresos).  A partir del boletín N° 301 dichos rubros se registran en términos brutos.</t>
  </si>
  <si>
    <r>
      <t xml:space="preserve">DEUDA EXTERNA </t>
    </r>
    <r>
      <rPr>
        <b/>
        <vertAlign val="superscript"/>
        <sz val="12"/>
        <color indexed="8"/>
        <rFont val="Arial"/>
        <family val="2"/>
      </rPr>
      <t>(2)</t>
    </r>
  </si>
  <si>
    <t>: (1) Mecanismo utilizado tanto por el Sector Público como Privado.</t>
  </si>
  <si>
    <t xml:space="preserve">  (3) Incluye bolsin, agencias, CD, LT y otros.</t>
  </si>
  <si>
    <t xml:space="preserve">  (2) A partir del boletín N° 321 (marzo de 2004) incluye operaciones de corto plazo y FMI.</t>
  </si>
  <si>
    <t>FUENTE:</t>
  </si>
  <si>
    <t>ELABORACIÓN:</t>
  </si>
  <si>
    <t>NOTAS:</t>
  </si>
  <si>
    <t>BANCO CENTRAL DE BOLIVIA - ASESORíA DE POLíTICA ECONÓMICA - SECTOR EXTERNO</t>
  </si>
  <si>
    <t>BANCO CENTRAL DE BOLIVIA - ASESORÍA DE POLÍTICA ECONÓMICA - SECTOR EXTERNO</t>
  </si>
  <si>
    <t>1997</t>
  </si>
  <si>
    <t>SECTOR PRIVADO BANCOS</t>
  </si>
  <si>
    <t>TOTAL EGRESOS</t>
  </si>
  <si>
    <r>
      <t>B I E N E S  O  M E R C A N C Í A S</t>
    </r>
    <r>
      <rPr>
        <b/>
        <vertAlign val="superscript"/>
        <sz val="11"/>
        <color indexed="8"/>
        <rFont val="Arial"/>
        <family val="2"/>
      </rPr>
      <t>(4)</t>
    </r>
  </si>
  <si>
    <t>(1) Mecanismo utilizado tanto por el Sector Público como Privado</t>
  </si>
  <si>
    <t>(2) A partir del boletín N° 321 (marzo de 2004) incluye operaciones de corto plazo y FMI</t>
  </si>
  <si>
    <t>(3) Incluye Bolsín, agencias, CD, LT y otros</t>
  </si>
  <si>
    <t>(4) Incluye Saldos del Convenio de Pagos y Créditos Recíprocos ALADI por lo que difiere del cuadro 8.04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</si>
</sst>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_);\(#,##0.0\)"/>
    <numFmt numFmtId="165" formatCode="#,##0.0"/>
    <numFmt numFmtId="166" formatCode="#,##0.000_);\(#,##0.000\)"/>
    <numFmt numFmtId="167" formatCode="0_);\(0\)"/>
    <numFmt numFmtId="168" formatCode="#,##0.0000_);\(#,##0.0000\)"/>
    <numFmt numFmtId="169" formatCode="#,##0.00000_);\(#,##0.00000\)"/>
  </numFmts>
  <fonts count="32" x14ac:knownFonts="1">
    <font>
      <sz val="12"/>
      <name val="Courier"/>
    </font>
    <font>
      <b/>
      <sz val="10"/>
      <name val="Arial"/>
      <family val="2"/>
    </font>
    <font>
      <sz val="1"/>
      <color indexed="8"/>
      <name val="Courier"/>
      <family val="3"/>
    </font>
    <font>
      <b/>
      <sz val="12"/>
      <color indexed="8"/>
      <name val="Arial"/>
      <family val="2"/>
    </font>
    <font>
      <b/>
      <sz val="18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color indexed="8"/>
      <name val="Arial"/>
      <family val="2"/>
    </font>
    <font>
      <sz val="20"/>
      <name val="Arial"/>
      <family val="2"/>
    </font>
    <font>
      <b/>
      <sz val="20"/>
      <color indexed="8"/>
      <name val="Arial"/>
      <family val="2"/>
    </font>
    <font>
      <sz val="20"/>
      <name val="Courier"/>
      <family val="3"/>
    </font>
    <font>
      <sz val="18"/>
      <name val="Arial"/>
      <family val="2"/>
    </font>
    <font>
      <sz val="18"/>
      <name val="Courier"/>
      <family val="3"/>
    </font>
    <font>
      <sz val="12"/>
      <name val="Arial"/>
      <family val="2"/>
    </font>
    <font>
      <sz val="12"/>
      <name val="Courier"/>
      <family val="3"/>
    </font>
    <font>
      <sz val="11"/>
      <color indexed="8"/>
      <name val="Arial"/>
      <family val="2"/>
    </font>
    <font>
      <sz val="11"/>
      <name val="Arial"/>
      <family val="2"/>
    </font>
    <font>
      <sz val="12"/>
      <color indexed="8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b/>
      <sz val="11"/>
      <name val="Courier"/>
      <family val="3"/>
    </font>
    <font>
      <b/>
      <sz val="12"/>
      <name val="Courier"/>
      <family val="3"/>
    </font>
    <font>
      <b/>
      <sz val="10"/>
      <color indexed="8"/>
      <name val="Arial"/>
      <family val="2"/>
    </font>
    <font>
      <b/>
      <vertAlign val="superscript"/>
      <sz val="12"/>
      <color indexed="8"/>
      <name val="Arial"/>
      <family val="2"/>
    </font>
    <font>
      <b/>
      <sz val="9"/>
      <color indexed="8"/>
      <name val="Arial"/>
      <family val="2"/>
    </font>
    <font>
      <b/>
      <sz val="8"/>
      <color indexed="81"/>
      <name val="Tahoma"/>
      <family val="2"/>
    </font>
    <font>
      <b/>
      <vertAlign val="superscript"/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164" fontId="0" fillId="0" borderId="0"/>
    <xf numFmtId="165" fontId="2" fillId="0" borderId="0">
      <protection locked="0"/>
    </xf>
    <xf numFmtId="165" fontId="2" fillId="0" borderId="0">
      <protection locked="0"/>
    </xf>
    <xf numFmtId="165" fontId="2" fillId="0" borderId="0">
      <protection locked="0"/>
    </xf>
    <xf numFmtId="165" fontId="2" fillId="0" borderId="0">
      <protection locked="0"/>
    </xf>
    <xf numFmtId="165" fontId="2" fillId="0" borderId="0">
      <protection locked="0"/>
    </xf>
    <xf numFmtId="165" fontId="2" fillId="0" borderId="0">
      <protection locked="0"/>
    </xf>
    <xf numFmtId="165" fontId="2" fillId="0" borderId="0">
      <protection locked="0"/>
    </xf>
  </cellStyleXfs>
  <cellXfs count="175">
    <xf numFmtId="164" fontId="0" fillId="0" borderId="0" xfId="0"/>
    <xf numFmtId="164" fontId="5" fillId="0" borderId="1" xfId="0" applyFont="1" applyFill="1" applyBorder="1"/>
    <xf numFmtId="164" fontId="5" fillId="0" borderId="2" xfId="0" applyFont="1" applyFill="1" applyBorder="1"/>
    <xf numFmtId="164" fontId="5" fillId="0" borderId="3" xfId="0" applyFont="1" applyFill="1" applyBorder="1"/>
    <xf numFmtId="164" fontId="5" fillId="0" borderId="0" xfId="0" applyFont="1" applyFill="1"/>
    <xf numFmtId="164" fontId="5" fillId="0" borderId="0" xfId="0" applyFont="1" applyFill="1" applyAlignment="1" applyProtection="1"/>
    <xf numFmtId="164" fontId="6" fillId="0" borderId="0" xfId="0" applyFont="1" applyAlignment="1" applyProtection="1">
      <alignment horizontal="left"/>
    </xf>
    <xf numFmtId="164" fontId="6" fillId="0" borderId="0" xfId="0" applyFont="1"/>
    <xf numFmtId="164" fontId="4" fillId="0" borderId="0" xfId="0" applyFont="1" applyFill="1" applyAlignment="1" applyProtection="1">
      <alignment horizontal="centerContinuous"/>
    </xf>
    <xf numFmtId="164" fontId="7" fillId="0" borderId="0" xfId="0" applyFont="1" applyAlignment="1" applyProtection="1">
      <alignment horizontal="left"/>
    </xf>
    <xf numFmtId="164" fontId="8" fillId="0" borderId="0" xfId="0" applyFont="1" applyFill="1" applyAlignment="1" applyProtection="1"/>
    <xf numFmtId="164" fontId="8" fillId="0" borderId="0" xfId="0" applyFont="1" applyFill="1"/>
    <xf numFmtId="164" fontId="7" fillId="0" borderId="0" xfId="0" applyFont="1"/>
    <xf numFmtId="164" fontId="9" fillId="0" borderId="0" xfId="0" applyFont="1"/>
    <xf numFmtId="164" fontId="10" fillId="0" borderId="0" xfId="0" applyFont="1" applyFill="1" applyAlignment="1" applyProtection="1">
      <alignment horizontal="centerContinuous"/>
    </xf>
    <xf numFmtId="164" fontId="9" fillId="0" borderId="0" xfId="0" applyFont="1" applyAlignment="1">
      <alignment horizontal="centerContinuous"/>
    </xf>
    <xf numFmtId="164" fontId="11" fillId="0" borderId="0" xfId="0" applyFont="1" applyAlignment="1">
      <alignment horizontal="centerContinuous"/>
    </xf>
    <xf numFmtId="164" fontId="10" fillId="0" borderId="0" xfId="0" applyFont="1" applyFill="1" applyAlignment="1">
      <alignment horizontal="centerContinuous"/>
    </xf>
    <xf numFmtId="164" fontId="12" fillId="0" borderId="0" xfId="0" applyFont="1"/>
    <xf numFmtId="164" fontId="12" fillId="0" borderId="0" xfId="0" applyFont="1" applyAlignment="1">
      <alignment horizontal="centerContinuous"/>
    </xf>
    <xf numFmtId="164" fontId="13" fillId="0" borderId="0" xfId="0" applyFont="1" applyAlignment="1">
      <alignment horizontal="centerContinuous"/>
    </xf>
    <xf numFmtId="164" fontId="4" fillId="0" borderId="0" xfId="0" applyFont="1" applyFill="1" applyAlignment="1">
      <alignment horizontal="centerContinuous"/>
    </xf>
    <xf numFmtId="164" fontId="14" fillId="0" borderId="0" xfId="0" applyFont="1" applyAlignment="1">
      <alignment vertical="center"/>
    </xf>
    <xf numFmtId="164" fontId="14" fillId="0" borderId="0" xfId="0" applyFont="1" applyAlignment="1">
      <alignment horizontal="centerContinuous" vertical="center"/>
    </xf>
    <xf numFmtId="164" fontId="3" fillId="0" borderId="0" xfId="0" applyFont="1" applyFill="1" applyAlignment="1" applyProtection="1">
      <alignment horizontal="centerContinuous" vertical="center"/>
    </xf>
    <xf numFmtId="164" fontId="15" fillId="0" borderId="0" xfId="0" applyFont="1" applyAlignment="1">
      <alignment vertical="center"/>
    </xf>
    <xf numFmtId="164" fontId="3" fillId="0" borderId="0" xfId="0" applyFont="1" applyFill="1" applyAlignment="1">
      <alignment horizontal="centerContinuous" vertical="center"/>
    </xf>
    <xf numFmtId="164" fontId="16" fillId="0" borderId="1" xfId="0" applyFont="1" applyFill="1" applyBorder="1"/>
    <xf numFmtId="164" fontId="16" fillId="0" borderId="3" xfId="0" applyFont="1" applyFill="1" applyBorder="1"/>
    <xf numFmtId="164" fontId="16" fillId="0" borderId="1" xfId="0" applyFont="1" applyFill="1" applyBorder="1" applyAlignment="1">
      <alignment horizontal="center"/>
    </xf>
    <xf numFmtId="164" fontId="18" fillId="0" borderId="2" xfId="0" applyFont="1" applyFill="1" applyBorder="1" applyAlignment="1" applyProtection="1"/>
    <xf numFmtId="164" fontId="18" fillId="0" borderId="2" xfId="0" applyFont="1" applyFill="1" applyBorder="1" applyProtection="1"/>
    <xf numFmtId="164" fontId="18" fillId="0" borderId="2" xfId="0" applyFont="1" applyFill="1" applyBorder="1"/>
    <xf numFmtId="164" fontId="18" fillId="0" borderId="2" xfId="0" applyNumberFormat="1" applyFont="1" applyFill="1" applyBorder="1" applyProtection="1"/>
    <xf numFmtId="164" fontId="18" fillId="0" borderId="0" xfId="0" applyFont="1" applyFill="1" applyBorder="1"/>
    <xf numFmtId="164" fontId="18" fillId="0" borderId="4" xfId="0" applyFont="1" applyFill="1" applyBorder="1" applyProtection="1"/>
    <xf numFmtId="164" fontId="14" fillId="0" borderId="0" xfId="0" applyFont="1" applyBorder="1"/>
    <xf numFmtId="164" fontId="14" fillId="0" borderId="0" xfId="0" applyFont="1" applyBorder="1" applyProtection="1"/>
    <xf numFmtId="164" fontId="18" fillId="0" borderId="0" xfId="0" applyFont="1" applyFill="1" applyBorder="1" applyProtection="1"/>
    <xf numFmtId="49" fontId="18" fillId="0" borderId="4" xfId="0" applyNumberFormat="1" applyFont="1" applyFill="1" applyBorder="1" applyAlignment="1" applyProtection="1"/>
    <xf numFmtId="164" fontId="1" fillId="0" borderId="0" xfId="0" applyFont="1"/>
    <xf numFmtId="164" fontId="18" fillId="0" borderId="2" xfId="0" applyFont="1" applyFill="1" applyBorder="1" applyAlignment="1" applyProtection="1">
      <alignment horizontal="center"/>
    </xf>
    <xf numFmtId="164" fontId="18" fillId="0" borderId="2" xfId="0" applyFont="1" applyFill="1" applyBorder="1" applyAlignment="1">
      <alignment horizontal="center"/>
    </xf>
    <xf numFmtId="164" fontId="20" fillId="0" borderId="0" xfId="0" applyFont="1" applyAlignment="1">
      <alignment horizontal="left" vertical="center"/>
    </xf>
    <xf numFmtId="49" fontId="18" fillId="0" borderId="2" xfId="0" applyNumberFormat="1" applyFont="1" applyFill="1" applyBorder="1" applyAlignment="1" applyProtection="1">
      <alignment horizontal="left"/>
    </xf>
    <xf numFmtId="164" fontId="18" fillId="0" borderId="4" xfId="0" applyFont="1" applyFill="1" applyBorder="1" applyAlignment="1" applyProtection="1">
      <alignment vertical="center"/>
    </xf>
    <xf numFmtId="164" fontId="18" fillId="0" borderId="2" xfId="0" applyFont="1" applyFill="1" applyBorder="1" applyAlignment="1" applyProtection="1">
      <alignment horizontal="left"/>
    </xf>
    <xf numFmtId="164" fontId="18" fillId="0" borderId="2" xfId="0" applyFont="1" applyFill="1" applyBorder="1" applyAlignment="1">
      <alignment horizontal="left"/>
    </xf>
    <xf numFmtId="167" fontId="18" fillId="0" borderId="2" xfId="0" applyNumberFormat="1" applyFont="1" applyFill="1" applyBorder="1" applyAlignment="1" applyProtection="1">
      <alignment horizontal="center"/>
    </xf>
    <xf numFmtId="164" fontId="18" fillId="0" borderId="0" xfId="0" applyNumberFormat="1" applyFont="1" applyFill="1" applyBorder="1" applyProtection="1"/>
    <xf numFmtId="164" fontId="14" fillId="0" borderId="0" xfId="0" applyFont="1" applyBorder="1" applyProtection="1">
      <protection locked="0"/>
    </xf>
    <xf numFmtId="164" fontId="21" fillId="0" borderId="4" xfId="0" applyFont="1" applyFill="1" applyBorder="1" applyAlignment="1" applyProtection="1">
      <alignment horizontal="center"/>
    </xf>
    <xf numFmtId="164" fontId="21" fillId="0" borderId="2" xfId="0" applyFont="1" applyFill="1" applyBorder="1"/>
    <xf numFmtId="164" fontId="21" fillId="0" borderId="2" xfId="0" applyFont="1" applyFill="1" applyBorder="1" applyAlignment="1" applyProtection="1"/>
    <xf numFmtId="164" fontId="21" fillId="0" borderId="1" xfId="0" applyFont="1" applyFill="1" applyBorder="1"/>
    <xf numFmtId="164" fontId="21" fillId="0" borderId="3" xfId="0" applyFont="1" applyFill="1" applyBorder="1"/>
    <xf numFmtId="164" fontId="21" fillId="0" borderId="2" xfId="0" applyFont="1" applyFill="1" applyBorder="1" applyAlignment="1" applyProtection="1">
      <alignment horizontal="center"/>
    </xf>
    <xf numFmtId="164" fontId="21" fillId="0" borderId="2" xfId="0" applyFont="1" applyFill="1" applyBorder="1" applyAlignment="1" applyProtection="1">
      <alignment horizontal="centerContinuous"/>
    </xf>
    <xf numFmtId="164" fontId="21" fillId="0" borderId="0" xfId="0" applyFont="1" applyFill="1" applyBorder="1" applyAlignment="1" applyProtection="1">
      <alignment horizontal="center"/>
    </xf>
    <xf numFmtId="164" fontId="21" fillId="0" borderId="2" xfId="0" applyFont="1" applyFill="1" applyBorder="1" applyAlignment="1">
      <alignment horizontal="center"/>
    </xf>
    <xf numFmtId="164" fontId="21" fillId="0" borderId="3" xfId="0" applyFont="1" applyFill="1" applyBorder="1" applyAlignment="1" applyProtection="1">
      <alignment horizontal="center"/>
    </xf>
    <xf numFmtId="164" fontId="14" fillId="0" borderId="0" xfId="0" applyNumberFormat="1" applyFont="1" applyFill="1" applyBorder="1" applyAlignment="1" applyProtection="1">
      <alignment vertical="center"/>
    </xf>
    <xf numFmtId="168" fontId="6" fillId="0" borderId="0" xfId="0" applyNumberFormat="1" applyFont="1"/>
    <xf numFmtId="169" fontId="6" fillId="0" borderId="0" xfId="0" applyNumberFormat="1" applyFont="1"/>
    <xf numFmtId="0" fontId="18" fillId="0" borderId="4" xfId="0" applyNumberFormat="1" applyFont="1" applyFill="1" applyBorder="1" applyAlignment="1" applyProtection="1">
      <alignment horizontal="left" vertical="center"/>
    </xf>
    <xf numFmtId="164" fontId="18" fillId="0" borderId="4" xfId="0" applyFont="1" applyFill="1" applyBorder="1" applyAlignment="1" applyProtection="1">
      <alignment horizontal="left" vertical="center" indent="1"/>
    </xf>
    <xf numFmtId="166" fontId="6" fillId="0" borderId="0" xfId="0" applyNumberFormat="1" applyFont="1"/>
    <xf numFmtId="164" fontId="16" fillId="0" borderId="5" xfId="0" applyFont="1" applyFill="1" applyBorder="1"/>
    <xf numFmtId="164" fontId="18" fillId="0" borderId="4" xfId="0" applyFont="1" applyFill="1" applyBorder="1"/>
    <xf numFmtId="164" fontId="18" fillId="0" borderId="4" xfId="0" applyNumberFormat="1" applyFont="1" applyFill="1" applyBorder="1" applyProtection="1"/>
    <xf numFmtId="164" fontId="14" fillId="0" borderId="0" xfId="0" applyNumberFormat="1" applyFont="1" applyBorder="1"/>
    <xf numFmtId="164" fontId="5" fillId="0" borderId="0" xfId="0" applyFont="1" applyFill="1" applyBorder="1"/>
    <xf numFmtId="164" fontId="5" fillId="0" borderId="6" xfId="0" applyFont="1" applyFill="1" applyBorder="1"/>
    <xf numFmtId="164" fontId="22" fillId="0" borderId="0" xfId="0" applyFont="1" applyBorder="1" applyAlignment="1" applyProtection="1">
      <alignment horizontal="centerContinuous"/>
    </xf>
    <xf numFmtId="164" fontId="22" fillId="0" borderId="0" xfId="0" applyFont="1" applyBorder="1" applyAlignment="1">
      <alignment horizontal="centerContinuous"/>
    </xf>
    <xf numFmtId="164" fontId="23" fillId="0" borderId="0" xfId="0" applyFont="1" applyBorder="1" applyAlignment="1">
      <alignment horizontal="centerContinuous"/>
    </xf>
    <xf numFmtId="164" fontId="22" fillId="0" borderId="0" xfId="0" applyFont="1" applyBorder="1"/>
    <xf numFmtId="164" fontId="17" fillId="0" borderId="7" xfId="0" applyFont="1" applyBorder="1"/>
    <xf numFmtId="164" fontId="22" fillId="0" borderId="0" xfId="0" applyFont="1" applyBorder="1" applyAlignment="1" applyProtection="1">
      <alignment horizontal="left"/>
    </xf>
    <xf numFmtId="164" fontId="21" fillId="0" borderId="0" xfId="0" applyFont="1" applyFill="1" applyBorder="1"/>
    <xf numFmtId="164" fontId="16" fillId="0" borderId="7" xfId="0" applyFont="1" applyFill="1" applyBorder="1"/>
    <xf numFmtId="164" fontId="21" fillId="0" borderId="0" xfId="0" applyFont="1" applyFill="1" applyBorder="1" applyAlignment="1">
      <alignment horizontal="centerContinuous"/>
    </xf>
    <xf numFmtId="164" fontId="21" fillId="0" borderId="0" xfId="0" applyFont="1" applyFill="1" applyBorder="1" applyAlignment="1" applyProtection="1">
      <alignment horizontal="centerContinuous"/>
    </xf>
    <xf numFmtId="164" fontId="22" fillId="0" borderId="0" xfId="0" applyFont="1" applyBorder="1" applyAlignment="1">
      <alignment horizontal="center"/>
    </xf>
    <xf numFmtId="164" fontId="16" fillId="0" borderId="6" xfId="0" applyFont="1" applyFill="1" applyBorder="1"/>
    <xf numFmtId="164" fontId="14" fillId="0" borderId="7" xfId="0" applyFont="1" applyBorder="1"/>
    <xf numFmtId="164" fontId="6" fillId="0" borderId="0" xfId="0" applyFont="1" applyBorder="1"/>
    <xf numFmtId="164" fontId="21" fillId="0" borderId="8" xfId="0" applyFont="1" applyFill="1" applyBorder="1" applyAlignment="1" applyProtection="1">
      <alignment horizontal="center"/>
    </xf>
    <xf numFmtId="164" fontId="21" fillId="0" borderId="9" xfId="0" applyFont="1" applyFill="1" applyBorder="1" applyAlignment="1" applyProtection="1">
      <alignment horizontal="center"/>
    </xf>
    <xf numFmtId="164" fontId="21" fillId="0" borderId="10" xfId="0" applyFont="1" applyFill="1" applyBorder="1" applyAlignment="1" applyProtection="1">
      <alignment horizontal="center"/>
    </xf>
    <xf numFmtId="39" fontId="6" fillId="0" borderId="0" xfId="0" applyNumberFormat="1" applyFont="1" applyBorder="1"/>
    <xf numFmtId="37" fontId="6" fillId="0" borderId="0" xfId="0" applyNumberFormat="1" applyFont="1" applyAlignment="1">
      <alignment horizontal="right"/>
    </xf>
    <xf numFmtId="37" fontId="27" fillId="0" borderId="2" xfId="0" applyNumberFormat="1" applyFont="1" applyFill="1" applyBorder="1" applyAlignment="1" applyProtection="1">
      <alignment horizontal="center"/>
    </xf>
    <xf numFmtId="164" fontId="24" fillId="0" borderId="3" xfId="0" applyFont="1" applyBorder="1" applyAlignment="1">
      <alignment vertical="center"/>
    </xf>
    <xf numFmtId="164" fontId="21" fillId="0" borderId="1" xfId="0" applyFont="1" applyFill="1" applyBorder="1" applyAlignment="1" applyProtection="1">
      <alignment horizontal="center"/>
    </xf>
    <xf numFmtId="164" fontId="5" fillId="0" borderId="11" xfId="0" applyFont="1" applyFill="1" applyBorder="1"/>
    <xf numFmtId="164" fontId="5" fillId="0" borderId="12" xfId="0" applyFont="1" applyFill="1" applyBorder="1"/>
    <xf numFmtId="164" fontId="5" fillId="0" borderId="13" xfId="0" applyFont="1" applyFill="1" applyBorder="1"/>
    <xf numFmtId="164" fontId="5" fillId="0" borderId="14" xfId="0" applyFont="1" applyFill="1" applyBorder="1"/>
    <xf numFmtId="164" fontId="24" fillId="0" borderId="0" xfId="0" applyFont="1" applyBorder="1" applyAlignment="1">
      <alignment horizontal="center" vertical="center"/>
    </xf>
    <xf numFmtId="164" fontId="24" fillId="0" borderId="4" xfId="0" applyFont="1" applyBorder="1" applyAlignment="1">
      <alignment horizontal="center" vertical="center"/>
    </xf>
    <xf numFmtId="164" fontId="21" fillId="0" borderId="5" xfId="0" applyFont="1" applyFill="1" applyBorder="1" applyAlignment="1" applyProtection="1">
      <alignment horizontal="center"/>
    </xf>
    <xf numFmtId="164" fontId="24" fillId="0" borderId="0" xfId="0" applyFont="1" applyBorder="1" applyAlignment="1">
      <alignment vertical="center"/>
    </xf>
    <xf numFmtId="164" fontId="24" fillId="0" borderId="4" xfId="0" applyFont="1" applyBorder="1" applyAlignment="1">
      <alignment vertical="center"/>
    </xf>
    <xf numFmtId="0" fontId="18" fillId="0" borderId="15" xfId="0" applyNumberFormat="1" applyFont="1" applyFill="1" applyBorder="1" applyAlignment="1" applyProtection="1">
      <alignment horizontal="left"/>
    </xf>
    <xf numFmtId="164" fontId="21" fillId="0" borderId="5" xfId="0" applyFont="1" applyFill="1" applyBorder="1"/>
    <xf numFmtId="164" fontId="24" fillId="0" borderId="3" xfId="0" applyFont="1" applyBorder="1" applyAlignment="1">
      <alignment horizontal="center" vertical="center"/>
    </xf>
    <xf numFmtId="164" fontId="24" fillId="0" borderId="5" xfId="0" applyFont="1" applyBorder="1" applyAlignment="1">
      <alignment horizontal="center" vertical="center"/>
    </xf>
    <xf numFmtId="164" fontId="24" fillId="0" borderId="5" xfId="0" applyFont="1" applyBorder="1" applyAlignment="1">
      <alignment vertical="center"/>
    </xf>
    <xf numFmtId="164" fontId="21" fillId="0" borderId="1" xfId="0" applyFont="1" applyFill="1" applyBorder="1" applyAlignment="1">
      <alignment horizontal="center"/>
    </xf>
    <xf numFmtId="0" fontId="18" fillId="0" borderId="16" xfId="0" applyNumberFormat="1" applyFont="1" applyFill="1" applyBorder="1" applyAlignment="1" applyProtection="1">
      <alignment horizontal="left"/>
    </xf>
    <xf numFmtId="164" fontId="21" fillId="0" borderId="4" xfId="0" applyFont="1" applyFill="1" applyBorder="1"/>
    <xf numFmtId="164" fontId="16" fillId="0" borderId="0" xfId="0" applyFont="1" applyFill="1" applyBorder="1"/>
    <xf numFmtId="164" fontId="16" fillId="0" borderId="4" xfId="0" applyFont="1" applyFill="1" applyBorder="1"/>
    <xf numFmtId="164" fontId="16" fillId="0" borderId="2" xfId="0" applyFont="1" applyFill="1" applyBorder="1"/>
    <xf numFmtId="164" fontId="18" fillId="0" borderId="16" xfId="0" applyFont="1" applyFill="1" applyBorder="1" applyAlignment="1" applyProtection="1"/>
    <xf numFmtId="164" fontId="18" fillId="0" borderId="16" xfId="0" applyFont="1" applyFill="1" applyBorder="1" applyAlignment="1" applyProtection="1">
      <alignment horizontal="left"/>
    </xf>
    <xf numFmtId="164" fontId="18" fillId="0" borderId="16" xfId="0" applyFont="1" applyFill="1" applyBorder="1" applyAlignment="1">
      <alignment horizontal="left"/>
    </xf>
    <xf numFmtId="164" fontId="18" fillId="0" borderId="16" xfId="0" applyFont="1" applyFill="1" applyBorder="1" applyAlignment="1">
      <alignment horizontal="center"/>
    </xf>
    <xf numFmtId="164" fontId="18" fillId="0" borderId="16" xfId="0" applyFont="1" applyFill="1" applyBorder="1" applyAlignment="1" applyProtection="1">
      <alignment horizontal="center"/>
    </xf>
    <xf numFmtId="49" fontId="18" fillId="0" borderId="16" xfId="0" applyNumberFormat="1" applyFont="1" applyFill="1" applyBorder="1" applyAlignment="1" applyProtection="1">
      <alignment horizontal="left"/>
    </xf>
    <xf numFmtId="164" fontId="18" fillId="0" borderId="17" xfId="0" applyFont="1" applyFill="1" applyBorder="1" applyAlignment="1" applyProtection="1">
      <alignment vertical="center"/>
    </xf>
    <xf numFmtId="167" fontId="18" fillId="0" borderId="16" xfId="0" applyNumberFormat="1" applyFont="1" applyFill="1" applyBorder="1" applyAlignment="1" applyProtection="1">
      <alignment horizontal="center"/>
    </xf>
    <xf numFmtId="49" fontId="18" fillId="0" borderId="17" xfId="0" applyNumberFormat="1" applyFont="1" applyFill="1" applyBorder="1" applyAlignment="1" applyProtection="1"/>
    <xf numFmtId="0" fontId="18" fillId="0" borderId="17" xfId="0" applyNumberFormat="1" applyFont="1" applyFill="1" applyBorder="1" applyAlignment="1" applyProtection="1">
      <alignment horizontal="left" vertical="center"/>
    </xf>
    <xf numFmtId="164" fontId="18" fillId="0" borderId="17" xfId="0" applyFont="1" applyFill="1" applyBorder="1" applyAlignment="1" applyProtection="1">
      <alignment horizontal="left" vertical="center" indent="1"/>
    </xf>
    <xf numFmtId="164" fontId="5" fillId="0" borderId="18" xfId="0" applyFont="1" applyFill="1" applyBorder="1"/>
    <xf numFmtId="164" fontId="5" fillId="0" borderId="19" xfId="0" applyFont="1" applyFill="1" applyBorder="1"/>
    <xf numFmtId="164" fontId="5" fillId="0" borderId="20" xfId="0" applyFont="1" applyFill="1" applyBorder="1"/>
    <xf numFmtId="164" fontId="6" fillId="0" borderId="0" xfId="0" applyFont="1" applyFill="1"/>
    <xf numFmtId="164" fontId="18" fillId="0" borderId="22" xfId="0" applyFont="1" applyFill="1" applyBorder="1" applyProtection="1"/>
    <xf numFmtId="164" fontId="18" fillId="0" borderId="22" xfId="0" applyNumberFormat="1" applyFont="1" applyFill="1" applyBorder="1" applyProtection="1"/>
    <xf numFmtId="164" fontId="14" fillId="0" borderId="23" xfId="0" applyFont="1" applyBorder="1"/>
    <xf numFmtId="164" fontId="18" fillId="0" borderId="24" xfId="0" applyFont="1" applyFill="1" applyBorder="1" applyAlignment="1" applyProtection="1">
      <alignment horizontal="left" vertical="center" indent="1"/>
    </xf>
    <xf numFmtId="164" fontId="18" fillId="0" borderId="24" xfId="0" applyFont="1" applyFill="1" applyBorder="1" applyProtection="1"/>
    <xf numFmtId="164" fontId="18" fillId="0" borderId="22" xfId="0" applyFont="1" applyFill="1" applyBorder="1"/>
    <xf numFmtId="164" fontId="18" fillId="0" borderId="25" xfId="0" applyFont="1" applyFill="1" applyBorder="1" applyProtection="1"/>
    <xf numFmtId="164" fontId="18" fillId="0" borderId="28" xfId="0" applyFont="1" applyFill="1" applyBorder="1" applyProtection="1"/>
    <xf numFmtId="39" fontId="6" fillId="0" borderId="0" xfId="0" applyNumberFormat="1" applyFont="1" applyFill="1"/>
    <xf numFmtId="164" fontId="14" fillId="0" borderId="21" xfId="0" applyFont="1" applyBorder="1" applyProtection="1"/>
    <xf numFmtId="164" fontId="18" fillId="0" borderId="21" xfId="0" applyFont="1" applyFill="1" applyBorder="1" applyProtection="1"/>
    <xf numFmtId="164" fontId="14" fillId="0" borderId="0" xfId="0" applyFont="1" applyFill="1" applyBorder="1"/>
    <xf numFmtId="164" fontId="14" fillId="0" borderId="0" xfId="0" applyFont="1" applyFill="1" applyBorder="1" applyProtection="1"/>
    <xf numFmtId="164" fontId="14" fillId="0" borderId="21" xfId="0" applyFont="1" applyFill="1" applyBorder="1" applyProtection="1"/>
    <xf numFmtId="164" fontId="14" fillId="0" borderId="22" xfId="0" applyFont="1" applyFill="1" applyBorder="1"/>
    <xf numFmtId="164" fontId="14" fillId="0" borderId="22" xfId="0" applyFont="1" applyFill="1" applyBorder="1" applyProtection="1"/>
    <xf numFmtId="164" fontId="14" fillId="0" borderId="28" xfId="0" applyFont="1" applyFill="1" applyBorder="1" applyProtection="1"/>
    <xf numFmtId="164" fontId="21" fillId="0" borderId="2" xfId="0" applyFont="1" applyFill="1" applyBorder="1" applyAlignment="1">
      <alignment horizontal="center" vertical="center" wrapText="1"/>
    </xf>
    <xf numFmtId="164" fontId="21" fillId="0" borderId="0" xfId="0" applyFont="1" applyFill="1" applyBorder="1" applyAlignment="1">
      <alignment horizontal="center" vertical="center" wrapText="1"/>
    </xf>
    <xf numFmtId="164" fontId="21" fillId="0" borderId="7" xfId="0" applyFont="1" applyFill="1" applyBorder="1" applyAlignment="1">
      <alignment horizontal="center" vertical="center" wrapText="1"/>
    </xf>
    <xf numFmtId="164" fontId="21" fillId="0" borderId="2" xfId="0" applyFont="1" applyFill="1" applyBorder="1" applyAlignment="1" applyProtection="1">
      <alignment horizontal="center"/>
    </xf>
    <xf numFmtId="164" fontId="21" fillId="0" borderId="0" xfId="0" applyFont="1" applyFill="1" applyBorder="1" applyAlignment="1" applyProtection="1">
      <alignment horizontal="center"/>
    </xf>
    <xf numFmtId="164" fontId="21" fillId="0" borderId="21" xfId="0" applyFont="1" applyFill="1" applyBorder="1" applyAlignment="1" applyProtection="1">
      <alignment horizontal="center"/>
    </xf>
    <xf numFmtId="164" fontId="21" fillId="0" borderId="4" xfId="0" applyFont="1" applyFill="1" applyBorder="1" applyAlignment="1">
      <alignment horizontal="center" vertical="center"/>
    </xf>
    <xf numFmtId="164" fontId="21" fillId="0" borderId="24" xfId="0" applyFont="1" applyFill="1" applyBorder="1" applyAlignment="1">
      <alignment horizontal="center" vertical="center"/>
    </xf>
    <xf numFmtId="164" fontId="21" fillId="0" borderId="1" xfId="0" applyFont="1" applyFill="1" applyBorder="1" applyAlignment="1" applyProtection="1">
      <alignment horizontal="center" vertical="center"/>
    </xf>
    <xf numFmtId="164" fontId="24" fillId="0" borderId="25" xfId="0" applyFont="1" applyBorder="1" applyAlignment="1">
      <alignment vertical="center"/>
    </xf>
    <xf numFmtId="164" fontId="21" fillId="0" borderId="3" xfId="0" applyFont="1" applyFill="1" applyBorder="1" applyAlignment="1" applyProtection="1">
      <alignment horizontal="center" vertical="center"/>
    </xf>
    <xf numFmtId="164" fontId="24" fillId="0" borderId="22" xfId="0" applyFont="1" applyBorder="1" applyAlignment="1">
      <alignment horizontal="center" vertical="center"/>
    </xf>
    <xf numFmtId="164" fontId="24" fillId="0" borderId="3" xfId="0" applyFont="1" applyBorder="1" applyAlignment="1">
      <alignment vertical="center"/>
    </xf>
    <xf numFmtId="164" fontId="24" fillId="0" borderId="22" xfId="0" applyFont="1" applyBorder="1" applyAlignment="1">
      <alignment vertical="center"/>
    </xf>
    <xf numFmtId="164" fontId="21" fillId="0" borderId="5" xfId="0" applyFont="1" applyFill="1" applyBorder="1" applyAlignment="1" applyProtection="1">
      <alignment horizontal="center" vertical="center"/>
    </xf>
    <xf numFmtId="164" fontId="21" fillId="0" borderId="24" xfId="0" applyFont="1" applyFill="1" applyBorder="1" applyAlignment="1" applyProtection="1">
      <alignment horizontal="center" vertical="center"/>
    </xf>
    <xf numFmtId="164" fontId="21" fillId="0" borderId="1" xfId="0" applyFont="1" applyFill="1" applyBorder="1" applyAlignment="1" applyProtection="1">
      <alignment horizontal="center"/>
    </xf>
    <xf numFmtId="164" fontId="21" fillId="0" borderId="3" xfId="0" applyFont="1" applyFill="1" applyBorder="1" applyAlignment="1" applyProtection="1">
      <alignment horizontal="center"/>
    </xf>
    <xf numFmtId="164" fontId="21" fillId="0" borderId="26" xfId="0" applyFont="1" applyFill="1" applyBorder="1" applyAlignment="1" applyProtection="1">
      <alignment horizontal="center"/>
    </xf>
    <xf numFmtId="164" fontId="24" fillId="0" borderId="24" xfId="0" applyFont="1" applyBorder="1" applyAlignment="1">
      <alignment horizontal="center" vertical="center"/>
    </xf>
    <xf numFmtId="164" fontId="21" fillId="0" borderId="4" xfId="0" applyFont="1" applyFill="1" applyBorder="1" applyAlignment="1" applyProtection="1">
      <alignment horizontal="center" vertical="center" wrapText="1"/>
    </xf>
    <xf numFmtId="164" fontId="21" fillId="0" borderId="17" xfId="0" applyFont="1" applyFill="1" applyBorder="1" applyAlignment="1">
      <alignment horizontal="center" vertical="center"/>
    </xf>
    <xf numFmtId="164" fontId="21" fillId="0" borderId="27" xfId="0" applyFont="1" applyFill="1" applyBorder="1" applyAlignment="1">
      <alignment horizontal="center" vertical="center"/>
    </xf>
    <xf numFmtId="164" fontId="24" fillId="0" borderId="2" xfId="0" applyFont="1" applyBorder="1" applyAlignment="1">
      <alignment vertical="center"/>
    </xf>
    <xf numFmtId="164" fontId="24" fillId="0" borderId="0" xfId="0" applyFont="1" applyBorder="1" applyAlignment="1">
      <alignment horizontal="center" vertical="center"/>
    </xf>
    <xf numFmtId="164" fontId="24" fillId="0" borderId="0" xfId="0" applyFont="1" applyBorder="1" applyAlignment="1">
      <alignment vertical="center"/>
    </xf>
    <xf numFmtId="164" fontId="24" fillId="0" borderId="4" xfId="0" applyFont="1" applyBorder="1" applyAlignment="1">
      <alignment vertical="center"/>
    </xf>
    <xf numFmtId="164" fontId="24" fillId="0" borderId="4" xfId="0" applyFont="1" applyBorder="1" applyAlignment="1">
      <alignment horizontal="center" vertical="center"/>
    </xf>
  </cellXfs>
  <cellStyles count="8">
    <cellStyle name="F2" xfId="1"/>
    <cellStyle name="F3" xfId="2"/>
    <cellStyle name="F4" xfId="3"/>
    <cellStyle name="F5" xfId="4"/>
    <cellStyle name="F6" xfId="5"/>
    <cellStyle name="F7" xfId="6"/>
    <cellStyle name="F8" xfId="7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B1" transitionEvaluation="1" codeName="Hoja1"/>
  <dimension ref="A1:AD341"/>
  <sheetViews>
    <sheetView showGridLines="0" showZeros="0" tabSelected="1" topLeftCell="B1" zoomScale="80" zoomScaleNormal="80" workbookViewId="0">
      <selection activeCell="B1" sqref="B1"/>
    </sheetView>
  </sheetViews>
  <sheetFormatPr baseColWidth="10" defaultColWidth="9.77734375" defaultRowHeight="12.75" outlineLevelRow="1" x14ac:dyDescent="0.2"/>
  <cols>
    <col min="1" max="1" width="1.77734375" style="7" hidden="1" customWidth="1"/>
    <col min="2" max="2" width="11.6640625" style="7" customWidth="1"/>
    <col min="3" max="3" width="10.109375" style="7" customWidth="1"/>
    <col min="4" max="4" width="8.77734375" style="7" customWidth="1"/>
    <col min="5" max="5" width="11.6640625" style="7" customWidth="1"/>
    <col min="6" max="6" width="7.88671875" style="7" customWidth="1"/>
    <col min="7" max="7" width="16" style="7" customWidth="1"/>
    <col min="8" max="8" width="8.33203125" style="7" customWidth="1"/>
    <col min="9" max="9" width="9.77734375" style="7" customWidth="1"/>
    <col min="10" max="10" width="10.33203125" style="7" customWidth="1"/>
    <col min="11" max="11" width="8.33203125" style="7" customWidth="1"/>
    <col min="12" max="12" width="11" style="7" customWidth="1"/>
    <col min="13" max="13" width="2.77734375" style="7" customWidth="1"/>
    <col min="14" max="14" width="10.109375" style="7" customWidth="1"/>
    <col min="15" max="15" width="7.88671875" style="7" customWidth="1"/>
    <col min="16" max="16" width="1.77734375" style="7" customWidth="1"/>
    <col min="17" max="17" width="8.44140625" style="7" customWidth="1"/>
    <col min="18" max="18" width="1" style="7" customWidth="1"/>
    <col min="19" max="19" width="2.33203125" style="7" customWidth="1"/>
    <col min="20" max="24" width="0" style="7" hidden="1" customWidth="1"/>
    <col min="25" max="16384" width="9.77734375" style="7"/>
  </cols>
  <sheetData>
    <row r="1" spans="1:19" s="12" customFormat="1" ht="27.75" customHeight="1" x14ac:dyDescent="0.25">
      <c r="A1" s="9" t="s">
        <v>0</v>
      </c>
      <c r="B1" s="10"/>
      <c r="C1" s="11"/>
      <c r="D1" s="11"/>
    </row>
    <row r="2" spans="1:19" s="13" customFormat="1" ht="42.75" customHeight="1" x14ac:dyDescent="0.4">
      <c r="B2" s="14" t="s">
        <v>1</v>
      </c>
      <c r="C2" s="15"/>
      <c r="D2" s="15"/>
      <c r="E2" s="15"/>
      <c r="F2" s="16"/>
      <c r="G2" s="17"/>
      <c r="H2" s="17"/>
      <c r="I2" s="17"/>
      <c r="J2" s="17"/>
      <c r="K2" s="17"/>
      <c r="L2" s="17"/>
      <c r="M2" s="17"/>
      <c r="N2" s="15"/>
      <c r="O2" s="15"/>
      <c r="P2" s="15"/>
      <c r="Q2" s="15"/>
      <c r="R2" s="15"/>
    </row>
    <row r="3" spans="1:19" s="18" customFormat="1" ht="15" customHeight="1" x14ac:dyDescent="0.35">
      <c r="B3" s="8"/>
      <c r="C3" s="19"/>
      <c r="D3" s="19"/>
      <c r="E3" s="19"/>
      <c r="F3" s="19"/>
      <c r="G3" s="19"/>
      <c r="H3" s="20"/>
      <c r="I3" s="21"/>
      <c r="J3" s="21"/>
      <c r="K3" s="19"/>
      <c r="L3" s="19"/>
      <c r="M3" s="19"/>
      <c r="N3" s="19"/>
      <c r="O3" s="19"/>
      <c r="P3" s="19"/>
      <c r="Q3" s="19"/>
      <c r="R3" s="19"/>
    </row>
    <row r="4" spans="1:19" s="22" customFormat="1" ht="30" customHeight="1" x14ac:dyDescent="0.2">
      <c r="B4" s="43"/>
      <c r="C4" s="23"/>
      <c r="D4" s="23"/>
      <c r="E4" s="23"/>
      <c r="F4" s="23"/>
      <c r="G4" s="23"/>
      <c r="H4" s="23"/>
      <c r="I4" s="23"/>
      <c r="J4" s="23"/>
      <c r="K4" s="23"/>
      <c r="L4" s="23"/>
      <c r="N4" s="25"/>
      <c r="O4" s="24" t="s">
        <v>62</v>
      </c>
      <c r="P4" s="26"/>
      <c r="Q4" s="26"/>
      <c r="R4" s="26"/>
    </row>
    <row r="5" spans="1:19" ht="8.25" customHeight="1" x14ac:dyDescent="0.2">
      <c r="B5" s="1"/>
      <c r="C5" s="1"/>
      <c r="D5" s="1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1"/>
      <c r="Q5" s="3"/>
      <c r="R5" s="72"/>
      <c r="S5" s="71"/>
    </row>
    <row r="6" spans="1:19" ht="15.95" customHeight="1" x14ac:dyDescent="0.25">
      <c r="B6" s="153" t="s">
        <v>75</v>
      </c>
      <c r="C6" s="51"/>
      <c r="D6" s="73" t="s">
        <v>47</v>
      </c>
      <c r="E6" s="74"/>
      <c r="F6" s="75"/>
      <c r="G6" s="74"/>
      <c r="H6" s="74"/>
      <c r="I6" s="74"/>
      <c r="J6" s="74"/>
      <c r="K6" s="74"/>
      <c r="L6" s="74"/>
      <c r="M6" s="74"/>
      <c r="N6" s="74"/>
      <c r="O6" s="74"/>
      <c r="P6" s="52"/>
      <c r="Q6" s="76"/>
      <c r="R6" s="77"/>
      <c r="S6" s="71"/>
    </row>
    <row r="7" spans="1:19" ht="15.95" customHeight="1" x14ac:dyDescent="0.25">
      <c r="B7" s="153"/>
      <c r="C7" s="167" t="s">
        <v>106</v>
      </c>
      <c r="D7" s="53" t="s">
        <v>4</v>
      </c>
      <c r="E7" s="78" t="s">
        <v>4</v>
      </c>
      <c r="F7" s="78" t="s">
        <v>4</v>
      </c>
      <c r="G7" s="78" t="s">
        <v>4</v>
      </c>
      <c r="H7" s="78" t="s">
        <v>4</v>
      </c>
      <c r="I7" s="78" t="s">
        <v>4</v>
      </c>
      <c r="J7" s="76"/>
      <c r="K7" s="76"/>
      <c r="L7" s="78" t="s">
        <v>4</v>
      </c>
      <c r="M7" s="78" t="s">
        <v>4</v>
      </c>
      <c r="N7" s="78" t="s">
        <v>4</v>
      </c>
      <c r="O7" s="78" t="s">
        <v>4</v>
      </c>
      <c r="P7" s="147" t="s">
        <v>107</v>
      </c>
      <c r="Q7" s="148"/>
      <c r="R7" s="149"/>
      <c r="S7" s="71"/>
    </row>
    <row r="8" spans="1:19" ht="8.25" customHeight="1" x14ac:dyDescent="0.25">
      <c r="B8" s="153"/>
      <c r="C8" s="167"/>
      <c r="D8" s="54"/>
      <c r="E8" s="55"/>
      <c r="F8" s="55"/>
      <c r="G8" s="55"/>
      <c r="H8" s="55"/>
      <c r="I8" s="54"/>
      <c r="J8" s="55"/>
      <c r="K8" s="55"/>
      <c r="L8" s="55"/>
      <c r="M8" s="55"/>
      <c r="N8" s="55"/>
      <c r="O8" s="54"/>
      <c r="P8" s="147"/>
      <c r="Q8" s="148"/>
      <c r="R8" s="149"/>
      <c r="S8" s="71"/>
    </row>
    <row r="9" spans="1:19" ht="21.75" customHeight="1" x14ac:dyDescent="0.25">
      <c r="B9" s="153"/>
      <c r="C9" s="167"/>
      <c r="D9" s="150" t="s">
        <v>108</v>
      </c>
      <c r="E9" s="151"/>
      <c r="F9" s="151"/>
      <c r="G9" s="151"/>
      <c r="H9" s="152"/>
      <c r="I9" s="150" t="s">
        <v>78</v>
      </c>
      <c r="J9" s="151"/>
      <c r="K9" s="151"/>
      <c r="L9" s="151"/>
      <c r="M9" s="151"/>
      <c r="N9" s="152"/>
      <c r="O9" s="59" t="s">
        <v>67</v>
      </c>
      <c r="P9" s="147"/>
      <c r="Q9" s="148"/>
      <c r="R9" s="149"/>
      <c r="S9" s="71"/>
    </row>
    <row r="10" spans="1:19" ht="8.25" customHeight="1" x14ac:dyDescent="0.25">
      <c r="B10" s="153"/>
      <c r="C10" s="167"/>
      <c r="D10" s="52"/>
      <c r="E10" s="79"/>
      <c r="F10" s="79"/>
      <c r="G10" s="79"/>
      <c r="H10" s="79"/>
      <c r="I10" s="52"/>
      <c r="J10" s="79"/>
      <c r="K10" s="79"/>
      <c r="L10" s="79"/>
      <c r="M10" s="79"/>
      <c r="N10" s="79"/>
      <c r="O10" s="56"/>
      <c r="P10" s="147"/>
      <c r="Q10" s="148"/>
      <c r="R10" s="149"/>
      <c r="S10" s="71"/>
    </row>
    <row r="11" spans="1:19" ht="18.75" customHeight="1" x14ac:dyDescent="0.25">
      <c r="B11" s="153"/>
      <c r="C11" s="167"/>
      <c r="D11" s="155" t="s">
        <v>64</v>
      </c>
      <c r="E11" s="60" t="s">
        <v>65</v>
      </c>
      <c r="F11" s="157" t="s">
        <v>67</v>
      </c>
      <c r="G11" s="60" t="s">
        <v>76</v>
      </c>
      <c r="H11" s="161" t="s">
        <v>71</v>
      </c>
      <c r="I11" s="163" t="s">
        <v>96</v>
      </c>
      <c r="J11" s="164"/>
      <c r="K11" s="165"/>
      <c r="L11" s="157" t="s">
        <v>70</v>
      </c>
      <c r="M11" s="159"/>
      <c r="N11" s="161" t="s">
        <v>5</v>
      </c>
      <c r="O11" s="92">
        <v>-3</v>
      </c>
      <c r="P11" s="52"/>
      <c r="Q11" s="58"/>
      <c r="R11" s="80"/>
      <c r="S11" s="71"/>
    </row>
    <row r="12" spans="1:19" ht="21" customHeight="1" x14ac:dyDescent="0.25">
      <c r="B12" s="154"/>
      <c r="C12" s="52"/>
      <c r="D12" s="156"/>
      <c r="E12" s="58" t="s">
        <v>66</v>
      </c>
      <c r="F12" s="158"/>
      <c r="G12" s="58" t="s">
        <v>77</v>
      </c>
      <c r="H12" s="166"/>
      <c r="I12" s="87" t="s">
        <v>68</v>
      </c>
      <c r="J12" s="88" t="s">
        <v>69</v>
      </c>
      <c r="K12" s="89" t="s">
        <v>71</v>
      </c>
      <c r="L12" s="160"/>
      <c r="M12" s="160"/>
      <c r="N12" s="162"/>
      <c r="O12" s="59"/>
      <c r="P12" s="52"/>
      <c r="Q12" s="79"/>
      <c r="R12" s="80"/>
      <c r="S12" s="71"/>
    </row>
    <row r="13" spans="1:19" ht="3.75" customHeight="1" x14ac:dyDescent="0.2">
      <c r="B13" s="27"/>
      <c r="C13" s="67"/>
      <c r="D13" s="27"/>
      <c r="E13" s="28"/>
      <c r="F13" s="28"/>
      <c r="G13" s="28"/>
      <c r="H13" s="67"/>
      <c r="I13" s="27"/>
      <c r="J13" s="28"/>
      <c r="K13" s="67"/>
      <c r="L13" s="28"/>
      <c r="M13" s="28"/>
      <c r="N13" s="67"/>
      <c r="O13" s="29"/>
      <c r="P13" s="27"/>
      <c r="Q13" s="28"/>
      <c r="R13" s="84"/>
      <c r="S13" s="71"/>
    </row>
    <row r="14" spans="1:19" ht="24.95" hidden="1" customHeight="1" x14ac:dyDescent="0.2">
      <c r="B14" s="30" t="s">
        <v>8</v>
      </c>
      <c r="C14" s="35">
        <v>923.9</v>
      </c>
      <c r="D14" s="31">
        <v>5.4</v>
      </c>
      <c r="E14" s="38">
        <v>25.5</v>
      </c>
      <c r="F14" s="38">
        <v>37.799999999999997</v>
      </c>
      <c r="G14" s="38">
        <v>0.1</v>
      </c>
      <c r="H14" s="35">
        <v>68.8</v>
      </c>
      <c r="I14" s="31">
        <v>213.4</v>
      </c>
      <c r="J14" s="38">
        <v>84.1</v>
      </c>
      <c r="K14" s="35">
        <v>297.5</v>
      </c>
      <c r="L14" s="38">
        <v>77.8</v>
      </c>
      <c r="M14" s="34"/>
      <c r="N14" s="35">
        <v>375.3</v>
      </c>
      <c r="O14" s="31">
        <v>524.4</v>
      </c>
      <c r="P14" s="32"/>
      <c r="Q14" s="38">
        <v>1892.4</v>
      </c>
      <c r="R14" s="85"/>
      <c r="S14" s="71"/>
    </row>
    <row r="15" spans="1:19" ht="24.95" hidden="1" customHeight="1" x14ac:dyDescent="0.2">
      <c r="B15" s="30" t="s">
        <v>9</v>
      </c>
      <c r="C15" s="35">
        <v>999.4</v>
      </c>
      <c r="D15" s="31">
        <v>5.9</v>
      </c>
      <c r="E15" s="38">
        <v>34.1</v>
      </c>
      <c r="F15" s="38">
        <v>13.9</v>
      </c>
      <c r="G15" s="38">
        <v>0</v>
      </c>
      <c r="H15" s="35">
        <v>53.9</v>
      </c>
      <c r="I15" s="31">
        <v>150.19999999999999</v>
      </c>
      <c r="J15" s="38">
        <v>99.7</v>
      </c>
      <c r="K15" s="35">
        <v>249.9</v>
      </c>
      <c r="L15" s="38">
        <v>118.5</v>
      </c>
      <c r="M15" s="34"/>
      <c r="N15" s="35">
        <v>368.4</v>
      </c>
      <c r="O15" s="31">
        <v>364.9</v>
      </c>
      <c r="P15" s="32"/>
      <c r="Q15" s="38">
        <v>1786.6</v>
      </c>
      <c r="R15" s="85"/>
      <c r="S15" s="71"/>
    </row>
    <row r="16" spans="1:19" ht="24.95" hidden="1" customHeight="1" x14ac:dyDescent="0.2">
      <c r="B16" s="30" t="s">
        <v>10</v>
      </c>
      <c r="C16" s="35">
        <v>807.9</v>
      </c>
      <c r="D16" s="31">
        <v>6.2</v>
      </c>
      <c r="E16" s="38">
        <v>42.1</v>
      </c>
      <c r="F16" s="38">
        <v>41.2</v>
      </c>
      <c r="G16" s="38">
        <v>16.8</v>
      </c>
      <c r="H16" s="35">
        <v>106.3</v>
      </c>
      <c r="I16" s="31">
        <v>113.2</v>
      </c>
      <c r="J16" s="38">
        <v>91.2</v>
      </c>
      <c r="K16" s="35">
        <v>204.4</v>
      </c>
      <c r="L16" s="38">
        <v>91.3</v>
      </c>
      <c r="M16" s="34"/>
      <c r="N16" s="35">
        <v>295.7</v>
      </c>
      <c r="O16" s="31">
        <v>224.2</v>
      </c>
      <c r="P16" s="32"/>
      <c r="Q16" s="38">
        <v>1434.1</v>
      </c>
      <c r="R16" s="85"/>
      <c r="S16" s="71"/>
    </row>
    <row r="17" spans="1:19" ht="21.95" hidden="1" customHeight="1" x14ac:dyDescent="0.2">
      <c r="B17" s="46" t="s">
        <v>11</v>
      </c>
      <c r="C17" s="35">
        <v>861.7</v>
      </c>
      <c r="D17" s="31">
        <v>4.8</v>
      </c>
      <c r="E17" s="38">
        <v>15.4</v>
      </c>
      <c r="F17" s="38">
        <v>11.5</v>
      </c>
      <c r="G17" s="38">
        <v>48.1</v>
      </c>
      <c r="H17" s="35">
        <v>79.8</v>
      </c>
      <c r="I17" s="31">
        <v>100.1</v>
      </c>
      <c r="J17" s="38">
        <v>111.9</v>
      </c>
      <c r="K17" s="35">
        <v>212</v>
      </c>
      <c r="L17" s="38">
        <v>32.700000000000003</v>
      </c>
      <c r="M17" s="34"/>
      <c r="N17" s="35">
        <v>244.7</v>
      </c>
      <c r="O17" s="31">
        <v>384.2</v>
      </c>
      <c r="P17" s="32"/>
      <c r="Q17" s="38">
        <v>1570.4</v>
      </c>
      <c r="R17" s="85"/>
      <c r="S17" s="71"/>
    </row>
    <row r="18" spans="1:19" ht="21.95" hidden="1" customHeight="1" x14ac:dyDescent="0.2">
      <c r="B18" s="46" t="s">
        <v>12</v>
      </c>
      <c r="C18" s="35">
        <v>1045.7</v>
      </c>
      <c r="D18" s="31">
        <v>4.5999999999999996</v>
      </c>
      <c r="E18" s="38">
        <v>6.4</v>
      </c>
      <c r="F18" s="38">
        <v>7.6</v>
      </c>
      <c r="G18" s="38">
        <v>39.700000000000003</v>
      </c>
      <c r="H18" s="35">
        <v>58.3</v>
      </c>
      <c r="I18" s="31">
        <v>118.2</v>
      </c>
      <c r="J18" s="38">
        <v>128.30000000000001</v>
      </c>
      <c r="K18" s="35">
        <v>246.5</v>
      </c>
      <c r="L18" s="38">
        <v>23.3</v>
      </c>
      <c r="M18" s="34"/>
      <c r="N18" s="35">
        <v>269.8</v>
      </c>
      <c r="O18" s="31">
        <v>234.2</v>
      </c>
      <c r="P18" s="32"/>
      <c r="Q18" s="38">
        <v>1608</v>
      </c>
      <c r="R18" s="85"/>
      <c r="S18" s="71"/>
    </row>
    <row r="19" spans="1:19" ht="21.95" hidden="1" customHeight="1" x14ac:dyDescent="0.2">
      <c r="B19" s="46" t="s">
        <v>13</v>
      </c>
      <c r="C19" s="35">
        <v>1449.6</v>
      </c>
      <c r="D19" s="31">
        <v>2.4</v>
      </c>
      <c r="E19" s="38">
        <v>3.9</v>
      </c>
      <c r="F19" s="38">
        <v>9.5</v>
      </c>
      <c r="G19" s="38">
        <v>61.7</v>
      </c>
      <c r="H19" s="35">
        <v>77.5</v>
      </c>
      <c r="I19" s="31">
        <v>115.3</v>
      </c>
      <c r="J19" s="38">
        <v>130.9</v>
      </c>
      <c r="K19" s="35">
        <v>246.2</v>
      </c>
      <c r="L19" s="38">
        <v>38.5</v>
      </c>
      <c r="M19" s="34"/>
      <c r="N19" s="35">
        <v>284.7</v>
      </c>
      <c r="O19" s="31">
        <v>445.54</v>
      </c>
      <c r="P19" s="32"/>
      <c r="Q19" s="38">
        <v>2257.34</v>
      </c>
      <c r="R19" s="85"/>
      <c r="S19" s="71"/>
    </row>
    <row r="20" spans="1:19" ht="21.95" hidden="1" customHeight="1" x14ac:dyDescent="0.2">
      <c r="B20" s="47"/>
      <c r="C20" s="68"/>
      <c r="D20" s="32"/>
      <c r="E20" s="34"/>
      <c r="F20" s="34"/>
      <c r="G20" s="34"/>
      <c r="H20" s="68"/>
      <c r="I20" s="32"/>
      <c r="J20" s="34"/>
      <c r="K20" s="68"/>
      <c r="L20" s="34"/>
      <c r="M20" s="34"/>
      <c r="N20" s="68"/>
      <c r="O20" s="32"/>
      <c r="P20" s="32"/>
      <c r="Q20" s="34"/>
      <c r="R20" s="85"/>
      <c r="S20" s="71"/>
    </row>
    <row r="21" spans="1:19" ht="21.95" hidden="1" customHeight="1" x14ac:dyDescent="0.2">
      <c r="A21" s="6"/>
      <c r="B21" s="46" t="s">
        <v>14</v>
      </c>
      <c r="C21" s="35">
        <v>142.30000000000001</v>
      </c>
      <c r="D21" s="31">
        <v>0</v>
      </c>
      <c r="E21" s="38">
        <v>0.4</v>
      </c>
      <c r="F21" s="38">
        <v>0.5</v>
      </c>
      <c r="G21" s="38">
        <v>3.5</v>
      </c>
      <c r="H21" s="69">
        <v>4.4000000000000004</v>
      </c>
      <c r="I21" s="31">
        <v>10.8</v>
      </c>
      <c r="J21" s="38">
        <v>11</v>
      </c>
      <c r="K21" s="69">
        <v>21.8</v>
      </c>
      <c r="L21" s="38">
        <v>2.8</v>
      </c>
      <c r="M21" s="34"/>
      <c r="N21" s="69">
        <v>24.6</v>
      </c>
      <c r="O21" s="31">
        <v>26.28</v>
      </c>
      <c r="P21" s="32"/>
      <c r="Q21" s="49">
        <v>197.58</v>
      </c>
      <c r="R21" s="85"/>
      <c r="S21" s="71"/>
    </row>
    <row r="22" spans="1:19" ht="21.95" hidden="1" customHeight="1" x14ac:dyDescent="0.2">
      <c r="A22" s="6"/>
      <c r="B22" s="46" t="s">
        <v>15</v>
      </c>
      <c r="C22" s="35">
        <v>140.19999999999999</v>
      </c>
      <c r="D22" s="31">
        <v>0</v>
      </c>
      <c r="E22" s="38">
        <v>0.3</v>
      </c>
      <c r="F22" s="38">
        <v>0</v>
      </c>
      <c r="G22" s="38">
        <v>6.3</v>
      </c>
      <c r="H22" s="69">
        <v>6.6</v>
      </c>
      <c r="I22" s="31">
        <v>8.1</v>
      </c>
      <c r="J22" s="38">
        <v>7.6</v>
      </c>
      <c r="K22" s="69">
        <v>15.7</v>
      </c>
      <c r="L22" s="38">
        <v>1.8</v>
      </c>
      <c r="M22" s="34"/>
      <c r="N22" s="69">
        <v>17.5</v>
      </c>
      <c r="O22" s="31">
        <v>17.600000000000001</v>
      </c>
      <c r="P22" s="32"/>
      <c r="Q22" s="49">
        <v>181.9</v>
      </c>
      <c r="R22" s="85"/>
      <c r="S22" s="71"/>
    </row>
    <row r="23" spans="1:19" ht="21.95" hidden="1" customHeight="1" x14ac:dyDescent="0.2">
      <c r="A23" s="6"/>
      <c r="B23" s="46" t="s">
        <v>16</v>
      </c>
      <c r="C23" s="35">
        <v>114.5</v>
      </c>
      <c r="D23" s="31">
        <v>0.5</v>
      </c>
      <c r="E23" s="38">
        <v>0.2</v>
      </c>
      <c r="F23" s="38">
        <v>0.2</v>
      </c>
      <c r="G23" s="38">
        <v>2.4</v>
      </c>
      <c r="H23" s="69">
        <v>3.3</v>
      </c>
      <c r="I23" s="31">
        <v>12</v>
      </c>
      <c r="J23" s="38">
        <v>17.7</v>
      </c>
      <c r="K23" s="69">
        <v>29.7</v>
      </c>
      <c r="L23" s="38">
        <v>2.4</v>
      </c>
      <c r="M23" s="34"/>
      <c r="N23" s="69">
        <v>32.1</v>
      </c>
      <c r="O23" s="31">
        <v>44.3</v>
      </c>
      <c r="P23" s="32"/>
      <c r="Q23" s="49">
        <v>194.2</v>
      </c>
      <c r="R23" s="85"/>
      <c r="S23" s="71"/>
    </row>
    <row r="24" spans="1:19" ht="21.95" hidden="1" customHeight="1" x14ac:dyDescent="0.2">
      <c r="A24" s="6"/>
      <c r="B24" s="46" t="s">
        <v>17</v>
      </c>
      <c r="C24" s="35">
        <v>108.2</v>
      </c>
      <c r="D24" s="31">
        <v>0.1</v>
      </c>
      <c r="E24" s="38">
        <v>0</v>
      </c>
      <c r="F24" s="38">
        <v>1.5</v>
      </c>
      <c r="G24" s="38">
        <v>6.7</v>
      </c>
      <c r="H24" s="69">
        <v>8.3000000000000007</v>
      </c>
      <c r="I24" s="31">
        <v>11.7</v>
      </c>
      <c r="J24" s="38">
        <v>10.3</v>
      </c>
      <c r="K24" s="69">
        <v>22</v>
      </c>
      <c r="L24" s="38">
        <v>3.2</v>
      </c>
      <c r="M24" s="34"/>
      <c r="N24" s="69">
        <v>25.2</v>
      </c>
      <c r="O24" s="31">
        <v>113</v>
      </c>
      <c r="P24" s="32"/>
      <c r="Q24" s="49">
        <v>254.7</v>
      </c>
      <c r="R24" s="85"/>
      <c r="S24" s="71"/>
    </row>
    <row r="25" spans="1:19" ht="21.95" hidden="1" customHeight="1" x14ac:dyDescent="0.2">
      <c r="A25" s="6"/>
      <c r="B25" s="46" t="s">
        <v>18</v>
      </c>
      <c r="C25" s="35">
        <v>109.4</v>
      </c>
      <c r="D25" s="31">
        <v>0.1</v>
      </c>
      <c r="E25" s="38">
        <v>0</v>
      </c>
      <c r="F25" s="38">
        <v>0.5</v>
      </c>
      <c r="G25" s="38">
        <v>3</v>
      </c>
      <c r="H25" s="69">
        <v>3.6</v>
      </c>
      <c r="I25" s="31">
        <v>8.5</v>
      </c>
      <c r="J25" s="38">
        <v>12.7</v>
      </c>
      <c r="K25" s="69">
        <v>21.2</v>
      </c>
      <c r="L25" s="38">
        <v>3.1</v>
      </c>
      <c r="M25" s="34"/>
      <c r="N25" s="69">
        <v>24.3</v>
      </c>
      <c r="O25" s="31">
        <v>10.68</v>
      </c>
      <c r="P25" s="32"/>
      <c r="Q25" s="49">
        <v>147.97999999999999</v>
      </c>
      <c r="R25" s="85"/>
      <c r="S25" s="71"/>
    </row>
    <row r="26" spans="1:19" ht="21.95" hidden="1" customHeight="1" x14ac:dyDescent="0.2">
      <c r="A26" s="6"/>
      <c r="B26" s="46" t="s">
        <v>19</v>
      </c>
      <c r="C26" s="35">
        <v>88.3</v>
      </c>
      <c r="D26" s="31">
        <v>0.6</v>
      </c>
      <c r="E26" s="38">
        <v>0.3</v>
      </c>
      <c r="F26" s="38">
        <v>2.1</v>
      </c>
      <c r="G26" s="38">
        <v>5</v>
      </c>
      <c r="H26" s="69">
        <v>8</v>
      </c>
      <c r="I26" s="31">
        <v>8.4</v>
      </c>
      <c r="J26" s="38">
        <v>7.7</v>
      </c>
      <c r="K26" s="69">
        <v>16.100000000000001</v>
      </c>
      <c r="L26" s="38">
        <v>6.7</v>
      </c>
      <c r="M26" s="34"/>
      <c r="N26" s="69">
        <v>22.8</v>
      </c>
      <c r="O26" s="31">
        <v>47.4</v>
      </c>
      <c r="P26" s="32"/>
      <c r="Q26" s="49">
        <v>166.5</v>
      </c>
      <c r="R26" s="85"/>
      <c r="S26" s="71"/>
    </row>
    <row r="27" spans="1:19" ht="21.95" hidden="1" customHeight="1" x14ac:dyDescent="0.2">
      <c r="A27" s="6"/>
      <c r="B27" s="46" t="s">
        <v>20</v>
      </c>
      <c r="C27" s="35">
        <v>122.6</v>
      </c>
      <c r="D27" s="31">
        <v>0.2</v>
      </c>
      <c r="E27" s="38">
        <v>0</v>
      </c>
      <c r="F27" s="38">
        <v>0.6</v>
      </c>
      <c r="G27" s="38">
        <v>6.4</v>
      </c>
      <c r="H27" s="69">
        <v>7.2</v>
      </c>
      <c r="I27" s="31">
        <v>11.6</v>
      </c>
      <c r="J27" s="38">
        <v>12.4</v>
      </c>
      <c r="K27" s="69">
        <v>24</v>
      </c>
      <c r="L27" s="38">
        <v>5.2</v>
      </c>
      <c r="M27" s="34"/>
      <c r="N27" s="69">
        <v>29.2</v>
      </c>
      <c r="O27" s="31">
        <v>5.7</v>
      </c>
      <c r="P27" s="32"/>
      <c r="Q27" s="49">
        <v>164.7</v>
      </c>
      <c r="R27" s="85"/>
      <c r="S27" s="71"/>
    </row>
    <row r="28" spans="1:19" ht="21.95" hidden="1" customHeight="1" x14ac:dyDescent="0.2">
      <c r="A28" s="6"/>
      <c r="B28" s="46" t="s">
        <v>21</v>
      </c>
      <c r="C28" s="35">
        <v>192.4</v>
      </c>
      <c r="D28" s="31">
        <v>0.2</v>
      </c>
      <c r="E28" s="38">
        <v>0.5</v>
      </c>
      <c r="F28" s="38">
        <v>0.9</v>
      </c>
      <c r="G28" s="38">
        <v>6.5</v>
      </c>
      <c r="H28" s="69">
        <v>8.1</v>
      </c>
      <c r="I28" s="31">
        <v>9.3000000000000007</v>
      </c>
      <c r="J28" s="38">
        <v>8.4</v>
      </c>
      <c r="K28" s="69">
        <v>17.7</v>
      </c>
      <c r="L28" s="38">
        <v>2</v>
      </c>
      <c r="M28" s="34"/>
      <c r="N28" s="69">
        <v>19.7</v>
      </c>
      <c r="O28" s="31">
        <v>38.6</v>
      </c>
      <c r="P28" s="32"/>
      <c r="Q28" s="49">
        <v>258.8</v>
      </c>
      <c r="R28" s="85"/>
      <c r="S28" s="71"/>
    </row>
    <row r="29" spans="1:19" ht="21.95" hidden="1" customHeight="1" x14ac:dyDescent="0.2">
      <c r="A29" s="6"/>
      <c r="B29" s="46" t="s">
        <v>22</v>
      </c>
      <c r="C29" s="35">
        <v>107.7</v>
      </c>
      <c r="D29" s="31">
        <v>0.2</v>
      </c>
      <c r="E29" s="38">
        <v>0.7</v>
      </c>
      <c r="F29" s="38">
        <v>0.5</v>
      </c>
      <c r="G29" s="38">
        <v>3.7</v>
      </c>
      <c r="H29" s="69">
        <v>5.0999999999999996</v>
      </c>
      <c r="I29" s="31">
        <v>10.9</v>
      </c>
      <c r="J29" s="38">
        <v>16.7</v>
      </c>
      <c r="K29" s="69">
        <v>27.6</v>
      </c>
      <c r="L29" s="38">
        <v>3.6</v>
      </c>
      <c r="M29" s="34"/>
      <c r="N29" s="69">
        <v>31.2</v>
      </c>
      <c r="O29" s="31">
        <v>34.799999999999997</v>
      </c>
      <c r="P29" s="32"/>
      <c r="Q29" s="49">
        <v>178.8</v>
      </c>
      <c r="R29" s="85"/>
      <c r="S29" s="71"/>
    </row>
    <row r="30" spans="1:19" ht="21.95" hidden="1" customHeight="1" x14ac:dyDescent="0.2">
      <c r="A30" s="6"/>
      <c r="B30" s="46" t="s">
        <v>23</v>
      </c>
      <c r="C30" s="35">
        <v>116.5</v>
      </c>
      <c r="D30" s="31">
        <v>0.1</v>
      </c>
      <c r="E30" s="38">
        <v>0.3</v>
      </c>
      <c r="F30" s="38">
        <v>0.3</v>
      </c>
      <c r="G30" s="38">
        <v>5.3</v>
      </c>
      <c r="H30" s="69">
        <v>6</v>
      </c>
      <c r="I30" s="31">
        <v>8.9</v>
      </c>
      <c r="J30" s="38">
        <v>7.9</v>
      </c>
      <c r="K30" s="69">
        <v>16.8</v>
      </c>
      <c r="L30" s="38">
        <v>3.1</v>
      </c>
      <c r="M30" s="34"/>
      <c r="N30" s="69">
        <v>19.899999999999999</v>
      </c>
      <c r="O30" s="31">
        <v>41.38</v>
      </c>
      <c r="P30" s="32"/>
      <c r="Q30" s="49">
        <v>183.78</v>
      </c>
      <c r="R30" s="85"/>
      <c r="S30" s="71"/>
    </row>
    <row r="31" spans="1:19" ht="21.95" hidden="1" customHeight="1" x14ac:dyDescent="0.2">
      <c r="A31" s="6"/>
      <c r="B31" s="46" t="s">
        <v>24</v>
      </c>
      <c r="C31" s="35">
        <v>85.6</v>
      </c>
      <c r="D31" s="31">
        <v>0.1</v>
      </c>
      <c r="E31" s="38">
        <v>1</v>
      </c>
      <c r="F31" s="38">
        <v>2.4</v>
      </c>
      <c r="G31" s="38">
        <v>8</v>
      </c>
      <c r="H31" s="69">
        <v>11.5</v>
      </c>
      <c r="I31" s="31">
        <v>5.9</v>
      </c>
      <c r="J31" s="38">
        <v>8.4</v>
      </c>
      <c r="K31" s="69">
        <v>14.3</v>
      </c>
      <c r="L31" s="38">
        <v>2.5</v>
      </c>
      <c r="M31" s="34"/>
      <c r="N31" s="69">
        <v>16.8</v>
      </c>
      <c r="O31" s="31">
        <v>34.200000000000003</v>
      </c>
      <c r="P31" s="32"/>
      <c r="Q31" s="49">
        <v>148.1</v>
      </c>
      <c r="R31" s="85"/>
      <c r="S31" s="71"/>
    </row>
    <row r="32" spans="1:19" ht="21.95" hidden="1" customHeight="1" x14ac:dyDescent="0.2">
      <c r="A32" s="6"/>
      <c r="B32" s="46" t="s">
        <v>25</v>
      </c>
      <c r="C32" s="35">
        <v>121.9</v>
      </c>
      <c r="D32" s="31">
        <v>0.3</v>
      </c>
      <c r="E32" s="38">
        <v>0.2</v>
      </c>
      <c r="F32" s="38">
        <v>0</v>
      </c>
      <c r="G32" s="38">
        <v>4.9000000000000004</v>
      </c>
      <c r="H32" s="69">
        <v>5.4</v>
      </c>
      <c r="I32" s="31">
        <v>9.1999999999999993</v>
      </c>
      <c r="J32" s="38">
        <v>10.1</v>
      </c>
      <c r="K32" s="69">
        <v>19.3</v>
      </c>
      <c r="L32" s="38">
        <v>2.1</v>
      </c>
      <c r="M32" s="34"/>
      <c r="N32" s="69">
        <v>21.4</v>
      </c>
      <c r="O32" s="31">
        <v>31.6</v>
      </c>
      <c r="P32" s="32"/>
      <c r="Q32" s="49">
        <v>180.3</v>
      </c>
      <c r="R32" s="85"/>
      <c r="S32" s="71"/>
    </row>
    <row r="33" spans="2:19" ht="21.95" hidden="1" customHeight="1" x14ac:dyDescent="0.2">
      <c r="B33" s="47"/>
      <c r="C33" s="68"/>
      <c r="D33" s="32"/>
      <c r="E33" s="34"/>
      <c r="F33" s="34"/>
      <c r="G33" s="34"/>
      <c r="H33" s="68"/>
      <c r="I33" s="32"/>
      <c r="J33" s="34"/>
      <c r="K33" s="68"/>
      <c r="L33" s="34"/>
      <c r="M33" s="34"/>
      <c r="N33" s="68"/>
      <c r="O33" s="32"/>
      <c r="P33" s="32"/>
      <c r="Q33" s="34"/>
      <c r="R33" s="85"/>
      <c r="S33" s="71"/>
    </row>
    <row r="34" spans="2:19" ht="21.95" hidden="1" customHeight="1" x14ac:dyDescent="0.2">
      <c r="B34" s="46" t="s">
        <v>26</v>
      </c>
      <c r="C34" s="35">
        <v>2226.8000000000002</v>
      </c>
      <c r="D34" s="31">
        <v>2.1</v>
      </c>
      <c r="E34" s="38">
        <v>7.22</v>
      </c>
      <c r="F34" s="38">
        <v>3.2</v>
      </c>
      <c r="G34" s="38">
        <v>46.4</v>
      </c>
      <c r="H34" s="35">
        <v>58.92</v>
      </c>
      <c r="I34" s="31">
        <v>115.52</v>
      </c>
      <c r="J34" s="38">
        <v>121.3</v>
      </c>
      <c r="K34" s="35">
        <v>236.82</v>
      </c>
      <c r="L34" s="38">
        <v>37.22</v>
      </c>
      <c r="M34" s="34"/>
      <c r="N34" s="35">
        <v>274.04000000000002</v>
      </c>
      <c r="O34" s="31">
        <v>902</v>
      </c>
      <c r="P34" s="32"/>
      <c r="Q34" s="38">
        <v>3461.76</v>
      </c>
      <c r="R34" s="85"/>
      <c r="S34" s="71"/>
    </row>
    <row r="35" spans="2:19" ht="24.95" hidden="1" customHeight="1" x14ac:dyDescent="0.2">
      <c r="B35" s="42"/>
      <c r="C35" s="68"/>
      <c r="D35" s="32"/>
      <c r="E35" s="34"/>
      <c r="F35" s="34"/>
      <c r="G35" s="34"/>
      <c r="H35" s="68"/>
      <c r="I35" s="32"/>
      <c r="J35" s="34"/>
      <c r="K35" s="68"/>
      <c r="L35" s="34"/>
      <c r="M35" s="34"/>
      <c r="N35" s="68"/>
      <c r="O35" s="32"/>
      <c r="P35" s="32"/>
      <c r="Q35" s="34"/>
      <c r="R35" s="85"/>
      <c r="S35" s="71"/>
    </row>
    <row r="36" spans="2:19" ht="24.95" hidden="1" customHeight="1" x14ac:dyDescent="0.2">
      <c r="B36" s="41" t="s">
        <v>27</v>
      </c>
      <c r="C36" s="35">
        <v>132.19999999999999</v>
      </c>
      <c r="D36" s="31">
        <v>0.1</v>
      </c>
      <c r="E36" s="38">
        <v>0.8</v>
      </c>
      <c r="F36" s="38">
        <v>0</v>
      </c>
      <c r="G36" s="38">
        <v>4.4000000000000004</v>
      </c>
      <c r="H36" s="69">
        <v>5.3</v>
      </c>
      <c r="I36" s="31">
        <v>11.1</v>
      </c>
      <c r="J36" s="38">
        <v>9.6</v>
      </c>
      <c r="K36" s="69">
        <v>20.7</v>
      </c>
      <c r="L36" s="38">
        <v>1.5</v>
      </c>
      <c r="M36" s="34"/>
      <c r="N36" s="69">
        <v>22.2</v>
      </c>
      <c r="O36" s="31">
        <v>17.600000000000001</v>
      </c>
      <c r="P36" s="32"/>
      <c r="Q36" s="49">
        <v>177.3</v>
      </c>
      <c r="R36" s="85"/>
      <c r="S36" s="71"/>
    </row>
    <row r="37" spans="2:19" ht="24.95" hidden="1" customHeight="1" x14ac:dyDescent="0.2">
      <c r="B37" s="41" t="s">
        <v>28</v>
      </c>
      <c r="C37" s="35">
        <v>178.9</v>
      </c>
      <c r="D37" s="31">
        <v>0.3</v>
      </c>
      <c r="E37" s="38">
        <v>0.7</v>
      </c>
      <c r="F37" s="38">
        <v>0.2</v>
      </c>
      <c r="G37" s="38">
        <v>3.2</v>
      </c>
      <c r="H37" s="69">
        <v>4.4000000000000004</v>
      </c>
      <c r="I37" s="31">
        <v>9.3000000000000007</v>
      </c>
      <c r="J37" s="38">
        <v>6.6</v>
      </c>
      <c r="K37" s="69">
        <v>15.9</v>
      </c>
      <c r="L37" s="38">
        <v>2</v>
      </c>
      <c r="M37" s="34"/>
      <c r="N37" s="69">
        <v>17.899999999999999</v>
      </c>
      <c r="O37" s="31">
        <v>42.6</v>
      </c>
      <c r="P37" s="32"/>
      <c r="Q37" s="49">
        <v>243.8</v>
      </c>
      <c r="R37" s="85"/>
      <c r="S37" s="71"/>
    </row>
    <row r="38" spans="2:19" ht="24.95" hidden="1" customHeight="1" x14ac:dyDescent="0.2">
      <c r="B38" s="41" t="s">
        <v>29</v>
      </c>
      <c r="C38" s="35">
        <v>212.5</v>
      </c>
      <c r="D38" s="31">
        <v>0.1</v>
      </c>
      <c r="E38" s="38">
        <v>0.3</v>
      </c>
      <c r="F38" s="38">
        <v>0</v>
      </c>
      <c r="G38" s="38">
        <v>4.9000000000000004</v>
      </c>
      <c r="H38" s="69">
        <v>5.3</v>
      </c>
      <c r="I38" s="31">
        <v>18.399999999999999</v>
      </c>
      <c r="J38" s="38">
        <v>20</v>
      </c>
      <c r="K38" s="69">
        <v>38.4</v>
      </c>
      <c r="L38" s="38">
        <v>3.5</v>
      </c>
      <c r="M38" s="34"/>
      <c r="N38" s="69">
        <v>41.9</v>
      </c>
      <c r="O38" s="31">
        <v>36.5</v>
      </c>
      <c r="P38" s="32"/>
      <c r="Q38" s="49">
        <v>296.2</v>
      </c>
      <c r="R38" s="85"/>
      <c r="S38" s="71"/>
    </row>
    <row r="39" spans="2:19" ht="24.95" hidden="1" customHeight="1" x14ac:dyDescent="0.2">
      <c r="B39" s="41" t="s">
        <v>30</v>
      </c>
      <c r="C39" s="35">
        <v>212.8</v>
      </c>
      <c r="D39" s="31">
        <v>0.3</v>
      </c>
      <c r="E39" s="38">
        <v>0.5</v>
      </c>
      <c r="F39" s="38">
        <v>0</v>
      </c>
      <c r="G39" s="38">
        <v>2.9</v>
      </c>
      <c r="H39" s="69">
        <v>3.7</v>
      </c>
      <c r="I39" s="31">
        <v>8.3000000000000007</v>
      </c>
      <c r="J39" s="38">
        <v>7.8</v>
      </c>
      <c r="K39" s="69">
        <v>16.100000000000001</v>
      </c>
      <c r="L39" s="38">
        <v>2.5</v>
      </c>
      <c r="M39" s="34"/>
      <c r="N39" s="69">
        <v>18.600000000000001</v>
      </c>
      <c r="O39" s="31">
        <v>42.3</v>
      </c>
      <c r="P39" s="32"/>
      <c r="Q39" s="49">
        <v>277.39999999999998</v>
      </c>
      <c r="R39" s="85"/>
      <c r="S39" s="71"/>
    </row>
    <row r="40" spans="2:19" ht="24.95" hidden="1" customHeight="1" x14ac:dyDescent="0.2">
      <c r="B40" s="41" t="s">
        <v>31</v>
      </c>
      <c r="C40" s="35">
        <v>151.4</v>
      </c>
      <c r="D40" s="31">
        <v>0</v>
      </c>
      <c r="E40" s="38">
        <v>0.6</v>
      </c>
      <c r="F40" s="38">
        <v>0</v>
      </c>
      <c r="G40" s="38">
        <v>3.5</v>
      </c>
      <c r="H40" s="69">
        <v>4.0999999999999996</v>
      </c>
      <c r="I40" s="31">
        <v>11.4</v>
      </c>
      <c r="J40" s="38">
        <v>13.3</v>
      </c>
      <c r="K40" s="69">
        <v>24.7</v>
      </c>
      <c r="L40" s="38">
        <v>2.7</v>
      </c>
      <c r="M40" s="34"/>
      <c r="N40" s="69">
        <v>27.4</v>
      </c>
      <c r="O40" s="31">
        <v>100.5</v>
      </c>
      <c r="P40" s="32"/>
      <c r="Q40" s="49">
        <v>283.39999999999998</v>
      </c>
      <c r="R40" s="85"/>
      <c r="S40" s="71"/>
    </row>
    <row r="41" spans="2:19" ht="24.95" hidden="1" customHeight="1" x14ac:dyDescent="0.2">
      <c r="B41" s="41" t="s">
        <v>32</v>
      </c>
      <c r="C41" s="35">
        <v>166.7</v>
      </c>
      <c r="D41" s="31">
        <v>0.2</v>
      </c>
      <c r="E41" s="38">
        <v>2.1</v>
      </c>
      <c r="F41" s="38">
        <v>0.1</v>
      </c>
      <c r="G41" s="38">
        <v>5</v>
      </c>
      <c r="H41" s="69">
        <v>7.4</v>
      </c>
      <c r="I41" s="31">
        <v>6.2</v>
      </c>
      <c r="J41" s="38">
        <v>8.6</v>
      </c>
      <c r="K41" s="69">
        <v>14.8</v>
      </c>
      <c r="L41" s="38">
        <v>3.9</v>
      </c>
      <c r="M41" s="34"/>
      <c r="N41" s="69">
        <v>18.7</v>
      </c>
      <c r="O41" s="31">
        <v>41.8</v>
      </c>
      <c r="P41" s="32"/>
      <c r="Q41" s="49">
        <v>234.6</v>
      </c>
      <c r="R41" s="85"/>
      <c r="S41" s="71"/>
    </row>
    <row r="42" spans="2:19" ht="24.95" hidden="1" customHeight="1" x14ac:dyDescent="0.2">
      <c r="B42" s="41" t="s">
        <v>33</v>
      </c>
      <c r="C42" s="35">
        <v>171.5</v>
      </c>
      <c r="D42" s="31">
        <v>0</v>
      </c>
      <c r="E42" s="38">
        <v>0.4</v>
      </c>
      <c r="F42" s="38">
        <v>0.3</v>
      </c>
      <c r="G42" s="38">
        <v>5.5</v>
      </c>
      <c r="H42" s="69">
        <v>6.2</v>
      </c>
      <c r="I42" s="31">
        <v>7.3</v>
      </c>
      <c r="J42" s="38">
        <v>8.4</v>
      </c>
      <c r="K42" s="69">
        <v>15.7</v>
      </c>
      <c r="L42" s="38">
        <v>2.8</v>
      </c>
      <c r="M42" s="34"/>
      <c r="N42" s="69">
        <v>18.5</v>
      </c>
      <c r="O42" s="31">
        <v>109.5</v>
      </c>
      <c r="P42" s="32"/>
      <c r="Q42" s="49">
        <v>305.7</v>
      </c>
      <c r="R42" s="85"/>
      <c r="S42" s="71"/>
    </row>
    <row r="43" spans="2:19" ht="24.95" hidden="1" customHeight="1" x14ac:dyDescent="0.2">
      <c r="B43" s="41" t="s">
        <v>34</v>
      </c>
      <c r="C43" s="35">
        <v>187.5</v>
      </c>
      <c r="D43" s="31">
        <v>0.3</v>
      </c>
      <c r="E43" s="38">
        <v>0.9</v>
      </c>
      <c r="F43" s="38">
        <v>0.6</v>
      </c>
      <c r="G43" s="38">
        <v>4</v>
      </c>
      <c r="H43" s="69">
        <v>5.8</v>
      </c>
      <c r="I43" s="31">
        <v>2.1</v>
      </c>
      <c r="J43" s="38">
        <v>4.9000000000000004</v>
      </c>
      <c r="K43" s="69">
        <v>7</v>
      </c>
      <c r="L43" s="38">
        <v>6</v>
      </c>
      <c r="M43" s="34"/>
      <c r="N43" s="69">
        <v>13</v>
      </c>
      <c r="O43" s="31">
        <v>95</v>
      </c>
      <c r="P43" s="32"/>
      <c r="Q43" s="49">
        <v>301.3</v>
      </c>
      <c r="R43" s="85"/>
      <c r="S43" s="71"/>
    </row>
    <row r="44" spans="2:19" ht="24.95" hidden="1" customHeight="1" x14ac:dyDescent="0.2">
      <c r="B44" s="41" t="s">
        <v>35</v>
      </c>
      <c r="C44" s="35">
        <v>190.4</v>
      </c>
      <c r="D44" s="31">
        <v>0.2</v>
      </c>
      <c r="E44" s="38">
        <v>0.1</v>
      </c>
      <c r="F44" s="38">
        <v>0.2</v>
      </c>
      <c r="G44" s="38">
        <v>4</v>
      </c>
      <c r="H44" s="69">
        <v>4.5</v>
      </c>
      <c r="I44" s="31">
        <v>15.1</v>
      </c>
      <c r="J44" s="38">
        <v>11</v>
      </c>
      <c r="K44" s="69">
        <v>26.1</v>
      </c>
      <c r="L44" s="38">
        <v>2.5</v>
      </c>
      <c r="M44" s="34"/>
      <c r="N44" s="69">
        <v>28.6</v>
      </c>
      <c r="O44" s="31">
        <v>85</v>
      </c>
      <c r="P44" s="32"/>
      <c r="Q44" s="49">
        <v>308.5</v>
      </c>
      <c r="R44" s="85"/>
      <c r="S44" s="71"/>
    </row>
    <row r="45" spans="2:19" ht="24.95" hidden="1" customHeight="1" x14ac:dyDescent="0.2">
      <c r="B45" s="41" t="s">
        <v>36</v>
      </c>
      <c r="C45" s="35">
        <v>210.3</v>
      </c>
      <c r="D45" s="31">
        <v>0.6</v>
      </c>
      <c r="E45" s="38">
        <v>0.4</v>
      </c>
      <c r="F45" s="38">
        <v>1.2</v>
      </c>
      <c r="G45" s="38">
        <v>2.1</v>
      </c>
      <c r="H45" s="69">
        <v>4.3</v>
      </c>
      <c r="I45" s="31">
        <v>11.3</v>
      </c>
      <c r="J45" s="38">
        <v>8</v>
      </c>
      <c r="K45" s="69">
        <v>19.3</v>
      </c>
      <c r="L45" s="38">
        <v>2</v>
      </c>
      <c r="M45" s="34"/>
      <c r="N45" s="69">
        <v>21.3</v>
      </c>
      <c r="O45" s="31">
        <v>117.7</v>
      </c>
      <c r="P45" s="32"/>
      <c r="Q45" s="49">
        <v>353.6</v>
      </c>
      <c r="R45" s="85"/>
      <c r="S45" s="71"/>
    </row>
    <row r="46" spans="2:19" ht="24.95" hidden="1" customHeight="1" x14ac:dyDescent="0.2">
      <c r="B46" s="41" t="s">
        <v>37</v>
      </c>
      <c r="C46" s="35">
        <v>195.6</v>
      </c>
      <c r="D46" s="31">
        <v>0</v>
      </c>
      <c r="E46" s="38">
        <v>0.4</v>
      </c>
      <c r="F46" s="38">
        <v>0.1</v>
      </c>
      <c r="G46" s="38">
        <v>3.4</v>
      </c>
      <c r="H46" s="69">
        <v>3.9</v>
      </c>
      <c r="I46" s="31">
        <v>8</v>
      </c>
      <c r="J46" s="38">
        <v>10.8</v>
      </c>
      <c r="K46" s="69">
        <v>18.8</v>
      </c>
      <c r="L46" s="38">
        <v>3.2</v>
      </c>
      <c r="M46" s="34"/>
      <c r="N46" s="69">
        <v>22</v>
      </c>
      <c r="O46" s="31">
        <v>98.9</v>
      </c>
      <c r="P46" s="32"/>
      <c r="Q46" s="49">
        <v>320.39999999999998</v>
      </c>
      <c r="R46" s="85"/>
      <c r="S46" s="71"/>
    </row>
    <row r="47" spans="2:19" ht="24.95" hidden="1" customHeight="1" x14ac:dyDescent="0.2">
      <c r="B47" s="41" t="s">
        <v>38</v>
      </c>
      <c r="C47" s="35">
        <v>217</v>
      </c>
      <c r="D47" s="31">
        <v>0</v>
      </c>
      <c r="E47" s="38">
        <v>0.02</v>
      </c>
      <c r="F47" s="38">
        <v>0.5</v>
      </c>
      <c r="G47" s="38">
        <v>3.5</v>
      </c>
      <c r="H47" s="69">
        <v>4.0199999999999996</v>
      </c>
      <c r="I47" s="31">
        <v>7.02</v>
      </c>
      <c r="J47" s="38">
        <v>12.3</v>
      </c>
      <c r="K47" s="69">
        <v>19.32</v>
      </c>
      <c r="L47" s="38">
        <v>4.62</v>
      </c>
      <c r="M47" s="34"/>
      <c r="N47" s="69">
        <v>23.94</v>
      </c>
      <c r="O47" s="31">
        <v>114.6</v>
      </c>
      <c r="P47" s="32"/>
      <c r="Q47" s="49">
        <v>359.56</v>
      </c>
      <c r="R47" s="85"/>
      <c r="S47" s="71"/>
    </row>
    <row r="48" spans="2:19" ht="24.95" hidden="1" customHeight="1" x14ac:dyDescent="0.2">
      <c r="B48" s="42"/>
      <c r="C48" s="68"/>
      <c r="D48" s="32"/>
      <c r="E48" s="34"/>
      <c r="F48" s="34"/>
      <c r="G48" s="34"/>
      <c r="H48" s="68"/>
      <c r="I48" s="32"/>
      <c r="J48" s="34"/>
      <c r="K48" s="68"/>
      <c r="L48" s="34"/>
      <c r="M48" s="34"/>
      <c r="N48" s="68"/>
      <c r="O48" s="32"/>
      <c r="P48" s="32"/>
      <c r="Q48" s="34"/>
      <c r="R48" s="85"/>
      <c r="S48" s="71"/>
    </row>
    <row r="49" spans="1:20" ht="24.95" hidden="1" customHeight="1" x14ac:dyDescent="0.2">
      <c r="B49" s="42"/>
      <c r="C49" s="68"/>
      <c r="D49" s="32"/>
      <c r="E49" s="34"/>
      <c r="F49" s="34"/>
      <c r="G49" s="34"/>
      <c r="H49" s="68"/>
      <c r="I49" s="32"/>
      <c r="J49" s="34"/>
      <c r="K49" s="68"/>
      <c r="L49" s="34"/>
      <c r="M49" s="34"/>
      <c r="N49" s="68"/>
      <c r="O49" s="32"/>
      <c r="P49" s="32"/>
      <c r="Q49" s="34"/>
      <c r="R49" s="85"/>
      <c r="S49" s="71"/>
    </row>
    <row r="50" spans="1:20" ht="24.95" hidden="1" customHeight="1" x14ac:dyDescent="0.2">
      <c r="B50" s="44" t="s">
        <v>79</v>
      </c>
      <c r="C50" s="69">
        <f t="shared" ref="C50:L50" si="0">SUM(C51:C62)</f>
        <v>3644.9</v>
      </c>
      <c r="D50" s="33">
        <f t="shared" si="0"/>
        <v>1.7</v>
      </c>
      <c r="E50" s="49">
        <f t="shared" si="0"/>
        <v>1.4000000000000001</v>
      </c>
      <c r="F50" s="49">
        <f t="shared" si="0"/>
        <v>5.0999999999999996</v>
      </c>
      <c r="G50" s="49">
        <f t="shared" si="0"/>
        <v>50</v>
      </c>
      <c r="H50" s="69">
        <f t="shared" si="0"/>
        <v>58.2</v>
      </c>
      <c r="I50" s="33">
        <f t="shared" si="0"/>
        <v>154.1</v>
      </c>
      <c r="J50" s="49">
        <f t="shared" si="0"/>
        <v>153.18</v>
      </c>
      <c r="K50" s="69">
        <f t="shared" si="0"/>
        <v>307.2</v>
      </c>
      <c r="L50" s="49">
        <f t="shared" si="0"/>
        <v>29.479999999999997</v>
      </c>
      <c r="M50" s="34"/>
      <c r="N50" s="69">
        <f>SUM(N51:N62)</f>
        <v>336.67999999999995</v>
      </c>
      <c r="O50" s="33">
        <f>SUM(O51:O62)</f>
        <v>984.69999999999993</v>
      </c>
      <c r="P50" s="32"/>
      <c r="Q50" s="38">
        <f>O50+N50+H50+C50+0.6</f>
        <v>5025.08</v>
      </c>
      <c r="R50" s="85"/>
      <c r="S50" s="71"/>
    </row>
    <row r="51" spans="1:20" ht="24.95" hidden="1" customHeight="1" x14ac:dyDescent="0.2">
      <c r="B51" s="45" t="s">
        <v>50</v>
      </c>
      <c r="C51" s="35">
        <v>280.10000000000002</v>
      </c>
      <c r="D51" s="31">
        <v>0.3</v>
      </c>
      <c r="E51" s="38">
        <v>1</v>
      </c>
      <c r="F51" s="38">
        <v>0</v>
      </c>
      <c r="G51" s="38">
        <v>5</v>
      </c>
      <c r="H51" s="35">
        <v>6.3</v>
      </c>
      <c r="I51" s="31">
        <v>9.9</v>
      </c>
      <c r="J51" s="38">
        <v>12.04</v>
      </c>
      <c r="K51" s="35">
        <v>21.9</v>
      </c>
      <c r="L51" s="38">
        <v>2.74</v>
      </c>
      <c r="M51" s="34"/>
      <c r="N51" s="35">
        <f>L51+K51</f>
        <v>24.64</v>
      </c>
      <c r="O51" s="31">
        <v>119</v>
      </c>
      <c r="P51" s="32"/>
      <c r="Q51" s="38">
        <f t="shared" ref="Q51:Q62" si="1">O51+N51+H51+C51</f>
        <v>430.04</v>
      </c>
      <c r="R51" s="85"/>
      <c r="S51" s="71"/>
    </row>
    <row r="52" spans="1:20" ht="24.95" hidden="1" customHeight="1" x14ac:dyDescent="0.2">
      <c r="B52" s="45" t="s">
        <v>51</v>
      </c>
      <c r="C52" s="35">
        <v>256.5</v>
      </c>
      <c r="D52" s="31">
        <v>0</v>
      </c>
      <c r="E52" s="38">
        <v>0.1</v>
      </c>
      <c r="F52" s="38">
        <v>0</v>
      </c>
      <c r="G52" s="38">
        <v>4.3</v>
      </c>
      <c r="H52" s="35">
        <v>4.4000000000000004</v>
      </c>
      <c r="I52" s="31">
        <v>12</v>
      </c>
      <c r="J52" s="38">
        <v>7.64</v>
      </c>
      <c r="K52" s="35">
        <v>19.600000000000001</v>
      </c>
      <c r="L52" s="38">
        <v>1.84</v>
      </c>
      <c r="M52" s="34"/>
      <c r="N52" s="35">
        <f>L52+K52</f>
        <v>21.44</v>
      </c>
      <c r="O52" s="31">
        <f>83.3+0.2</f>
        <v>83.5</v>
      </c>
      <c r="P52" s="32"/>
      <c r="Q52" s="38">
        <f t="shared" si="1"/>
        <v>365.84000000000003</v>
      </c>
      <c r="R52" s="85"/>
      <c r="S52" s="71"/>
      <c r="T52" s="6" t="s">
        <v>39</v>
      </c>
    </row>
    <row r="53" spans="1:20" ht="24.95" hidden="1" customHeight="1" x14ac:dyDescent="0.2">
      <c r="B53" s="45" t="s">
        <v>52</v>
      </c>
      <c r="C53" s="35">
        <v>254.1</v>
      </c>
      <c r="D53" s="31">
        <v>0</v>
      </c>
      <c r="E53" s="38">
        <v>0.2</v>
      </c>
      <c r="F53" s="38">
        <v>1.6</v>
      </c>
      <c r="G53" s="38">
        <v>5.6</v>
      </c>
      <c r="H53" s="35">
        <f t="shared" ref="H53:H62" si="2">D53+E53+F53+G53</f>
        <v>7.3999999999999995</v>
      </c>
      <c r="I53" s="31">
        <v>17.100000000000001</v>
      </c>
      <c r="J53" s="38">
        <v>27.7</v>
      </c>
      <c r="K53" s="35">
        <v>44.8</v>
      </c>
      <c r="L53" s="38">
        <v>3.44</v>
      </c>
      <c r="M53" s="34"/>
      <c r="N53" s="35">
        <f>L53+K53</f>
        <v>48.239999999999995</v>
      </c>
      <c r="O53" s="31">
        <v>109.7</v>
      </c>
      <c r="P53" s="32"/>
      <c r="Q53" s="38">
        <f t="shared" si="1"/>
        <v>419.44</v>
      </c>
      <c r="R53" s="85"/>
      <c r="S53" s="71"/>
    </row>
    <row r="54" spans="1:20" ht="24.95" hidden="1" customHeight="1" x14ac:dyDescent="0.2">
      <c r="B54" s="45" t="s">
        <v>53</v>
      </c>
      <c r="C54" s="35">
        <v>295.10000000000002</v>
      </c>
      <c r="D54" s="31">
        <v>0.3</v>
      </c>
      <c r="E54" s="34"/>
      <c r="F54" s="34"/>
      <c r="G54" s="38">
        <v>3.7</v>
      </c>
      <c r="H54" s="35">
        <f t="shared" si="2"/>
        <v>4</v>
      </c>
      <c r="I54" s="31">
        <v>12.5</v>
      </c>
      <c r="J54" s="38">
        <v>7.7</v>
      </c>
      <c r="K54" s="35">
        <f t="shared" ref="K54:K62" si="3">I54+J54</f>
        <v>20.2</v>
      </c>
      <c r="L54" s="38">
        <v>2.74</v>
      </c>
      <c r="M54" s="34"/>
      <c r="N54" s="35">
        <f t="shared" ref="N54:N62" si="4">L54+K54</f>
        <v>22.939999999999998</v>
      </c>
      <c r="O54" s="31">
        <f>61.9+0.5+18.6+15.1+3.1</f>
        <v>99.199999999999989</v>
      </c>
      <c r="P54" s="32"/>
      <c r="Q54" s="38">
        <f t="shared" si="1"/>
        <v>421.24</v>
      </c>
      <c r="R54" s="85"/>
      <c r="S54" s="71"/>
    </row>
    <row r="55" spans="1:20" ht="24.95" hidden="1" customHeight="1" x14ac:dyDescent="0.2">
      <c r="B55" s="45" t="s">
        <v>54</v>
      </c>
      <c r="C55" s="35">
        <v>299.10000000000002</v>
      </c>
      <c r="D55" s="31">
        <v>0.3</v>
      </c>
      <c r="E55" s="34"/>
      <c r="F55" s="34"/>
      <c r="G55" s="38">
        <v>2.4</v>
      </c>
      <c r="H55" s="35">
        <f t="shared" si="2"/>
        <v>2.6999999999999997</v>
      </c>
      <c r="I55" s="31">
        <v>11.7</v>
      </c>
      <c r="J55" s="38">
        <v>9.6</v>
      </c>
      <c r="K55" s="35">
        <f t="shared" si="3"/>
        <v>21.299999999999997</v>
      </c>
      <c r="L55" s="38">
        <v>2.64</v>
      </c>
      <c r="M55" s="34"/>
      <c r="N55" s="35">
        <f t="shared" si="4"/>
        <v>23.939999999999998</v>
      </c>
      <c r="O55" s="31">
        <f>20.1+0.5+15.1+2.5+0.1</f>
        <v>38.300000000000004</v>
      </c>
      <c r="P55" s="32"/>
      <c r="Q55" s="38">
        <f t="shared" si="1"/>
        <v>364.04</v>
      </c>
      <c r="R55" s="85"/>
      <c r="S55" s="71"/>
      <c r="T55" s="6" t="s">
        <v>39</v>
      </c>
    </row>
    <row r="56" spans="1:20" ht="24.95" hidden="1" customHeight="1" x14ac:dyDescent="0.2">
      <c r="B56" s="45" t="s">
        <v>55</v>
      </c>
      <c r="C56" s="35">
        <v>294.10000000000002</v>
      </c>
      <c r="D56" s="31">
        <v>0.3</v>
      </c>
      <c r="E56" s="38">
        <v>0.1</v>
      </c>
      <c r="F56" s="34"/>
      <c r="G56" s="38">
        <v>5.2</v>
      </c>
      <c r="H56" s="35">
        <f t="shared" si="2"/>
        <v>5.6000000000000005</v>
      </c>
      <c r="I56" s="31">
        <v>21.6</v>
      </c>
      <c r="J56" s="38">
        <v>14.7</v>
      </c>
      <c r="K56" s="35">
        <f t="shared" si="3"/>
        <v>36.299999999999997</v>
      </c>
      <c r="L56" s="38">
        <v>1.94</v>
      </c>
      <c r="M56" s="34"/>
      <c r="N56" s="35">
        <f t="shared" si="4"/>
        <v>38.239999999999995</v>
      </c>
      <c r="O56" s="31">
        <f>49.4+9+10+2+3.9+0.2</f>
        <v>74.500000000000014</v>
      </c>
      <c r="P56" s="32"/>
      <c r="Q56" s="38">
        <f t="shared" si="1"/>
        <v>412.44000000000005</v>
      </c>
      <c r="R56" s="85"/>
      <c r="S56" s="71"/>
      <c r="T56" s="6" t="s">
        <v>39</v>
      </c>
    </row>
    <row r="57" spans="1:20" ht="24.95" hidden="1" customHeight="1" x14ac:dyDescent="0.2">
      <c r="A57" s="6" t="s">
        <v>40</v>
      </c>
      <c r="B57" s="45" t="s">
        <v>56</v>
      </c>
      <c r="C57" s="35">
        <v>287.10000000000002</v>
      </c>
      <c r="D57" s="31">
        <v>0.2</v>
      </c>
      <c r="E57" s="38">
        <v>0</v>
      </c>
      <c r="F57" s="38">
        <v>0.3</v>
      </c>
      <c r="G57" s="38">
        <v>3.3</v>
      </c>
      <c r="H57" s="35">
        <f t="shared" si="2"/>
        <v>3.8</v>
      </c>
      <c r="I57" s="31">
        <v>7.7</v>
      </c>
      <c r="J57" s="38">
        <v>4.5999999999999996</v>
      </c>
      <c r="K57" s="35">
        <f t="shared" si="3"/>
        <v>12.3</v>
      </c>
      <c r="L57" s="38">
        <f>4.84</f>
        <v>4.84</v>
      </c>
      <c r="M57" s="34"/>
      <c r="N57" s="35">
        <f t="shared" si="4"/>
        <v>17.14</v>
      </c>
      <c r="O57" s="31">
        <f>83.6+0.1+13.4+7.2+0.3+2.8</f>
        <v>107.39999999999999</v>
      </c>
      <c r="P57" s="32"/>
      <c r="Q57" s="38">
        <f t="shared" si="1"/>
        <v>415.44000000000005</v>
      </c>
      <c r="R57" s="85"/>
      <c r="S57" s="71"/>
    </row>
    <row r="58" spans="1:20" ht="24.95" hidden="1" customHeight="1" x14ac:dyDescent="0.2">
      <c r="B58" s="45" t="s">
        <v>57</v>
      </c>
      <c r="C58" s="35">
        <v>324.7</v>
      </c>
      <c r="D58" s="31">
        <v>0</v>
      </c>
      <c r="E58" s="38">
        <v>0</v>
      </c>
      <c r="F58" s="38">
        <v>0</v>
      </c>
      <c r="G58" s="38">
        <v>5.0999999999999996</v>
      </c>
      <c r="H58" s="35">
        <f t="shared" si="2"/>
        <v>5.0999999999999996</v>
      </c>
      <c r="I58" s="31">
        <v>13.2</v>
      </c>
      <c r="J58" s="38">
        <v>8.1</v>
      </c>
      <c r="K58" s="35">
        <f t="shared" si="3"/>
        <v>21.299999999999997</v>
      </c>
      <c r="L58" s="38">
        <v>1.84</v>
      </c>
      <c r="M58" s="34"/>
      <c r="N58" s="35">
        <f t="shared" si="4"/>
        <v>23.139999999999997</v>
      </c>
      <c r="O58" s="31">
        <f>52.9+1+4.4+5.9+3.2</f>
        <v>67.400000000000006</v>
      </c>
      <c r="P58" s="32"/>
      <c r="Q58" s="38">
        <f t="shared" si="1"/>
        <v>420.34</v>
      </c>
      <c r="R58" s="85"/>
      <c r="S58" s="71"/>
    </row>
    <row r="59" spans="1:20" ht="24.95" hidden="1" customHeight="1" x14ac:dyDescent="0.2">
      <c r="B59" s="45" t="s">
        <v>58</v>
      </c>
      <c r="C59" s="35">
        <v>289.3</v>
      </c>
      <c r="D59" s="31">
        <v>0</v>
      </c>
      <c r="E59" s="38">
        <v>0</v>
      </c>
      <c r="F59" s="38">
        <v>0.2</v>
      </c>
      <c r="G59" s="38">
        <v>4.5</v>
      </c>
      <c r="H59" s="35">
        <f t="shared" si="2"/>
        <v>4.7</v>
      </c>
      <c r="I59" s="31">
        <v>25.1</v>
      </c>
      <c r="J59" s="38">
        <v>18.2</v>
      </c>
      <c r="K59" s="35">
        <f t="shared" si="3"/>
        <v>43.3</v>
      </c>
      <c r="L59" s="38">
        <v>2.04</v>
      </c>
      <c r="M59" s="34"/>
      <c r="N59" s="35">
        <f t="shared" si="4"/>
        <v>45.339999999999996</v>
      </c>
      <c r="O59" s="31">
        <f>50.6+14+8.1+3.2</f>
        <v>75.899999999999991</v>
      </c>
      <c r="P59" s="32"/>
      <c r="Q59" s="38">
        <f t="shared" si="1"/>
        <v>415.24</v>
      </c>
      <c r="R59" s="85"/>
      <c r="S59" s="71"/>
    </row>
    <row r="60" spans="1:20" ht="24.95" hidden="1" customHeight="1" x14ac:dyDescent="0.2">
      <c r="B60" s="45" t="s">
        <v>59</v>
      </c>
      <c r="C60" s="35">
        <v>366.8</v>
      </c>
      <c r="D60" s="31">
        <v>0</v>
      </c>
      <c r="E60" s="38">
        <v>0</v>
      </c>
      <c r="F60" s="38">
        <v>0.6</v>
      </c>
      <c r="G60" s="38">
        <v>5.4</v>
      </c>
      <c r="H60" s="35">
        <f t="shared" si="2"/>
        <v>6</v>
      </c>
      <c r="I60" s="31">
        <v>9.1</v>
      </c>
      <c r="J60" s="38">
        <v>7.5</v>
      </c>
      <c r="K60" s="35">
        <f t="shared" si="3"/>
        <v>16.600000000000001</v>
      </c>
      <c r="L60" s="38">
        <v>2.2400000000000002</v>
      </c>
      <c r="M60" s="34"/>
      <c r="N60" s="35">
        <f t="shared" si="4"/>
        <v>18.840000000000003</v>
      </c>
      <c r="O60" s="31">
        <f>46.4+9.2+1.3+3.2</f>
        <v>60.099999999999994</v>
      </c>
      <c r="P60" s="32"/>
      <c r="Q60" s="38">
        <f t="shared" si="1"/>
        <v>451.74</v>
      </c>
      <c r="R60" s="85"/>
      <c r="S60" s="71"/>
    </row>
    <row r="61" spans="1:20" ht="24.95" hidden="1" customHeight="1" x14ac:dyDescent="0.2">
      <c r="B61" s="45" t="s">
        <v>60</v>
      </c>
      <c r="C61" s="35">
        <v>314.5</v>
      </c>
      <c r="D61" s="31">
        <v>0</v>
      </c>
      <c r="E61" s="38">
        <v>0</v>
      </c>
      <c r="F61" s="38">
        <v>1.4</v>
      </c>
      <c r="G61" s="38">
        <v>2.2999999999999998</v>
      </c>
      <c r="H61" s="35">
        <f t="shared" si="2"/>
        <v>3.6999999999999997</v>
      </c>
      <c r="I61" s="31">
        <v>10.6</v>
      </c>
      <c r="J61" s="38">
        <v>11.1</v>
      </c>
      <c r="K61" s="35">
        <f t="shared" si="3"/>
        <v>21.7</v>
      </c>
      <c r="L61" s="38">
        <f>1.64</f>
        <v>1.64</v>
      </c>
      <c r="M61" s="34"/>
      <c r="N61" s="35">
        <f t="shared" si="4"/>
        <v>23.34</v>
      </c>
      <c r="O61" s="31">
        <f>29.3+10.3+3.2</f>
        <v>42.800000000000004</v>
      </c>
      <c r="P61" s="32"/>
      <c r="Q61" s="38">
        <f t="shared" si="1"/>
        <v>384.34000000000003</v>
      </c>
      <c r="R61" s="85"/>
      <c r="S61" s="71"/>
    </row>
    <row r="62" spans="1:20" ht="24.95" hidden="1" customHeight="1" x14ac:dyDescent="0.2">
      <c r="B62" s="48" t="s">
        <v>63</v>
      </c>
      <c r="C62" s="35">
        <v>383.5</v>
      </c>
      <c r="D62" s="31">
        <v>0.3</v>
      </c>
      <c r="E62" s="38">
        <v>0</v>
      </c>
      <c r="F62" s="38">
        <v>1</v>
      </c>
      <c r="G62" s="38">
        <v>3.2</v>
      </c>
      <c r="H62" s="35">
        <f t="shared" si="2"/>
        <v>4.5</v>
      </c>
      <c r="I62" s="31">
        <v>3.6</v>
      </c>
      <c r="J62" s="38">
        <v>24.3</v>
      </c>
      <c r="K62" s="35">
        <f t="shared" si="3"/>
        <v>27.900000000000002</v>
      </c>
      <c r="L62" s="38">
        <v>1.54</v>
      </c>
      <c r="M62" s="34"/>
      <c r="N62" s="35">
        <f t="shared" si="4"/>
        <v>29.44</v>
      </c>
      <c r="O62" s="31">
        <f>76.2+14.8+8.9+7</f>
        <v>106.9</v>
      </c>
      <c r="P62" s="32"/>
      <c r="Q62" s="38">
        <f t="shared" si="1"/>
        <v>524.34</v>
      </c>
      <c r="R62" s="85"/>
      <c r="S62" s="71"/>
    </row>
    <row r="63" spans="1:20" ht="16.5" hidden="1" customHeight="1" x14ac:dyDescent="0.2">
      <c r="B63" s="30"/>
      <c r="C63" s="35"/>
      <c r="D63" s="31"/>
      <c r="E63" s="38"/>
      <c r="F63" s="38"/>
      <c r="G63" s="38"/>
      <c r="H63" s="35"/>
      <c r="I63" s="31"/>
      <c r="J63" s="38"/>
      <c r="K63" s="35"/>
      <c r="L63" s="38"/>
      <c r="M63" s="34"/>
      <c r="N63" s="35"/>
      <c r="O63" s="31"/>
      <c r="P63" s="32"/>
      <c r="Q63" s="38"/>
      <c r="R63" s="85"/>
      <c r="S63" s="71"/>
    </row>
    <row r="64" spans="1:20" ht="24.95" hidden="1" customHeight="1" x14ac:dyDescent="0.2">
      <c r="B64" s="44" t="s">
        <v>72</v>
      </c>
      <c r="C64" s="35">
        <f>SUM(C65:C76)</f>
        <v>2514.1999999999998</v>
      </c>
      <c r="D64" s="31">
        <f t="shared" ref="D64:P64" si="5">SUM(D65:D76)</f>
        <v>0.2</v>
      </c>
      <c r="E64" s="34">
        <f t="shared" si="5"/>
        <v>0.04</v>
      </c>
      <c r="F64" s="38">
        <f t="shared" si="5"/>
        <v>2.6800000000000006</v>
      </c>
      <c r="G64" s="38">
        <f t="shared" si="5"/>
        <v>47.810000000000009</v>
      </c>
      <c r="H64" s="35">
        <f t="shared" si="5"/>
        <v>50.72999999999999</v>
      </c>
      <c r="I64" s="31">
        <f t="shared" si="5"/>
        <v>216.12</v>
      </c>
      <c r="J64" s="38">
        <f t="shared" si="5"/>
        <v>129.16999999999999</v>
      </c>
      <c r="K64" s="35">
        <f t="shared" si="5"/>
        <v>345.28999999999996</v>
      </c>
      <c r="L64" s="38">
        <f t="shared" si="5"/>
        <v>31.58</v>
      </c>
      <c r="M64" s="34">
        <f t="shared" si="5"/>
        <v>0</v>
      </c>
      <c r="N64" s="35">
        <f t="shared" si="5"/>
        <v>376.87</v>
      </c>
      <c r="O64" s="31">
        <f t="shared" si="5"/>
        <v>518.06000000000006</v>
      </c>
      <c r="P64" s="32">
        <f t="shared" si="5"/>
        <v>0</v>
      </c>
      <c r="Q64" s="38">
        <f>SUM(Q65:Q76)+0.1</f>
        <v>3459.72</v>
      </c>
      <c r="R64" s="85">
        <f>SUM(R65:R83)</f>
        <v>0</v>
      </c>
      <c r="S64" s="71"/>
    </row>
    <row r="65" spans="2:19" ht="24.95" hidden="1" customHeight="1" x14ac:dyDescent="0.2">
      <c r="B65" s="45" t="s">
        <v>50</v>
      </c>
      <c r="C65" s="35">
        <v>360.8</v>
      </c>
      <c r="D65" s="31">
        <v>0</v>
      </c>
      <c r="E65" s="34"/>
      <c r="F65" s="38">
        <v>0.2</v>
      </c>
      <c r="G65" s="38">
        <v>3.24</v>
      </c>
      <c r="H65" s="35">
        <f t="shared" ref="H65:H75" si="6">D65+E65+F65+G65</f>
        <v>3.4400000000000004</v>
      </c>
      <c r="I65" s="31">
        <f>37.8+3</f>
        <v>40.799999999999997</v>
      </c>
      <c r="J65" s="38">
        <v>18.8</v>
      </c>
      <c r="K65" s="35">
        <f t="shared" ref="K65:K75" si="7">I65+J65</f>
        <v>59.599999999999994</v>
      </c>
      <c r="L65" s="38">
        <v>2</v>
      </c>
      <c r="M65" s="34"/>
      <c r="N65" s="35">
        <f t="shared" ref="N65:N75" si="8">L65+K65</f>
        <v>61.599999999999994</v>
      </c>
      <c r="O65" s="31">
        <f>3+66.2+5.1</f>
        <v>74.3</v>
      </c>
      <c r="P65" s="32"/>
      <c r="Q65" s="38">
        <f>O65+N65+H65+C65</f>
        <v>500.14</v>
      </c>
      <c r="R65" s="85"/>
      <c r="S65" s="71"/>
    </row>
    <row r="66" spans="2:19" ht="24.95" hidden="1" customHeight="1" x14ac:dyDescent="0.2">
      <c r="B66" s="45" t="s">
        <v>51</v>
      </c>
      <c r="C66" s="35">
        <v>366.05</v>
      </c>
      <c r="D66" s="32"/>
      <c r="E66" s="34"/>
      <c r="F66" s="38">
        <v>1.5</v>
      </c>
      <c r="G66" s="38">
        <v>2.15</v>
      </c>
      <c r="H66" s="35">
        <f t="shared" si="6"/>
        <v>3.65</v>
      </c>
      <c r="I66" s="31">
        <f>7.5+3.1</f>
        <v>10.6</v>
      </c>
      <c r="J66" s="38">
        <v>6.05</v>
      </c>
      <c r="K66" s="35">
        <f t="shared" si="7"/>
        <v>16.649999999999999</v>
      </c>
      <c r="L66" s="38">
        <v>2.1</v>
      </c>
      <c r="M66" s="34"/>
      <c r="N66" s="35">
        <f t="shared" si="8"/>
        <v>18.75</v>
      </c>
      <c r="O66" s="31">
        <f>25.6+2.6+2.5</f>
        <v>30.700000000000003</v>
      </c>
      <c r="P66" s="32"/>
      <c r="Q66" s="38">
        <f>O66+N66+H66+C66-0.04</f>
        <v>419.11</v>
      </c>
      <c r="R66" s="85"/>
      <c r="S66" s="71"/>
    </row>
    <row r="67" spans="2:19" ht="24.95" hidden="1" customHeight="1" x14ac:dyDescent="0.2">
      <c r="B67" s="45" t="s">
        <v>52</v>
      </c>
      <c r="C67" s="35">
        <v>438.9</v>
      </c>
      <c r="D67" s="31">
        <v>0</v>
      </c>
      <c r="E67" s="38">
        <v>0</v>
      </c>
      <c r="F67" s="38">
        <v>0.4</v>
      </c>
      <c r="G67" s="38">
        <v>5.5</v>
      </c>
      <c r="H67" s="35">
        <f t="shared" si="6"/>
        <v>5.9</v>
      </c>
      <c r="I67" s="31">
        <f>26.7+4.9</f>
        <v>31.6</v>
      </c>
      <c r="J67" s="38">
        <v>17</v>
      </c>
      <c r="K67" s="35">
        <f t="shared" si="7"/>
        <v>48.6</v>
      </c>
      <c r="L67" s="38">
        <v>1.9</v>
      </c>
      <c r="M67" s="34"/>
      <c r="N67" s="35">
        <f t="shared" si="8"/>
        <v>50.5</v>
      </c>
      <c r="O67" s="31">
        <f>47.8+2.85-0.04</f>
        <v>50.61</v>
      </c>
      <c r="P67" s="32"/>
      <c r="Q67" s="38">
        <f>O67+N67+H67+C67-0.04</f>
        <v>545.87</v>
      </c>
      <c r="R67" s="85"/>
      <c r="S67" s="71"/>
    </row>
    <row r="68" spans="2:19" ht="24.95" hidden="1" customHeight="1" x14ac:dyDescent="0.2">
      <c r="B68" s="45" t="s">
        <v>53</v>
      </c>
      <c r="C68" s="35">
        <f>277.1</f>
        <v>277.10000000000002</v>
      </c>
      <c r="D68" s="32">
        <v>0.2</v>
      </c>
      <c r="E68" s="36"/>
      <c r="F68" s="36"/>
      <c r="G68" s="37">
        <v>4.6399999999999997</v>
      </c>
      <c r="H68" s="35">
        <f t="shared" si="6"/>
        <v>4.84</v>
      </c>
      <c r="I68" s="31">
        <f>11.7+3</f>
        <v>14.7</v>
      </c>
      <c r="J68" s="37">
        <v>6.3</v>
      </c>
      <c r="K68" s="35">
        <f t="shared" si="7"/>
        <v>21</v>
      </c>
      <c r="L68" s="38">
        <v>2.7</v>
      </c>
      <c r="M68" s="36"/>
      <c r="N68" s="35">
        <f t="shared" si="8"/>
        <v>23.7</v>
      </c>
      <c r="O68" s="31">
        <f>36.1+13.7+7.3-0.04</f>
        <v>57.059999999999995</v>
      </c>
      <c r="P68" s="32"/>
      <c r="Q68" s="38">
        <f>O68+N68+H68+C68-0.04</f>
        <v>362.66</v>
      </c>
      <c r="R68" s="85"/>
      <c r="S68" s="71"/>
    </row>
    <row r="69" spans="2:19" ht="24.95" hidden="1" customHeight="1" x14ac:dyDescent="0.2">
      <c r="B69" s="45" t="s">
        <v>54</v>
      </c>
      <c r="C69" s="35">
        <v>279.75</v>
      </c>
      <c r="D69" s="32"/>
      <c r="E69" s="36"/>
      <c r="F69" s="37">
        <v>0.1</v>
      </c>
      <c r="G69" s="37">
        <v>3.3</v>
      </c>
      <c r="H69" s="35">
        <f t="shared" si="6"/>
        <v>3.4</v>
      </c>
      <c r="I69" s="31">
        <v>13.14</v>
      </c>
      <c r="J69" s="37">
        <v>9.4600000000000009</v>
      </c>
      <c r="K69" s="35">
        <f t="shared" si="7"/>
        <v>22.6</v>
      </c>
      <c r="L69" s="38">
        <v>1.9</v>
      </c>
      <c r="M69" s="36"/>
      <c r="N69" s="35">
        <f t="shared" si="8"/>
        <v>24.5</v>
      </c>
      <c r="O69" s="31">
        <f>7.8+4.1-0.04</f>
        <v>11.86</v>
      </c>
      <c r="P69" s="32"/>
      <c r="Q69" s="38">
        <f>O69+N69+H69+C69-0.04</f>
        <v>319.46999999999997</v>
      </c>
      <c r="R69" s="85"/>
      <c r="S69" s="71"/>
    </row>
    <row r="70" spans="2:19" ht="24.95" hidden="1" customHeight="1" x14ac:dyDescent="0.2">
      <c r="B70" s="45" t="s">
        <v>55</v>
      </c>
      <c r="C70" s="35">
        <f>94.9</f>
        <v>94.9</v>
      </c>
      <c r="D70" s="34"/>
      <c r="E70" s="36"/>
      <c r="F70" s="36"/>
      <c r="G70" s="37">
        <v>3.3</v>
      </c>
      <c r="H70" s="35">
        <f t="shared" si="6"/>
        <v>3.3</v>
      </c>
      <c r="I70" s="31">
        <f>11.5+5.5</f>
        <v>17</v>
      </c>
      <c r="J70" s="37">
        <v>8.8000000000000007</v>
      </c>
      <c r="K70" s="35">
        <f t="shared" si="7"/>
        <v>25.8</v>
      </c>
      <c r="L70" s="38">
        <v>2.36</v>
      </c>
      <c r="M70" s="36"/>
      <c r="N70" s="35">
        <f t="shared" si="8"/>
        <v>28.16</v>
      </c>
      <c r="O70" s="31">
        <f>27.9+8.4+11.8-0.04</f>
        <v>48.059999999999995</v>
      </c>
      <c r="P70" s="32"/>
      <c r="Q70" s="38">
        <f>O70+N70+H70+C70</f>
        <v>174.42000000000002</v>
      </c>
      <c r="R70" s="85"/>
      <c r="S70" s="71"/>
    </row>
    <row r="71" spans="2:19" ht="24.95" hidden="1" customHeight="1" x14ac:dyDescent="0.2">
      <c r="B71" s="45" t="s">
        <v>56</v>
      </c>
      <c r="C71" s="35">
        <f>182.6</f>
        <v>182.6</v>
      </c>
      <c r="D71" s="34"/>
      <c r="E71" s="36"/>
      <c r="F71" s="36"/>
      <c r="G71" s="37">
        <v>6.04</v>
      </c>
      <c r="H71" s="35">
        <f t="shared" si="6"/>
        <v>6.04</v>
      </c>
      <c r="I71" s="31">
        <v>8.84</v>
      </c>
      <c r="J71" s="37">
        <v>12.14</v>
      </c>
      <c r="K71" s="35">
        <f t="shared" si="7"/>
        <v>20.98</v>
      </c>
      <c r="L71" s="38">
        <f>4.84</f>
        <v>4.84</v>
      </c>
      <c r="M71" s="36"/>
      <c r="N71" s="35">
        <f t="shared" si="8"/>
        <v>25.82</v>
      </c>
      <c r="O71" s="35">
        <f>10+7.9+1.2-0.04</f>
        <v>19.059999999999999</v>
      </c>
      <c r="P71" s="34"/>
      <c r="Q71" s="38">
        <f>O71+N71+H71+C71-0.04</f>
        <v>233.48</v>
      </c>
      <c r="R71" s="85"/>
      <c r="S71" s="71"/>
    </row>
    <row r="72" spans="2:19" ht="24.95" hidden="1" customHeight="1" x14ac:dyDescent="0.2">
      <c r="B72" s="45" t="s">
        <v>57</v>
      </c>
      <c r="C72" s="35">
        <v>82.3</v>
      </c>
      <c r="D72" s="34"/>
      <c r="E72" s="36">
        <v>0.04</v>
      </c>
      <c r="F72" s="36">
        <v>0.04</v>
      </c>
      <c r="G72" s="37">
        <v>3.3</v>
      </c>
      <c r="H72" s="35">
        <f t="shared" si="6"/>
        <v>3.38</v>
      </c>
      <c r="I72" s="31">
        <f>5.9+3</f>
        <v>8.9</v>
      </c>
      <c r="J72" s="37">
        <v>6.3</v>
      </c>
      <c r="K72" s="35">
        <f t="shared" si="7"/>
        <v>15.2</v>
      </c>
      <c r="L72" s="38">
        <v>2.64</v>
      </c>
      <c r="M72" s="36"/>
      <c r="N72" s="35">
        <f t="shared" si="8"/>
        <v>17.84</v>
      </c>
      <c r="O72" s="35">
        <f>14+3-0.04</f>
        <v>16.96</v>
      </c>
      <c r="P72" s="34"/>
      <c r="Q72" s="38">
        <f>O72+N72+H72+C72</f>
        <v>120.47999999999999</v>
      </c>
      <c r="R72" s="85"/>
      <c r="S72" s="71"/>
    </row>
    <row r="73" spans="2:19" ht="24.95" hidden="1" customHeight="1" x14ac:dyDescent="0.2">
      <c r="B73" s="45" t="s">
        <v>58</v>
      </c>
      <c r="C73" s="35">
        <v>126.5</v>
      </c>
      <c r="D73" s="34"/>
      <c r="E73" s="36"/>
      <c r="F73" s="36">
        <v>0.04</v>
      </c>
      <c r="G73" s="37">
        <v>4.9000000000000004</v>
      </c>
      <c r="H73" s="35">
        <f t="shared" si="6"/>
        <v>4.9400000000000004</v>
      </c>
      <c r="I73" s="31">
        <f>29.9</f>
        <v>29.9</v>
      </c>
      <c r="J73" s="37">
        <v>17.3</v>
      </c>
      <c r="K73" s="35">
        <f t="shared" si="7"/>
        <v>47.2</v>
      </c>
      <c r="L73" s="38">
        <v>2.82</v>
      </c>
      <c r="M73" s="36"/>
      <c r="N73" s="35">
        <f t="shared" si="8"/>
        <v>50.02</v>
      </c>
      <c r="O73" s="35">
        <f>24.2+0.1+17.3+5.4-3.4</f>
        <v>43.6</v>
      </c>
      <c r="P73" s="34"/>
      <c r="Q73" s="38">
        <f>O73+N73+H73+C73</f>
        <v>225.06</v>
      </c>
      <c r="R73" s="85"/>
      <c r="S73" s="71"/>
    </row>
    <row r="74" spans="2:19" ht="24.95" hidden="1" customHeight="1" x14ac:dyDescent="0.2">
      <c r="B74" s="45" t="s">
        <v>59</v>
      </c>
      <c r="C74" s="35">
        <v>119.6</v>
      </c>
      <c r="D74" s="34"/>
      <c r="E74" s="36"/>
      <c r="F74" s="36"/>
      <c r="G74" s="50">
        <v>4.74</v>
      </c>
      <c r="H74" s="35">
        <f t="shared" si="6"/>
        <v>4.74</v>
      </c>
      <c r="I74" s="31">
        <f>11.6+3.24</f>
        <v>14.84</v>
      </c>
      <c r="J74" s="37">
        <v>5.84</v>
      </c>
      <c r="K74" s="35">
        <f t="shared" si="7"/>
        <v>20.68</v>
      </c>
      <c r="L74" s="38">
        <v>2.2400000000000002</v>
      </c>
      <c r="M74" s="36"/>
      <c r="N74" s="35">
        <f t="shared" si="8"/>
        <v>22.92</v>
      </c>
      <c r="O74" s="35">
        <f>49.3+19.6+1.34</f>
        <v>70.240000000000009</v>
      </c>
      <c r="P74" s="34"/>
      <c r="Q74" s="38">
        <f>O74+N74+H74+C74-0.04</f>
        <v>217.46</v>
      </c>
      <c r="R74" s="85"/>
      <c r="S74" s="71"/>
    </row>
    <row r="75" spans="2:19" ht="24.95" hidden="1" customHeight="1" x14ac:dyDescent="0.2">
      <c r="B75" s="45" t="s">
        <v>60</v>
      </c>
      <c r="C75" s="35">
        <v>96.1</v>
      </c>
      <c r="D75" s="34"/>
      <c r="E75" s="36"/>
      <c r="F75" s="36">
        <v>0.2</v>
      </c>
      <c r="G75" s="37">
        <v>3.6</v>
      </c>
      <c r="H75" s="35">
        <f t="shared" si="6"/>
        <v>3.8000000000000003</v>
      </c>
      <c r="I75" s="31">
        <v>9.6999999999999993</v>
      </c>
      <c r="J75" s="37">
        <v>10.44</v>
      </c>
      <c r="K75" s="35">
        <f t="shared" si="7"/>
        <v>20.14</v>
      </c>
      <c r="L75" s="38">
        <v>2.04</v>
      </c>
      <c r="M75" s="36"/>
      <c r="N75" s="35">
        <f t="shared" si="8"/>
        <v>22.18</v>
      </c>
      <c r="O75" s="35">
        <f>12.4+10.25-0.04</f>
        <v>22.61</v>
      </c>
      <c r="P75" s="34"/>
      <c r="Q75" s="38">
        <f>O75+N75+H75+C75</f>
        <v>144.69</v>
      </c>
      <c r="R75" s="85"/>
      <c r="S75" s="71"/>
    </row>
    <row r="76" spans="2:19" ht="24.95" hidden="1" customHeight="1" x14ac:dyDescent="0.2">
      <c r="B76" s="45" t="s">
        <v>61</v>
      </c>
      <c r="C76" s="35">
        <v>89.6</v>
      </c>
      <c r="D76" s="34"/>
      <c r="E76" s="36"/>
      <c r="F76" s="36">
        <v>0.2</v>
      </c>
      <c r="G76" s="37">
        <v>3.1</v>
      </c>
      <c r="H76" s="35">
        <f>D76+E76+F76+G76</f>
        <v>3.3000000000000003</v>
      </c>
      <c r="I76" s="31">
        <f>9.8+6.3</f>
        <v>16.100000000000001</v>
      </c>
      <c r="J76" s="37">
        <v>10.74</v>
      </c>
      <c r="K76" s="35">
        <f>I76+J76</f>
        <v>26.840000000000003</v>
      </c>
      <c r="L76" s="38">
        <v>4.04</v>
      </c>
      <c r="M76" s="36"/>
      <c r="N76" s="35">
        <f>L76+K76</f>
        <v>30.880000000000003</v>
      </c>
      <c r="O76" s="35">
        <f>52+10.8+10.2</f>
        <v>73</v>
      </c>
      <c r="P76" s="34"/>
      <c r="Q76" s="38">
        <f>O76+N76+H76+C76</f>
        <v>196.77999999999997</v>
      </c>
      <c r="R76" s="85"/>
      <c r="S76" s="71"/>
    </row>
    <row r="77" spans="2:19" ht="15.75" hidden="1" customHeight="1" x14ac:dyDescent="0.2">
      <c r="B77" s="39"/>
      <c r="C77" s="35"/>
      <c r="D77" s="34"/>
      <c r="E77" s="36"/>
      <c r="F77" s="36"/>
      <c r="G77" s="37"/>
      <c r="H77" s="35"/>
      <c r="I77" s="31"/>
      <c r="J77" s="37"/>
      <c r="K77" s="35"/>
      <c r="L77" s="38"/>
      <c r="M77" s="36"/>
      <c r="N77" s="35"/>
      <c r="O77" s="35"/>
      <c r="P77" s="34"/>
      <c r="Q77" s="38"/>
      <c r="R77" s="85"/>
      <c r="S77" s="71"/>
    </row>
    <row r="78" spans="2:19" ht="24.95" hidden="1" customHeight="1" x14ac:dyDescent="0.2">
      <c r="B78" s="44" t="s">
        <v>73</v>
      </c>
      <c r="C78" s="35">
        <f>SUM(C79:C90)</f>
        <v>921.15770767999993</v>
      </c>
      <c r="D78" s="31">
        <f t="shared" ref="D78:Q78" si="9">SUM(D79:D90)</f>
        <v>0</v>
      </c>
      <c r="E78" s="34">
        <f t="shared" si="9"/>
        <v>0</v>
      </c>
      <c r="F78" s="38">
        <f t="shared" si="9"/>
        <v>2.5</v>
      </c>
      <c r="G78" s="38">
        <f t="shared" si="9"/>
        <v>54.540000000000006</v>
      </c>
      <c r="H78" s="35">
        <f t="shared" si="9"/>
        <v>57.040000000000006</v>
      </c>
      <c r="I78" s="31">
        <f t="shared" si="9"/>
        <v>147.28794575000001</v>
      </c>
      <c r="J78" s="38">
        <f t="shared" si="9"/>
        <v>73.789225540000004</v>
      </c>
      <c r="K78" s="35">
        <f t="shared" si="9"/>
        <v>221.07717128999997</v>
      </c>
      <c r="L78" s="38">
        <f t="shared" si="9"/>
        <v>25.78</v>
      </c>
      <c r="M78" s="34">
        <f t="shared" si="9"/>
        <v>0</v>
      </c>
      <c r="N78" s="35">
        <f t="shared" si="9"/>
        <v>246.85717129</v>
      </c>
      <c r="O78" s="31">
        <f>SUM(O79:O90)</f>
        <v>636.01612071</v>
      </c>
      <c r="P78" s="32">
        <f t="shared" si="9"/>
        <v>0</v>
      </c>
      <c r="Q78" s="38">
        <f t="shared" si="9"/>
        <v>1861.0709996800001</v>
      </c>
      <c r="R78" s="85">
        <f>SUM(R79:R337)</f>
        <v>0</v>
      </c>
      <c r="S78" s="71"/>
    </row>
    <row r="79" spans="2:19" ht="24.95" hidden="1" customHeight="1" x14ac:dyDescent="0.2">
      <c r="B79" s="45" t="s">
        <v>50</v>
      </c>
      <c r="C79" s="35">
        <v>64.599999999999994</v>
      </c>
      <c r="D79" s="34"/>
      <c r="E79" s="36"/>
      <c r="F79" s="36">
        <v>0.4</v>
      </c>
      <c r="G79" s="37">
        <v>3.8</v>
      </c>
      <c r="H79" s="35">
        <f t="shared" ref="H79:H90" si="10">D79+E79+F79+G79</f>
        <v>4.2</v>
      </c>
      <c r="I79" s="31">
        <f>7.1+3.2</f>
        <v>10.3</v>
      </c>
      <c r="J79" s="37">
        <v>7.34</v>
      </c>
      <c r="K79" s="35">
        <f t="shared" ref="K79:K90" si="11">I79+J79</f>
        <v>17.64</v>
      </c>
      <c r="L79" s="38">
        <v>3.14</v>
      </c>
      <c r="M79" s="36"/>
      <c r="N79" s="35">
        <f t="shared" ref="N79:N90" si="12">L79+K79</f>
        <v>20.78</v>
      </c>
      <c r="O79" s="35">
        <f>49.3+4.6+14.45</f>
        <v>68.349999999999994</v>
      </c>
      <c r="P79" s="34"/>
      <c r="Q79" s="38">
        <f t="shared" ref="Q79:Q90" si="13">O79+N79+H79+C79</f>
        <v>157.93</v>
      </c>
      <c r="R79" s="85"/>
      <c r="S79" s="71"/>
    </row>
    <row r="80" spans="2:19" ht="24.95" hidden="1" customHeight="1" x14ac:dyDescent="0.2">
      <c r="B80" s="45" t="s">
        <v>51</v>
      </c>
      <c r="C80" s="35">
        <v>86.2</v>
      </c>
      <c r="D80" s="34"/>
      <c r="E80" s="36"/>
      <c r="F80" s="36"/>
      <c r="G80" s="37">
        <v>4.7</v>
      </c>
      <c r="H80" s="35">
        <f t="shared" si="10"/>
        <v>4.7</v>
      </c>
      <c r="I80" s="31">
        <v>7.3</v>
      </c>
      <c r="J80" s="37">
        <v>5.4</v>
      </c>
      <c r="K80" s="35">
        <f t="shared" si="11"/>
        <v>12.7</v>
      </c>
      <c r="L80" s="38">
        <v>1.9</v>
      </c>
      <c r="M80" s="36"/>
      <c r="N80" s="35">
        <f t="shared" si="12"/>
        <v>14.6</v>
      </c>
      <c r="O80" s="35">
        <f>0.2+11.9+26.2</f>
        <v>38.299999999999997</v>
      </c>
      <c r="P80" s="34"/>
      <c r="Q80" s="38">
        <f t="shared" si="13"/>
        <v>143.80000000000001</v>
      </c>
      <c r="R80" s="85"/>
      <c r="S80" s="71"/>
    </row>
    <row r="81" spans="2:20" ht="24.95" hidden="1" customHeight="1" x14ac:dyDescent="0.2">
      <c r="B81" s="45" t="s">
        <v>52</v>
      </c>
      <c r="C81" s="35">
        <v>87.7</v>
      </c>
      <c r="D81" s="34"/>
      <c r="E81" s="36"/>
      <c r="F81" s="36">
        <v>0.4</v>
      </c>
      <c r="G81" s="37">
        <v>4.9000000000000004</v>
      </c>
      <c r="H81" s="35">
        <f t="shared" si="10"/>
        <v>5.3000000000000007</v>
      </c>
      <c r="I81" s="31">
        <f>25.3+1.3+2.1</f>
        <v>28.700000000000003</v>
      </c>
      <c r="J81" s="37">
        <v>9.34</v>
      </c>
      <c r="K81" s="35">
        <f t="shared" si="11"/>
        <v>38.040000000000006</v>
      </c>
      <c r="L81" s="38">
        <v>1.94</v>
      </c>
      <c r="M81" s="36"/>
      <c r="N81" s="35">
        <f t="shared" si="12"/>
        <v>39.980000000000004</v>
      </c>
      <c r="O81" s="35">
        <f>33.5+6.9+2.6</f>
        <v>43</v>
      </c>
      <c r="P81" s="34"/>
      <c r="Q81" s="38">
        <f t="shared" si="13"/>
        <v>175.98000000000002</v>
      </c>
      <c r="R81" s="85"/>
      <c r="S81" s="71"/>
    </row>
    <row r="82" spans="2:20" ht="24.95" hidden="1" customHeight="1" x14ac:dyDescent="0.2">
      <c r="B82" s="45" t="s">
        <v>53</v>
      </c>
      <c r="C82" s="35">
        <v>87.3</v>
      </c>
      <c r="D82" s="34"/>
      <c r="E82" s="36"/>
      <c r="F82" s="36"/>
      <c r="G82" s="37">
        <v>6.3</v>
      </c>
      <c r="H82" s="35">
        <f t="shared" si="10"/>
        <v>6.3</v>
      </c>
      <c r="I82" s="31">
        <f>10.4+1.3+0.84</f>
        <v>12.540000000000001</v>
      </c>
      <c r="J82" s="37">
        <v>4.4400000000000004</v>
      </c>
      <c r="K82" s="35">
        <f t="shared" si="11"/>
        <v>16.98</v>
      </c>
      <c r="L82" s="38">
        <v>2.34</v>
      </c>
      <c r="M82" s="36"/>
      <c r="N82" s="35">
        <f t="shared" si="12"/>
        <v>19.32</v>
      </c>
      <c r="O82" s="35">
        <f>21.6+2.8+6.84</f>
        <v>31.240000000000002</v>
      </c>
      <c r="P82" s="34"/>
      <c r="Q82" s="38">
        <f t="shared" si="13"/>
        <v>144.16</v>
      </c>
      <c r="R82" s="85"/>
      <c r="S82" s="71"/>
    </row>
    <row r="83" spans="2:20" ht="24.95" hidden="1" customHeight="1" x14ac:dyDescent="0.2">
      <c r="B83" s="45" t="s">
        <v>54</v>
      </c>
      <c r="C83" s="35">
        <v>118.3</v>
      </c>
      <c r="D83" s="34"/>
      <c r="E83" s="36"/>
      <c r="F83" s="36"/>
      <c r="G83" s="37">
        <v>4.5</v>
      </c>
      <c r="H83" s="35">
        <f t="shared" si="10"/>
        <v>4.5</v>
      </c>
      <c r="I83" s="31">
        <v>11</v>
      </c>
      <c r="J83" s="37">
        <v>7.5</v>
      </c>
      <c r="K83" s="35">
        <f t="shared" si="11"/>
        <v>18.5</v>
      </c>
      <c r="L83" s="38">
        <v>2.14</v>
      </c>
      <c r="M83" s="36"/>
      <c r="N83" s="35">
        <f t="shared" si="12"/>
        <v>20.64</v>
      </c>
      <c r="O83" s="35">
        <f>4.8+2.6</f>
        <v>7.4</v>
      </c>
      <c r="P83" s="34"/>
      <c r="Q83" s="38">
        <f t="shared" si="13"/>
        <v>150.84</v>
      </c>
      <c r="R83" s="85"/>
      <c r="S83" s="71"/>
    </row>
    <row r="84" spans="2:20" ht="24.95" hidden="1" customHeight="1" x14ac:dyDescent="0.2">
      <c r="B84" s="45" t="s">
        <v>55</v>
      </c>
      <c r="C84" s="35">
        <v>95</v>
      </c>
      <c r="D84" s="34"/>
      <c r="E84" s="36"/>
      <c r="F84" s="36">
        <v>0.5</v>
      </c>
      <c r="G84" s="37">
        <v>3.8</v>
      </c>
      <c r="H84" s="35">
        <f t="shared" si="10"/>
        <v>4.3</v>
      </c>
      <c r="I84" s="31">
        <f>3.6+4.84</f>
        <v>8.44</v>
      </c>
      <c r="J84" s="37">
        <v>2.34</v>
      </c>
      <c r="K84" s="35">
        <f t="shared" si="11"/>
        <v>10.78</v>
      </c>
      <c r="L84" s="38">
        <v>2.44</v>
      </c>
      <c r="M84" s="36"/>
      <c r="N84" s="35">
        <f t="shared" si="12"/>
        <v>13.219999999999999</v>
      </c>
      <c r="O84" s="35">
        <f>61.9+11.14</f>
        <v>73.039999999999992</v>
      </c>
      <c r="P84" s="34"/>
      <c r="Q84" s="38">
        <f t="shared" si="13"/>
        <v>185.56</v>
      </c>
      <c r="R84" s="85"/>
      <c r="S84" s="71"/>
    </row>
    <row r="85" spans="2:20" ht="24.95" hidden="1" customHeight="1" x14ac:dyDescent="0.2">
      <c r="B85" s="45" t="s">
        <v>56</v>
      </c>
      <c r="C85" s="35">
        <v>92.4</v>
      </c>
      <c r="D85" s="34">
        <v>0</v>
      </c>
      <c r="E85" s="36"/>
      <c r="F85" s="36"/>
      <c r="G85" s="37">
        <v>3.3</v>
      </c>
      <c r="H85" s="35">
        <f t="shared" si="10"/>
        <v>3.3</v>
      </c>
      <c r="I85" s="31">
        <v>10.4</v>
      </c>
      <c r="J85" s="37">
        <v>9.44</v>
      </c>
      <c r="K85" s="35">
        <f t="shared" si="11"/>
        <v>19.84</v>
      </c>
      <c r="L85" s="38">
        <v>2.14</v>
      </c>
      <c r="M85" s="36"/>
      <c r="N85" s="35">
        <f t="shared" si="12"/>
        <v>21.98</v>
      </c>
      <c r="O85" s="35">
        <f>24.4+41+3.7+2.1</f>
        <v>71.2</v>
      </c>
      <c r="P85" s="34"/>
      <c r="Q85" s="38">
        <f t="shared" si="13"/>
        <v>188.88</v>
      </c>
      <c r="R85" s="85"/>
      <c r="S85" s="71"/>
    </row>
    <row r="86" spans="2:20" ht="24.95" hidden="1" customHeight="1" x14ac:dyDescent="0.2">
      <c r="B86" s="45" t="s">
        <v>57</v>
      </c>
      <c r="C86" s="35">
        <v>63.8</v>
      </c>
      <c r="D86" s="34">
        <v>0</v>
      </c>
      <c r="E86" s="36"/>
      <c r="F86" s="36"/>
      <c r="G86" s="37">
        <v>3.4</v>
      </c>
      <c r="H86" s="35">
        <f t="shared" si="10"/>
        <v>3.4</v>
      </c>
      <c r="I86" s="31">
        <v>9.6999999999999993</v>
      </c>
      <c r="J86" s="37">
        <v>3</v>
      </c>
      <c r="K86" s="35">
        <f t="shared" si="11"/>
        <v>12.7</v>
      </c>
      <c r="L86" s="38">
        <v>2.2000000000000002</v>
      </c>
      <c r="M86" s="36"/>
      <c r="N86" s="35">
        <f t="shared" si="12"/>
        <v>14.899999999999999</v>
      </c>
      <c r="O86" s="35">
        <f>19.3+1.9</f>
        <v>21.2</v>
      </c>
      <c r="P86" s="34"/>
      <c r="Q86" s="38">
        <f t="shared" si="13"/>
        <v>103.29999999999998</v>
      </c>
      <c r="R86" s="85"/>
      <c r="S86" s="71"/>
    </row>
    <row r="87" spans="2:20" ht="24.95" hidden="1" customHeight="1" x14ac:dyDescent="0.2">
      <c r="B87" s="45" t="s">
        <v>58</v>
      </c>
      <c r="C87" s="35">
        <v>40.5</v>
      </c>
      <c r="D87" s="34">
        <v>0</v>
      </c>
      <c r="E87" s="36"/>
      <c r="F87" s="36"/>
      <c r="G87" s="37">
        <v>6.7</v>
      </c>
      <c r="H87" s="35">
        <f t="shared" si="10"/>
        <v>6.7</v>
      </c>
      <c r="I87" s="31">
        <v>24.6</v>
      </c>
      <c r="J87" s="37">
        <v>7.54</v>
      </c>
      <c r="K87" s="35">
        <f t="shared" si="11"/>
        <v>32.14</v>
      </c>
      <c r="L87" s="38">
        <v>3.94</v>
      </c>
      <c r="M87" s="36"/>
      <c r="N87" s="35">
        <f t="shared" si="12"/>
        <v>36.08</v>
      </c>
      <c r="O87" s="35">
        <f>23.5+17.1+1.3</f>
        <v>41.9</v>
      </c>
      <c r="P87" s="34"/>
      <c r="Q87" s="38">
        <f t="shared" si="13"/>
        <v>125.17999999999999</v>
      </c>
      <c r="R87" s="85"/>
      <c r="S87" s="71"/>
      <c r="T87" s="63"/>
    </row>
    <row r="88" spans="2:20" ht="24.95" hidden="1" customHeight="1" x14ac:dyDescent="0.2">
      <c r="B88" s="45" t="s">
        <v>59</v>
      </c>
      <c r="C88" s="35">
        <v>63.574707679999996</v>
      </c>
      <c r="D88" s="34">
        <v>0</v>
      </c>
      <c r="E88" s="36"/>
      <c r="F88" s="36"/>
      <c r="G88" s="37">
        <v>5</v>
      </c>
      <c r="H88" s="35">
        <f t="shared" si="10"/>
        <v>5</v>
      </c>
      <c r="I88" s="31">
        <v>9</v>
      </c>
      <c r="J88" s="37">
        <v>3.7</v>
      </c>
      <c r="K88" s="35">
        <f t="shared" si="11"/>
        <v>12.7</v>
      </c>
      <c r="L88" s="38">
        <v>0.5</v>
      </c>
      <c r="M88" s="36"/>
      <c r="N88" s="35">
        <f t="shared" si="12"/>
        <v>13.2</v>
      </c>
      <c r="O88" s="35">
        <f>22.79+20.6+2.165292+36.31</f>
        <v>81.865292000000011</v>
      </c>
      <c r="P88" s="34"/>
      <c r="Q88" s="49">
        <f t="shared" si="13"/>
        <v>163.63999968000002</v>
      </c>
      <c r="R88" s="85"/>
      <c r="S88" s="71"/>
      <c r="T88" s="62"/>
    </row>
    <row r="89" spans="2:20" ht="24.95" hidden="1" customHeight="1" x14ac:dyDescent="0.2">
      <c r="B89" s="45" t="s">
        <v>60</v>
      </c>
      <c r="C89" s="35">
        <v>57.573</v>
      </c>
      <c r="D89" s="34">
        <v>0</v>
      </c>
      <c r="E89" s="36"/>
      <c r="F89" s="36"/>
      <c r="G89" s="37">
        <v>4.1399999999999997</v>
      </c>
      <c r="H89" s="35">
        <f t="shared" si="10"/>
        <v>4.1399999999999997</v>
      </c>
      <c r="I89" s="31">
        <v>11.7</v>
      </c>
      <c r="J89" s="37">
        <v>9.3000000000000007</v>
      </c>
      <c r="K89" s="35">
        <f t="shared" si="11"/>
        <v>21</v>
      </c>
      <c r="L89" s="38">
        <v>1.3</v>
      </c>
      <c r="M89" s="36"/>
      <c r="N89" s="35">
        <f t="shared" si="12"/>
        <v>22.3</v>
      </c>
      <c r="O89" s="35">
        <f>7.588+21.4</f>
        <v>28.988</v>
      </c>
      <c r="P89" s="34"/>
      <c r="Q89" s="49">
        <f t="shared" si="13"/>
        <v>113.001</v>
      </c>
      <c r="R89" s="85"/>
      <c r="S89" s="71"/>
    </row>
    <row r="90" spans="2:20" ht="24.95" hidden="1" customHeight="1" x14ac:dyDescent="0.2">
      <c r="B90" s="45" t="s">
        <v>61</v>
      </c>
      <c r="C90" s="35">
        <v>64.209999999999994</v>
      </c>
      <c r="D90" s="34">
        <v>0</v>
      </c>
      <c r="E90" s="36"/>
      <c r="F90" s="36">
        <v>1.2</v>
      </c>
      <c r="G90" s="37">
        <v>4</v>
      </c>
      <c r="H90" s="35">
        <f t="shared" si="10"/>
        <v>5.2</v>
      </c>
      <c r="I90" s="31">
        <v>3.6079457500000003</v>
      </c>
      <c r="J90" s="37">
        <v>4.4492255399999996</v>
      </c>
      <c r="K90" s="35">
        <f t="shared" si="11"/>
        <v>8.0571712899999994</v>
      </c>
      <c r="L90" s="38">
        <v>1.8</v>
      </c>
      <c r="M90" s="36"/>
      <c r="N90" s="35">
        <f t="shared" si="12"/>
        <v>9.8571712900000001</v>
      </c>
      <c r="O90" s="35">
        <f>123.69282871+5.84</f>
        <v>129.53282870999999</v>
      </c>
      <c r="P90" s="34"/>
      <c r="Q90" s="38">
        <f t="shared" si="13"/>
        <v>208.79999999999995</v>
      </c>
      <c r="R90" s="85"/>
      <c r="S90" s="71"/>
    </row>
    <row r="91" spans="2:20" ht="19.5" hidden="1" customHeight="1" x14ac:dyDescent="0.2">
      <c r="B91" s="45"/>
      <c r="C91" s="35"/>
      <c r="D91" s="34"/>
      <c r="E91" s="36"/>
      <c r="F91" s="36"/>
      <c r="G91" s="37"/>
      <c r="H91" s="35"/>
      <c r="I91" s="31"/>
      <c r="J91" s="37"/>
      <c r="K91" s="35"/>
      <c r="L91" s="38"/>
      <c r="M91" s="36"/>
      <c r="N91" s="35"/>
      <c r="O91" s="35"/>
      <c r="P91" s="34"/>
      <c r="Q91" s="38"/>
      <c r="R91" s="85"/>
      <c r="S91" s="71"/>
    </row>
    <row r="92" spans="2:20" ht="24.95" hidden="1" customHeight="1" x14ac:dyDescent="0.2">
      <c r="B92" s="64">
        <v>2000</v>
      </c>
      <c r="C92" s="35">
        <f>SUM(C93:C104)</f>
        <v>861.20760000000007</v>
      </c>
      <c r="D92" s="34">
        <f>SUM(D93:D104)</f>
        <v>0</v>
      </c>
      <c r="E92" s="36">
        <f>SUM(E93:E104)</f>
        <v>0</v>
      </c>
      <c r="F92" s="36">
        <f t="shared" ref="F92:O92" si="14">SUM(F93:F104)</f>
        <v>2.6103000000000001</v>
      </c>
      <c r="G92" s="37">
        <f t="shared" si="14"/>
        <v>55.1494</v>
      </c>
      <c r="H92" s="35">
        <f t="shared" si="14"/>
        <v>57.759699999999995</v>
      </c>
      <c r="I92" s="31">
        <f t="shared" si="14"/>
        <v>146.96460000000002</v>
      </c>
      <c r="J92" s="37">
        <f t="shared" si="14"/>
        <v>75.127199999999988</v>
      </c>
      <c r="K92" s="35">
        <f t="shared" si="14"/>
        <v>222.09180000000001</v>
      </c>
      <c r="L92" s="38">
        <f t="shared" si="14"/>
        <v>45.197800000000001</v>
      </c>
      <c r="M92" s="36">
        <f t="shared" si="14"/>
        <v>0</v>
      </c>
      <c r="N92" s="35">
        <f t="shared" si="14"/>
        <v>267.28960000000001</v>
      </c>
      <c r="O92" s="35">
        <f t="shared" si="14"/>
        <v>544.06709999999998</v>
      </c>
      <c r="P92" s="34">
        <f>SUM(P93:P104)</f>
        <v>0</v>
      </c>
      <c r="Q92" s="38">
        <f>SUM(Q93:Q104)</f>
        <v>1730.3239999999998</v>
      </c>
      <c r="R92" s="85">
        <f>SUM(R93:R351)</f>
        <v>0</v>
      </c>
      <c r="S92" s="71"/>
      <c r="T92" s="62"/>
    </row>
    <row r="93" spans="2:20" ht="24.95" hidden="1" customHeight="1" x14ac:dyDescent="0.2">
      <c r="B93" s="65" t="s">
        <v>81</v>
      </c>
      <c r="C93" s="35">
        <v>133.899</v>
      </c>
      <c r="D93" s="34"/>
      <c r="E93" s="36"/>
      <c r="F93" s="36">
        <v>0.124</v>
      </c>
      <c r="G93" s="37">
        <v>2.9319999999999999</v>
      </c>
      <c r="H93" s="35">
        <f t="shared" ref="H93:H103" si="15">D93+E93+F93+G93</f>
        <v>3.056</v>
      </c>
      <c r="I93" s="31">
        <v>3.8260000000000001</v>
      </c>
      <c r="J93" s="37">
        <v>2.948</v>
      </c>
      <c r="K93" s="35">
        <f t="shared" ref="K93:K103" si="16">I93+J93</f>
        <v>6.774</v>
      </c>
      <c r="L93" s="38">
        <v>2.0939999999999999</v>
      </c>
      <c r="M93" s="36"/>
      <c r="N93" s="35">
        <f t="shared" ref="N93:N103" si="17">L93+K93</f>
        <v>8.8680000000000003</v>
      </c>
      <c r="O93" s="35">
        <v>90.703999999999994</v>
      </c>
      <c r="P93" s="34"/>
      <c r="Q93" s="38">
        <f t="shared" ref="Q93:Q104" si="18">O93+N93+H93+C93</f>
        <v>236.52699999999999</v>
      </c>
      <c r="R93" s="85"/>
      <c r="S93" s="71"/>
      <c r="T93" s="62">
        <f>236.527-Q93</f>
        <v>0</v>
      </c>
    </row>
    <row r="94" spans="2:20" ht="24.95" hidden="1" customHeight="1" x14ac:dyDescent="0.2">
      <c r="B94" s="65" t="s">
        <v>82</v>
      </c>
      <c r="C94" s="35">
        <v>131.89500000000001</v>
      </c>
      <c r="D94" s="34"/>
      <c r="E94" s="36"/>
      <c r="F94" s="36">
        <v>1.76</v>
      </c>
      <c r="G94" s="37">
        <v>4.2510000000000003</v>
      </c>
      <c r="H94" s="35">
        <f t="shared" si="15"/>
        <v>6.0110000000000001</v>
      </c>
      <c r="I94" s="31">
        <v>11.676</v>
      </c>
      <c r="J94" s="37">
        <v>6.7380000000000004</v>
      </c>
      <c r="K94" s="35">
        <f t="shared" si="16"/>
        <v>18.414000000000001</v>
      </c>
      <c r="L94" s="38">
        <v>8.407</v>
      </c>
      <c r="M94" s="36"/>
      <c r="N94" s="35">
        <f t="shared" si="17"/>
        <v>26.821000000000002</v>
      </c>
      <c r="O94" s="35">
        <v>29.666</v>
      </c>
      <c r="P94" s="34"/>
      <c r="Q94" s="38">
        <f t="shared" si="18"/>
        <v>194.39300000000003</v>
      </c>
      <c r="R94" s="85"/>
      <c r="S94" s="71"/>
      <c r="T94" s="66">
        <f>194.393-Q94</f>
        <v>0</v>
      </c>
    </row>
    <row r="95" spans="2:20" ht="24.95" hidden="1" customHeight="1" x14ac:dyDescent="0.2">
      <c r="B95" s="65" t="s">
        <v>83</v>
      </c>
      <c r="C95" s="35">
        <v>97.042000000000002</v>
      </c>
      <c r="D95" s="34"/>
      <c r="E95" s="36"/>
      <c r="F95" s="36"/>
      <c r="G95" s="37">
        <v>6.9740000000000002</v>
      </c>
      <c r="H95" s="35">
        <f t="shared" si="15"/>
        <v>6.9740000000000002</v>
      </c>
      <c r="I95" s="31">
        <v>25.547999999999998</v>
      </c>
      <c r="J95" s="37">
        <v>7.9770000000000003</v>
      </c>
      <c r="K95" s="35">
        <f t="shared" si="16"/>
        <v>33.524999999999999</v>
      </c>
      <c r="L95" s="38">
        <v>6.8120000000000003</v>
      </c>
      <c r="M95" s="36"/>
      <c r="N95" s="35">
        <f t="shared" si="17"/>
        <v>40.336999999999996</v>
      </c>
      <c r="O95" s="35">
        <v>35.488999999999997</v>
      </c>
      <c r="P95" s="34"/>
      <c r="Q95" s="38">
        <f t="shared" si="18"/>
        <v>179.84199999999998</v>
      </c>
      <c r="R95" s="85"/>
      <c r="S95" s="71"/>
      <c r="T95" s="62">
        <f>179.842-Q95</f>
        <v>0</v>
      </c>
    </row>
    <row r="96" spans="2:20" ht="24.95" hidden="1" customHeight="1" x14ac:dyDescent="0.2">
      <c r="B96" s="65" t="s">
        <v>84</v>
      </c>
      <c r="C96" s="35">
        <v>41.319000000000003</v>
      </c>
      <c r="D96" s="34"/>
      <c r="E96" s="36"/>
      <c r="F96" s="36"/>
      <c r="G96" s="37">
        <v>4.0570000000000004</v>
      </c>
      <c r="H96" s="35">
        <f t="shared" si="15"/>
        <v>4.0570000000000004</v>
      </c>
      <c r="I96" s="31">
        <v>8.2449999999999992</v>
      </c>
      <c r="J96" s="37">
        <v>3.718</v>
      </c>
      <c r="K96" s="35">
        <f t="shared" si="16"/>
        <v>11.962999999999999</v>
      </c>
      <c r="L96" s="38">
        <v>2.3620000000000001</v>
      </c>
      <c r="M96" s="36"/>
      <c r="N96" s="35">
        <f t="shared" si="17"/>
        <v>14.324999999999999</v>
      </c>
      <c r="O96" s="35">
        <v>54.795999999999999</v>
      </c>
      <c r="P96" s="34"/>
      <c r="Q96" s="38">
        <f t="shared" si="18"/>
        <v>114.497</v>
      </c>
      <c r="R96" s="85"/>
      <c r="S96" s="71"/>
      <c r="T96" s="62">
        <f>114.497-Q96</f>
        <v>0</v>
      </c>
    </row>
    <row r="97" spans="2:24" ht="24.95" hidden="1" customHeight="1" x14ac:dyDescent="0.2">
      <c r="B97" s="65" t="s">
        <v>85</v>
      </c>
      <c r="C97" s="35">
        <v>58.119</v>
      </c>
      <c r="D97" s="34"/>
      <c r="E97" s="36"/>
      <c r="F97" s="36">
        <v>0.34499999999999997</v>
      </c>
      <c r="G97" s="37">
        <v>4.923</v>
      </c>
      <c r="H97" s="35">
        <f t="shared" si="15"/>
        <v>5.2679999999999998</v>
      </c>
      <c r="I97" s="31">
        <v>12.974</v>
      </c>
      <c r="J97" s="37">
        <v>7.27</v>
      </c>
      <c r="K97" s="35">
        <f t="shared" si="16"/>
        <v>20.244</v>
      </c>
      <c r="L97" s="38">
        <v>3.4750000000000001</v>
      </c>
      <c r="M97" s="36"/>
      <c r="N97" s="35">
        <f t="shared" si="17"/>
        <v>23.719000000000001</v>
      </c>
      <c r="O97" s="35">
        <v>22.936</v>
      </c>
      <c r="P97" s="34"/>
      <c r="Q97" s="49">
        <f t="shared" si="18"/>
        <v>110.042</v>
      </c>
      <c r="R97" s="85"/>
      <c r="S97" s="71"/>
      <c r="T97" s="66">
        <f>110.042-Q97</f>
        <v>0</v>
      </c>
    </row>
    <row r="98" spans="2:24" ht="24.95" hidden="1" customHeight="1" x14ac:dyDescent="0.2">
      <c r="B98" s="65" t="s">
        <v>86</v>
      </c>
      <c r="C98" s="35">
        <v>70.39</v>
      </c>
      <c r="D98" s="34"/>
      <c r="E98" s="36"/>
      <c r="F98" s="36">
        <v>0.34300000000000003</v>
      </c>
      <c r="G98" s="37">
        <v>3.964</v>
      </c>
      <c r="H98" s="35">
        <f t="shared" si="15"/>
        <v>4.3070000000000004</v>
      </c>
      <c r="I98" s="31">
        <v>10.082000000000001</v>
      </c>
      <c r="J98" s="37">
        <v>5.03</v>
      </c>
      <c r="K98" s="35">
        <f t="shared" si="16"/>
        <v>15.112000000000002</v>
      </c>
      <c r="L98" s="38">
        <v>1.847</v>
      </c>
      <c r="M98" s="36"/>
      <c r="N98" s="35">
        <f t="shared" si="17"/>
        <v>16.959000000000003</v>
      </c>
      <c r="O98" s="35">
        <v>33.072000000000003</v>
      </c>
      <c r="P98" s="34"/>
      <c r="Q98" s="38">
        <f t="shared" si="18"/>
        <v>124.72800000000001</v>
      </c>
      <c r="R98" s="85"/>
      <c r="S98" s="71"/>
      <c r="T98" s="66"/>
    </row>
    <row r="99" spans="2:24" ht="24.95" hidden="1" customHeight="1" x14ac:dyDescent="0.2">
      <c r="B99" s="65" t="s">
        <v>87</v>
      </c>
      <c r="C99" s="35">
        <v>66.486800000000002</v>
      </c>
      <c r="D99" s="34"/>
      <c r="E99" s="36"/>
      <c r="F99" s="36"/>
      <c r="G99" s="37">
        <v>2.7067999999999999</v>
      </c>
      <c r="H99" s="35">
        <f t="shared" si="15"/>
        <v>2.7067999999999999</v>
      </c>
      <c r="I99" s="31">
        <v>9.7761999999999993</v>
      </c>
      <c r="J99" s="37">
        <v>3.0886</v>
      </c>
      <c r="K99" s="69">
        <f t="shared" si="16"/>
        <v>12.864799999999999</v>
      </c>
      <c r="L99" s="38">
        <v>3.5280999999999998</v>
      </c>
      <c r="M99" s="36"/>
      <c r="N99" s="35">
        <f t="shared" si="17"/>
        <v>16.392899999999997</v>
      </c>
      <c r="O99" s="35">
        <v>54.828200000000002</v>
      </c>
      <c r="P99" s="34"/>
      <c r="Q99" s="49">
        <f t="shared" si="18"/>
        <v>140.41470000000001</v>
      </c>
      <c r="R99" s="85"/>
      <c r="S99" s="71"/>
      <c r="T99" s="63">
        <f>140.4147-Q99</f>
        <v>0</v>
      </c>
    </row>
    <row r="100" spans="2:24" ht="24.95" hidden="1" customHeight="1" x14ac:dyDescent="0.2">
      <c r="B100" s="65" t="s">
        <v>88</v>
      </c>
      <c r="C100" s="35">
        <v>53.730600000000003</v>
      </c>
      <c r="D100" s="34"/>
      <c r="E100" s="36"/>
      <c r="F100" s="36">
        <v>3.8300000000000001E-2</v>
      </c>
      <c r="G100" s="37">
        <v>5.1669999999999998</v>
      </c>
      <c r="H100" s="35">
        <f t="shared" si="15"/>
        <v>5.2052999999999994</v>
      </c>
      <c r="I100" s="31">
        <v>11.1556</v>
      </c>
      <c r="J100" s="37">
        <v>6.0015000000000001</v>
      </c>
      <c r="K100" s="69">
        <f t="shared" si="16"/>
        <v>17.1571</v>
      </c>
      <c r="L100" s="38">
        <v>3.1156000000000001</v>
      </c>
      <c r="M100" s="36"/>
      <c r="N100" s="35">
        <f t="shared" si="17"/>
        <v>20.2727</v>
      </c>
      <c r="O100" s="35">
        <f>+ROUND(58.65,1)</f>
        <v>58.7</v>
      </c>
      <c r="P100" s="34"/>
      <c r="Q100" s="49">
        <f t="shared" si="18"/>
        <v>137.90860000000001</v>
      </c>
      <c r="R100" s="85"/>
      <c r="S100" s="71"/>
      <c r="T100" s="63"/>
    </row>
    <row r="101" spans="2:24" ht="24.95" hidden="1" customHeight="1" x14ac:dyDescent="0.2">
      <c r="B101" s="65" t="s">
        <v>89</v>
      </c>
      <c r="C101" s="35">
        <v>66.026200000000003</v>
      </c>
      <c r="D101" s="34"/>
      <c r="E101" s="36"/>
      <c r="F101" s="36"/>
      <c r="G101" s="37">
        <v>6.5746000000000002</v>
      </c>
      <c r="H101" s="35">
        <f t="shared" si="15"/>
        <v>6.5746000000000002</v>
      </c>
      <c r="I101" s="31">
        <v>21.181799999999999</v>
      </c>
      <c r="J101" s="37">
        <v>8.3560999999999996</v>
      </c>
      <c r="K101" s="69">
        <f t="shared" si="16"/>
        <v>29.5379</v>
      </c>
      <c r="L101" s="38">
        <v>2.2570999999999999</v>
      </c>
      <c r="M101" s="36"/>
      <c r="N101" s="35">
        <f t="shared" si="17"/>
        <v>31.795000000000002</v>
      </c>
      <c r="O101" s="35">
        <v>30.7759</v>
      </c>
      <c r="P101" s="34"/>
      <c r="Q101" s="49">
        <f t="shared" si="18"/>
        <v>135.17169999999999</v>
      </c>
      <c r="R101" s="85"/>
      <c r="S101" s="71"/>
      <c r="T101" s="62">
        <f>135.1717-Q101</f>
        <v>0</v>
      </c>
    </row>
    <row r="102" spans="2:24" ht="24.95" hidden="1" customHeight="1" x14ac:dyDescent="0.2">
      <c r="B102" s="65" t="s">
        <v>90</v>
      </c>
      <c r="C102" s="35">
        <v>55.4</v>
      </c>
      <c r="D102" s="34"/>
      <c r="E102" s="36"/>
      <c r="F102" s="36"/>
      <c r="G102" s="37">
        <v>4.8</v>
      </c>
      <c r="H102" s="35">
        <f t="shared" si="15"/>
        <v>4.8</v>
      </c>
      <c r="I102" s="31">
        <v>12.7</v>
      </c>
      <c r="J102" s="37">
        <v>4.8</v>
      </c>
      <c r="K102" s="35">
        <f t="shared" si="16"/>
        <v>17.5</v>
      </c>
      <c r="L102" s="38">
        <v>4.0999999999999996</v>
      </c>
      <c r="M102" s="36"/>
      <c r="N102" s="35">
        <f t="shared" si="17"/>
        <v>21.6</v>
      </c>
      <c r="O102" s="35">
        <v>39.700000000000003</v>
      </c>
      <c r="P102" s="34"/>
      <c r="Q102" s="49">
        <f t="shared" si="18"/>
        <v>121.5</v>
      </c>
      <c r="R102" s="85"/>
      <c r="S102" s="71"/>
    </row>
    <row r="103" spans="2:24" ht="24.95" hidden="1" customHeight="1" x14ac:dyDescent="0.2">
      <c r="B103" s="65" t="s">
        <v>91</v>
      </c>
      <c r="C103" s="35">
        <v>42.2</v>
      </c>
      <c r="D103" s="34"/>
      <c r="E103" s="36"/>
      <c r="F103" s="36"/>
      <c r="G103" s="37">
        <v>3.8</v>
      </c>
      <c r="H103" s="35">
        <f t="shared" si="15"/>
        <v>3.8</v>
      </c>
      <c r="I103" s="31">
        <v>12.8</v>
      </c>
      <c r="J103" s="37">
        <v>12.6</v>
      </c>
      <c r="K103" s="35">
        <f t="shared" si="16"/>
        <v>25.4</v>
      </c>
      <c r="L103" s="38">
        <v>3.6</v>
      </c>
      <c r="M103" s="36"/>
      <c r="N103" s="35">
        <f t="shared" si="17"/>
        <v>29</v>
      </c>
      <c r="O103" s="35">
        <v>34.6</v>
      </c>
      <c r="P103" s="34"/>
      <c r="Q103" s="49">
        <f t="shared" si="18"/>
        <v>109.60000000000001</v>
      </c>
      <c r="R103" s="85"/>
      <c r="S103" s="71"/>
    </row>
    <row r="104" spans="2:24" ht="24.95" hidden="1" customHeight="1" x14ac:dyDescent="0.2">
      <c r="B104" s="65" t="s">
        <v>63</v>
      </c>
      <c r="C104" s="35">
        <v>44.7</v>
      </c>
      <c r="D104" s="34"/>
      <c r="E104" s="36"/>
      <c r="F104" s="36"/>
      <c r="G104" s="37">
        <v>5</v>
      </c>
      <c r="H104" s="35">
        <f>D104+E104+F104+G104</f>
        <v>5</v>
      </c>
      <c r="I104" s="31">
        <v>7</v>
      </c>
      <c r="J104" s="37">
        <v>6.6</v>
      </c>
      <c r="K104" s="35">
        <f>I104+J104</f>
        <v>13.6</v>
      </c>
      <c r="L104" s="38">
        <v>3.6</v>
      </c>
      <c r="M104" s="36"/>
      <c r="N104" s="35">
        <f>L104+K104</f>
        <v>17.2</v>
      </c>
      <c r="O104" s="35">
        <v>58.8</v>
      </c>
      <c r="P104" s="34"/>
      <c r="Q104" s="49">
        <f t="shared" si="18"/>
        <v>125.7</v>
      </c>
      <c r="R104" s="85"/>
      <c r="S104" s="71"/>
    </row>
    <row r="105" spans="2:24" ht="20.25" hidden="1" customHeight="1" x14ac:dyDescent="0.2">
      <c r="B105" s="65"/>
      <c r="C105" s="35"/>
      <c r="D105" s="34"/>
      <c r="E105" s="36"/>
      <c r="F105" s="36"/>
      <c r="G105" s="37"/>
      <c r="H105" s="35"/>
      <c r="I105" s="31"/>
      <c r="J105" s="37"/>
      <c r="K105" s="35"/>
      <c r="L105" s="38"/>
      <c r="M105" s="36"/>
      <c r="N105" s="35"/>
      <c r="O105" s="35"/>
      <c r="P105" s="34"/>
      <c r="Q105" s="49"/>
      <c r="R105" s="85"/>
      <c r="S105" s="71"/>
    </row>
    <row r="106" spans="2:24" ht="24.95" hidden="1" customHeight="1" x14ac:dyDescent="0.2">
      <c r="B106" s="64">
        <v>2001</v>
      </c>
      <c r="C106" s="35">
        <f>SUM(C107:C118)</f>
        <v>429.65</v>
      </c>
      <c r="D106" s="34">
        <f t="shared" ref="D106:R106" si="19">SUM(D107:D118)</f>
        <v>0</v>
      </c>
      <c r="E106" s="36">
        <f t="shared" si="19"/>
        <v>0</v>
      </c>
      <c r="F106" s="36">
        <f t="shared" si="19"/>
        <v>0</v>
      </c>
      <c r="G106" s="37">
        <f t="shared" si="19"/>
        <v>46</v>
      </c>
      <c r="H106" s="35">
        <f t="shared" si="19"/>
        <v>46</v>
      </c>
      <c r="I106" s="31">
        <f t="shared" si="19"/>
        <v>159.85999999999999</v>
      </c>
      <c r="J106" s="37">
        <f t="shared" si="19"/>
        <v>74.740000000000009</v>
      </c>
      <c r="K106" s="35">
        <f t="shared" si="19"/>
        <v>234.59999999999997</v>
      </c>
      <c r="L106" s="38">
        <f t="shared" si="19"/>
        <v>56.360000000000007</v>
      </c>
      <c r="M106" s="36">
        <f t="shared" si="19"/>
        <v>0</v>
      </c>
      <c r="N106" s="35">
        <f t="shared" si="19"/>
        <v>290.95999999999998</v>
      </c>
      <c r="O106" s="35">
        <f t="shared" si="19"/>
        <v>734.83</v>
      </c>
      <c r="P106" s="34">
        <f t="shared" si="19"/>
        <v>0</v>
      </c>
      <c r="Q106" s="49">
        <f t="shared" si="19"/>
        <v>1501.4400000000003</v>
      </c>
      <c r="R106" s="85">
        <f t="shared" si="19"/>
        <v>0</v>
      </c>
      <c r="S106" s="71"/>
    </row>
    <row r="107" spans="2:24" ht="24.95" hidden="1" customHeight="1" x14ac:dyDescent="0.2">
      <c r="B107" s="65" t="s">
        <v>81</v>
      </c>
      <c r="C107" s="35">
        <v>76</v>
      </c>
      <c r="D107" s="34"/>
      <c r="E107" s="36"/>
      <c r="F107" s="36"/>
      <c r="G107" s="37">
        <v>2.5</v>
      </c>
      <c r="H107" s="35">
        <f t="shared" ref="H107:H117" si="20">D107+E107+F107+G107</f>
        <v>2.5</v>
      </c>
      <c r="I107" s="31">
        <v>10.52</v>
      </c>
      <c r="J107" s="37">
        <v>13.3</v>
      </c>
      <c r="K107" s="35">
        <f t="shared" ref="K107:K117" si="21">I107+J107</f>
        <v>23.82</v>
      </c>
      <c r="L107" s="38">
        <v>6.3</v>
      </c>
      <c r="M107" s="36"/>
      <c r="N107" s="35">
        <f t="shared" ref="N107:N117" si="22">L107+K107</f>
        <v>30.12</v>
      </c>
      <c r="O107" s="35">
        <f>128+0.3+0.4</f>
        <v>128.70000000000002</v>
      </c>
      <c r="P107" s="34"/>
      <c r="Q107" s="49">
        <f t="shared" ref="Q107:Q118" si="23">O107+N107+H107+C107</f>
        <v>237.32000000000002</v>
      </c>
      <c r="R107" s="85"/>
      <c r="S107" s="71"/>
      <c r="T107" s="7">
        <v>0.3</v>
      </c>
      <c r="U107" s="7">
        <v>0.4</v>
      </c>
      <c r="V107" s="7">
        <v>128</v>
      </c>
      <c r="W107" s="7">
        <v>2.7</v>
      </c>
      <c r="X107" s="7">
        <f>SUM(U107:W107)</f>
        <v>131.1</v>
      </c>
    </row>
    <row r="108" spans="2:24" ht="24.95" hidden="1" customHeight="1" x14ac:dyDescent="0.2">
      <c r="B108" s="65" t="s">
        <v>82</v>
      </c>
      <c r="C108" s="35">
        <v>42.04</v>
      </c>
      <c r="D108" s="34"/>
      <c r="E108" s="36"/>
      <c r="F108" s="36"/>
      <c r="G108" s="37">
        <v>2.7</v>
      </c>
      <c r="H108" s="35">
        <f t="shared" si="20"/>
        <v>2.7</v>
      </c>
      <c r="I108" s="31">
        <v>11.5</v>
      </c>
      <c r="J108" s="37">
        <v>6.6</v>
      </c>
      <c r="K108" s="35">
        <f t="shared" si="21"/>
        <v>18.100000000000001</v>
      </c>
      <c r="L108" s="38">
        <v>4.9000000000000004</v>
      </c>
      <c r="M108" s="36"/>
      <c r="N108" s="35">
        <f t="shared" si="22"/>
        <v>23</v>
      </c>
      <c r="O108" s="35">
        <f>17.6+0.4</f>
        <v>18</v>
      </c>
      <c r="P108" s="34"/>
      <c r="Q108" s="49">
        <f t="shared" si="23"/>
        <v>85.740000000000009</v>
      </c>
      <c r="R108" s="85"/>
      <c r="S108" s="71"/>
    </row>
    <row r="109" spans="2:24" ht="24.95" hidden="1" customHeight="1" x14ac:dyDescent="0.2">
      <c r="B109" s="65" t="s">
        <v>83</v>
      </c>
      <c r="C109" s="35">
        <v>42.6</v>
      </c>
      <c r="D109" s="34"/>
      <c r="E109" s="36"/>
      <c r="F109" s="36"/>
      <c r="G109" s="37">
        <v>6.1</v>
      </c>
      <c r="H109" s="35">
        <f t="shared" si="20"/>
        <v>6.1</v>
      </c>
      <c r="I109" s="31">
        <v>24</v>
      </c>
      <c r="J109" s="37">
        <v>8.4</v>
      </c>
      <c r="K109" s="35">
        <f t="shared" si="21"/>
        <v>32.4</v>
      </c>
      <c r="L109" s="38">
        <v>4.3</v>
      </c>
      <c r="M109" s="36"/>
      <c r="N109" s="35">
        <f t="shared" si="22"/>
        <v>36.699999999999996</v>
      </c>
      <c r="O109" s="35">
        <f>1.3+56.7</f>
        <v>58</v>
      </c>
      <c r="P109" s="34"/>
      <c r="Q109" s="49">
        <f t="shared" si="23"/>
        <v>143.39999999999998</v>
      </c>
      <c r="R109" s="85"/>
      <c r="S109" s="71"/>
    </row>
    <row r="110" spans="2:24" ht="24.95" hidden="1" customHeight="1" x14ac:dyDescent="0.2">
      <c r="B110" s="65" t="s">
        <v>84</v>
      </c>
      <c r="C110" s="35">
        <v>75.63</v>
      </c>
      <c r="D110" s="34"/>
      <c r="E110" s="36"/>
      <c r="F110" s="36"/>
      <c r="G110" s="37">
        <v>3.7</v>
      </c>
      <c r="H110" s="35">
        <f t="shared" si="20"/>
        <v>3.7</v>
      </c>
      <c r="I110" s="31">
        <v>12.8</v>
      </c>
      <c r="J110" s="37">
        <v>4.5</v>
      </c>
      <c r="K110" s="35">
        <f t="shared" si="21"/>
        <v>17.3</v>
      </c>
      <c r="L110" s="38">
        <v>3.7</v>
      </c>
      <c r="M110" s="36"/>
      <c r="N110" s="35">
        <f t="shared" si="22"/>
        <v>21</v>
      </c>
      <c r="O110" s="35">
        <f>8.1+25.9</f>
        <v>34</v>
      </c>
      <c r="P110" s="34"/>
      <c r="Q110" s="49">
        <f t="shared" si="23"/>
        <v>134.32999999999998</v>
      </c>
      <c r="R110" s="85"/>
      <c r="S110" s="71"/>
    </row>
    <row r="111" spans="2:24" ht="24.95" hidden="1" customHeight="1" x14ac:dyDescent="0.2">
      <c r="B111" s="65" t="s">
        <v>85</v>
      </c>
      <c r="C111" s="35">
        <v>50.84</v>
      </c>
      <c r="D111" s="34"/>
      <c r="E111" s="36"/>
      <c r="F111" s="36"/>
      <c r="G111" s="37">
        <v>5.6</v>
      </c>
      <c r="H111" s="35">
        <f t="shared" si="20"/>
        <v>5.6</v>
      </c>
      <c r="I111" s="31">
        <v>14</v>
      </c>
      <c r="J111" s="37">
        <v>6.5</v>
      </c>
      <c r="K111" s="35">
        <f t="shared" si="21"/>
        <v>20.5</v>
      </c>
      <c r="L111" s="38">
        <v>5.4</v>
      </c>
      <c r="M111" s="36"/>
      <c r="N111" s="35">
        <f t="shared" si="22"/>
        <v>25.9</v>
      </c>
      <c r="O111" s="35">
        <f>14.6+1+27.9</f>
        <v>43.5</v>
      </c>
      <c r="P111" s="34"/>
      <c r="Q111" s="49">
        <f t="shared" si="23"/>
        <v>125.84</v>
      </c>
      <c r="R111" s="85"/>
      <c r="S111" s="71"/>
      <c r="T111" s="70">
        <v>27.901</v>
      </c>
      <c r="U111" s="70"/>
    </row>
    <row r="112" spans="2:24" s="86" customFormat="1" ht="24.95" hidden="1" customHeight="1" x14ac:dyDescent="0.2">
      <c r="B112" s="65" t="s">
        <v>86</v>
      </c>
      <c r="C112" s="35">
        <v>21.7</v>
      </c>
      <c r="D112" s="34"/>
      <c r="E112" s="36"/>
      <c r="F112" s="36"/>
      <c r="G112" s="37">
        <v>3.5</v>
      </c>
      <c r="H112" s="35">
        <f t="shared" si="20"/>
        <v>3.5</v>
      </c>
      <c r="I112" s="31">
        <v>13.9</v>
      </c>
      <c r="J112" s="37">
        <v>7.9</v>
      </c>
      <c r="K112" s="35">
        <f t="shared" si="21"/>
        <v>21.8</v>
      </c>
      <c r="L112" s="38">
        <v>6.06</v>
      </c>
      <c r="M112" s="36"/>
      <c r="N112" s="35">
        <f t="shared" si="22"/>
        <v>27.86</v>
      </c>
      <c r="O112" s="35">
        <f>3.8+54.2</f>
        <v>58</v>
      </c>
      <c r="P112" s="34"/>
      <c r="Q112" s="49">
        <f t="shared" si="23"/>
        <v>111.06</v>
      </c>
      <c r="R112" s="85"/>
      <c r="S112" s="71"/>
      <c r="T112" s="86">
        <v>3.8</v>
      </c>
    </row>
    <row r="113" spans="2:27" s="86" customFormat="1" ht="24.95" hidden="1" customHeight="1" x14ac:dyDescent="0.2">
      <c r="B113" s="65" t="s">
        <v>87</v>
      </c>
      <c r="C113" s="35">
        <v>18.5</v>
      </c>
      <c r="D113" s="34"/>
      <c r="E113" s="36"/>
      <c r="F113" s="36"/>
      <c r="G113" s="37">
        <v>2.7</v>
      </c>
      <c r="H113" s="35">
        <f t="shared" si="20"/>
        <v>2.7</v>
      </c>
      <c r="I113" s="31">
        <v>8.6999999999999993</v>
      </c>
      <c r="J113" s="37">
        <v>5.5</v>
      </c>
      <c r="K113" s="35">
        <f t="shared" si="21"/>
        <v>14.2</v>
      </c>
      <c r="L113" s="38">
        <v>10.1</v>
      </c>
      <c r="M113" s="36"/>
      <c r="N113" s="35">
        <f t="shared" si="22"/>
        <v>24.299999999999997</v>
      </c>
      <c r="O113" s="35">
        <f>1.5+10+42.7</f>
        <v>54.2</v>
      </c>
      <c r="P113" s="34"/>
      <c r="Q113" s="49">
        <f t="shared" si="23"/>
        <v>99.7</v>
      </c>
      <c r="R113" s="85"/>
      <c r="S113" s="2"/>
    </row>
    <row r="114" spans="2:27" ht="24.95" hidden="1" customHeight="1" x14ac:dyDescent="0.2">
      <c r="B114" s="65" t="s">
        <v>88</v>
      </c>
      <c r="C114" s="35">
        <v>0.1</v>
      </c>
      <c r="D114" s="34"/>
      <c r="E114" s="36"/>
      <c r="F114" s="36"/>
      <c r="G114" s="37">
        <v>3.7</v>
      </c>
      <c r="H114" s="35">
        <f t="shared" si="20"/>
        <v>3.7</v>
      </c>
      <c r="I114" s="31">
        <v>11.54</v>
      </c>
      <c r="J114" s="37">
        <v>4.9400000000000004</v>
      </c>
      <c r="K114" s="35">
        <f t="shared" si="21"/>
        <v>16.48</v>
      </c>
      <c r="L114" s="38">
        <v>3.7</v>
      </c>
      <c r="M114" s="36"/>
      <c r="N114" s="35">
        <f t="shared" si="22"/>
        <v>20.18</v>
      </c>
      <c r="O114" s="35">
        <f>7+7.2+50.2+0.07</f>
        <v>64.47</v>
      </c>
      <c r="P114" s="34"/>
      <c r="Q114" s="49">
        <f t="shared" si="23"/>
        <v>88.45</v>
      </c>
      <c r="R114" s="85"/>
      <c r="S114" s="2"/>
    </row>
    <row r="115" spans="2:27" ht="24.95" hidden="1" customHeight="1" x14ac:dyDescent="0.2">
      <c r="B115" s="65" t="s">
        <v>89</v>
      </c>
      <c r="C115" s="35">
        <v>10.199999999999999</v>
      </c>
      <c r="D115" s="34"/>
      <c r="E115" s="36"/>
      <c r="F115" s="36"/>
      <c r="G115" s="37">
        <v>3.5</v>
      </c>
      <c r="H115" s="35">
        <f t="shared" si="20"/>
        <v>3.5</v>
      </c>
      <c r="I115" s="31">
        <v>20.6</v>
      </c>
      <c r="J115" s="37">
        <v>5.2</v>
      </c>
      <c r="K115" s="35">
        <f t="shared" si="21"/>
        <v>25.8</v>
      </c>
      <c r="L115" s="38">
        <v>3.5</v>
      </c>
      <c r="M115" s="36"/>
      <c r="N115" s="35">
        <f t="shared" si="22"/>
        <v>29.3</v>
      </c>
      <c r="O115" s="35">
        <f>13.2+11.4+48.1</f>
        <v>72.7</v>
      </c>
      <c r="P115" s="34"/>
      <c r="Q115" s="49">
        <f t="shared" si="23"/>
        <v>115.7</v>
      </c>
      <c r="R115" s="85"/>
      <c r="S115" s="71"/>
    </row>
    <row r="116" spans="2:27" ht="24.95" hidden="1" customHeight="1" x14ac:dyDescent="0.2">
      <c r="B116" s="65" t="s">
        <v>90</v>
      </c>
      <c r="C116" s="35">
        <v>49.9</v>
      </c>
      <c r="D116" s="34"/>
      <c r="E116" s="36"/>
      <c r="F116" s="36"/>
      <c r="G116" s="37">
        <v>3.6</v>
      </c>
      <c r="H116" s="35">
        <f t="shared" si="20"/>
        <v>3.6</v>
      </c>
      <c r="I116" s="31">
        <v>10.7</v>
      </c>
      <c r="J116" s="37">
        <v>3</v>
      </c>
      <c r="K116" s="35">
        <f t="shared" si="21"/>
        <v>13.7</v>
      </c>
      <c r="L116" s="38">
        <v>3.2</v>
      </c>
      <c r="M116" s="36"/>
      <c r="N116" s="35">
        <f t="shared" si="22"/>
        <v>16.899999999999999</v>
      </c>
      <c r="O116" s="35">
        <f>8.5+22.2+3.2+0.1</f>
        <v>34</v>
      </c>
      <c r="P116" s="34"/>
      <c r="Q116" s="49">
        <f t="shared" si="23"/>
        <v>104.4</v>
      </c>
      <c r="R116" s="85"/>
      <c r="S116" s="71"/>
    </row>
    <row r="117" spans="2:27" ht="24.95" hidden="1" customHeight="1" x14ac:dyDescent="0.2">
      <c r="B117" s="65" t="s">
        <v>91</v>
      </c>
      <c r="C117" s="35">
        <v>14.4</v>
      </c>
      <c r="D117" s="34"/>
      <c r="E117" s="36"/>
      <c r="F117" s="36"/>
      <c r="G117" s="37">
        <v>3.5</v>
      </c>
      <c r="H117" s="35">
        <f t="shared" si="20"/>
        <v>3.5</v>
      </c>
      <c r="I117" s="31">
        <v>11.1</v>
      </c>
      <c r="J117" s="37">
        <v>5.2</v>
      </c>
      <c r="K117" s="35">
        <f t="shared" si="21"/>
        <v>16.3</v>
      </c>
      <c r="L117" s="38">
        <v>2.7</v>
      </c>
      <c r="M117" s="36"/>
      <c r="N117" s="35">
        <f t="shared" si="22"/>
        <v>19</v>
      </c>
      <c r="O117" s="35">
        <f>11.5+5.3+62.3+0.06</f>
        <v>79.16</v>
      </c>
      <c r="P117" s="34"/>
      <c r="Q117" s="49">
        <f t="shared" si="23"/>
        <v>116.06</v>
      </c>
      <c r="R117" s="85"/>
      <c r="S117" s="71"/>
    </row>
    <row r="118" spans="2:27" ht="24.95" hidden="1" customHeight="1" x14ac:dyDescent="0.2">
      <c r="B118" s="65" t="s">
        <v>63</v>
      </c>
      <c r="C118" s="35">
        <v>27.74</v>
      </c>
      <c r="D118" s="34"/>
      <c r="E118" s="36"/>
      <c r="F118" s="36"/>
      <c r="G118" s="37">
        <v>4.9000000000000004</v>
      </c>
      <c r="H118" s="35">
        <f>D118+E118+F118+G118</f>
        <v>4.9000000000000004</v>
      </c>
      <c r="I118" s="31">
        <v>10.5</v>
      </c>
      <c r="J118" s="37">
        <v>3.7</v>
      </c>
      <c r="K118" s="35">
        <f>I118+J118</f>
        <v>14.2</v>
      </c>
      <c r="L118" s="38">
        <v>2.5</v>
      </c>
      <c r="M118" s="36"/>
      <c r="N118" s="35">
        <f>L118+K118</f>
        <v>16.7</v>
      </c>
      <c r="O118" s="35">
        <f>11.5+31+47.6</f>
        <v>90.1</v>
      </c>
      <c r="P118" s="34"/>
      <c r="Q118" s="49">
        <f t="shared" si="23"/>
        <v>139.44</v>
      </c>
      <c r="R118" s="85"/>
      <c r="S118" s="71"/>
    </row>
    <row r="119" spans="2:27" ht="20.25" hidden="1" customHeight="1" x14ac:dyDescent="0.2">
      <c r="B119" s="65"/>
      <c r="C119" s="35"/>
      <c r="D119" s="34"/>
      <c r="E119" s="36"/>
      <c r="F119" s="36"/>
      <c r="G119" s="37"/>
      <c r="H119" s="35"/>
      <c r="I119" s="31"/>
      <c r="J119" s="37"/>
      <c r="K119" s="35"/>
      <c r="L119" s="38"/>
      <c r="M119" s="36"/>
      <c r="N119" s="35"/>
      <c r="O119" s="35"/>
      <c r="P119" s="34"/>
      <c r="Q119" s="49"/>
      <c r="R119" s="85"/>
      <c r="S119" s="71"/>
    </row>
    <row r="120" spans="2:27" ht="24.95" hidden="1" customHeight="1" x14ac:dyDescent="0.2">
      <c r="B120" s="64">
        <v>2002</v>
      </c>
      <c r="C120" s="35">
        <f t="shared" ref="C120:R120" si="24">SUM(C121:C132)</f>
        <v>965.649</v>
      </c>
      <c r="D120" s="34">
        <f t="shared" si="24"/>
        <v>0</v>
      </c>
      <c r="E120" s="36">
        <f t="shared" si="24"/>
        <v>0</v>
      </c>
      <c r="F120" s="36">
        <f t="shared" si="24"/>
        <v>0</v>
      </c>
      <c r="G120" s="37">
        <f t="shared" si="24"/>
        <v>38.4</v>
      </c>
      <c r="H120" s="35">
        <f t="shared" si="24"/>
        <v>38.4</v>
      </c>
      <c r="I120" s="31">
        <f t="shared" si="24"/>
        <v>186.76</v>
      </c>
      <c r="J120" s="37">
        <f t="shared" si="24"/>
        <v>51.589999999999996</v>
      </c>
      <c r="K120" s="35">
        <f t="shared" si="24"/>
        <v>238.35000000000002</v>
      </c>
      <c r="L120" s="38">
        <f t="shared" si="24"/>
        <v>46.4</v>
      </c>
      <c r="M120" s="36">
        <f t="shared" si="24"/>
        <v>0</v>
      </c>
      <c r="N120" s="35">
        <f t="shared" si="24"/>
        <v>284.75</v>
      </c>
      <c r="O120" s="35">
        <f t="shared" si="24"/>
        <v>925.52100000000007</v>
      </c>
      <c r="P120" s="34">
        <f t="shared" si="24"/>
        <v>0</v>
      </c>
      <c r="Q120" s="49">
        <f t="shared" si="24"/>
        <v>2214.3199999999997</v>
      </c>
      <c r="R120" s="85">
        <f t="shared" si="24"/>
        <v>0</v>
      </c>
      <c r="S120" s="71"/>
      <c r="Y120" s="49"/>
    </row>
    <row r="121" spans="2:27" ht="24.95" hidden="1" customHeight="1" x14ac:dyDescent="0.2">
      <c r="B121" s="65" t="s">
        <v>81</v>
      </c>
      <c r="C121" s="35">
        <v>4.2</v>
      </c>
      <c r="D121" s="34"/>
      <c r="E121" s="36"/>
      <c r="F121" s="36"/>
      <c r="G121" s="37">
        <v>3.3</v>
      </c>
      <c r="H121" s="35">
        <f t="shared" ref="H121:H131" si="25">D121+E121+F121+G121</f>
        <v>3.3</v>
      </c>
      <c r="I121" s="31">
        <v>6.63</v>
      </c>
      <c r="J121" s="37">
        <v>2</v>
      </c>
      <c r="K121" s="35">
        <f t="shared" ref="K121:K131" si="26">I121+J121</f>
        <v>8.629999999999999</v>
      </c>
      <c r="L121" s="38">
        <v>3.8</v>
      </c>
      <c r="M121" s="36"/>
      <c r="N121" s="35">
        <f t="shared" ref="N121:N131" si="27">L121+K121</f>
        <v>12.43</v>
      </c>
      <c r="O121" s="35">
        <f>11.9+29+123.8-0.04</f>
        <v>164.66</v>
      </c>
      <c r="P121" s="34"/>
      <c r="Q121" s="49">
        <f t="shared" ref="Q121:Q132" si="28">O121+N121+H121+C121</f>
        <v>184.59</v>
      </c>
      <c r="R121" s="85"/>
      <c r="S121" s="71"/>
      <c r="Z121" s="90"/>
      <c r="AA121" s="86"/>
    </row>
    <row r="122" spans="2:27" ht="24.95" hidden="1" customHeight="1" x14ac:dyDescent="0.2">
      <c r="B122" s="65" t="s">
        <v>82</v>
      </c>
      <c r="C122" s="35">
        <f>89.4-17.2-34.993</f>
        <v>37.207000000000001</v>
      </c>
      <c r="D122" s="34"/>
      <c r="E122" s="36"/>
      <c r="F122" s="36"/>
      <c r="G122" s="37">
        <v>3.2</v>
      </c>
      <c r="H122" s="35">
        <f t="shared" si="25"/>
        <v>3.2</v>
      </c>
      <c r="I122" s="31">
        <v>11.7</v>
      </c>
      <c r="J122" s="37">
        <v>4.33</v>
      </c>
      <c r="K122" s="35">
        <f t="shared" si="26"/>
        <v>16.03</v>
      </c>
      <c r="L122" s="38">
        <v>2.9</v>
      </c>
      <c r="M122" s="36"/>
      <c r="N122" s="35">
        <f t="shared" si="27"/>
        <v>18.93</v>
      </c>
      <c r="O122" s="35">
        <f>6.8+34.993+17.2-0.04</f>
        <v>58.952999999999996</v>
      </c>
      <c r="P122" s="34"/>
      <c r="Q122" s="49">
        <f t="shared" si="28"/>
        <v>118.28999999999999</v>
      </c>
      <c r="R122" s="85"/>
      <c r="S122" s="71"/>
      <c r="Z122" s="90"/>
      <c r="AA122" s="86"/>
    </row>
    <row r="123" spans="2:27" ht="24.95" hidden="1" customHeight="1" x14ac:dyDescent="0.2">
      <c r="B123" s="65" t="s">
        <v>83</v>
      </c>
      <c r="C123" s="35">
        <f>93.3-42.7-8.706</f>
        <v>41.893999999999991</v>
      </c>
      <c r="D123" s="34"/>
      <c r="E123" s="36"/>
      <c r="F123" s="36"/>
      <c r="G123" s="37">
        <v>3.3</v>
      </c>
      <c r="H123" s="35">
        <f t="shared" si="25"/>
        <v>3.3</v>
      </c>
      <c r="I123" s="31">
        <v>16.100000000000001</v>
      </c>
      <c r="J123" s="37">
        <v>5.83</v>
      </c>
      <c r="K123" s="35">
        <f t="shared" si="26"/>
        <v>21.93</v>
      </c>
      <c r="L123" s="38">
        <v>5.7</v>
      </c>
      <c r="M123" s="36"/>
      <c r="N123" s="35">
        <f t="shared" si="27"/>
        <v>27.63</v>
      </c>
      <c r="O123" s="35">
        <f>12.1+8.706+42.7</f>
        <v>63.506</v>
      </c>
      <c r="P123" s="34"/>
      <c r="Q123" s="49">
        <f t="shared" si="28"/>
        <v>136.32999999999998</v>
      </c>
      <c r="R123" s="85"/>
      <c r="S123" s="71"/>
      <c r="Z123" s="90"/>
      <c r="AA123" s="86"/>
    </row>
    <row r="124" spans="2:27" ht="24.95" hidden="1" customHeight="1" x14ac:dyDescent="0.2">
      <c r="B124" s="65" t="s">
        <v>84</v>
      </c>
      <c r="C124" s="35">
        <f>67.7-31.2-11</f>
        <v>25.5</v>
      </c>
      <c r="D124" s="34"/>
      <c r="E124" s="36"/>
      <c r="F124" s="36"/>
      <c r="G124" s="37">
        <v>2.7</v>
      </c>
      <c r="H124" s="35">
        <f t="shared" si="25"/>
        <v>2.7</v>
      </c>
      <c r="I124" s="31">
        <v>11.8</v>
      </c>
      <c r="J124" s="37">
        <v>3.1</v>
      </c>
      <c r="K124" s="35">
        <f t="shared" si="26"/>
        <v>14.9</v>
      </c>
      <c r="L124" s="38">
        <v>3.9</v>
      </c>
      <c r="M124" s="36"/>
      <c r="N124" s="35">
        <f t="shared" si="27"/>
        <v>18.8</v>
      </c>
      <c r="O124" s="35">
        <f>4.4+11+31.2</f>
        <v>46.6</v>
      </c>
      <c r="P124" s="34"/>
      <c r="Q124" s="49">
        <f t="shared" si="28"/>
        <v>93.600000000000009</v>
      </c>
      <c r="R124" s="85"/>
      <c r="S124" s="71"/>
      <c r="Z124" s="90"/>
      <c r="AA124" s="38"/>
    </row>
    <row r="125" spans="2:27" ht="24.95" hidden="1" customHeight="1" x14ac:dyDescent="0.2">
      <c r="B125" s="65" t="s">
        <v>85</v>
      </c>
      <c r="C125" s="35">
        <v>30</v>
      </c>
      <c r="D125" s="34"/>
      <c r="E125" s="36"/>
      <c r="F125" s="36"/>
      <c r="G125" s="37">
        <v>4.2</v>
      </c>
      <c r="H125" s="35">
        <f t="shared" si="25"/>
        <v>4.2</v>
      </c>
      <c r="I125" s="31">
        <v>11.5</v>
      </c>
      <c r="J125" s="37">
        <v>5.6</v>
      </c>
      <c r="K125" s="35">
        <f t="shared" si="26"/>
        <v>17.100000000000001</v>
      </c>
      <c r="L125" s="38">
        <v>3.6</v>
      </c>
      <c r="M125" s="36"/>
      <c r="N125" s="35">
        <f t="shared" si="27"/>
        <v>20.700000000000003</v>
      </c>
      <c r="O125" s="35">
        <f>6.7+8.6+10.9</f>
        <v>26.200000000000003</v>
      </c>
      <c r="P125" s="34"/>
      <c r="Q125" s="49">
        <f t="shared" si="28"/>
        <v>81.100000000000009</v>
      </c>
      <c r="R125" s="85"/>
      <c r="S125" s="71"/>
      <c r="Z125" s="90"/>
      <c r="AA125" s="38"/>
    </row>
    <row r="126" spans="2:27" ht="24.95" hidden="1" customHeight="1" x14ac:dyDescent="0.2">
      <c r="B126" s="65" t="s">
        <v>86</v>
      </c>
      <c r="C126" s="35">
        <f>167.3-57.9-(9.352+2.4)</f>
        <v>97.64800000000001</v>
      </c>
      <c r="D126" s="34"/>
      <c r="E126" s="36"/>
      <c r="F126" s="36"/>
      <c r="G126" s="37">
        <v>3</v>
      </c>
      <c r="H126" s="35">
        <f t="shared" si="25"/>
        <v>3</v>
      </c>
      <c r="I126" s="31">
        <v>10.9</v>
      </c>
      <c r="J126" s="37">
        <v>3.2</v>
      </c>
      <c r="K126" s="35">
        <f t="shared" si="26"/>
        <v>14.100000000000001</v>
      </c>
      <c r="L126" s="38">
        <v>4</v>
      </c>
      <c r="M126" s="36"/>
      <c r="N126" s="35">
        <f t="shared" si="27"/>
        <v>18.100000000000001</v>
      </c>
      <c r="O126" s="35">
        <f>3.5+(9.352+2.4)+57.9</f>
        <v>73.152000000000001</v>
      </c>
      <c r="P126" s="34"/>
      <c r="Q126" s="49">
        <f t="shared" si="28"/>
        <v>191.90000000000003</v>
      </c>
      <c r="R126" s="85"/>
      <c r="S126" s="71"/>
      <c r="Z126" s="90"/>
      <c r="AA126" s="38"/>
    </row>
    <row r="127" spans="2:27" ht="24.95" hidden="1" customHeight="1" x14ac:dyDescent="0.2">
      <c r="B127" s="65" t="s">
        <v>87</v>
      </c>
      <c r="C127" s="35">
        <f>566.2-83.6-34.7</f>
        <v>447.90000000000003</v>
      </c>
      <c r="D127" s="34"/>
      <c r="E127" s="36"/>
      <c r="F127" s="36"/>
      <c r="G127" s="37">
        <v>4.2</v>
      </c>
      <c r="H127" s="35">
        <f t="shared" si="25"/>
        <v>4.2</v>
      </c>
      <c r="I127" s="31">
        <v>7.6</v>
      </c>
      <c r="J127" s="37">
        <v>2.1</v>
      </c>
      <c r="K127" s="35">
        <f t="shared" si="26"/>
        <v>9.6999999999999993</v>
      </c>
      <c r="L127" s="38">
        <v>3.8</v>
      </c>
      <c r="M127" s="36"/>
      <c r="N127" s="35">
        <f t="shared" si="27"/>
        <v>13.5</v>
      </c>
      <c r="O127" s="35">
        <f>4.7+34.7+83.6+0.05</f>
        <v>123.05</v>
      </c>
      <c r="P127" s="34"/>
      <c r="Q127" s="49">
        <f t="shared" si="28"/>
        <v>588.65000000000009</v>
      </c>
      <c r="R127" s="85"/>
      <c r="S127" s="71"/>
      <c r="Z127" s="90"/>
      <c r="AA127" s="86"/>
    </row>
    <row r="128" spans="2:27" ht="24.95" hidden="1" customHeight="1" x14ac:dyDescent="0.2">
      <c r="B128" s="65" t="s">
        <v>88</v>
      </c>
      <c r="C128" s="35">
        <f>115.4-70.6-39.3</f>
        <v>5.5000000000000142</v>
      </c>
      <c r="D128" s="34"/>
      <c r="E128" s="36"/>
      <c r="F128" s="36"/>
      <c r="G128" s="37">
        <v>2.6</v>
      </c>
      <c r="H128" s="35">
        <f t="shared" si="25"/>
        <v>2.6</v>
      </c>
      <c r="I128" s="31">
        <v>13.6</v>
      </c>
      <c r="J128" s="37">
        <v>3.7</v>
      </c>
      <c r="K128" s="35">
        <f t="shared" si="26"/>
        <v>17.3</v>
      </c>
      <c r="L128" s="38">
        <v>3.8</v>
      </c>
      <c r="M128" s="36"/>
      <c r="N128" s="35">
        <f t="shared" si="27"/>
        <v>21.1</v>
      </c>
      <c r="O128" s="35">
        <f>3.6+70.6+39.3+0.1</f>
        <v>113.59999999999998</v>
      </c>
      <c r="P128" s="34"/>
      <c r="Q128" s="49">
        <f t="shared" si="28"/>
        <v>142.80000000000001</v>
      </c>
      <c r="R128" s="85"/>
      <c r="S128" s="71"/>
      <c r="Z128" s="90"/>
      <c r="AA128" s="86"/>
    </row>
    <row r="129" spans="2:27" ht="24.95" hidden="1" customHeight="1" x14ac:dyDescent="0.2">
      <c r="B129" s="65" t="s">
        <v>89</v>
      </c>
      <c r="C129" s="35">
        <f>92.4</f>
        <v>92.4</v>
      </c>
      <c r="D129" s="34"/>
      <c r="E129" s="36"/>
      <c r="F129" s="36"/>
      <c r="G129" s="37">
        <v>2.6</v>
      </c>
      <c r="H129" s="35">
        <f t="shared" si="25"/>
        <v>2.6</v>
      </c>
      <c r="I129" s="31">
        <v>18.899999999999999</v>
      </c>
      <c r="J129" s="37">
        <v>6.1</v>
      </c>
      <c r="K129" s="35">
        <f t="shared" si="26"/>
        <v>25</v>
      </c>
      <c r="L129" s="38">
        <v>6.9</v>
      </c>
      <c r="M129" s="36"/>
      <c r="N129" s="35">
        <f t="shared" si="27"/>
        <v>31.9</v>
      </c>
      <c r="O129" s="35">
        <f>3.4+50.6+6</f>
        <v>60</v>
      </c>
      <c r="P129" s="34"/>
      <c r="Q129" s="49">
        <f t="shared" si="28"/>
        <v>186.9</v>
      </c>
      <c r="R129" s="85"/>
      <c r="S129" s="71"/>
      <c r="Z129" s="90"/>
      <c r="AA129" s="86"/>
    </row>
    <row r="130" spans="2:27" ht="24.95" hidden="1" customHeight="1" x14ac:dyDescent="0.2">
      <c r="B130" s="65" t="s">
        <v>90</v>
      </c>
      <c r="C130" s="35">
        <v>57.1</v>
      </c>
      <c r="D130" s="34"/>
      <c r="E130" s="36"/>
      <c r="F130" s="36"/>
      <c r="G130" s="37">
        <v>3</v>
      </c>
      <c r="H130" s="35">
        <f t="shared" si="25"/>
        <v>3</v>
      </c>
      <c r="I130" s="31">
        <v>37.5</v>
      </c>
      <c r="J130" s="37">
        <v>3.9</v>
      </c>
      <c r="K130" s="35">
        <f t="shared" si="26"/>
        <v>41.4</v>
      </c>
      <c r="L130" s="38">
        <v>3.5</v>
      </c>
      <c r="M130" s="36"/>
      <c r="N130" s="35">
        <f t="shared" si="27"/>
        <v>44.9</v>
      </c>
      <c r="O130" s="35">
        <f>4.3+1.8+47.5</f>
        <v>53.6</v>
      </c>
      <c r="P130" s="34"/>
      <c r="Q130" s="49">
        <f t="shared" si="28"/>
        <v>158.6</v>
      </c>
      <c r="R130" s="85"/>
      <c r="S130" s="71"/>
      <c r="Z130" s="90"/>
      <c r="AA130" s="86"/>
    </row>
    <row r="131" spans="2:27" ht="24.95" hidden="1" customHeight="1" x14ac:dyDescent="0.2">
      <c r="B131" s="65" t="s">
        <v>91</v>
      </c>
      <c r="C131" s="35">
        <v>36.9</v>
      </c>
      <c r="D131" s="34"/>
      <c r="E131" s="36"/>
      <c r="F131" s="36"/>
      <c r="G131" s="37">
        <v>3</v>
      </c>
      <c r="H131" s="35">
        <f t="shared" si="25"/>
        <v>3</v>
      </c>
      <c r="I131" s="31">
        <v>29.5</v>
      </c>
      <c r="J131" s="37">
        <v>7.43</v>
      </c>
      <c r="K131" s="35">
        <f t="shared" si="26"/>
        <v>36.93</v>
      </c>
      <c r="L131" s="38">
        <v>1.3</v>
      </c>
      <c r="M131" s="36"/>
      <c r="N131" s="35">
        <f t="shared" si="27"/>
        <v>38.229999999999997</v>
      </c>
      <c r="O131" s="35">
        <f>22.6+38.2+1.4</f>
        <v>62.2</v>
      </c>
      <c r="P131" s="34"/>
      <c r="Q131" s="49">
        <f t="shared" si="28"/>
        <v>140.33000000000001</v>
      </c>
      <c r="R131" s="85"/>
      <c r="S131" s="71"/>
      <c r="Z131" s="90"/>
    </row>
    <row r="132" spans="2:27" ht="24.95" hidden="1" customHeight="1" x14ac:dyDescent="0.2">
      <c r="B132" s="65" t="s">
        <v>63</v>
      </c>
      <c r="C132" s="35">
        <v>89.4</v>
      </c>
      <c r="D132" s="34"/>
      <c r="E132" s="36"/>
      <c r="F132" s="36"/>
      <c r="G132" s="37">
        <v>3.3</v>
      </c>
      <c r="H132" s="35">
        <f>D132+E132+F132+G132</f>
        <v>3.3</v>
      </c>
      <c r="I132" s="31">
        <v>11.03</v>
      </c>
      <c r="J132" s="37">
        <v>4.3</v>
      </c>
      <c r="K132" s="35">
        <f>I132+J132</f>
        <v>15.329999999999998</v>
      </c>
      <c r="L132" s="38">
        <v>3.2</v>
      </c>
      <c r="M132" s="36"/>
      <c r="N132" s="35">
        <f>L132+K132</f>
        <v>18.529999999999998</v>
      </c>
      <c r="O132" s="35">
        <f>2+77.5+0.5</f>
        <v>80</v>
      </c>
      <c r="P132" s="34"/>
      <c r="Q132" s="49">
        <f t="shared" si="28"/>
        <v>191.23000000000002</v>
      </c>
      <c r="R132" s="85"/>
      <c r="S132" s="71"/>
      <c r="Z132" s="90"/>
    </row>
    <row r="133" spans="2:27" ht="24.95" hidden="1" customHeight="1" x14ac:dyDescent="0.2">
      <c r="B133" s="65"/>
      <c r="C133" s="35"/>
      <c r="D133" s="34"/>
      <c r="E133" s="36"/>
      <c r="F133" s="36"/>
      <c r="G133" s="37"/>
      <c r="H133" s="35"/>
      <c r="I133" s="31"/>
      <c r="J133" s="37"/>
      <c r="K133" s="35"/>
      <c r="L133" s="38"/>
      <c r="M133" s="36"/>
      <c r="N133" s="35"/>
      <c r="O133" s="35"/>
      <c r="P133" s="34"/>
      <c r="Q133" s="49"/>
      <c r="R133" s="85"/>
      <c r="S133" s="71"/>
      <c r="Z133" s="90"/>
    </row>
    <row r="134" spans="2:27" ht="24.95" hidden="1" customHeight="1" x14ac:dyDescent="0.2">
      <c r="B134" s="64">
        <v>2003</v>
      </c>
      <c r="C134" s="35">
        <f t="shared" ref="C134:R134" si="29">SUM(C135:C146)</f>
        <v>656.9</v>
      </c>
      <c r="D134" s="34">
        <f t="shared" si="29"/>
        <v>0</v>
      </c>
      <c r="E134" s="36">
        <f t="shared" si="29"/>
        <v>0</v>
      </c>
      <c r="F134" s="36">
        <f t="shared" si="29"/>
        <v>0</v>
      </c>
      <c r="G134" s="37">
        <f t="shared" si="29"/>
        <v>28.299999999999997</v>
      </c>
      <c r="H134" s="35">
        <f t="shared" si="29"/>
        <v>28.299999999999997</v>
      </c>
      <c r="I134" s="31">
        <f t="shared" si="29"/>
        <v>316</v>
      </c>
      <c r="J134" s="37">
        <f t="shared" si="29"/>
        <v>61.699999999999989</v>
      </c>
      <c r="K134" s="35">
        <f t="shared" si="29"/>
        <v>377.7</v>
      </c>
      <c r="L134" s="38">
        <f t="shared" si="29"/>
        <v>56</v>
      </c>
      <c r="M134" s="36">
        <f t="shared" si="29"/>
        <v>0</v>
      </c>
      <c r="N134" s="35">
        <f t="shared" si="29"/>
        <v>433.7</v>
      </c>
      <c r="O134" s="35">
        <f t="shared" si="29"/>
        <v>657.69999999999982</v>
      </c>
      <c r="P134" s="34">
        <f t="shared" si="29"/>
        <v>0</v>
      </c>
      <c r="Q134" s="49">
        <f t="shared" si="29"/>
        <v>1776.6000000000001</v>
      </c>
      <c r="R134" s="85">
        <f t="shared" si="29"/>
        <v>0</v>
      </c>
      <c r="S134" s="71"/>
      <c r="Y134" s="49"/>
    </row>
    <row r="135" spans="2:27" ht="24.95" hidden="1" customHeight="1" x14ac:dyDescent="0.2">
      <c r="B135" s="65" t="s">
        <v>81</v>
      </c>
      <c r="C135" s="35">
        <v>6.8</v>
      </c>
      <c r="D135" s="34"/>
      <c r="E135" s="36"/>
      <c r="F135" s="36"/>
      <c r="G135" s="37">
        <v>2.1</v>
      </c>
      <c r="H135" s="35">
        <f t="shared" ref="H135:H146" si="30">D135+E135+F135+G135</f>
        <v>2.1</v>
      </c>
      <c r="I135" s="31">
        <v>32.799999999999997</v>
      </c>
      <c r="J135" s="37">
        <v>3</v>
      </c>
      <c r="K135" s="35">
        <f>I135+J135</f>
        <v>35.799999999999997</v>
      </c>
      <c r="L135" s="38">
        <v>3.6</v>
      </c>
      <c r="M135" s="36"/>
      <c r="N135" s="35">
        <f>L135+K135</f>
        <v>39.4</v>
      </c>
      <c r="O135" s="35">
        <f>3.5+0.7+111.5</f>
        <v>115.7</v>
      </c>
      <c r="P135" s="34"/>
      <c r="Q135" s="49">
        <f t="shared" ref="Q135:Q146" si="31">O135+N135+H135+C135</f>
        <v>164</v>
      </c>
      <c r="R135" s="85"/>
      <c r="S135" s="71"/>
      <c r="Y135" s="49">
        <f>164-Q135</f>
        <v>0</v>
      </c>
    </row>
    <row r="136" spans="2:27" ht="24.95" hidden="1" customHeight="1" x14ac:dyDescent="0.2">
      <c r="B136" s="65" t="s">
        <v>82</v>
      </c>
      <c r="C136" s="35">
        <v>190.8</v>
      </c>
      <c r="D136" s="34"/>
      <c r="E136" s="36"/>
      <c r="F136" s="36"/>
      <c r="G136" s="37">
        <v>3.3</v>
      </c>
      <c r="H136" s="35">
        <f t="shared" si="30"/>
        <v>3.3</v>
      </c>
      <c r="I136" s="31">
        <v>13.4</v>
      </c>
      <c r="J136" s="37">
        <v>3.5</v>
      </c>
      <c r="K136" s="35">
        <f>I136+J136</f>
        <v>16.899999999999999</v>
      </c>
      <c r="L136" s="38">
        <v>1.9</v>
      </c>
      <c r="M136" s="36"/>
      <c r="N136" s="35">
        <f>L136+K136</f>
        <v>18.799999999999997</v>
      </c>
      <c r="O136" s="35">
        <f>2.8+9+35.9</f>
        <v>47.7</v>
      </c>
      <c r="P136" s="34"/>
      <c r="Q136" s="49">
        <f t="shared" si="31"/>
        <v>260.60000000000002</v>
      </c>
      <c r="R136" s="85"/>
      <c r="S136" s="71"/>
      <c r="Y136" s="49"/>
    </row>
    <row r="137" spans="2:27" ht="24.95" hidden="1" customHeight="1" x14ac:dyDescent="0.2">
      <c r="B137" s="65" t="s">
        <v>83</v>
      </c>
      <c r="C137" s="35">
        <v>4.8</v>
      </c>
      <c r="D137" s="34"/>
      <c r="E137" s="36"/>
      <c r="F137" s="36"/>
      <c r="G137" s="37">
        <v>1.8</v>
      </c>
      <c r="H137" s="35">
        <f t="shared" si="30"/>
        <v>1.8</v>
      </c>
      <c r="I137" s="31">
        <v>15.1</v>
      </c>
      <c r="J137" s="37">
        <v>5.7</v>
      </c>
      <c r="K137" s="35">
        <f>I137+J137</f>
        <v>20.8</v>
      </c>
      <c r="L137" s="38">
        <v>4.2</v>
      </c>
      <c r="M137" s="36"/>
      <c r="N137" s="35">
        <f>L137+K137</f>
        <v>25</v>
      </c>
      <c r="O137" s="35">
        <f>2.1+11+39.7</f>
        <v>52.800000000000004</v>
      </c>
      <c r="P137" s="34"/>
      <c r="Q137" s="49">
        <f t="shared" si="31"/>
        <v>84.4</v>
      </c>
      <c r="R137" s="85"/>
      <c r="S137" s="71"/>
      <c r="Y137" s="49">
        <f>84.4-Q137</f>
        <v>0</v>
      </c>
    </row>
    <row r="138" spans="2:27" ht="24.95" hidden="1" customHeight="1" x14ac:dyDescent="0.2">
      <c r="B138" s="65" t="s">
        <v>84</v>
      </c>
      <c r="C138" s="35">
        <v>17.600000000000001</v>
      </c>
      <c r="D138" s="34"/>
      <c r="E138" s="36"/>
      <c r="F138" s="36"/>
      <c r="G138" s="37">
        <v>2</v>
      </c>
      <c r="H138" s="35">
        <f t="shared" si="30"/>
        <v>2</v>
      </c>
      <c r="I138" s="31">
        <v>43.7</v>
      </c>
      <c r="J138" s="37">
        <v>4.5999999999999996</v>
      </c>
      <c r="K138" s="35">
        <f t="shared" ref="K138:K203" si="32">I138+J138</f>
        <v>48.300000000000004</v>
      </c>
      <c r="L138" s="38">
        <v>5.5</v>
      </c>
      <c r="M138" s="36"/>
      <c r="N138" s="35">
        <f t="shared" ref="N138:N203" si="33">L138+K138</f>
        <v>53.800000000000004</v>
      </c>
      <c r="O138" s="35">
        <f>7+1.8+20.5</f>
        <v>29.3</v>
      </c>
      <c r="P138" s="34"/>
      <c r="Q138" s="49">
        <f t="shared" si="31"/>
        <v>102.70000000000002</v>
      </c>
      <c r="R138" s="85"/>
      <c r="S138" s="71"/>
      <c r="Y138" s="49"/>
    </row>
    <row r="139" spans="2:27" ht="24.95" hidden="1" customHeight="1" x14ac:dyDescent="0.2">
      <c r="B139" s="65" t="s">
        <v>85</v>
      </c>
      <c r="C139" s="35">
        <v>39.6</v>
      </c>
      <c r="D139" s="34"/>
      <c r="E139" s="36"/>
      <c r="F139" s="36"/>
      <c r="G139" s="37">
        <v>3.2</v>
      </c>
      <c r="H139" s="35">
        <f t="shared" si="30"/>
        <v>3.2</v>
      </c>
      <c r="I139" s="31">
        <v>52.9</v>
      </c>
      <c r="J139" s="37">
        <v>7.6</v>
      </c>
      <c r="K139" s="35">
        <f t="shared" si="32"/>
        <v>60.5</v>
      </c>
      <c r="L139" s="38">
        <v>3.4</v>
      </c>
      <c r="M139" s="36"/>
      <c r="N139" s="35">
        <f t="shared" si="33"/>
        <v>63.9</v>
      </c>
      <c r="O139" s="35">
        <f>2.6+4.1+7.8-0.1</f>
        <v>14.4</v>
      </c>
      <c r="P139" s="34"/>
      <c r="Q139" s="49">
        <f t="shared" si="31"/>
        <v>121.1</v>
      </c>
      <c r="R139" s="85"/>
      <c r="S139" s="71"/>
      <c r="Y139" s="49"/>
    </row>
    <row r="140" spans="2:27" ht="24.95" hidden="1" customHeight="1" x14ac:dyDescent="0.2">
      <c r="B140" s="65" t="s">
        <v>86</v>
      </c>
      <c r="C140" s="35">
        <v>12.1</v>
      </c>
      <c r="D140" s="34"/>
      <c r="E140" s="36"/>
      <c r="F140" s="36"/>
      <c r="G140" s="37">
        <v>1.6</v>
      </c>
      <c r="H140" s="35">
        <f t="shared" si="30"/>
        <v>1.6</v>
      </c>
      <c r="I140" s="31">
        <v>15.9</v>
      </c>
      <c r="J140" s="37">
        <v>3.8</v>
      </c>
      <c r="K140" s="35">
        <f t="shared" si="32"/>
        <v>19.7</v>
      </c>
      <c r="L140" s="38">
        <v>2.2000000000000002</v>
      </c>
      <c r="M140" s="36"/>
      <c r="N140" s="35">
        <f t="shared" si="33"/>
        <v>21.9</v>
      </c>
      <c r="O140" s="35">
        <f>17.4+1.8+9.5</f>
        <v>28.7</v>
      </c>
      <c r="P140" s="34"/>
      <c r="Q140" s="49">
        <f t="shared" si="31"/>
        <v>64.3</v>
      </c>
      <c r="R140" s="85"/>
      <c r="S140" s="71"/>
      <c r="Y140" s="49"/>
    </row>
    <row r="141" spans="2:27" ht="24.95" hidden="1" customHeight="1" x14ac:dyDescent="0.2">
      <c r="B141" s="65" t="s">
        <v>87</v>
      </c>
      <c r="C141" s="35">
        <v>9.3000000000000007</v>
      </c>
      <c r="D141" s="34"/>
      <c r="E141" s="36"/>
      <c r="F141" s="36"/>
      <c r="G141" s="37">
        <v>1.8</v>
      </c>
      <c r="H141" s="35">
        <f t="shared" si="30"/>
        <v>1.8</v>
      </c>
      <c r="I141" s="31">
        <v>33</v>
      </c>
      <c r="J141" s="37">
        <v>2</v>
      </c>
      <c r="K141" s="35">
        <f t="shared" si="32"/>
        <v>35</v>
      </c>
      <c r="L141" s="38">
        <v>19.899999999999999</v>
      </c>
      <c r="M141" s="36"/>
      <c r="N141" s="35">
        <f t="shared" si="33"/>
        <v>54.9</v>
      </c>
      <c r="O141" s="35">
        <f>40.9+2.7+8.4</f>
        <v>52</v>
      </c>
      <c r="P141" s="34"/>
      <c r="Q141" s="49">
        <f t="shared" si="31"/>
        <v>118</v>
      </c>
      <c r="R141" s="85"/>
      <c r="S141" s="71"/>
      <c r="Y141" s="49"/>
    </row>
    <row r="142" spans="2:27" ht="24.95" hidden="1" customHeight="1" x14ac:dyDescent="0.2">
      <c r="B142" s="65" t="s">
        <v>88</v>
      </c>
      <c r="C142" s="35">
        <v>11.7</v>
      </c>
      <c r="D142" s="34"/>
      <c r="E142" s="36"/>
      <c r="F142" s="36"/>
      <c r="G142" s="37">
        <v>2</v>
      </c>
      <c r="H142" s="35">
        <f t="shared" si="30"/>
        <v>2</v>
      </c>
      <c r="I142" s="31">
        <v>10.7</v>
      </c>
      <c r="J142" s="37">
        <v>4.3</v>
      </c>
      <c r="K142" s="35">
        <f t="shared" si="32"/>
        <v>15</v>
      </c>
      <c r="L142" s="38">
        <v>3</v>
      </c>
      <c r="M142" s="36"/>
      <c r="N142" s="35">
        <f t="shared" si="33"/>
        <v>18</v>
      </c>
      <c r="O142" s="35">
        <f>41.5+10.9</f>
        <v>52.4</v>
      </c>
      <c r="P142" s="34"/>
      <c r="Q142" s="49">
        <f t="shared" si="31"/>
        <v>84.100000000000009</v>
      </c>
      <c r="R142" s="85"/>
      <c r="S142" s="71"/>
      <c r="Z142" s="90"/>
    </row>
    <row r="143" spans="2:27" ht="24.95" hidden="1" customHeight="1" x14ac:dyDescent="0.2">
      <c r="B143" s="65" t="s">
        <v>89</v>
      </c>
      <c r="C143" s="35">
        <v>10.9</v>
      </c>
      <c r="D143" s="34"/>
      <c r="E143" s="36"/>
      <c r="F143" s="36"/>
      <c r="G143" s="37">
        <v>1.2</v>
      </c>
      <c r="H143" s="35">
        <f t="shared" si="30"/>
        <v>1.2</v>
      </c>
      <c r="I143" s="31">
        <v>16.399999999999999</v>
      </c>
      <c r="J143" s="37">
        <v>5.8</v>
      </c>
      <c r="K143" s="35">
        <f t="shared" si="32"/>
        <v>22.2</v>
      </c>
      <c r="L143" s="38">
        <v>2.6</v>
      </c>
      <c r="M143" s="36"/>
      <c r="N143" s="35">
        <f t="shared" si="33"/>
        <v>24.8</v>
      </c>
      <c r="O143" s="35">
        <f>41.1+1.8</f>
        <v>42.9</v>
      </c>
      <c r="P143" s="34"/>
      <c r="Q143" s="49">
        <f t="shared" si="31"/>
        <v>79.800000000000011</v>
      </c>
      <c r="R143" s="85"/>
      <c r="S143" s="71"/>
      <c r="Z143" s="90"/>
    </row>
    <row r="144" spans="2:27" ht="24.95" hidden="1" customHeight="1" x14ac:dyDescent="0.2">
      <c r="B144" s="65" t="s">
        <v>90</v>
      </c>
      <c r="C144" s="35">
        <v>158</v>
      </c>
      <c r="D144" s="34"/>
      <c r="E144" s="36"/>
      <c r="F144" s="36"/>
      <c r="G144" s="37">
        <v>2.6</v>
      </c>
      <c r="H144" s="35">
        <f t="shared" si="30"/>
        <v>2.6</v>
      </c>
      <c r="I144" s="31">
        <v>10.6</v>
      </c>
      <c r="J144" s="37">
        <v>6.3</v>
      </c>
      <c r="K144" s="35">
        <f t="shared" si="32"/>
        <v>16.899999999999999</v>
      </c>
      <c r="L144" s="38">
        <v>4.2</v>
      </c>
      <c r="M144" s="36"/>
      <c r="N144" s="35">
        <f t="shared" si="33"/>
        <v>21.099999999999998</v>
      </c>
      <c r="O144" s="35">
        <f>47.4+2.8+35.5</f>
        <v>85.699999999999989</v>
      </c>
      <c r="P144" s="34"/>
      <c r="Q144" s="49">
        <f t="shared" si="31"/>
        <v>267.39999999999998</v>
      </c>
      <c r="R144" s="85"/>
      <c r="S144" s="71"/>
      <c r="Z144" s="90"/>
    </row>
    <row r="145" spans="2:26" ht="24.95" hidden="1" customHeight="1" x14ac:dyDescent="0.2">
      <c r="B145" s="65" t="s">
        <v>91</v>
      </c>
      <c r="C145" s="35">
        <v>118.8</v>
      </c>
      <c r="D145" s="34"/>
      <c r="E145" s="36"/>
      <c r="F145" s="36"/>
      <c r="G145" s="37">
        <v>4</v>
      </c>
      <c r="H145" s="35">
        <f t="shared" si="30"/>
        <v>4</v>
      </c>
      <c r="I145" s="31">
        <v>39</v>
      </c>
      <c r="J145" s="37">
        <v>9.8000000000000007</v>
      </c>
      <c r="K145" s="35">
        <f t="shared" si="32"/>
        <v>48.8</v>
      </c>
      <c r="L145" s="38">
        <v>2.9</v>
      </c>
      <c r="M145" s="36"/>
      <c r="N145" s="35">
        <f t="shared" si="33"/>
        <v>51.699999999999996</v>
      </c>
      <c r="O145" s="35">
        <f>18.1+2.1+20.6</f>
        <v>40.800000000000004</v>
      </c>
      <c r="P145" s="34"/>
      <c r="Q145" s="49">
        <f t="shared" si="31"/>
        <v>215.3</v>
      </c>
      <c r="R145" s="85"/>
      <c r="S145" s="71"/>
      <c r="Z145" s="90"/>
    </row>
    <row r="146" spans="2:26" ht="24.95" hidden="1" customHeight="1" x14ac:dyDescent="0.2">
      <c r="B146" s="65" t="s">
        <v>63</v>
      </c>
      <c r="C146" s="35">
        <v>76.5</v>
      </c>
      <c r="D146" s="34"/>
      <c r="E146" s="36"/>
      <c r="F146" s="36"/>
      <c r="G146" s="37">
        <v>2.7</v>
      </c>
      <c r="H146" s="35">
        <f t="shared" si="30"/>
        <v>2.7</v>
      </c>
      <c r="I146" s="31">
        <v>32.5</v>
      </c>
      <c r="J146" s="37">
        <v>5.3</v>
      </c>
      <c r="K146" s="35">
        <f t="shared" si="32"/>
        <v>37.799999999999997</v>
      </c>
      <c r="L146" s="38">
        <v>2.6</v>
      </c>
      <c r="M146" s="36"/>
      <c r="N146" s="35">
        <f t="shared" si="33"/>
        <v>40.4</v>
      </c>
      <c r="O146" s="35">
        <f>66.7+24.8+3.9-0.1</f>
        <v>95.300000000000011</v>
      </c>
      <c r="P146" s="34"/>
      <c r="Q146" s="49">
        <f t="shared" si="31"/>
        <v>214.9</v>
      </c>
      <c r="R146" s="85"/>
      <c r="S146" s="71"/>
      <c r="Z146" s="90"/>
    </row>
    <row r="147" spans="2:26" ht="24.95" hidden="1" customHeight="1" x14ac:dyDescent="0.2">
      <c r="B147" s="65"/>
      <c r="C147" s="35"/>
      <c r="D147" s="34"/>
      <c r="E147" s="36"/>
      <c r="F147" s="36"/>
      <c r="G147" s="37"/>
      <c r="H147" s="35"/>
      <c r="I147" s="31"/>
      <c r="J147" s="37"/>
      <c r="K147" s="35"/>
      <c r="L147" s="38"/>
      <c r="M147" s="36"/>
      <c r="N147" s="35"/>
      <c r="O147" s="35"/>
      <c r="P147" s="34"/>
      <c r="Q147" s="49"/>
      <c r="R147" s="85"/>
      <c r="S147" s="71"/>
      <c r="Z147" s="90"/>
    </row>
    <row r="148" spans="2:26" ht="24.95" hidden="1" customHeight="1" x14ac:dyDescent="0.2">
      <c r="B148" s="64">
        <v>2004</v>
      </c>
      <c r="C148" s="35">
        <f t="shared" ref="C148:R148" si="34">SUM(C149:C160)</f>
        <v>602.70000000000005</v>
      </c>
      <c r="D148" s="34">
        <f t="shared" si="34"/>
        <v>0</v>
      </c>
      <c r="E148" s="36">
        <f t="shared" si="34"/>
        <v>0</v>
      </c>
      <c r="F148" s="36">
        <f t="shared" si="34"/>
        <v>0</v>
      </c>
      <c r="G148" s="37">
        <f t="shared" si="34"/>
        <v>31.199999999999996</v>
      </c>
      <c r="H148" s="35">
        <f t="shared" si="34"/>
        <v>31.199999999999996</v>
      </c>
      <c r="I148" s="31">
        <f t="shared" si="34"/>
        <v>271.89999999999998</v>
      </c>
      <c r="J148" s="37">
        <f t="shared" si="34"/>
        <v>64.800000000000011</v>
      </c>
      <c r="K148" s="35">
        <f t="shared" si="34"/>
        <v>336.70000000000005</v>
      </c>
      <c r="L148" s="38">
        <f t="shared" si="34"/>
        <v>56.399999999999991</v>
      </c>
      <c r="M148" s="36">
        <f t="shared" si="34"/>
        <v>0</v>
      </c>
      <c r="N148" s="35">
        <f t="shared" si="34"/>
        <v>393.09999999999997</v>
      </c>
      <c r="O148" s="35">
        <f t="shared" si="34"/>
        <v>493.19999999999993</v>
      </c>
      <c r="P148" s="34">
        <f t="shared" si="34"/>
        <v>0</v>
      </c>
      <c r="Q148" s="49">
        <f t="shared" si="34"/>
        <v>1520.1999999999998</v>
      </c>
      <c r="R148" s="85">
        <f t="shared" si="34"/>
        <v>0</v>
      </c>
      <c r="S148" s="71"/>
      <c r="Y148" s="49">
        <f>SUM(Y149:Y160)</f>
        <v>0</v>
      </c>
    </row>
    <row r="149" spans="2:26" ht="24.95" hidden="1" customHeight="1" x14ac:dyDescent="0.2">
      <c r="B149" s="65" t="s">
        <v>81</v>
      </c>
      <c r="C149" s="35">
        <v>5.4</v>
      </c>
      <c r="D149" s="34"/>
      <c r="E149" s="36"/>
      <c r="F149" s="36"/>
      <c r="G149" s="37">
        <v>3.7</v>
      </c>
      <c r="H149" s="35">
        <f t="shared" ref="H149:H160" si="35">D149+E149+F149+G149</f>
        <v>3.7</v>
      </c>
      <c r="I149" s="31">
        <v>34.1</v>
      </c>
      <c r="J149" s="37">
        <v>3.2</v>
      </c>
      <c r="K149" s="35">
        <f t="shared" si="32"/>
        <v>37.300000000000004</v>
      </c>
      <c r="L149" s="38">
        <v>3.7</v>
      </c>
      <c r="M149" s="36"/>
      <c r="N149" s="35">
        <f t="shared" si="33"/>
        <v>41.000000000000007</v>
      </c>
      <c r="O149" s="35">
        <f>10.8+1.6+125.8</f>
        <v>138.19999999999999</v>
      </c>
      <c r="P149" s="34"/>
      <c r="Q149" s="49">
        <f t="shared" ref="Q149:Q160" si="36">O149+N149+H149+C149</f>
        <v>188.29999999999998</v>
      </c>
      <c r="R149" s="85"/>
      <c r="S149" s="71"/>
      <c r="Z149" s="90"/>
    </row>
    <row r="150" spans="2:26" ht="24.95" hidden="1" customHeight="1" x14ac:dyDescent="0.2">
      <c r="B150" s="65" t="s">
        <v>82</v>
      </c>
      <c r="C150" s="35">
        <v>37.9</v>
      </c>
      <c r="D150" s="34"/>
      <c r="E150" s="36"/>
      <c r="F150" s="36"/>
      <c r="G150" s="37">
        <v>3.3</v>
      </c>
      <c r="H150" s="35">
        <f t="shared" si="35"/>
        <v>3.3</v>
      </c>
      <c r="I150" s="31">
        <v>12.4</v>
      </c>
      <c r="J150" s="37">
        <v>3.9</v>
      </c>
      <c r="K150" s="35">
        <f t="shared" si="32"/>
        <v>16.3</v>
      </c>
      <c r="L150" s="38">
        <v>3.3</v>
      </c>
      <c r="M150" s="36"/>
      <c r="N150" s="35">
        <f t="shared" si="33"/>
        <v>19.600000000000001</v>
      </c>
      <c r="O150" s="35">
        <f>6.1+31.9</f>
        <v>38</v>
      </c>
      <c r="P150" s="34"/>
      <c r="Q150" s="49">
        <f t="shared" si="36"/>
        <v>98.8</v>
      </c>
      <c r="R150" s="85"/>
      <c r="S150" s="71"/>
      <c r="Z150" s="90"/>
    </row>
    <row r="151" spans="2:26" ht="24.95" hidden="1" customHeight="1" x14ac:dyDescent="0.2">
      <c r="B151" s="65" t="s">
        <v>83</v>
      </c>
      <c r="C151" s="35">
        <v>38</v>
      </c>
      <c r="D151" s="34"/>
      <c r="E151" s="36"/>
      <c r="F151" s="36"/>
      <c r="G151" s="37">
        <v>3.1</v>
      </c>
      <c r="H151" s="35">
        <f t="shared" si="35"/>
        <v>3.1</v>
      </c>
      <c r="I151" s="31">
        <v>12.3</v>
      </c>
      <c r="J151" s="37">
        <v>4</v>
      </c>
      <c r="K151" s="35">
        <f t="shared" si="32"/>
        <v>16.3</v>
      </c>
      <c r="L151" s="38">
        <v>1.7</v>
      </c>
      <c r="M151" s="36"/>
      <c r="N151" s="35">
        <f t="shared" si="33"/>
        <v>18</v>
      </c>
      <c r="O151" s="35">
        <f>9+0.2+45</f>
        <v>54.2</v>
      </c>
      <c r="P151" s="34"/>
      <c r="Q151" s="49">
        <f t="shared" si="36"/>
        <v>113.3</v>
      </c>
      <c r="R151" s="85"/>
      <c r="S151" s="71"/>
      <c r="Z151" s="90"/>
    </row>
    <row r="152" spans="2:26" ht="24.95" hidden="1" customHeight="1" x14ac:dyDescent="0.2">
      <c r="B152" s="65" t="s">
        <v>84</v>
      </c>
      <c r="C152" s="35">
        <v>77.900000000000006</v>
      </c>
      <c r="D152" s="34"/>
      <c r="E152" s="36"/>
      <c r="F152" s="36"/>
      <c r="G152" s="37">
        <v>1.9</v>
      </c>
      <c r="H152" s="35">
        <f t="shared" si="35"/>
        <v>1.9</v>
      </c>
      <c r="I152" s="31">
        <v>40.700000000000003</v>
      </c>
      <c r="J152" s="37">
        <v>8.6</v>
      </c>
      <c r="K152" s="35">
        <f t="shared" si="32"/>
        <v>49.300000000000004</v>
      </c>
      <c r="L152" s="38">
        <v>8</v>
      </c>
      <c r="M152" s="36"/>
      <c r="N152" s="35">
        <f t="shared" si="33"/>
        <v>57.300000000000004</v>
      </c>
      <c r="O152" s="35">
        <f>10.5+4.1+27.9</f>
        <v>42.5</v>
      </c>
      <c r="P152" s="34"/>
      <c r="Q152" s="49">
        <f t="shared" si="36"/>
        <v>179.60000000000002</v>
      </c>
      <c r="R152" s="85"/>
      <c r="S152" s="71"/>
      <c r="Z152" s="90"/>
    </row>
    <row r="153" spans="2:26" ht="24.95" hidden="1" customHeight="1" x14ac:dyDescent="0.2">
      <c r="B153" s="65" t="s">
        <v>85</v>
      </c>
      <c r="C153" s="35">
        <v>39.9</v>
      </c>
      <c r="D153" s="34"/>
      <c r="E153" s="36"/>
      <c r="F153" s="36"/>
      <c r="G153" s="37">
        <v>1.7</v>
      </c>
      <c r="H153" s="35">
        <f t="shared" si="35"/>
        <v>1.7</v>
      </c>
      <c r="I153" s="31">
        <v>10.3</v>
      </c>
      <c r="J153" s="37">
        <v>5</v>
      </c>
      <c r="K153" s="35">
        <f t="shared" si="32"/>
        <v>15.3</v>
      </c>
      <c r="L153" s="38">
        <v>5.0999999999999996</v>
      </c>
      <c r="M153" s="36"/>
      <c r="N153" s="35">
        <f t="shared" si="33"/>
        <v>20.399999999999999</v>
      </c>
      <c r="O153" s="35">
        <f>9.8+3+26.1</f>
        <v>38.900000000000006</v>
      </c>
      <c r="P153" s="34"/>
      <c r="Q153" s="49">
        <f t="shared" si="36"/>
        <v>100.9</v>
      </c>
      <c r="R153" s="85"/>
      <c r="S153" s="71"/>
      <c r="Z153" s="90"/>
    </row>
    <row r="154" spans="2:26" ht="24.95" hidden="1" customHeight="1" x14ac:dyDescent="0.2">
      <c r="B154" s="65" t="s">
        <v>86</v>
      </c>
      <c r="C154" s="35">
        <v>104.5</v>
      </c>
      <c r="D154" s="34"/>
      <c r="E154" s="36"/>
      <c r="F154" s="36"/>
      <c r="G154" s="37">
        <v>2.1</v>
      </c>
      <c r="H154" s="35">
        <f t="shared" si="35"/>
        <v>2.1</v>
      </c>
      <c r="I154" s="31">
        <v>33.4</v>
      </c>
      <c r="J154" s="37">
        <v>7.3</v>
      </c>
      <c r="K154" s="35">
        <f t="shared" si="32"/>
        <v>40.699999999999996</v>
      </c>
      <c r="L154" s="38">
        <v>4.8</v>
      </c>
      <c r="M154" s="36"/>
      <c r="N154" s="35">
        <f t="shared" si="33"/>
        <v>45.499999999999993</v>
      </c>
      <c r="O154" s="35">
        <f>6.6+3+11.9</f>
        <v>21.5</v>
      </c>
      <c r="P154" s="34"/>
      <c r="Q154" s="49">
        <f t="shared" si="36"/>
        <v>173.6</v>
      </c>
      <c r="R154" s="85"/>
      <c r="S154" s="71"/>
      <c r="Z154" s="90"/>
    </row>
    <row r="155" spans="2:26" ht="24.95" hidden="1" customHeight="1" x14ac:dyDescent="0.2">
      <c r="B155" s="65" t="s">
        <v>87</v>
      </c>
      <c r="C155" s="35">
        <v>86.4</v>
      </c>
      <c r="D155" s="34"/>
      <c r="E155" s="36"/>
      <c r="F155" s="36"/>
      <c r="G155" s="37">
        <v>3.5</v>
      </c>
      <c r="H155" s="35">
        <f t="shared" si="35"/>
        <v>3.5</v>
      </c>
      <c r="I155" s="31">
        <v>33.4</v>
      </c>
      <c r="J155" s="37">
        <v>4.0999999999999996</v>
      </c>
      <c r="K155" s="35">
        <f t="shared" si="32"/>
        <v>37.5</v>
      </c>
      <c r="L155" s="38">
        <v>7</v>
      </c>
      <c r="M155" s="36"/>
      <c r="N155" s="35">
        <f t="shared" si="33"/>
        <v>44.5</v>
      </c>
      <c r="O155" s="35">
        <f>8.8+5.5</f>
        <v>14.3</v>
      </c>
      <c r="P155" s="34"/>
      <c r="Q155" s="49">
        <f t="shared" si="36"/>
        <v>148.69999999999999</v>
      </c>
      <c r="R155" s="85"/>
      <c r="S155" s="71"/>
      <c r="Z155" s="90"/>
    </row>
    <row r="156" spans="2:26" ht="24.95" hidden="1" customHeight="1" x14ac:dyDescent="0.2">
      <c r="B156" s="65" t="s">
        <v>88</v>
      </c>
      <c r="C156" s="35">
        <v>42.1</v>
      </c>
      <c r="D156" s="34"/>
      <c r="E156" s="36"/>
      <c r="F156" s="36"/>
      <c r="G156" s="37">
        <v>1.2</v>
      </c>
      <c r="H156" s="35">
        <f t="shared" si="35"/>
        <v>1.2</v>
      </c>
      <c r="I156" s="31">
        <v>13.1</v>
      </c>
      <c r="J156" s="37">
        <v>5.2</v>
      </c>
      <c r="K156" s="35">
        <f t="shared" si="32"/>
        <v>18.3</v>
      </c>
      <c r="L156" s="38">
        <v>3.6</v>
      </c>
      <c r="M156" s="36"/>
      <c r="N156" s="35">
        <f t="shared" si="33"/>
        <v>21.900000000000002</v>
      </c>
      <c r="O156" s="35">
        <v>7.6</v>
      </c>
      <c r="P156" s="34"/>
      <c r="Q156" s="49">
        <f t="shared" si="36"/>
        <v>72.8</v>
      </c>
      <c r="R156" s="85"/>
      <c r="S156" s="71"/>
      <c r="Z156" s="90"/>
    </row>
    <row r="157" spans="2:26" ht="24.95" hidden="1" customHeight="1" x14ac:dyDescent="0.2">
      <c r="B157" s="65" t="s">
        <v>89</v>
      </c>
      <c r="C157" s="35">
        <v>41.8</v>
      </c>
      <c r="D157" s="34"/>
      <c r="E157" s="36"/>
      <c r="F157" s="36"/>
      <c r="G157" s="37">
        <v>2.8</v>
      </c>
      <c r="H157" s="35">
        <f t="shared" si="35"/>
        <v>2.8</v>
      </c>
      <c r="I157" s="31">
        <v>17.5</v>
      </c>
      <c r="J157" s="37">
        <v>5.4</v>
      </c>
      <c r="K157" s="35">
        <f t="shared" si="32"/>
        <v>22.9</v>
      </c>
      <c r="L157" s="38">
        <v>5</v>
      </c>
      <c r="M157" s="36"/>
      <c r="N157" s="35">
        <f t="shared" si="33"/>
        <v>27.9</v>
      </c>
      <c r="O157" s="35">
        <f>6.3+0.1</f>
        <v>6.3999999999999995</v>
      </c>
      <c r="P157" s="34"/>
      <c r="Q157" s="49">
        <f t="shared" si="36"/>
        <v>78.899999999999991</v>
      </c>
      <c r="R157" s="85"/>
      <c r="S157" s="71"/>
      <c r="Z157" s="90"/>
    </row>
    <row r="158" spans="2:26" ht="24.95" hidden="1" customHeight="1" x14ac:dyDescent="0.2">
      <c r="B158" s="65" t="s">
        <v>90</v>
      </c>
      <c r="C158" s="35">
        <v>50.3</v>
      </c>
      <c r="D158" s="34"/>
      <c r="E158" s="36"/>
      <c r="F158" s="36"/>
      <c r="G158" s="37">
        <v>2.4</v>
      </c>
      <c r="H158" s="35">
        <f t="shared" si="35"/>
        <v>2.4</v>
      </c>
      <c r="I158" s="31">
        <v>13.1</v>
      </c>
      <c r="J158" s="37">
        <v>4</v>
      </c>
      <c r="K158" s="35">
        <f t="shared" si="32"/>
        <v>17.100000000000001</v>
      </c>
      <c r="L158" s="38">
        <v>5.9</v>
      </c>
      <c r="M158" s="36"/>
      <c r="N158" s="35">
        <f t="shared" si="33"/>
        <v>23</v>
      </c>
      <c r="O158" s="35">
        <f>6.7+10.7</f>
        <v>17.399999999999999</v>
      </c>
      <c r="P158" s="34"/>
      <c r="Q158" s="49">
        <f t="shared" si="36"/>
        <v>93.1</v>
      </c>
      <c r="R158" s="85"/>
      <c r="S158" s="71"/>
      <c r="Z158" s="90"/>
    </row>
    <row r="159" spans="2:26" ht="24.95" hidden="1" customHeight="1" x14ac:dyDescent="0.2">
      <c r="B159" s="65" t="s">
        <v>91</v>
      </c>
      <c r="C159" s="35">
        <v>34.5</v>
      </c>
      <c r="D159" s="34"/>
      <c r="E159" s="36"/>
      <c r="F159" s="36"/>
      <c r="G159" s="37">
        <v>3.1</v>
      </c>
      <c r="H159" s="35">
        <f t="shared" si="35"/>
        <v>3.1</v>
      </c>
      <c r="I159" s="31">
        <v>31.2</v>
      </c>
      <c r="J159" s="37">
        <v>6.7</v>
      </c>
      <c r="K159" s="35">
        <f t="shared" si="32"/>
        <v>37.9</v>
      </c>
      <c r="L159" s="38">
        <v>3.8</v>
      </c>
      <c r="M159" s="36"/>
      <c r="N159" s="35">
        <f t="shared" si="33"/>
        <v>41.699999999999996</v>
      </c>
      <c r="O159" s="35">
        <f>12+24.3</f>
        <v>36.299999999999997</v>
      </c>
      <c r="P159" s="34"/>
      <c r="Q159" s="49">
        <f t="shared" si="36"/>
        <v>115.6</v>
      </c>
      <c r="R159" s="85"/>
      <c r="S159" s="71"/>
      <c r="Z159" s="90"/>
    </row>
    <row r="160" spans="2:26" ht="24.95" hidden="1" customHeight="1" x14ac:dyDescent="0.2">
      <c r="B160" s="65" t="s">
        <v>63</v>
      </c>
      <c r="C160" s="35">
        <v>44</v>
      </c>
      <c r="D160" s="34"/>
      <c r="E160" s="36"/>
      <c r="F160" s="36"/>
      <c r="G160" s="37">
        <v>2.4</v>
      </c>
      <c r="H160" s="35">
        <f t="shared" si="35"/>
        <v>2.4</v>
      </c>
      <c r="I160" s="31">
        <v>20.399999999999999</v>
      </c>
      <c r="J160" s="37">
        <v>7.4</v>
      </c>
      <c r="K160" s="35">
        <f t="shared" si="32"/>
        <v>27.799999999999997</v>
      </c>
      <c r="L160" s="38">
        <v>4.5</v>
      </c>
      <c r="M160" s="36"/>
      <c r="N160" s="35">
        <f t="shared" si="33"/>
        <v>32.299999999999997</v>
      </c>
      <c r="O160" s="35">
        <f>11.2+23.7+43.1-0.1</f>
        <v>77.900000000000006</v>
      </c>
      <c r="P160" s="34"/>
      <c r="Q160" s="49">
        <f t="shared" si="36"/>
        <v>156.60000000000002</v>
      </c>
      <c r="R160" s="85"/>
      <c r="S160" s="71"/>
      <c r="Z160" s="90"/>
    </row>
    <row r="161" spans="2:26" ht="24.95" hidden="1" customHeight="1" x14ac:dyDescent="0.2">
      <c r="B161" s="65"/>
      <c r="C161" s="35"/>
      <c r="D161" s="34"/>
      <c r="E161" s="36"/>
      <c r="F161" s="36"/>
      <c r="G161" s="37"/>
      <c r="H161" s="35"/>
      <c r="I161" s="31"/>
      <c r="J161" s="37"/>
      <c r="K161" s="35"/>
      <c r="L161" s="38"/>
      <c r="M161" s="36"/>
      <c r="N161" s="35"/>
      <c r="O161" s="35"/>
      <c r="P161" s="34"/>
      <c r="Q161" s="49"/>
      <c r="R161" s="85"/>
      <c r="S161" s="71"/>
      <c r="Z161" s="90"/>
    </row>
    <row r="162" spans="2:26" ht="21" customHeight="1" x14ac:dyDescent="0.2">
      <c r="B162" s="64">
        <v>2005</v>
      </c>
      <c r="C162" s="35">
        <f t="shared" ref="C162:R162" si="37">SUM(C163:C174)</f>
        <v>751.9</v>
      </c>
      <c r="D162" s="34">
        <f t="shared" si="37"/>
        <v>0.4</v>
      </c>
      <c r="E162" s="36">
        <f t="shared" si="37"/>
        <v>12.6</v>
      </c>
      <c r="F162" s="36">
        <f t="shared" si="37"/>
        <v>0.3</v>
      </c>
      <c r="G162" s="37">
        <f t="shared" si="37"/>
        <v>26.1</v>
      </c>
      <c r="H162" s="35">
        <f t="shared" si="37"/>
        <v>39.400000000000006</v>
      </c>
      <c r="I162" s="31">
        <f t="shared" si="37"/>
        <v>259.5</v>
      </c>
      <c r="J162" s="37">
        <f t="shared" si="37"/>
        <v>96.899999999999991</v>
      </c>
      <c r="K162" s="35">
        <f t="shared" si="37"/>
        <v>356.40000000000003</v>
      </c>
      <c r="L162" s="38">
        <f t="shared" si="37"/>
        <v>75.800000000000011</v>
      </c>
      <c r="M162" s="36">
        <f t="shared" si="37"/>
        <v>0</v>
      </c>
      <c r="N162" s="35">
        <f t="shared" si="37"/>
        <v>432.20000000000005</v>
      </c>
      <c r="O162" s="35">
        <f t="shared" si="37"/>
        <v>464.65</v>
      </c>
      <c r="P162" s="34">
        <f t="shared" si="37"/>
        <v>0</v>
      </c>
      <c r="Q162" s="49">
        <f t="shared" si="37"/>
        <v>1688.1499999999999</v>
      </c>
      <c r="R162" s="85">
        <f t="shared" si="37"/>
        <v>0</v>
      </c>
      <c r="S162" s="71"/>
      <c r="Z162" s="90"/>
    </row>
    <row r="163" spans="2:26" ht="24.95" hidden="1" customHeight="1" x14ac:dyDescent="0.2">
      <c r="B163" s="65" t="s">
        <v>81</v>
      </c>
      <c r="C163" s="35">
        <v>3</v>
      </c>
      <c r="D163" s="34"/>
      <c r="E163" s="36">
        <v>1.9</v>
      </c>
      <c r="F163" s="36"/>
      <c r="G163" s="37">
        <v>3.3</v>
      </c>
      <c r="H163" s="35">
        <f t="shared" ref="H163:H174" si="38">D163+E163+F163+G163</f>
        <v>5.1999999999999993</v>
      </c>
      <c r="I163" s="31">
        <v>7.7</v>
      </c>
      <c r="J163" s="37">
        <v>5.9</v>
      </c>
      <c r="K163" s="35">
        <f t="shared" si="32"/>
        <v>13.600000000000001</v>
      </c>
      <c r="L163" s="38">
        <v>7</v>
      </c>
      <c r="M163" s="36"/>
      <c r="N163" s="35">
        <f t="shared" si="33"/>
        <v>20.6</v>
      </c>
      <c r="O163" s="35">
        <f>30.61+8.61+11+58.31</f>
        <v>108.53</v>
      </c>
      <c r="P163" s="34"/>
      <c r="Q163" s="49">
        <f t="shared" ref="Q163:Q174" si="39">O163+N163+H163+C163</f>
        <v>137.32999999999998</v>
      </c>
      <c r="R163" s="85"/>
      <c r="S163" s="71"/>
      <c r="Z163" s="90"/>
    </row>
    <row r="164" spans="2:26" ht="24.95" hidden="1" customHeight="1" x14ac:dyDescent="0.2">
      <c r="B164" s="65" t="s">
        <v>82</v>
      </c>
      <c r="C164" s="35">
        <v>2.1</v>
      </c>
      <c r="D164" s="34"/>
      <c r="E164" s="36"/>
      <c r="F164" s="36">
        <v>0.3</v>
      </c>
      <c r="G164" s="37">
        <v>1.3</v>
      </c>
      <c r="H164" s="35">
        <f t="shared" si="38"/>
        <v>1.6</v>
      </c>
      <c r="I164" s="31">
        <v>12.7</v>
      </c>
      <c r="J164" s="37">
        <v>3.8</v>
      </c>
      <c r="K164" s="35">
        <f t="shared" si="32"/>
        <v>16.5</v>
      </c>
      <c r="L164" s="38">
        <v>3.4</v>
      </c>
      <c r="M164" s="36"/>
      <c r="N164" s="35">
        <f t="shared" si="33"/>
        <v>19.899999999999999</v>
      </c>
      <c r="O164" s="35">
        <f>13.11+4.81+1.51-0.1</f>
        <v>19.329999999999998</v>
      </c>
      <c r="P164" s="34"/>
      <c r="Q164" s="49">
        <f t="shared" si="39"/>
        <v>42.93</v>
      </c>
      <c r="R164" s="85"/>
      <c r="S164" s="71"/>
      <c r="Z164" s="90"/>
    </row>
    <row r="165" spans="2:26" ht="24.95" hidden="1" customHeight="1" x14ac:dyDescent="0.2">
      <c r="B165" s="65" t="s">
        <v>83</v>
      </c>
      <c r="C165" s="35">
        <v>56</v>
      </c>
      <c r="D165" s="34">
        <v>0.4</v>
      </c>
      <c r="E165" s="36"/>
      <c r="F165" s="36"/>
      <c r="G165" s="37">
        <v>3.5</v>
      </c>
      <c r="H165" s="35">
        <f t="shared" si="38"/>
        <v>3.9</v>
      </c>
      <c r="I165" s="31">
        <v>15.7</v>
      </c>
      <c r="J165" s="37">
        <v>3.9</v>
      </c>
      <c r="K165" s="35">
        <f t="shared" si="32"/>
        <v>19.599999999999998</v>
      </c>
      <c r="L165" s="38">
        <v>5.6</v>
      </c>
      <c r="M165" s="36"/>
      <c r="N165" s="35">
        <f t="shared" si="33"/>
        <v>25.199999999999996</v>
      </c>
      <c r="O165" s="35">
        <f>13.9+11</f>
        <v>24.9</v>
      </c>
      <c r="P165" s="34"/>
      <c r="Q165" s="49">
        <f t="shared" si="39"/>
        <v>110</v>
      </c>
      <c r="R165" s="85"/>
      <c r="S165" s="71"/>
      <c r="Z165" s="90"/>
    </row>
    <row r="166" spans="2:26" ht="24.95" hidden="1" customHeight="1" x14ac:dyDescent="0.2">
      <c r="B166" s="65" t="s">
        <v>84</v>
      </c>
      <c r="C166" s="35">
        <v>38.1</v>
      </c>
      <c r="D166" s="34"/>
      <c r="E166" s="36"/>
      <c r="F166" s="36"/>
      <c r="G166" s="37">
        <v>1.4</v>
      </c>
      <c r="H166" s="35">
        <f t="shared" si="38"/>
        <v>1.4</v>
      </c>
      <c r="I166" s="31">
        <v>33.5</v>
      </c>
      <c r="J166" s="37">
        <v>14.5</v>
      </c>
      <c r="K166" s="35">
        <f t="shared" si="32"/>
        <v>48</v>
      </c>
      <c r="L166" s="38">
        <v>12.1</v>
      </c>
      <c r="M166" s="36"/>
      <c r="N166" s="35">
        <f t="shared" si="33"/>
        <v>60.1</v>
      </c>
      <c r="O166" s="35">
        <v>8.6999999999999993</v>
      </c>
      <c r="P166" s="34"/>
      <c r="Q166" s="49">
        <f t="shared" si="39"/>
        <v>108.30000000000001</v>
      </c>
      <c r="R166" s="85"/>
      <c r="S166" s="71"/>
      <c r="Z166" s="90"/>
    </row>
    <row r="167" spans="2:26" ht="24.95" hidden="1" customHeight="1" x14ac:dyDescent="0.2">
      <c r="B167" s="65" t="s">
        <v>85</v>
      </c>
      <c r="C167" s="35">
        <v>170.6</v>
      </c>
      <c r="D167" s="34"/>
      <c r="E167" s="36"/>
      <c r="F167" s="36"/>
      <c r="G167" s="37">
        <v>3.2</v>
      </c>
      <c r="H167" s="35">
        <f t="shared" si="38"/>
        <v>3.2</v>
      </c>
      <c r="I167" s="31">
        <v>25.9</v>
      </c>
      <c r="J167" s="37">
        <v>9.4</v>
      </c>
      <c r="K167" s="35">
        <f t="shared" si="32"/>
        <v>35.299999999999997</v>
      </c>
      <c r="L167" s="38">
        <v>5.6</v>
      </c>
      <c r="M167" s="36"/>
      <c r="N167" s="35">
        <f t="shared" si="33"/>
        <v>40.9</v>
      </c>
      <c r="O167" s="35">
        <f>17.1+2.5+5.2</f>
        <v>24.8</v>
      </c>
      <c r="P167" s="34"/>
      <c r="Q167" s="49">
        <f t="shared" si="39"/>
        <v>239.5</v>
      </c>
      <c r="R167" s="85"/>
      <c r="S167" s="71"/>
      <c r="Z167" s="90"/>
    </row>
    <row r="168" spans="2:26" ht="24.95" hidden="1" customHeight="1" x14ac:dyDescent="0.2">
      <c r="B168" s="65" t="s">
        <v>86</v>
      </c>
      <c r="C168" s="35">
        <v>128.9</v>
      </c>
      <c r="D168" s="34"/>
      <c r="E168" s="36">
        <v>2.6</v>
      </c>
      <c r="F168" s="36"/>
      <c r="G168" s="37">
        <v>3</v>
      </c>
      <c r="H168" s="35">
        <f t="shared" si="38"/>
        <v>5.6</v>
      </c>
      <c r="I168" s="31">
        <v>14.6</v>
      </c>
      <c r="J168" s="37">
        <v>8.6</v>
      </c>
      <c r="K168" s="35">
        <f t="shared" si="32"/>
        <v>23.2</v>
      </c>
      <c r="L168" s="38">
        <v>9.3000000000000007</v>
      </c>
      <c r="M168" s="36"/>
      <c r="N168" s="35">
        <f t="shared" si="33"/>
        <v>32.5</v>
      </c>
      <c r="O168" s="35">
        <f>10.21+17.71+3.51</f>
        <v>31.43</v>
      </c>
      <c r="P168" s="34"/>
      <c r="Q168" s="49">
        <f t="shared" si="39"/>
        <v>198.43</v>
      </c>
      <c r="R168" s="85"/>
      <c r="S168" s="71"/>
      <c r="Z168" s="90"/>
    </row>
    <row r="169" spans="2:26" ht="24.95" hidden="1" customHeight="1" x14ac:dyDescent="0.2">
      <c r="B169" s="65" t="s">
        <v>87</v>
      </c>
      <c r="C169" s="35">
        <v>15.3</v>
      </c>
      <c r="D169" s="34"/>
      <c r="E169" s="36"/>
      <c r="F169" s="36"/>
      <c r="G169" s="37">
        <v>1.6</v>
      </c>
      <c r="H169" s="35">
        <f t="shared" si="38"/>
        <v>1.6</v>
      </c>
      <c r="I169" s="31">
        <f>5.3+24.4+7.7</f>
        <v>37.4</v>
      </c>
      <c r="J169" s="37">
        <v>9.4</v>
      </c>
      <c r="K169" s="35">
        <f t="shared" si="32"/>
        <v>46.8</v>
      </c>
      <c r="L169" s="38">
        <v>9</v>
      </c>
      <c r="M169" s="36"/>
      <c r="N169" s="35">
        <f t="shared" si="33"/>
        <v>55.8</v>
      </c>
      <c r="O169" s="35">
        <f>12.6+7.6+8.2</f>
        <v>28.4</v>
      </c>
      <c r="P169" s="34"/>
      <c r="Q169" s="49">
        <f t="shared" si="39"/>
        <v>101.09999999999998</v>
      </c>
      <c r="R169" s="85"/>
      <c r="S169" s="71"/>
      <c r="Y169" s="7">
        <f>+Q169-101.1</f>
        <v>0</v>
      </c>
      <c r="Z169" s="90"/>
    </row>
    <row r="170" spans="2:26" ht="24.95" hidden="1" customHeight="1" x14ac:dyDescent="0.2">
      <c r="B170" s="65" t="s">
        <v>88</v>
      </c>
      <c r="C170" s="35">
        <v>11.2</v>
      </c>
      <c r="D170" s="34"/>
      <c r="E170" s="36">
        <v>2.2000000000000002</v>
      </c>
      <c r="F170" s="36"/>
      <c r="G170" s="37">
        <v>2.4</v>
      </c>
      <c r="H170" s="35">
        <f t="shared" si="38"/>
        <v>4.5999999999999996</v>
      </c>
      <c r="I170" s="31">
        <v>9.1999999999999993</v>
      </c>
      <c r="J170" s="37">
        <v>4.8</v>
      </c>
      <c r="K170" s="35">
        <f t="shared" si="32"/>
        <v>14</v>
      </c>
      <c r="L170" s="38">
        <v>4.0999999999999996</v>
      </c>
      <c r="M170" s="36"/>
      <c r="N170" s="35">
        <f t="shared" si="33"/>
        <v>18.100000000000001</v>
      </c>
      <c r="O170" s="35">
        <f>22.9+17.5+6.4</f>
        <v>46.8</v>
      </c>
      <c r="P170" s="34"/>
      <c r="Q170" s="49">
        <f t="shared" si="39"/>
        <v>80.7</v>
      </c>
      <c r="R170" s="85"/>
      <c r="S170" s="71"/>
      <c r="Y170" s="7">
        <f>+Q170-80.7</f>
        <v>0</v>
      </c>
      <c r="Z170" s="90"/>
    </row>
    <row r="171" spans="2:26" ht="24.95" hidden="1" customHeight="1" x14ac:dyDescent="0.2">
      <c r="B171" s="65" t="s">
        <v>89</v>
      </c>
      <c r="C171" s="35">
        <v>24.9</v>
      </c>
      <c r="D171" s="34"/>
      <c r="E171" s="36"/>
      <c r="F171" s="36"/>
      <c r="G171" s="37">
        <v>2.6</v>
      </c>
      <c r="H171" s="35">
        <f t="shared" si="38"/>
        <v>2.6</v>
      </c>
      <c r="I171" s="31">
        <v>17.5</v>
      </c>
      <c r="J171" s="37">
        <v>6.1</v>
      </c>
      <c r="K171" s="35">
        <f t="shared" si="32"/>
        <v>23.6</v>
      </c>
      <c r="L171" s="38">
        <v>4.0999999999999996</v>
      </c>
      <c r="M171" s="36"/>
      <c r="N171" s="35">
        <f t="shared" si="33"/>
        <v>27.700000000000003</v>
      </c>
      <c r="O171" s="35">
        <f>36.6+15+9-0.1</f>
        <v>60.5</v>
      </c>
      <c r="P171" s="34"/>
      <c r="Q171" s="49">
        <f t="shared" si="39"/>
        <v>115.69999999999999</v>
      </c>
      <c r="R171" s="85"/>
      <c r="S171" s="71"/>
      <c r="Y171" s="7">
        <f>+Q171-115.7</f>
        <v>0</v>
      </c>
      <c r="Z171" s="90"/>
    </row>
    <row r="172" spans="2:26" ht="24.95" hidden="1" customHeight="1" x14ac:dyDescent="0.2">
      <c r="B172" s="65" t="s">
        <v>90</v>
      </c>
      <c r="C172" s="35">
        <f>4.9+35.1</f>
        <v>40</v>
      </c>
      <c r="D172" s="34"/>
      <c r="E172" s="36">
        <v>2.5</v>
      </c>
      <c r="F172" s="36"/>
      <c r="G172" s="37">
        <v>1.1000000000000001</v>
      </c>
      <c r="H172" s="35">
        <f t="shared" si="38"/>
        <v>3.6</v>
      </c>
      <c r="I172" s="31">
        <f>20.5+12.6</f>
        <v>33.1</v>
      </c>
      <c r="J172" s="37">
        <v>11.3</v>
      </c>
      <c r="K172" s="35">
        <f t="shared" si="32"/>
        <v>44.400000000000006</v>
      </c>
      <c r="L172" s="38">
        <v>7.9</v>
      </c>
      <c r="M172" s="36"/>
      <c r="N172" s="35">
        <f t="shared" si="33"/>
        <v>52.300000000000004</v>
      </c>
      <c r="O172" s="35">
        <f>9.5+7+5.1</f>
        <v>21.6</v>
      </c>
      <c r="P172" s="34"/>
      <c r="Q172" s="49">
        <f t="shared" si="39"/>
        <v>117.5</v>
      </c>
      <c r="R172" s="85"/>
      <c r="S172" s="71"/>
      <c r="Y172" s="7">
        <f>+Q172-117.5</f>
        <v>0</v>
      </c>
      <c r="Z172" s="90"/>
    </row>
    <row r="173" spans="2:26" ht="24.95" hidden="1" customHeight="1" x14ac:dyDescent="0.2">
      <c r="B173" s="65" t="s">
        <v>91</v>
      </c>
      <c r="C173" s="35">
        <f>21.3+32.5</f>
        <v>53.8</v>
      </c>
      <c r="D173" s="34"/>
      <c r="E173" s="36"/>
      <c r="F173" s="36"/>
      <c r="G173" s="37">
        <v>1.4</v>
      </c>
      <c r="H173" s="35">
        <f t="shared" si="38"/>
        <v>1.4</v>
      </c>
      <c r="I173" s="31">
        <v>28</v>
      </c>
      <c r="J173" s="37">
        <v>11.8</v>
      </c>
      <c r="K173" s="35">
        <f t="shared" si="32"/>
        <v>39.799999999999997</v>
      </c>
      <c r="L173" s="38">
        <v>4.2</v>
      </c>
      <c r="M173" s="36"/>
      <c r="N173" s="35">
        <f t="shared" si="33"/>
        <v>44</v>
      </c>
      <c r="O173" s="35">
        <f>43.8+7.3+13.3</f>
        <v>64.399999999999991</v>
      </c>
      <c r="P173" s="34"/>
      <c r="Q173" s="49">
        <f t="shared" si="39"/>
        <v>163.6</v>
      </c>
      <c r="R173" s="85"/>
      <c r="S173" s="71"/>
      <c r="Y173" s="7">
        <f>163.6-Q173</f>
        <v>0</v>
      </c>
      <c r="Z173" s="90"/>
    </row>
    <row r="174" spans="2:26" ht="24.95" hidden="1" customHeight="1" x14ac:dyDescent="0.2">
      <c r="B174" s="65" t="s">
        <v>63</v>
      </c>
      <c r="C174" s="35">
        <f>15.7+192.3</f>
        <v>208</v>
      </c>
      <c r="D174" s="34"/>
      <c r="E174" s="36">
        <v>3.4</v>
      </c>
      <c r="F174" s="36"/>
      <c r="G174" s="37">
        <v>1.3</v>
      </c>
      <c r="H174" s="35">
        <f t="shared" si="38"/>
        <v>4.7</v>
      </c>
      <c r="I174" s="31">
        <f>21.3+2.9</f>
        <v>24.2</v>
      </c>
      <c r="J174" s="37">
        <v>7.4</v>
      </c>
      <c r="K174" s="35">
        <f t="shared" si="32"/>
        <v>31.6</v>
      </c>
      <c r="L174" s="38">
        <v>3.5</v>
      </c>
      <c r="M174" s="36"/>
      <c r="N174" s="35">
        <f t="shared" si="33"/>
        <v>35.1</v>
      </c>
      <c r="O174" s="35">
        <f>8.32+9.82+7.12</f>
        <v>25.26</v>
      </c>
      <c r="P174" s="34"/>
      <c r="Q174" s="49">
        <f t="shared" si="39"/>
        <v>273.06</v>
      </c>
      <c r="R174" s="85"/>
      <c r="S174" s="71"/>
      <c r="Z174" s="90"/>
    </row>
    <row r="175" spans="2:26" ht="24.95" hidden="1" customHeight="1" x14ac:dyDescent="0.2">
      <c r="B175" s="65"/>
      <c r="C175" s="35"/>
      <c r="D175" s="34"/>
      <c r="E175" s="36"/>
      <c r="F175" s="36"/>
      <c r="G175" s="37"/>
      <c r="H175" s="35"/>
      <c r="I175" s="31"/>
      <c r="J175" s="37"/>
      <c r="K175" s="35"/>
      <c r="L175" s="38"/>
      <c r="M175" s="36"/>
      <c r="N175" s="35"/>
      <c r="O175" s="35"/>
      <c r="P175" s="34"/>
      <c r="Q175" s="49"/>
      <c r="R175" s="85"/>
      <c r="S175" s="71"/>
      <c r="Z175" s="90"/>
    </row>
    <row r="176" spans="2:26" ht="21" customHeight="1" x14ac:dyDescent="0.2">
      <c r="B176" s="64">
        <v>2006</v>
      </c>
      <c r="C176" s="35">
        <f t="shared" ref="C176:R176" si="40">SUM(C177:C188)</f>
        <v>1008.3605810000001</v>
      </c>
      <c r="D176" s="34">
        <f t="shared" si="40"/>
        <v>0</v>
      </c>
      <c r="E176" s="36">
        <f t="shared" si="40"/>
        <v>85.564397064000005</v>
      </c>
      <c r="F176" s="36">
        <f t="shared" si="40"/>
        <v>0</v>
      </c>
      <c r="G176" s="37">
        <f t="shared" si="40"/>
        <v>26.994356856389999</v>
      </c>
      <c r="H176" s="35">
        <f t="shared" si="40"/>
        <v>112.55875392038999</v>
      </c>
      <c r="I176" s="31">
        <f t="shared" si="40"/>
        <v>207.65994496216797</v>
      </c>
      <c r="J176" s="37">
        <f t="shared" si="40"/>
        <v>109.40906797618949</v>
      </c>
      <c r="K176" s="35">
        <f t="shared" si="40"/>
        <v>317.06901293835745</v>
      </c>
      <c r="L176" s="38">
        <f t="shared" si="40"/>
        <v>92.641599182370442</v>
      </c>
      <c r="M176" s="36">
        <f t="shared" si="40"/>
        <v>0</v>
      </c>
      <c r="N176" s="35">
        <f t="shared" si="40"/>
        <v>409.71061212072789</v>
      </c>
      <c r="O176" s="35">
        <f t="shared" si="40"/>
        <v>144.45489157873487</v>
      </c>
      <c r="P176" s="34">
        <f t="shared" si="40"/>
        <v>0</v>
      </c>
      <c r="Q176" s="49">
        <f>SUM(Q177:Q188)</f>
        <v>1675.0848386198527</v>
      </c>
      <c r="R176" s="85">
        <f t="shared" si="40"/>
        <v>0</v>
      </c>
      <c r="S176" s="71"/>
      <c r="Z176" s="90"/>
    </row>
    <row r="177" spans="2:26" ht="24.95" hidden="1" customHeight="1" x14ac:dyDescent="0.2">
      <c r="B177" s="65" t="s">
        <v>81</v>
      </c>
      <c r="C177" s="35">
        <f>135+6.2+9.9</f>
        <v>151.1</v>
      </c>
      <c r="D177" s="34">
        <f>151.1-C177</f>
        <v>0</v>
      </c>
      <c r="E177" s="36">
        <v>3.1</v>
      </c>
      <c r="F177" s="36"/>
      <c r="G177" s="37">
        <v>1.8</v>
      </c>
      <c r="H177" s="35">
        <f t="shared" ref="H177:H188" si="41">D177+E177+F177+G177</f>
        <v>4.9000000000000004</v>
      </c>
      <c r="I177" s="31">
        <v>8.6999999999999993</v>
      </c>
      <c r="J177" s="37">
        <v>11.8</v>
      </c>
      <c r="K177" s="35">
        <f t="shared" ref="K177:K188" si="42">I177+J177</f>
        <v>20.5</v>
      </c>
      <c r="L177" s="38">
        <v>4.2</v>
      </c>
      <c r="M177" s="36"/>
      <c r="N177" s="35">
        <f t="shared" ref="N177:N188" si="43">L177+K177</f>
        <v>24.7</v>
      </c>
      <c r="O177" s="35">
        <v>9.6</v>
      </c>
      <c r="P177" s="34"/>
      <c r="Q177" s="49">
        <f t="shared" ref="Q177:Q188" si="44">O177+N177+H177+C177</f>
        <v>190.29999999999998</v>
      </c>
      <c r="R177" s="85"/>
      <c r="S177" s="71"/>
      <c r="Y177" s="7">
        <f>190.3-Q177</f>
        <v>0</v>
      </c>
      <c r="Z177" s="90"/>
    </row>
    <row r="178" spans="2:26" ht="24.95" hidden="1" customHeight="1" x14ac:dyDescent="0.2">
      <c r="B178" s="65" t="s">
        <v>82</v>
      </c>
      <c r="C178" s="35">
        <f>62.1+4.8+11.7</f>
        <v>78.600000000000009</v>
      </c>
      <c r="D178" s="34"/>
      <c r="E178" s="36"/>
      <c r="F178" s="36"/>
      <c r="G178" s="37">
        <v>2.1</v>
      </c>
      <c r="H178" s="35">
        <f t="shared" si="41"/>
        <v>2.1</v>
      </c>
      <c r="I178" s="31">
        <v>6</v>
      </c>
      <c r="J178" s="37">
        <v>3.3</v>
      </c>
      <c r="K178" s="35">
        <f t="shared" si="42"/>
        <v>9.3000000000000007</v>
      </c>
      <c r="L178" s="38">
        <v>1.8</v>
      </c>
      <c r="M178" s="36"/>
      <c r="N178" s="35">
        <f t="shared" si="43"/>
        <v>11.100000000000001</v>
      </c>
      <c r="O178" s="35">
        <v>6.3</v>
      </c>
      <c r="P178" s="34"/>
      <c r="Q178" s="49">
        <f t="shared" si="44"/>
        <v>98.100000000000009</v>
      </c>
      <c r="R178" s="85"/>
      <c r="S178" s="71"/>
      <c r="Z178" s="90"/>
    </row>
    <row r="179" spans="2:26" ht="24.95" hidden="1" customHeight="1" x14ac:dyDescent="0.2">
      <c r="B179" s="65" t="s">
        <v>83</v>
      </c>
      <c r="C179" s="35">
        <f>47.5+1.9+2</f>
        <v>51.4</v>
      </c>
      <c r="D179" s="34"/>
      <c r="E179" s="36">
        <v>2.6</v>
      </c>
      <c r="F179" s="36"/>
      <c r="G179" s="37">
        <v>2.1</v>
      </c>
      <c r="H179" s="35">
        <f t="shared" si="41"/>
        <v>4.7</v>
      </c>
      <c r="I179" s="31">
        <v>12.9</v>
      </c>
      <c r="J179" s="37">
        <v>3.9</v>
      </c>
      <c r="K179" s="35">
        <f t="shared" si="42"/>
        <v>16.8</v>
      </c>
      <c r="L179" s="38">
        <v>5.0999999999999996</v>
      </c>
      <c r="M179" s="36"/>
      <c r="N179" s="35">
        <f t="shared" si="43"/>
        <v>21.9</v>
      </c>
      <c r="O179" s="35">
        <v>2.1</v>
      </c>
      <c r="P179" s="34"/>
      <c r="Q179" s="49">
        <f t="shared" si="44"/>
        <v>80.099999999999994</v>
      </c>
      <c r="R179" s="85"/>
      <c r="S179" s="71"/>
      <c r="Y179" s="7">
        <f>80.1-Q179</f>
        <v>0</v>
      </c>
      <c r="Z179" s="90"/>
    </row>
    <row r="180" spans="2:26" ht="24.95" hidden="1" customHeight="1" x14ac:dyDescent="0.2">
      <c r="B180" s="65" t="s">
        <v>84</v>
      </c>
      <c r="C180" s="35">
        <v>48.214184999999993</v>
      </c>
      <c r="D180" s="34"/>
      <c r="E180" s="36"/>
      <c r="F180" s="36"/>
      <c r="G180" s="37">
        <v>2.1913920026999998</v>
      </c>
      <c r="H180" s="35">
        <f t="shared" si="41"/>
        <v>2.1913920026999998</v>
      </c>
      <c r="I180" s="31">
        <v>23.088168281399998</v>
      </c>
      <c r="J180" s="37">
        <v>13.10158496861</v>
      </c>
      <c r="K180" s="35">
        <f t="shared" si="42"/>
        <v>36.18975325001</v>
      </c>
      <c r="L180" s="38">
        <v>6.8295798465918001</v>
      </c>
      <c r="M180" s="36"/>
      <c r="N180" s="35">
        <f t="shared" si="43"/>
        <v>43.019333096601798</v>
      </c>
      <c r="O180" s="35">
        <v>5.2</v>
      </c>
      <c r="P180" s="34"/>
      <c r="Q180" s="49">
        <f t="shared" si="44"/>
        <v>98.624910099301786</v>
      </c>
      <c r="R180" s="85"/>
      <c r="S180" s="71"/>
      <c r="Z180" s="90"/>
    </row>
    <row r="181" spans="2:26" ht="24.95" hidden="1" customHeight="1" x14ac:dyDescent="0.2">
      <c r="B181" s="65" t="s">
        <v>85</v>
      </c>
      <c r="C181" s="35">
        <v>127.515378</v>
      </c>
      <c r="D181" s="34"/>
      <c r="E181" s="36">
        <v>2.6582731900000001</v>
      </c>
      <c r="F181" s="36"/>
      <c r="G181" s="37">
        <v>1.2995858193999998</v>
      </c>
      <c r="H181" s="35">
        <f t="shared" si="41"/>
        <v>3.9578590093999999</v>
      </c>
      <c r="I181" s="31">
        <v>41.7</v>
      </c>
      <c r="J181" s="37">
        <v>12.9</v>
      </c>
      <c r="K181" s="35">
        <f t="shared" si="42"/>
        <v>54.6</v>
      </c>
      <c r="L181" s="38">
        <v>5.3584659231337994</v>
      </c>
      <c r="M181" s="36"/>
      <c r="N181" s="35">
        <f t="shared" si="43"/>
        <v>59.958465923133801</v>
      </c>
      <c r="O181" s="35">
        <v>2.1874083248727518</v>
      </c>
      <c r="P181" s="34"/>
      <c r="Q181" s="49">
        <f t="shared" si="44"/>
        <v>193.61911125740653</v>
      </c>
      <c r="R181" s="85"/>
      <c r="S181" s="71"/>
      <c r="Z181" s="90"/>
    </row>
    <row r="182" spans="2:26" ht="24.95" hidden="1" customHeight="1" x14ac:dyDescent="0.2">
      <c r="B182" s="65" t="s">
        <v>86</v>
      </c>
      <c r="C182" s="35">
        <v>82.497973000000002</v>
      </c>
      <c r="D182" s="34"/>
      <c r="E182" s="36">
        <v>2.8215110000000001</v>
      </c>
      <c r="F182" s="36"/>
      <c r="G182" s="37">
        <v>3.8677301805399997</v>
      </c>
      <c r="H182" s="35">
        <f t="shared" si="41"/>
        <v>6.6892411805399998</v>
      </c>
      <c r="I182" s="31">
        <v>12.16426351</v>
      </c>
      <c r="J182" s="37">
        <v>8.1583511270989995</v>
      </c>
      <c r="K182" s="35">
        <f t="shared" si="42"/>
        <v>20.322614637099001</v>
      </c>
      <c r="L182" s="38">
        <v>5.1925447956559996</v>
      </c>
      <c r="M182" s="36"/>
      <c r="N182" s="35">
        <f t="shared" si="43"/>
        <v>25.515159432754999</v>
      </c>
      <c r="O182" s="35">
        <v>6.7614471869157073</v>
      </c>
      <c r="P182" s="34"/>
      <c r="Q182" s="49">
        <f t="shared" si="44"/>
        <v>121.46382080021071</v>
      </c>
      <c r="R182" s="85"/>
      <c r="S182" s="71"/>
      <c r="Z182" s="90"/>
    </row>
    <row r="183" spans="2:26" ht="24.95" hidden="1" customHeight="1" x14ac:dyDescent="0.2">
      <c r="B183" s="65" t="s">
        <v>87</v>
      </c>
      <c r="C183" s="35">
        <v>54.7</v>
      </c>
      <c r="D183" s="34"/>
      <c r="E183" s="36">
        <v>3.69684664</v>
      </c>
      <c r="F183" s="36"/>
      <c r="G183" s="37">
        <v>2.5861200480999997</v>
      </c>
      <c r="H183" s="35">
        <f t="shared" si="41"/>
        <v>6.2829666881000001</v>
      </c>
      <c r="I183" s="31">
        <v>5.3112489121100008</v>
      </c>
      <c r="J183" s="37">
        <v>12.5265608823285</v>
      </c>
      <c r="K183" s="35">
        <f t="shared" si="42"/>
        <v>17.837809794438499</v>
      </c>
      <c r="L183" s="38">
        <v>13.728050172565602</v>
      </c>
      <c r="M183" s="36"/>
      <c r="N183" s="35">
        <f t="shared" si="43"/>
        <v>31.565859967004101</v>
      </c>
      <c r="O183" s="35">
        <v>7.9</v>
      </c>
      <c r="P183" s="34"/>
      <c r="Q183" s="49">
        <f t="shared" si="44"/>
        <v>100.4488266551041</v>
      </c>
      <c r="R183" s="85"/>
      <c r="S183" s="71"/>
      <c r="Z183" s="90"/>
    </row>
    <row r="184" spans="2:26" ht="24.95" hidden="1" customHeight="1" x14ac:dyDescent="0.2">
      <c r="B184" s="65" t="s">
        <v>88</v>
      </c>
      <c r="C184" s="35">
        <v>68</v>
      </c>
      <c r="D184" s="34"/>
      <c r="E184" s="36">
        <v>6.5868860310000006</v>
      </c>
      <c r="F184" s="36"/>
      <c r="G184" s="37">
        <v>2.21877924035</v>
      </c>
      <c r="H184" s="35">
        <f t="shared" si="41"/>
        <v>8.8056652713500014</v>
      </c>
      <c r="I184" s="31">
        <v>10.5707761</v>
      </c>
      <c r="J184" s="37">
        <v>4.4643531581299998</v>
      </c>
      <c r="K184" s="35">
        <f t="shared" si="42"/>
        <v>15.035129258129999</v>
      </c>
      <c r="L184" s="38">
        <v>6.0134216760246995</v>
      </c>
      <c r="M184" s="36"/>
      <c r="N184" s="35">
        <f t="shared" si="43"/>
        <v>21.048550934154697</v>
      </c>
      <c r="O184" s="35">
        <v>10.578704931672704</v>
      </c>
      <c r="P184" s="34"/>
      <c r="Q184" s="49">
        <f t="shared" si="44"/>
        <v>108.4329211371774</v>
      </c>
      <c r="R184" s="85"/>
      <c r="S184" s="71"/>
      <c r="Z184" s="90"/>
    </row>
    <row r="185" spans="2:26" ht="24.95" hidden="1" customHeight="1" x14ac:dyDescent="0.2">
      <c r="B185" s="65" t="s">
        <v>89</v>
      </c>
      <c r="C185" s="35">
        <v>67.400000000000006</v>
      </c>
      <c r="D185" s="34"/>
      <c r="E185" s="36">
        <v>17.666963631999998</v>
      </c>
      <c r="F185" s="36"/>
      <c r="G185" s="37">
        <v>1.8556655645999998</v>
      </c>
      <c r="H185" s="35">
        <f t="shared" si="41"/>
        <v>19.522629196599997</v>
      </c>
      <c r="I185" s="31">
        <v>12.363381116189998</v>
      </c>
      <c r="J185" s="37">
        <v>4.0146538037899999</v>
      </c>
      <c r="K185" s="35">
        <f t="shared" si="42"/>
        <v>16.378034919979999</v>
      </c>
      <c r="L185" s="38">
        <v>11.913632469548798</v>
      </c>
      <c r="M185" s="36"/>
      <c r="N185" s="35">
        <f t="shared" si="43"/>
        <v>28.291667389528797</v>
      </c>
      <c r="O185" s="35">
        <v>8.277580265108698</v>
      </c>
      <c r="P185" s="34"/>
      <c r="Q185" s="49">
        <f t="shared" si="44"/>
        <v>123.49187685123749</v>
      </c>
      <c r="R185" s="85"/>
      <c r="S185" s="71"/>
      <c r="Z185" s="90"/>
    </row>
    <row r="186" spans="2:26" ht="24.95" hidden="1" customHeight="1" x14ac:dyDescent="0.2">
      <c r="B186" s="65" t="s">
        <v>90</v>
      </c>
      <c r="C186" s="35">
        <v>68.590688</v>
      </c>
      <c r="D186" s="34"/>
      <c r="E186" s="36">
        <v>16.336968621600001</v>
      </c>
      <c r="F186" s="36"/>
      <c r="G186" s="37">
        <v>2.2509436018</v>
      </c>
      <c r="H186" s="35">
        <f t="shared" si="41"/>
        <v>18.5879122234</v>
      </c>
      <c r="I186" s="31">
        <v>24.965109712109996</v>
      </c>
      <c r="J186" s="37">
        <v>13.292526803049</v>
      </c>
      <c r="K186" s="35">
        <f t="shared" si="42"/>
        <v>38.257636515158993</v>
      </c>
      <c r="L186" s="38">
        <v>9.0238690692203996</v>
      </c>
      <c r="M186" s="36"/>
      <c r="N186" s="35">
        <f t="shared" si="43"/>
        <v>47.281505584379389</v>
      </c>
      <c r="O186" s="35">
        <v>28.747277767081719</v>
      </c>
      <c r="P186" s="34"/>
      <c r="Q186" s="49">
        <f t="shared" si="44"/>
        <v>163.2073835748611</v>
      </c>
      <c r="R186" s="85"/>
      <c r="S186" s="71"/>
      <c r="Z186" s="90"/>
    </row>
    <row r="187" spans="2:26" ht="24.95" hidden="1" customHeight="1" x14ac:dyDescent="0.2">
      <c r="B187" s="65" t="s">
        <v>91</v>
      </c>
      <c r="C187" s="35">
        <v>70.71566700000001</v>
      </c>
      <c r="D187" s="34"/>
      <c r="E187" s="36">
        <v>20.343585739399998</v>
      </c>
      <c r="F187" s="36"/>
      <c r="G187" s="37">
        <v>2.1351835993000003</v>
      </c>
      <c r="H187" s="35">
        <f t="shared" si="41"/>
        <v>22.478769338699998</v>
      </c>
      <c r="I187" s="31">
        <v>34.440122224516998</v>
      </c>
      <c r="J187" s="37">
        <v>12.804124453850999</v>
      </c>
      <c r="K187" s="35">
        <f t="shared" si="42"/>
        <v>47.244246678368</v>
      </c>
      <c r="L187" s="38">
        <v>14.103905885763041</v>
      </c>
      <c r="M187" s="36"/>
      <c r="N187" s="35">
        <f t="shared" si="43"/>
        <v>61.348152564131041</v>
      </c>
      <c r="O187" s="35">
        <v>18.003949525932722</v>
      </c>
      <c r="P187" s="34"/>
      <c r="Q187" s="49">
        <f t="shared" si="44"/>
        <v>172.54653842876377</v>
      </c>
      <c r="R187" s="85"/>
      <c r="S187" s="71"/>
      <c r="Z187" s="90"/>
    </row>
    <row r="188" spans="2:26" ht="24.95" hidden="1" customHeight="1" x14ac:dyDescent="0.2">
      <c r="B188" s="65" t="s">
        <v>63</v>
      </c>
      <c r="C188" s="35">
        <v>139.62669</v>
      </c>
      <c r="D188" s="34"/>
      <c r="E188" s="36">
        <v>9.7533622100000024</v>
      </c>
      <c r="F188" s="36"/>
      <c r="G188" s="37">
        <v>2.5889567996</v>
      </c>
      <c r="H188" s="35">
        <f t="shared" si="41"/>
        <v>12.342319009600002</v>
      </c>
      <c r="I188" s="31">
        <v>15.456875105841</v>
      </c>
      <c r="J188" s="37">
        <v>9.1469127793320002</v>
      </c>
      <c r="K188" s="35">
        <f t="shared" si="42"/>
        <v>24.603787885172999</v>
      </c>
      <c r="L188" s="38">
        <v>9.378129343866302</v>
      </c>
      <c r="M188" s="36"/>
      <c r="N188" s="35">
        <f t="shared" si="43"/>
        <v>33.981917229039297</v>
      </c>
      <c r="O188" s="35">
        <v>38.798523577150547</v>
      </c>
      <c r="P188" s="34"/>
      <c r="Q188" s="49">
        <f t="shared" si="44"/>
        <v>224.74944981578983</v>
      </c>
      <c r="R188" s="85"/>
      <c r="S188" s="71"/>
      <c r="Z188" s="90"/>
    </row>
    <row r="189" spans="2:26" ht="24.95" hidden="1" customHeight="1" x14ac:dyDescent="0.2">
      <c r="B189" s="65"/>
      <c r="C189" s="35"/>
      <c r="D189" s="34"/>
      <c r="E189" s="36"/>
      <c r="F189" s="36"/>
      <c r="G189" s="37"/>
      <c r="H189" s="35"/>
      <c r="I189" s="31"/>
      <c r="J189" s="37"/>
      <c r="K189" s="35"/>
      <c r="L189" s="38"/>
      <c r="M189" s="36"/>
      <c r="N189" s="35"/>
      <c r="O189" s="35"/>
      <c r="P189" s="34"/>
      <c r="Q189" s="49"/>
      <c r="R189" s="85"/>
      <c r="S189" s="71"/>
      <c r="Z189" s="90"/>
    </row>
    <row r="190" spans="2:26" ht="21" customHeight="1" x14ac:dyDescent="0.2">
      <c r="B190" s="64">
        <v>2007</v>
      </c>
      <c r="C190" s="35">
        <f t="shared" ref="C190:L190" si="45">SUM(C191:C202)</f>
        <v>638.86908767</v>
      </c>
      <c r="D190" s="34">
        <f t="shared" si="45"/>
        <v>7.0835600000000012E-2</v>
      </c>
      <c r="E190" s="36">
        <f t="shared" si="45"/>
        <v>306.84956222919283</v>
      </c>
      <c r="F190" s="36">
        <f t="shared" si="45"/>
        <v>13.0015833374569</v>
      </c>
      <c r="G190" s="37">
        <f t="shared" si="45"/>
        <v>44.087044915930008</v>
      </c>
      <c r="H190" s="35">
        <f t="shared" si="45"/>
        <v>364.00902608257974</v>
      </c>
      <c r="I190" s="31">
        <f t="shared" si="45"/>
        <v>210.91268480495273</v>
      </c>
      <c r="J190" s="37">
        <f t="shared" si="45"/>
        <v>94.540995671310995</v>
      </c>
      <c r="K190" s="35">
        <f t="shared" si="45"/>
        <v>305.45368047626374</v>
      </c>
      <c r="L190" s="38">
        <f t="shared" si="45"/>
        <v>188.1630340009163</v>
      </c>
      <c r="M190" s="36"/>
      <c r="N190" s="35">
        <f>SUM(N191:N202)</f>
        <v>493.61671447718004</v>
      </c>
      <c r="O190" s="35">
        <f>SUM(O191:O202)</f>
        <v>245.34142091956124</v>
      </c>
      <c r="P190" s="34"/>
      <c r="Q190" s="49">
        <f>SUM(Q191:Q202)</f>
        <v>1741.836249149321</v>
      </c>
      <c r="R190" s="85"/>
      <c r="S190" s="71"/>
      <c r="Z190" s="90"/>
    </row>
    <row r="191" spans="2:26" ht="24.95" hidden="1" customHeight="1" x14ac:dyDescent="0.2">
      <c r="B191" s="65" t="s">
        <v>81</v>
      </c>
      <c r="C191" s="35">
        <f>71.865638+2.9</f>
        <v>74.76563800000001</v>
      </c>
      <c r="D191" s="34"/>
      <c r="E191" s="36">
        <v>13.94218699</v>
      </c>
      <c r="F191" s="36"/>
      <c r="G191" s="37">
        <v>3.5922258899999999</v>
      </c>
      <c r="H191" s="35">
        <f>+D191+E191+F191+G191</f>
        <v>17.534412879999998</v>
      </c>
      <c r="I191" s="31">
        <v>21.94207471</v>
      </c>
      <c r="J191" s="37">
        <v>8.4954159300000001</v>
      </c>
      <c r="K191" s="35">
        <f>+I191+J191</f>
        <v>30.43749064</v>
      </c>
      <c r="L191" s="38">
        <v>9.0117989399999985</v>
      </c>
      <c r="M191" s="36"/>
      <c r="N191" s="35">
        <f>+L191+K191</f>
        <v>39.449289579999999</v>
      </c>
      <c r="O191" s="35">
        <v>21.210907540000001</v>
      </c>
      <c r="P191" s="34"/>
      <c r="Q191" s="49">
        <f t="shared" ref="Q191:Q202" si="46">+O191+N191+H191+C191</f>
        <v>152.96024800000001</v>
      </c>
      <c r="R191" s="85"/>
      <c r="S191" s="71"/>
      <c r="Z191" s="90"/>
    </row>
    <row r="192" spans="2:26" ht="24.95" hidden="1" customHeight="1" x14ac:dyDescent="0.2">
      <c r="B192" s="65" t="s">
        <v>82</v>
      </c>
      <c r="C192" s="35">
        <f>29.451755+1.7+11.5</f>
        <v>42.651754999999994</v>
      </c>
      <c r="D192" s="34"/>
      <c r="E192" s="36">
        <v>25.061609466942841</v>
      </c>
      <c r="F192" s="36">
        <v>0.703654</v>
      </c>
      <c r="G192" s="37">
        <v>2.4486669593000001</v>
      </c>
      <c r="H192" s="35">
        <f t="shared" ref="H192:H202" si="47">+D192+E192+F192+G192</f>
        <v>28.21393042624284</v>
      </c>
      <c r="I192" s="31">
        <v>6.0910464499999994</v>
      </c>
      <c r="J192" s="37">
        <v>1.9569672891499998</v>
      </c>
      <c r="K192" s="35">
        <f t="shared" ref="K192:K202" si="48">+I192+J192</f>
        <v>8.0480137391499991</v>
      </c>
      <c r="L192" s="38">
        <v>3.8162264686498899</v>
      </c>
      <c r="M192" s="36"/>
      <c r="N192" s="35">
        <f t="shared" ref="N192:N202" si="49">+L192+K192</f>
        <v>11.864240207799888</v>
      </c>
      <c r="O192" s="35">
        <v>6.6303163035244301</v>
      </c>
      <c r="P192" s="34"/>
      <c r="Q192" s="49">
        <f t="shared" si="46"/>
        <v>89.360241937567153</v>
      </c>
      <c r="R192" s="85"/>
      <c r="S192" s="71"/>
      <c r="Z192" s="90"/>
    </row>
    <row r="193" spans="2:26" ht="24.95" hidden="1" customHeight="1" x14ac:dyDescent="0.2">
      <c r="B193" s="65" t="s">
        <v>83</v>
      </c>
      <c r="C193" s="35">
        <f>16.949959+15.3</f>
        <v>32.249959000000004</v>
      </c>
      <c r="D193" s="34"/>
      <c r="E193" s="36">
        <v>14.073316599600002</v>
      </c>
      <c r="F193" s="36"/>
      <c r="G193" s="37">
        <v>3.9662913790000003</v>
      </c>
      <c r="H193" s="35">
        <f t="shared" si="47"/>
        <v>18.039607978600003</v>
      </c>
      <c r="I193" s="31">
        <v>10.412131359999998</v>
      </c>
      <c r="J193" s="37">
        <v>2.0857094303100001</v>
      </c>
      <c r="K193" s="35">
        <f t="shared" si="48"/>
        <v>12.497840790309999</v>
      </c>
      <c r="L193" s="38">
        <v>8.6146829888020005</v>
      </c>
      <c r="M193" s="36"/>
      <c r="N193" s="35">
        <f t="shared" si="49"/>
        <v>21.112523779111999</v>
      </c>
      <c r="O193" s="35">
        <v>14.790501628855235</v>
      </c>
      <c r="P193" s="34"/>
      <c r="Q193" s="49">
        <f t="shared" si="46"/>
        <v>86.192592386567242</v>
      </c>
      <c r="R193" s="85"/>
      <c r="S193" s="71"/>
      <c r="Z193" s="90"/>
    </row>
    <row r="194" spans="2:26" ht="24.95" hidden="1" customHeight="1" x14ac:dyDescent="0.2">
      <c r="B194" s="65" t="s">
        <v>84</v>
      </c>
      <c r="C194" s="35">
        <v>39.539653999999999</v>
      </c>
      <c r="D194" s="34"/>
      <c r="E194" s="36">
        <v>8.6575514800000004</v>
      </c>
      <c r="F194" s="36">
        <v>1.0444334908999999</v>
      </c>
      <c r="G194" s="37">
        <v>1.8041244209</v>
      </c>
      <c r="H194" s="35">
        <f t="shared" si="47"/>
        <v>11.506109391799999</v>
      </c>
      <c r="I194" s="31">
        <v>24.909535643889999</v>
      </c>
      <c r="J194" s="37">
        <v>12.807501264788</v>
      </c>
      <c r="K194" s="35">
        <f t="shared" si="48"/>
        <v>37.717036908677997</v>
      </c>
      <c r="L194" s="38">
        <v>11.236929113274432</v>
      </c>
      <c r="M194" s="36"/>
      <c r="N194" s="35">
        <f t="shared" si="49"/>
        <v>48.953966021952425</v>
      </c>
      <c r="O194" s="35">
        <v>5.9782831449631031</v>
      </c>
      <c r="P194" s="34"/>
      <c r="Q194" s="49">
        <f t="shared" si="46"/>
        <v>105.97801255871552</v>
      </c>
      <c r="R194" s="85"/>
      <c r="S194" s="71"/>
      <c r="Z194" s="90"/>
    </row>
    <row r="195" spans="2:26" ht="24.95" hidden="1" customHeight="1" x14ac:dyDescent="0.2">
      <c r="B195" s="65" t="s">
        <v>85</v>
      </c>
      <c r="C195" s="35">
        <v>55.976368000000001</v>
      </c>
      <c r="D195" s="34"/>
      <c r="E195" s="36">
        <v>12.14491100975</v>
      </c>
      <c r="F195" s="36">
        <v>1.0281413812990001</v>
      </c>
      <c r="G195" s="37">
        <v>3.5256686113999995</v>
      </c>
      <c r="H195" s="35">
        <f t="shared" si="47"/>
        <v>16.698721002449002</v>
      </c>
      <c r="I195" s="31">
        <v>39.389194360000005</v>
      </c>
      <c r="J195" s="37">
        <v>10.2113199490794</v>
      </c>
      <c r="K195" s="35">
        <f t="shared" si="48"/>
        <v>49.600514309079401</v>
      </c>
      <c r="L195" s="38">
        <v>7.0873774394093596</v>
      </c>
      <c r="M195" s="36"/>
      <c r="N195" s="35">
        <f t="shared" si="49"/>
        <v>56.687891748488759</v>
      </c>
      <c r="O195" s="35">
        <v>20.440000000000001</v>
      </c>
      <c r="P195" s="34"/>
      <c r="Q195" s="49">
        <f t="shared" si="46"/>
        <v>149.80298075093776</v>
      </c>
      <c r="R195" s="85"/>
      <c r="S195" s="71"/>
      <c r="Z195" s="90"/>
    </row>
    <row r="196" spans="2:26" ht="24.95" hidden="1" customHeight="1" x14ac:dyDescent="0.2">
      <c r="B196" s="65" t="s">
        <v>86</v>
      </c>
      <c r="C196" s="35">
        <f>50.284878+10.8</f>
        <v>61.084878000000003</v>
      </c>
      <c r="D196" s="34"/>
      <c r="E196" s="36">
        <v>78.100418461000004</v>
      </c>
      <c r="F196" s="36">
        <v>1.9613288262000002</v>
      </c>
      <c r="G196" s="37">
        <v>4.3427197080000006</v>
      </c>
      <c r="H196" s="35">
        <f t="shared" si="47"/>
        <v>84.404466995200011</v>
      </c>
      <c r="I196" s="31">
        <v>28.321135210000001</v>
      </c>
      <c r="J196" s="37">
        <v>9.5768132059689002</v>
      </c>
      <c r="K196" s="35">
        <f t="shared" si="48"/>
        <v>37.897948415968898</v>
      </c>
      <c r="L196" s="38">
        <v>9.8203909997870014</v>
      </c>
      <c r="M196" s="36"/>
      <c r="N196" s="35">
        <f t="shared" si="49"/>
        <v>47.718339415755899</v>
      </c>
      <c r="O196" s="35">
        <v>7.4190243251798638</v>
      </c>
      <c r="P196" s="34"/>
      <c r="Q196" s="49">
        <f t="shared" si="46"/>
        <v>200.62670873613578</v>
      </c>
      <c r="R196" s="85"/>
      <c r="S196" s="71"/>
      <c r="Z196" s="90"/>
    </row>
    <row r="197" spans="2:26" ht="24.95" hidden="1" customHeight="1" x14ac:dyDescent="0.2">
      <c r="B197" s="65" t="s">
        <v>87</v>
      </c>
      <c r="C197" s="35">
        <v>62.56563899999999</v>
      </c>
      <c r="D197" s="34"/>
      <c r="E197" s="36">
        <v>5.7476157800000003</v>
      </c>
      <c r="F197" s="36">
        <v>3.4040657053799999</v>
      </c>
      <c r="G197" s="37">
        <v>7.1668822492000004</v>
      </c>
      <c r="H197" s="35">
        <f t="shared" si="47"/>
        <v>16.31856373458</v>
      </c>
      <c r="I197" s="31">
        <v>14.97855246</v>
      </c>
      <c r="J197" s="37">
        <v>12.948704010790001</v>
      </c>
      <c r="K197" s="35">
        <f t="shared" si="48"/>
        <v>27.927256470789999</v>
      </c>
      <c r="L197" s="38">
        <v>25.329602078506142</v>
      </c>
      <c r="M197" s="36"/>
      <c r="N197" s="35">
        <f t="shared" si="49"/>
        <v>53.25685854929614</v>
      </c>
      <c r="O197" s="35">
        <v>8.6023556856093837</v>
      </c>
      <c r="P197" s="34"/>
      <c r="Q197" s="49">
        <f t="shared" si="46"/>
        <v>140.74341696948551</v>
      </c>
      <c r="R197" s="85"/>
      <c r="S197" s="71"/>
      <c r="Z197" s="90"/>
    </row>
    <row r="198" spans="2:26" ht="24.95" hidden="1" customHeight="1" x14ac:dyDescent="0.2">
      <c r="B198" s="65" t="s">
        <v>88</v>
      </c>
      <c r="C198" s="35">
        <v>31.602581000000001</v>
      </c>
      <c r="D198" s="34"/>
      <c r="E198" s="36">
        <v>62.109891830099997</v>
      </c>
      <c r="F198" s="36">
        <v>3.3126209095000001</v>
      </c>
      <c r="G198" s="37">
        <v>3.4210051797000003</v>
      </c>
      <c r="H198" s="35">
        <f t="shared" si="47"/>
        <v>68.843517919299998</v>
      </c>
      <c r="I198" s="31">
        <v>5.6168091869999994</v>
      </c>
      <c r="J198" s="37">
        <v>1.9999507127599998</v>
      </c>
      <c r="K198" s="35">
        <f t="shared" si="48"/>
        <v>7.616759899759999</v>
      </c>
      <c r="L198" s="38">
        <v>20.687174588435401</v>
      </c>
      <c r="M198" s="36"/>
      <c r="N198" s="35">
        <f t="shared" si="49"/>
        <v>28.303934488195399</v>
      </c>
      <c r="O198" s="35">
        <v>33.697622198904128</v>
      </c>
      <c r="P198" s="34"/>
      <c r="Q198" s="49">
        <f t="shared" si="46"/>
        <v>162.44765560639951</v>
      </c>
      <c r="R198" s="85"/>
      <c r="S198" s="71"/>
      <c r="Z198" s="90"/>
    </row>
    <row r="199" spans="2:26" ht="24.95" hidden="1" customHeight="1" x14ac:dyDescent="0.2">
      <c r="B199" s="65" t="s">
        <v>89</v>
      </c>
      <c r="C199" s="35">
        <v>31.922269</v>
      </c>
      <c r="D199" s="34"/>
      <c r="E199" s="36">
        <v>31.622875858999997</v>
      </c>
      <c r="F199" s="36">
        <v>0.1863992736</v>
      </c>
      <c r="G199" s="37">
        <v>3.0967812186999994</v>
      </c>
      <c r="H199" s="35">
        <f t="shared" si="47"/>
        <v>34.906056351299995</v>
      </c>
      <c r="I199" s="31">
        <v>8.9296710400000006</v>
      </c>
      <c r="J199" s="37">
        <v>2.7105895610605</v>
      </c>
      <c r="K199" s="35">
        <f t="shared" si="48"/>
        <v>11.640260601060501</v>
      </c>
      <c r="L199" s="38">
        <v>23.834787559270001</v>
      </c>
      <c r="M199" s="36"/>
      <c r="N199" s="35">
        <f t="shared" si="49"/>
        <v>35.475048160330502</v>
      </c>
      <c r="O199" s="35">
        <v>17.246410092525068</v>
      </c>
      <c r="P199" s="34"/>
      <c r="Q199" s="49">
        <f t="shared" si="46"/>
        <v>119.54978360415556</v>
      </c>
      <c r="R199" s="85"/>
      <c r="S199" s="71"/>
      <c r="Z199" s="90"/>
    </row>
    <row r="200" spans="2:26" ht="24.95" hidden="1" customHeight="1" x14ac:dyDescent="0.2">
      <c r="B200" s="65" t="s">
        <v>90</v>
      </c>
      <c r="C200" s="35">
        <v>46.1</v>
      </c>
      <c r="D200" s="34">
        <v>7.0835600000000012E-2</v>
      </c>
      <c r="E200" s="36">
        <v>12.9640026308</v>
      </c>
      <c r="F200" s="36">
        <v>0.8078594469</v>
      </c>
      <c r="G200" s="37">
        <v>3.2206955681999996</v>
      </c>
      <c r="H200" s="35">
        <f t="shared" si="47"/>
        <v>17.063393245899999</v>
      </c>
      <c r="I200" s="31">
        <v>24.565066246800001</v>
      </c>
      <c r="J200" s="37">
        <v>12.52073805184</v>
      </c>
      <c r="K200" s="35">
        <f t="shared" si="48"/>
        <v>37.085804298639999</v>
      </c>
      <c r="L200" s="38">
        <v>32.336618683914104</v>
      </c>
      <c r="M200" s="36"/>
      <c r="N200" s="35">
        <f t="shared" si="49"/>
        <v>69.42242298255411</v>
      </c>
      <c r="O200" s="35">
        <v>37.68</v>
      </c>
      <c r="P200" s="34"/>
      <c r="Q200" s="49">
        <f t="shared" si="46"/>
        <v>170.26581622845413</v>
      </c>
      <c r="R200" s="85"/>
      <c r="S200" s="71"/>
      <c r="Z200" s="90"/>
    </row>
    <row r="201" spans="2:26" ht="24.95" hidden="1" customHeight="1" x14ac:dyDescent="0.2">
      <c r="B201" s="65" t="s">
        <v>91</v>
      </c>
      <c r="C201" s="35">
        <f>65.294+7.167392</f>
        <v>72.461392000000004</v>
      </c>
      <c r="D201" s="34"/>
      <c r="E201" s="36">
        <v>22.795313411999999</v>
      </c>
      <c r="F201" s="36">
        <v>0.34843848999999999</v>
      </c>
      <c r="G201" s="37">
        <v>3.4956304115300001</v>
      </c>
      <c r="H201" s="35">
        <f t="shared" si="47"/>
        <v>26.63938231353</v>
      </c>
      <c r="I201" s="31">
        <v>10.527794869999999</v>
      </c>
      <c r="J201" s="37">
        <v>9.6552371006099982</v>
      </c>
      <c r="K201" s="35">
        <f t="shared" si="48"/>
        <v>20.183031970609996</v>
      </c>
      <c r="L201" s="38">
        <v>17.447927903771998</v>
      </c>
      <c r="M201" s="36"/>
      <c r="N201" s="35">
        <f t="shared" si="49"/>
        <v>37.630959874381993</v>
      </c>
      <c r="O201" s="35">
        <v>47.02</v>
      </c>
      <c r="P201" s="34"/>
      <c r="Q201" s="49">
        <f t="shared" si="46"/>
        <v>183.75173418791201</v>
      </c>
      <c r="R201" s="85"/>
      <c r="S201" s="71"/>
      <c r="Z201" s="90"/>
    </row>
    <row r="202" spans="2:26" ht="24.95" hidden="1" customHeight="1" x14ac:dyDescent="0.2">
      <c r="B202" s="65" t="s">
        <v>63</v>
      </c>
      <c r="C202" s="35">
        <f>80.64239167+7.306563</f>
        <v>87.948954669999992</v>
      </c>
      <c r="D202" s="34"/>
      <c r="E202" s="36">
        <v>19.62986871</v>
      </c>
      <c r="F202" s="36">
        <v>0.20464181367789999</v>
      </c>
      <c r="G202" s="37">
        <v>4.0063533199999997</v>
      </c>
      <c r="H202" s="35">
        <f t="shared" si="47"/>
        <v>23.840863843677898</v>
      </c>
      <c r="I202" s="31">
        <v>15.229673267262749</v>
      </c>
      <c r="J202" s="37">
        <v>9.5720491649541994</v>
      </c>
      <c r="K202" s="35">
        <f t="shared" si="48"/>
        <v>24.801722432216948</v>
      </c>
      <c r="L202" s="38">
        <v>18.939517237095981</v>
      </c>
      <c r="M202" s="36"/>
      <c r="N202" s="35">
        <f t="shared" si="49"/>
        <v>43.741239669312932</v>
      </c>
      <c r="O202" s="35">
        <v>24.626000000000001</v>
      </c>
      <c r="P202" s="34"/>
      <c r="Q202" s="49">
        <f t="shared" si="46"/>
        <v>180.15705818299082</v>
      </c>
      <c r="R202" s="85"/>
      <c r="S202" s="71"/>
      <c r="Z202" s="90"/>
    </row>
    <row r="203" spans="2:26" ht="15" hidden="1" customHeight="1" x14ac:dyDescent="0.2">
      <c r="B203" s="65"/>
      <c r="C203" s="35"/>
      <c r="D203" s="34"/>
      <c r="E203" s="36"/>
      <c r="F203" s="36"/>
      <c r="G203" s="37"/>
      <c r="H203" s="35"/>
      <c r="I203" s="31"/>
      <c r="J203" s="37"/>
      <c r="K203" s="35">
        <f t="shared" si="32"/>
        <v>0</v>
      </c>
      <c r="L203" s="38"/>
      <c r="M203" s="36"/>
      <c r="N203" s="35">
        <f t="shared" si="33"/>
        <v>0</v>
      </c>
      <c r="O203" s="35"/>
      <c r="P203" s="34"/>
      <c r="Q203" s="49">
        <f>O203+N203+H203+C203</f>
        <v>0</v>
      </c>
      <c r="R203" s="85"/>
      <c r="S203" s="71"/>
      <c r="Z203" s="90"/>
    </row>
    <row r="204" spans="2:26" ht="21" customHeight="1" x14ac:dyDescent="0.2">
      <c r="B204" s="64">
        <v>2008</v>
      </c>
      <c r="C204" s="35">
        <f t="shared" ref="C204:P204" si="50">SUM(C206:C217)</f>
        <v>1445.115362400069</v>
      </c>
      <c r="D204" s="34">
        <f t="shared" si="50"/>
        <v>1.711683549356223</v>
      </c>
      <c r="E204" s="36">
        <f t="shared" si="50"/>
        <v>338.91350173894114</v>
      </c>
      <c r="F204" s="36">
        <f t="shared" si="50"/>
        <v>35.858954323337109</v>
      </c>
      <c r="G204" s="37">
        <f t="shared" si="50"/>
        <v>42.43530249190426</v>
      </c>
      <c r="H204" s="35">
        <f t="shared" si="50"/>
        <v>418.91944210353881</v>
      </c>
      <c r="I204" s="31">
        <f t="shared" si="50"/>
        <v>187.89526970814623</v>
      </c>
      <c r="J204" s="37">
        <f t="shared" si="50"/>
        <v>97.077959819046271</v>
      </c>
      <c r="K204" s="35">
        <f t="shared" si="50"/>
        <v>284.97322952719247</v>
      </c>
      <c r="L204" s="38">
        <f t="shared" si="50"/>
        <v>242.34357885496792</v>
      </c>
      <c r="M204" s="36">
        <f t="shared" si="50"/>
        <v>0</v>
      </c>
      <c r="N204" s="35">
        <f t="shared" si="50"/>
        <v>527.3168083821605</v>
      </c>
      <c r="O204" s="35">
        <f t="shared" si="50"/>
        <v>153.37150614405698</v>
      </c>
      <c r="P204" s="34">
        <f t="shared" si="50"/>
        <v>0</v>
      </c>
      <c r="Q204" s="49">
        <f>SUM(Q206:Q217)</f>
        <v>2544.7231190298253</v>
      </c>
      <c r="R204" s="85"/>
      <c r="S204" s="71"/>
      <c r="Z204" s="90"/>
    </row>
    <row r="205" spans="2:26" ht="25.5" hidden="1" customHeight="1" x14ac:dyDescent="0.2">
      <c r="B205" s="64"/>
      <c r="C205" s="35"/>
      <c r="D205" s="34"/>
      <c r="E205" s="36"/>
      <c r="F205" s="36"/>
      <c r="G205" s="37"/>
      <c r="H205" s="35"/>
      <c r="I205" s="31"/>
      <c r="J205" s="37"/>
      <c r="K205" s="35"/>
      <c r="L205" s="38"/>
      <c r="M205" s="36"/>
      <c r="N205" s="35"/>
      <c r="O205" s="35"/>
      <c r="P205" s="34"/>
      <c r="Q205" s="49"/>
      <c r="R205" s="85"/>
      <c r="S205" s="71"/>
      <c r="Z205" s="90"/>
    </row>
    <row r="206" spans="2:26" ht="19.5" hidden="1" customHeight="1" x14ac:dyDescent="0.2">
      <c r="B206" s="65" t="s">
        <v>81</v>
      </c>
      <c r="C206" s="35">
        <v>23.054404599999998</v>
      </c>
      <c r="D206" s="34"/>
      <c r="E206" s="36">
        <v>20.284898420999998</v>
      </c>
      <c r="F206" s="36">
        <v>0.10168997</v>
      </c>
      <c r="G206" s="37">
        <v>1.6426116789999998</v>
      </c>
      <c r="H206" s="35">
        <f t="shared" ref="H206:H217" si="51">+D206+E206+F206+G206</f>
        <v>22.029200069999995</v>
      </c>
      <c r="I206" s="31">
        <v>17.542777360000002</v>
      </c>
      <c r="J206" s="37">
        <v>13.302388879900001</v>
      </c>
      <c r="K206" s="35">
        <f t="shared" ref="K206:K211" si="52">+I206+J206</f>
        <v>30.845166239900003</v>
      </c>
      <c r="L206" s="38">
        <v>25.559198557517998</v>
      </c>
      <c r="M206" s="36"/>
      <c r="N206" s="35">
        <f t="shared" ref="N206:N217" si="53">+L206+K206</f>
        <v>56.404364797417998</v>
      </c>
      <c r="O206" s="35">
        <v>47.082795125728495</v>
      </c>
      <c r="P206" s="34"/>
      <c r="Q206" s="49">
        <f t="shared" ref="Q206:Q211" si="54">+O206+N206+H206+C206</f>
        <v>148.57076459314649</v>
      </c>
      <c r="R206" s="85"/>
      <c r="S206" s="71"/>
      <c r="Z206" s="90"/>
    </row>
    <row r="207" spans="2:26" ht="21" hidden="1" customHeight="1" x14ac:dyDescent="0.2">
      <c r="B207" s="65" t="s">
        <v>82</v>
      </c>
      <c r="C207" s="35">
        <v>24.738582999999998</v>
      </c>
      <c r="D207" s="34"/>
      <c r="E207" s="36">
        <v>11.611373519299999</v>
      </c>
      <c r="F207" s="36">
        <v>1.4353577396000001</v>
      </c>
      <c r="G207" s="37">
        <v>2.1222124290500002</v>
      </c>
      <c r="H207" s="35">
        <f t="shared" si="51"/>
        <v>15.16894368795</v>
      </c>
      <c r="I207" s="31">
        <v>6.098872920999999</v>
      </c>
      <c r="J207" s="37">
        <v>1.9464368419200002</v>
      </c>
      <c r="K207" s="35">
        <f t="shared" si="52"/>
        <v>8.0453097629199988</v>
      </c>
      <c r="L207" s="38">
        <v>13.560234292631</v>
      </c>
      <c r="M207" s="36"/>
      <c r="N207" s="35">
        <f t="shared" si="53"/>
        <v>21.605544055551</v>
      </c>
      <c r="O207" s="35">
        <v>28.935356208765761</v>
      </c>
      <c r="P207" s="34"/>
      <c r="Q207" s="49">
        <f t="shared" si="54"/>
        <v>90.448426952266772</v>
      </c>
      <c r="R207" s="85"/>
      <c r="S207" s="71"/>
      <c r="Z207" s="90"/>
    </row>
    <row r="208" spans="2:26" ht="18.75" hidden="1" customHeight="1" x14ac:dyDescent="0.2">
      <c r="B208" s="65" t="s">
        <v>83</v>
      </c>
      <c r="C208" s="35">
        <v>65.679280000000006</v>
      </c>
      <c r="D208" s="34"/>
      <c r="E208" s="36">
        <v>11.481972769999999</v>
      </c>
      <c r="F208" s="36">
        <v>0.25137600988999997</v>
      </c>
      <c r="G208" s="37">
        <v>3.2386932188100004</v>
      </c>
      <c r="H208" s="35">
        <f t="shared" si="51"/>
        <v>14.9720419987</v>
      </c>
      <c r="I208" s="31">
        <v>10.845626106283998</v>
      </c>
      <c r="J208" s="37">
        <v>4.5296064658123196</v>
      </c>
      <c r="K208" s="35">
        <f t="shared" si="52"/>
        <v>15.375232572096317</v>
      </c>
      <c r="L208" s="38">
        <v>19.558893146930799</v>
      </c>
      <c r="M208" s="36"/>
      <c r="N208" s="35">
        <f t="shared" si="53"/>
        <v>34.934125719027115</v>
      </c>
      <c r="O208" s="35">
        <v>14.463793676478769</v>
      </c>
      <c r="P208" s="34"/>
      <c r="Q208" s="49">
        <f t="shared" si="54"/>
        <v>130.04924139420589</v>
      </c>
      <c r="R208" s="85"/>
      <c r="S208" s="71"/>
      <c r="Z208" s="90"/>
    </row>
    <row r="209" spans="2:26" ht="18.75" hidden="1" customHeight="1" x14ac:dyDescent="0.2">
      <c r="B209" s="65" t="s">
        <v>84</v>
      </c>
      <c r="C209" s="35">
        <v>65.136660820000003</v>
      </c>
      <c r="D209" s="34"/>
      <c r="E209" s="36">
        <v>33.805827720199993</v>
      </c>
      <c r="F209" s="36">
        <v>3.2331283700000002</v>
      </c>
      <c r="G209" s="37">
        <v>3.0570309587000004</v>
      </c>
      <c r="H209" s="35">
        <f t="shared" si="51"/>
        <v>40.0959870489</v>
      </c>
      <c r="I209" s="31">
        <v>25.181665780400003</v>
      </c>
      <c r="J209" s="37">
        <v>11.574981006679998</v>
      </c>
      <c r="K209" s="35">
        <f t="shared" si="52"/>
        <v>36.756646787080001</v>
      </c>
      <c r="L209" s="38">
        <v>22.422297909847131</v>
      </c>
      <c r="M209" s="36"/>
      <c r="N209" s="35">
        <f t="shared" si="53"/>
        <v>59.178944696927132</v>
      </c>
      <c r="O209" s="35">
        <v>15.071020445439204</v>
      </c>
      <c r="P209" s="34"/>
      <c r="Q209" s="49">
        <f t="shared" si="54"/>
        <v>179.48261301126632</v>
      </c>
      <c r="R209" s="85"/>
      <c r="S209" s="71"/>
      <c r="Z209" s="90"/>
    </row>
    <row r="210" spans="2:26" ht="18.75" hidden="1" customHeight="1" x14ac:dyDescent="0.2">
      <c r="B210" s="65" t="s">
        <v>85</v>
      </c>
      <c r="C210" s="35">
        <v>16.187125569528199</v>
      </c>
      <c r="D210" s="34"/>
      <c r="E210" s="36">
        <v>23.908543699722379</v>
      </c>
      <c r="F210" s="36">
        <v>2.2366861098699999</v>
      </c>
      <c r="G210" s="37">
        <v>4.7307907880371705</v>
      </c>
      <c r="H210" s="35">
        <f t="shared" si="51"/>
        <v>30.876020597629548</v>
      </c>
      <c r="I210" s="31">
        <v>11.43715033</v>
      </c>
      <c r="J210" s="37">
        <v>8.5299322812060758</v>
      </c>
      <c r="K210" s="35">
        <f t="shared" si="52"/>
        <v>19.967082611206074</v>
      </c>
      <c r="L210" s="38">
        <v>27.86625547838576</v>
      </c>
      <c r="M210" s="36"/>
      <c r="N210" s="35">
        <f t="shared" si="53"/>
        <v>47.833338089591834</v>
      </c>
      <c r="O210" s="35">
        <v>4.88</v>
      </c>
      <c r="P210" s="34"/>
      <c r="Q210" s="49">
        <f t="shared" si="54"/>
        <v>99.776484256749598</v>
      </c>
      <c r="R210" s="85"/>
      <c r="S210" s="71"/>
    </row>
    <row r="211" spans="2:26" ht="19.5" hidden="1" customHeight="1" x14ac:dyDescent="0.2">
      <c r="B211" s="65" t="s">
        <v>86</v>
      </c>
      <c r="C211" s="35">
        <v>23.57456141054092</v>
      </c>
      <c r="D211" s="34"/>
      <c r="E211" s="36">
        <v>41.081827349793009</v>
      </c>
      <c r="F211" s="36">
        <v>0.97302914632321724</v>
      </c>
      <c r="G211" s="37">
        <v>3.6577039078372957</v>
      </c>
      <c r="H211" s="35">
        <f t="shared" si="51"/>
        <v>45.712560403953525</v>
      </c>
      <c r="I211" s="31">
        <v>5.7131223765499994</v>
      </c>
      <c r="J211" s="37">
        <v>14.121646716509002</v>
      </c>
      <c r="K211" s="35">
        <f t="shared" si="52"/>
        <v>19.834769093059002</v>
      </c>
      <c r="L211" s="38">
        <v>27.739086737943502</v>
      </c>
      <c r="M211" s="36"/>
      <c r="N211" s="35">
        <f t="shared" si="53"/>
        <v>47.573855831002504</v>
      </c>
      <c r="O211" s="35">
        <v>0.53765512586014841</v>
      </c>
      <c r="P211" s="34"/>
      <c r="Q211" s="49">
        <f t="shared" si="54"/>
        <v>117.3986327713571</v>
      </c>
      <c r="R211" s="85"/>
    </row>
    <row r="212" spans="2:26" ht="18.75" hidden="1" customHeight="1" x14ac:dyDescent="0.2">
      <c r="B212" s="65" t="s">
        <v>87</v>
      </c>
      <c r="C212" s="35">
        <v>72.925376</v>
      </c>
      <c r="D212" s="34"/>
      <c r="E212" s="36">
        <v>70.240026379662908</v>
      </c>
      <c r="F212" s="36">
        <v>13.032773376656648</v>
      </c>
      <c r="G212" s="37">
        <v>5.1407016212903081</v>
      </c>
      <c r="H212" s="35">
        <f t="shared" si="51"/>
        <v>88.413501377609862</v>
      </c>
      <c r="I212" s="31">
        <v>16.29</v>
      </c>
      <c r="J212" s="37">
        <v>9.6</v>
      </c>
      <c r="K212" s="35">
        <f>I212+J212</f>
        <v>25.89</v>
      </c>
      <c r="L212" s="38">
        <v>24.14</v>
      </c>
      <c r="M212" s="36"/>
      <c r="N212" s="35">
        <f t="shared" si="53"/>
        <v>50.03</v>
      </c>
      <c r="O212" s="35">
        <v>8.8000000000000007</v>
      </c>
      <c r="P212" s="34"/>
      <c r="Q212" s="49">
        <f>O212+N212+H212+C212</f>
        <v>220.16887737760985</v>
      </c>
      <c r="R212" s="85"/>
      <c r="S212" s="71"/>
    </row>
    <row r="213" spans="2:26" ht="18" hidden="1" customHeight="1" x14ac:dyDescent="0.2">
      <c r="B213" s="65" t="s">
        <v>88</v>
      </c>
      <c r="C213" s="35">
        <v>69.359472000000011</v>
      </c>
      <c r="D213" s="34"/>
      <c r="E213" s="36">
        <v>15.526019090152511</v>
      </c>
      <c r="F213" s="36">
        <v>2.7002900008409281</v>
      </c>
      <c r="G213" s="37">
        <v>2.99657960142796</v>
      </c>
      <c r="H213" s="35">
        <f t="shared" si="51"/>
        <v>21.2228886924214</v>
      </c>
      <c r="I213" s="31">
        <v>5.4598029599999993</v>
      </c>
      <c r="J213" s="37">
        <v>1.8827871191757344</v>
      </c>
      <c r="K213" s="35">
        <f>I213+J213</f>
        <v>7.3425900791757339</v>
      </c>
      <c r="L213" s="38">
        <v>15.857345575823826</v>
      </c>
      <c r="M213" s="36"/>
      <c r="N213" s="35">
        <f t="shared" si="53"/>
        <v>23.19993565499956</v>
      </c>
      <c r="O213" s="35">
        <v>2.6565162032011864</v>
      </c>
      <c r="P213" s="34"/>
      <c r="Q213" s="49">
        <f>O213+N213+H213+C213</f>
        <v>116.43881255062216</v>
      </c>
      <c r="R213" s="85"/>
      <c r="S213" s="71"/>
    </row>
    <row r="214" spans="2:26" ht="19.5" hidden="1" customHeight="1" x14ac:dyDescent="0.2">
      <c r="B214" s="65" t="s">
        <v>89</v>
      </c>
      <c r="C214" s="35">
        <v>227.69989899999999</v>
      </c>
      <c r="D214" s="34">
        <v>0.233783549356223</v>
      </c>
      <c r="E214" s="36">
        <v>39.470490679556519</v>
      </c>
      <c r="F214" s="36">
        <v>3.4044083404719547</v>
      </c>
      <c r="G214" s="37">
        <v>3.8343645894288998</v>
      </c>
      <c r="H214" s="35">
        <f t="shared" si="51"/>
        <v>46.943047158813599</v>
      </c>
      <c r="I214" s="31">
        <v>9.3707019630400019</v>
      </c>
      <c r="J214" s="37">
        <v>3.7018093561482059</v>
      </c>
      <c r="K214" s="35">
        <f>I214+J214</f>
        <v>13.072511319188209</v>
      </c>
      <c r="L214" s="38">
        <v>21.576267155887944</v>
      </c>
      <c r="M214" s="36"/>
      <c r="N214" s="35">
        <f t="shared" si="53"/>
        <v>34.648778475076156</v>
      </c>
      <c r="O214" s="35">
        <v>5.739369358583402</v>
      </c>
      <c r="P214" s="34"/>
      <c r="Q214" s="49">
        <f>O214+N214+H214+C214</f>
        <v>315.03109399247313</v>
      </c>
      <c r="R214" s="85"/>
    </row>
    <row r="215" spans="2:26" ht="19.5" hidden="1" customHeight="1" x14ac:dyDescent="0.2">
      <c r="B215" s="65" t="s">
        <v>90</v>
      </c>
      <c r="C215" s="35">
        <v>324.2</v>
      </c>
      <c r="D215" s="34"/>
      <c r="E215" s="36">
        <v>40.626870659051768</v>
      </c>
      <c r="F215" s="36">
        <v>0.45937099999999997</v>
      </c>
      <c r="G215" s="37">
        <v>6.2784887184243479</v>
      </c>
      <c r="H215" s="35">
        <f t="shared" si="51"/>
        <v>47.364730377476114</v>
      </c>
      <c r="I215" s="31">
        <v>23.73</v>
      </c>
      <c r="J215" s="37">
        <v>7.58</v>
      </c>
      <c r="K215" s="35">
        <f>+I215+J215</f>
        <v>31.310000000000002</v>
      </c>
      <c r="L215" s="38">
        <v>14.38</v>
      </c>
      <c r="M215" s="36"/>
      <c r="N215" s="35">
        <f t="shared" si="53"/>
        <v>45.690000000000005</v>
      </c>
      <c r="O215" s="35">
        <v>17.251000000000001</v>
      </c>
      <c r="P215" s="34"/>
      <c r="Q215" s="49">
        <f>+O215+N215+H215+C215</f>
        <v>434.50573037747608</v>
      </c>
      <c r="R215" s="85"/>
      <c r="S215" s="71"/>
    </row>
    <row r="216" spans="2:26" ht="19.5" hidden="1" customHeight="1" x14ac:dyDescent="0.2">
      <c r="B216" s="65" t="s">
        <v>91</v>
      </c>
      <c r="C216" s="35">
        <v>236.26</v>
      </c>
      <c r="D216" s="34">
        <v>1.34</v>
      </c>
      <c r="E216" s="36">
        <v>9.4</v>
      </c>
      <c r="F216" s="36">
        <v>3.89</v>
      </c>
      <c r="G216" s="37">
        <v>4.2</v>
      </c>
      <c r="H216" s="35">
        <f t="shared" si="51"/>
        <v>18.830000000000002</v>
      </c>
      <c r="I216" s="31">
        <v>44.68</v>
      </c>
      <c r="J216" s="37">
        <v>6.53</v>
      </c>
      <c r="K216" s="35">
        <f>+I216+J216</f>
        <v>51.21</v>
      </c>
      <c r="L216" s="38">
        <v>16.54</v>
      </c>
      <c r="M216" s="36"/>
      <c r="N216" s="35">
        <f t="shared" si="53"/>
        <v>67.75</v>
      </c>
      <c r="O216" s="35">
        <v>6.6</v>
      </c>
      <c r="P216" s="34"/>
      <c r="Q216" s="49">
        <f>+O216+N216+H216+C216</f>
        <v>329.44</v>
      </c>
      <c r="R216" s="85"/>
      <c r="S216" s="71"/>
    </row>
    <row r="217" spans="2:26" ht="19.5" hidden="1" customHeight="1" x14ac:dyDescent="0.2">
      <c r="B217" s="65" t="s">
        <v>63</v>
      </c>
      <c r="C217" s="35">
        <v>296.3</v>
      </c>
      <c r="D217" s="34">
        <v>0.13789999999999999</v>
      </c>
      <c r="E217" s="36">
        <v>21.475651450502149</v>
      </c>
      <c r="F217" s="36">
        <v>4.1408442596843607</v>
      </c>
      <c r="G217" s="37">
        <v>1.5361249798982786</v>
      </c>
      <c r="H217" s="35">
        <f t="shared" si="51"/>
        <v>27.290520690084787</v>
      </c>
      <c r="I217" s="31">
        <v>11.54554991087222</v>
      </c>
      <c r="J217" s="37">
        <v>13.778371151694934</v>
      </c>
      <c r="K217" s="35">
        <f>+I217+J217</f>
        <v>25.323921062567152</v>
      </c>
      <c r="L217" s="38">
        <v>13.144</v>
      </c>
      <c r="M217" s="36"/>
      <c r="N217" s="35">
        <f t="shared" si="53"/>
        <v>38.46792106256715</v>
      </c>
      <c r="O217" s="35">
        <v>1.3540000000000001</v>
      </c>
      <c r="P217" s="34"/>
      <c r="Q217" s="49">
        <f>+O217+N217+H217+C217</f>
        <v>363.41244175265194</v>
      </c>
      <c r="R217" s="85"/>
      <c r="S217" s="71"/>
    </row>
    <row r="218" spans="2:26" ht="19.5" hidden="1" customHeight="1" x14ac:dyDescent="0.2">
      <c r="B218" s="65"/>
      <c r="C218" s="35"/>
      <c r="D218" s="34"/>
      <c r="E218" s="36"/>
      <c r="F218" s="36"/>
      <c r="G218" s="37"/>
      <c r="H218" s="35"/>
      <c r="I218" s="31"/>
      <c r="J218" s="37"/>
      <c r="K218" s="35"/>
      <c r="L218" s="38"/>
      <c r="M218" s="36"/>
      <c r="N218" s="35"/>
      <c r="O218" s="35"/>
      <c r="P218" s="34"/>
      <c r="Q218" s="49"/>
      <c r="R218" s="85"/>
      <c r="S218" s="71"/>
    </row>
    <row r="219" spans="2:26" ht="21" customHeight="1" x14ac:dyDescent="0.2">
      <c r="B219" s="64">
        <v>2009</v>
      </c>
      <c r="C219" s="35">
        <f>SUM(C221:C232)</f>
        <v>1832.842986226686</v>
      </c>
      <c r="D219" s="34">
        <f t="shared" ref="D219:R219" si="55">SUM(D221:D232)</f>
        <v>0</v>
      </c>
      <c r="E219" s="36">
        <f t="shared" si="55"/>
        <v>222.25543345060379</v>
      </c>
      <c r="F219" s="36">
        <f t="shared" si="55"/>
        <v>63.654843009291952</v>
      </c>
      <c r="G219" s="37">
        <f t="shared" si="55"/>
        <v>34.210485069824422</v>
      </c>
      <c r="H219" s="35">
        <f t="shared" si="55"/>
        <v>320.1207615297202</v>
      </c>
      <c r="I219" s="31">
        <f t="shared" si="55"/>
        <v>206.47296230066738</v>
      </c>
      <c r="J219" s="37">
        <f t="shared" si="55"/>
        <v>63.166274307785343</v>
      </c>
      <c r="K219" s="35">
        <f t="shared" si="55"/>
        <v>269.63923660845268</v>
      </c>
      <c r="L219" s="38">
        <f t="shared" si="55"/>
        <v>316.05838139928221</v>
      </c>
      <c r="M219" s="36">
        <f t="shared" si="55"/>
        <v>0</v>
      </c>
      <c r="N219" s="35">
        <f t="shared" si="55"/>
        <v>585.69761800773495</v>
      </c>
      <c r="O219" s="35">
        <f t="shared" si="55"/>
        <v>618.8450352642277</v>
      </c>
      <c r="P219" s="34">
        <f t="shared" si="55"/>
        <v>0</v>
      </c>
      <c r="Q219" s="49">
        <f t="shared" si="55"/>
        <v>3357.5064010283691</v>
      </c>
      <c r="R219" s="85">
        <f t="shared" si="55"/>
        <v>0</v>
      </c>
      <c r="S219" s="71"/>
    </row>
    <row r="220" spans="2:26" ht="19.5" hidden="1" customHeight="1" x14ac:dyDescent="0.2">
      <c r="B220" s="64"/>
      <c r="C220" s="35"/>
      <c r="D220" s="34"/>
      <c r="E220" s="36"/>
      <c r="F220" s="36"/>
      <c r="G220" s="37"/>
      <c r="H220" s="35"/>
      <c r="I220" s="31"/>
      <c r="J220" s="37"/>
      <c r="K220" s="35"/>
      <c r="L220" s="38"/>
      <c r="M220" s="36"/>
      <c r="N220" s="35"/>
      <c r="O220" s="35"/>
      <c r="P220" s="34"/>
      <c r="Q220" s="49"/>
      <c r="R220" s="85"/>
      <c r="S220" s="71"/>
    </row>
    <row r="221" spans="2:26" ht="19.5" hidden="1" customHeight="1" x14ac:dyDescent="0.2">
      <c r="B221" s="65" t="s">
        <v>81</v>
      </c>
      <c r="C221" s="35">
        <v>274.60000000000002</v>
      </c>
      <c r="D221" s="34"/>
      <c r="E221" s="36">
        <v>23.069170791965572</v>
      </c>
      <c r="F221" s="36">
        <v>8.2028422123520812</v>
      </c>
      <c r="G221" s="37">
        <v>0.76674526972740309</v>
      </c>
      <c r="H221" s="35">
        <f t="shared" ref="H221:H232" si="56">+D221+E221+F221+G221</f>
        <v>32.038758274045058</v>
      </c>
      <c r="I221" s="31">
        <v>9.4257893799999994</v>
      </c>
      <c r="J221" s="37">
        <v>3.2660975607030123</v>
      </c>
      <c r="K221" s="35">
        <f t="shared" ref="K221:K229" si="57">+I221+J221</f>
        <v>12.691886940703011</v>
      </c>
      <c r="L221" s="38">
        <v>26.576195440452622</v>
      </c>
      <c r="M221" s="36"/>
      <c r="N221" s="35">
        <f t="shared" ref="N221:N232" si="58">+L221+K221</f>
        <v>39.268082381155637</v>
      </c>
      <c r="O221" s="35">
        <v>3.8245424347200001</v>
      </c>
      <c r="P221" s="34"/>
      <c r="Q221" s="49">
        <f t="shared" ref="Q221:Q229" si="59">+O221+N221+H221+C221</f>
        <v>349.73138308992071</v>
      </c>
      <c r="R221" s="85"/>
      <c r="S221" s="71"/>
    </row>
    <row r="222" spans="2:26" ht="19.5" hidden="1" customHeight="1" x14ac:dyDescent="0.2">
      <c r="B222" s="65" t="s">
        <v>82</v>
      </c>
      <c r="C222" s="35">
        <v>397.7</v>
      </c>
      <c r="D222" s="34"/>
      <c r="E222" s="36">
        <v>5.2806850000000001</v>
      </c>
      <c r="F222" s="36">
        <v>2.2043314203730251</v>
      </c>
      <c r="G222" s="37">
        <v>2.6874743486370147</v>
      </c>
      <c r="H222" s="35">
        <f t="shared" si="56"/>
        <v>10.172490769010039</v>
      </c>
      <c r="I222" s="31">
        <v>4.9601740989700005</v>
      </c>
      <c r="J222" s="37">
        <v>3.33569671010043</v>
      </c>
      <c r="K222" s="35">
        <f t="shared" si="57"/>
        <v>8.295870809070431</v>
      </c>
      <c r="L222" s="38">
        <v>11.148245446196043</v>
      </c>
      <c r="M222" s="36"/>
      <c r="N222" s="35">
        <f t="shared" si="58"/>
        <v>19.444116255266472</v>
      </c>
      <c r="O222" s="35">
        <v>60.430846199999998</v>
      </c>
      <c r="P222" s="34"/>
      <c r="Q222" s="49">
        <f t="shared" si="59"/>
        <v>487.74745322427651</v>
      </c>
      <c r="R222" s="85"/>
      <c r="S222" s="71"/>
    </row>
    <row r="223" spans="2:26" ht="19.5" hidden="1" customHeight="1" x14ac:dyDescent="0.2">
      <c r="B223" s="65" t="s">
        <v>83</v>
      </c>
      <c r="C223" s="35">
        <v>133.30000000000001</v>
      </c>
      <c r="D223" s="34"/>
      <c r="E223" s="36">
        <v>50.480092700143416</v>
      </c>
      <c r="F223" s="36">
        <v>6.6831215337360081</v>
      </c>
      <c r="G223" s="37">
        <v>5.3926946396338584</v>
      </c>
      <c r="H223" s="35">
        <f t="shared" si="56"/>
        <v>62.555908873513282</v>
      </c>
      <c r="I223" s="31">
        <v>10.609997829999999</v>
      </c>
      <c r="J223" s="37">
        <v>4.3604179528999714</v>
      </c>
      <c r="K223" s="35">
        <f t="shared" si="57"/>
        <v>14.97041578289997</v>
      </c>
      <c r="L223" s="38">
        <v>29.385722509056613</v>
      </c>
      <c r="M223" s="36"/>
      <c r="N223" s="35">
        <f t="shared" si="58"/>
        <v>44.356138291956583</v>
      </c>
      <c r="O223" s="35">
        <v>4.6928530799999999</v>
      </c>
      <c r="P223" s="34"/>
      <c r="Q223" s="49">
        <f t="shared" si="59"/>
        <v>244.90490024546989</v>
      </c>
      <c r="R223" s="85"/>
      <c r="S223" s="71"/>
    </row>
    <row r="224" spans="2:26" ht="19.5" hidden="1" customHeight="1" x14ac:dyDescent="0.2">
      <c r="B224" s="65" t="s">
        <v>84</v>
      </c>
      <c r="C224" s="35">
        <v>137.9</v>
      </c>
      <c r="D224" s="34"/>
      <c r="E224" s="36">
        <v>0.90346810043041603</v>
      </c>
      <c r="F224" s="36">
        <v>8.4343907395152371</v>
      </c>
      <c r="G224" s="37">
        <v>4.566175681731707</v>
      </c>
      <c r="H224" s="35">
        <f t="shared" si="56"/>
        <v>13.90403452167736</v>
      </c>
      <c r="I224" s="31">
        <v>64.672688889999989</v>
      </c>
      <c r="J224" s="37">
        <v>9.1241377876025815</v>
      </c>
      <c r="K224" s="35">
        <f t="shared" si="57"/>
        <v>73.796826677602567</v>
      </c>
      <c r="L224" s="38">
        <v>30.945904578124615</v>
      </c>
      <c r="M224" s="36"/>
      <c r="N224" s="35">
        <f t="shared" si="58"/>
        <v>104.74273125572718</v>
      </c>
      <c r="O224" s="35">
        <v>48.828714499999997</v>
      </c>
      <c r="P224" s="34"/>
      <c r="Q224" s="49">
        <f t="shared" si="59"/>
        <v>305.37548027740456</v>
      </c>
      <c r="R224" s="85"/>
      <c r="S224" s="71"/>
    </row>
    <row r="225" spans="2:19" ht="19.5" hidden="1" customHeight="1" x14ac:dyDescent="0.2">
      <c r="B225" s="65" t="s">
        <v>85</v>
      </c>
      <c r="C225" s="35">
        <v>81.675076000000004</v>
      </c>
      <c r="D225" s="34"/>
      <c r="E225" s="36">
        <v>11.5928744097</v>
      </c>
      <c r="F225" s="36">
        <v>1.9264669611378766</v>
      </c>
      <c r="G225" s="37">
        <v>1.386976708668723</v>
      </c>
      <c r="H225" s="35">
        <f t="shared" si="56"/>
        <v>14.906318079506599</v>
      </c>
      <c r="I225" s="31">
        <v>8.8654878900000007</v>
      </c>
      <c r="J225" s="37">
        <v>6.2469609996704296</v>
      </c>
      <c r="K225" s="35">
        <f t="shared" si="57"/>
        <v>15.11244888967043</v>
      </c>
      <c r="L225" s="38">
        <v>19.805690190926093</v>
      </c>
      <c r="M225" s="36"/>
      <c r="N225" s="35">
        <f t="shared" si="58"/>
        <v>34.918139080596525</v>
      </c>
      <c r="O225" s="35">
        <f>22.8879888</f>
        <v>22.887988799999999</v>
      </c>
      <c r="P225" s="34"/>
      <c r="Q225" s="49">
        <f t="shared" si="59"/>
        <v>154.38752196010313</v>
      </c>
      <c r="R225" s="85"/>
      <c r="S225" s="71"/>
    </row>
    <row r="226" spans="2:19" ht="19.5" hidden="1" customHeight="1" x14ac:dyDescent="0.2">
      <c r="B226" s="65" t="s">
        <v>86</v>
      </c>
      <c r="C226" s="35">
        <v>95.247557226685799</v>
      </c>
      <c r="D226" s="34"/>
      <c r="E226" s="36">
        <v>6.1337506996987088</v>
      </c>
      <c r="F226" s="36">
        <v>1.8757981693517647</v>
      </c>
      <c r="G226" s="37">
        <v>1.9271980601682919</v>
      </c>
      <c r="H226" s="35">
        <f t="shared" si="56"/>
        <v>9.9367469292187653</v>
      </c>
      <c r="I226" s="31">
        <v>13.272957959999999</v>
      </c>
      <c r="J226" s="37">
        <v>8.1434352939295849</v>
      </c>
      <c r="K226" s="35">
        <f t="shared" si="57"/>
        <v>21.416393253929584</v>
      </c>
      <c r="L226" s="38">
        <v>25.44090391540832</v>
      </c>
      <c r="M226" s="36"/>
      <c r="N226" s="35">
        <f t="shared" si="58"/>
        <v>46.857297169337905</v>
      </c>
      <c r="O226" s="35">
        <v>62.86</v>
      </c>
      <c r="P226" s="34"/>
      <c r="Q226" s="49">
        <f t="shared" si="59"/>
        <v>214.9016013252425</v>
      </c>
      <c r="R226" s="85"/>
    </row>
    <row r="227" spans="2:19" ht="19.5" hidden="1" customHeight="1" x14ac:dyDescent="0.2">
      <c r="B227" s="65" t="s">
        <v>87</v>
      </c>
      <c r="C227" s="35">
        <v>70.657969000000008</v>
      </c>
      <c r="D227" s="34"/>
      <c r="E227" s="36">
        <v>46.778114819999999</v>
      </c>
      <c r="F227" s="36">
        <v>5.8361637704447595</v>
      </c>
      <c r="G227" s="37">
        <v>3.0342200414965568</v>
      </c>
      <c r="H227" s="35">
        <f t="shared" si="56"/>
        <v>55.648498631941308</v>
      </c>
      <c r="I227" s="31">
        <v>6.1421123699999995</v>
      </c>
      <c r="J227" s="37">
        <v>1.8911185611624579</v>
      </c>
      <c r="K227" s="35">
        <f t="shared" si="57"/>
        <v>8.033230931162457</v>
      </c>
      <c r="L227" s="38">
        <v>36.568419273999268</v>
      </c>
      <c r="M227" s="36"/>
      <c r="N227" s="35">
        <f t="shared" si="58"/>
        <v>44.601650205161725</v>
      </c>
      <c r="O227" s="35">
        <f>55.7641924699313-17</f>
        <v>38.764192469931302</v>
      </c>
      <c r="P227" s="34"/>
      <c r="Q227" s="49">
        <f t="shared" si="59"/>
        <v>209.67231030703434</v>
      </c>
      <c r="R227" s="85"/>
    </row>
    <row r="228" spans="2:19" ht="19.5" hidden="1" customHeight="1" x14ac:dyDescent="0.2">
      <c r="B228" s="65" t="s">
        <v>88</v>
      </c>
      <c r="C228" s="35">
        <v>103.804675</v>
      </c>
      <c r="D228" s="34"/>
      <c r="E228" s="36">
        <v>3.648158</v>
      </c>
      <c r="F228" s="36">
        <v>7.8205935194130518</v>
      </c>
      <c r="G228" s="37">
        <v>3.5673863600878035</v>
      </c>
      <c r="H228" s="35">
        <f t="shared" si="56"/>
        <v>15.036137879500856</v>
      </c>
      <c r="I228" s="31">
        <v>4.8178990700000002</v>
      </c>
      <c r="J228" s="37">
        <v>4.7041990126099993</v>
      </c>
      <c r="K228" s="35">
        <f t="shared" si="57"/>
        <v>9.5220980826100003</v>
      </c>
      <c r="L228" s="38">
        <v>23.818740431170951</v>
      </c>
      <c r="M228" s="36"/>
      <c r="N228" s="35">
        <f t="shared" si="58"/>
        <v>33.340838513780952</v>
      </c>
      <c r="O228" s="35">
        <v>60.916580859932509</v>
      </c>
      <c r="P228" s="34"/>
      <c r="Q228" s="49">
        <f t="shared" si="59"/>
        <v>213.09823225321432</v>
      </c>
      <c r="R228" s="85"/>
    </row>
    <row r="229" spans="2:19" ht="19.5" hidden="1" customHeight="1" x14ac:dyDescent="0.2">
      <c r="B229" s="65" t="s">
        <v>89</v>
      </c>
      <c r="C229" s="35">
        <v>98.29956</v>
      </c>
      <c r="D229" s="34"/>
      <c r="E229" s="36">
        <v>23.93160995766571</v>
      </c>
      <c r="F229" s="36">
        <v>3.620888461948637</v>
      </c>
      <c r="G229" s="37">
        <v>1.8966596499282649</v>
      </c>
      <c r="H229" s="35">
        <f t="shared" si="56"/>
        <v>29.449158069542612</v>
      </c>
      <c r="I229" s="31">
        <v>12.431262299999998</v>
      </c>
      <c r="J229" s="37">
        <v>4.2742715430000002</v>
      </c>
      <c r="K229" s="35">
        <f t="shared" si="57"/>
        <v>16.705533842999998</v>
      </c>
      <c r="L229" s="38">
        <v>26.323958763237485</v>
      </c>
      <c r="M229" s="36"/>
      <c r="N229" s="35">
        <f t="shared" si="58"/>
        <v>43.029492606237483</v>
      </c>
      <c r="O229" s="35">
        <v>51.41931691964389</v>
      </c>
      <c r="P229" s="34"/>
      <c r="Q229" s="49">
        <f t="shared" si="59"/>
        <v>222.19752759542399</v>
      </c>
      <c r="R229" s="85"/>
    </row>
    <row r="230" spans="2:19" ht="19.5" hidden="1" customHeight="1" x14ac:dyDescent="0.2">
      <c r="B230" s="65" t="s">
        <v>90</v>
      </c>
      <c r="C230" s="35">
        <v>86.826172999999997</v>
      </c>
      <c r="D230" s="34"/>
      <c r="E230" s="36">
        <v>21.011352881000001</v>
      </c>
      <c r="F230" s="36">
        <v>2.1961899210456242</v>
      </c>
      <c r="G230" s="37">
        <v>3.2517625495143903</v>
      </c>
      <c r="H230" s="35">
        <f t="shared" si="56"/>
        <v>26.459305351560012</v>
      </c>
      <c r="I230" s="31">
        <v>40.252484391697379</v>
      </c>
      <c r="J230" s="37">
        <v>5.6666436920398828</v>
      </c>
      <c r="K230" s="35">
        <f>+I230+J230</f>
        <v>45.919128083737263</v>
      </c>
      <c r="L230" s="38">
        <v>35.578010209542043</v>
      </c>
      <c r="M230" s="36"/>
      <c r="N230" s="35">
        <f t="shared" si="58"/>
        <v>81.497138293279306</v>
      </c>
      <c r="O230" s="35">
        <v>50.8</v>
      </c>
      <c r="P230" s="34"/>
      <c r="Q230" s="49">
        <f>+O230+N230+H230+C230</f>
        <v>245.58261664483933</v>
      </c>
      <c r="R230" s="85"/>
      <c r="S230" s="71"/>
    </row>
    <row r="231" spans="2:19" ht="19.5" hidden="1" customHeight="1" x14ac:dyDescent="0.2">
      <c r="B231" s="65" t="s">
        <v>91</v>
      </c>
      <c r="C231" s="35">
        <v>128.228219</v>
      </c>
      <c r="D231" s="34"/>
      <c r="E231" s="36">
        <v>25.085709009999999</v>
      </c>
      <c r="F231" s="36">
        <v>3.7076057699738882</v>
      </c>
      <c r="G231" s="37">
        <v>2.8597603501304163</v>
      </c>
      <c r="H231" s="35">
        <f t="shared" si="56"/>
        <v>31.653075130104302</v>
      </c>
      <c r="I231" s="31">
        <v>11.47569333</v>
      </c>
      <c r="J231" s="37">
        <v>4.5343280400000001</v>
      </c>
      <c r="K231" s="35">
        <f>+I231+J231</f>
        <v>16.01002137</v>
      </c>
      <c r="L231" s="38">
        <v>17.971999089598285</v>
      </c>
      <c r="M231" s="36"/>
      <c r="N231" s="35">
        <f t="shared" si="58"/>
        <v>33.982020459598289</v>
      </c>
      <c r="O231" s="35">
        <v>92.32</v>
      </c>
      <c r="P231" s="34"/>
      <c r="Q231" s="49">
        <f>+O231+N231+H231+C231</f>
        <v>286.1833145897026</v>
      </c>
      <c r="R231" s="85"/>
      <c r="S231" s="71"/>
    </row>
    <row r="232" spans="2:19" ht="19.5" hidden="1" customHeight="1" x14ac:dyDescent="0.2">
      <c r="B232" s="65" t="s">
        <v>63</v>
      </c>
      <c r="C232" s="35">
        <v>224.603757</v>
      </c>
      <c r="D232" s="34"/>
      <c r="E232" s="36">
        <v>4.3404470800000006</v>
      </c>
      <c r="F232" s="36">
        <v>11.146450529999999</v>
      </c>
      <c r="G232" s="37">
        <v>2.8734314101000002</v>
      </c>
      <c r="H232" s="35">
        <f t="shared" si="56"/>
        <v>18.3603290201</v>
      </c>
      <c r="I232" s="31">
        <v>19.546414789999996</v>
      </c>
      <c r="J232" s="37">
        <v>7.6189671540669996</v>
      </c>
      <c r="K232" s="35">
        <f>+I232+J232</f>
        <v>27.165381944066997</v>
      </c>
      <c r="L232" s="38">
        <v>32.494591551569869</v>
      </c>
      <c r="M232" s="36"/>
      <c r="N232" s="35">
        <f t="shared" si="58"/>
        <v>59.659973495636862</v>
      </c>
      <c r="O232" s="35">
        <v>121.1</v>
      </c>
      <c r="P232" s="34"/>
      <c r="Q232" s="49">
        <f>+O232+N232+H232+C232</f>
        <v>423.72405951573688</v>
      </c>
      <c r="R232" s="85"/>
      <c r="S232" s="71"/>
    </row>
    <row r="233" spans="2:19" ht="19.5" hidden="1" customHeight="1" x14ac:dyDescent="0.2">
      <c r="B233" s="65"/>
      <c r="C233" s="35"/>
      <c r="D233" s="34"/>
      <c r="E233" s="36"/>
      <c r="F233" s="36"/>
      <c r="G233" s="37"/>
      <c r="H233" s="35"/>
      <c r="I233" s="31"/>
      <c r="J233" s="37"/>
      <c r="K233" s="35"/>
      <c r="L233" s="38"/>
      <c r="M233" s="36"/>
      <c r="N233" s="35"/>
      <c r="O233" s="35"/>
      <c r="P233" s="34"/>
      <c r="Q233" s="49"/>
      <c r="R233" s="85"/>
      <c r="S233" s="71"/>
    </row>
    <row r="234" spans="2:19" ht="21" customHeight="1" x14ac:dyDescent="0.2">
      <c r="B234" s="64">
        <v>2010</v>
      </c>
      <c r="C234" s="35">
        <f t="shared" ref="C234:O234" si="60">SUM(C236:C247)</f>
        <v>1491.5640057200001</v>
      </c>
      <c r="D234" s="34">
        <f t="shared" si="60"/>
        <v>0</v>
      </c>
      <c r="E234" s="36">
        <f t="shared" si="60"/>
        <v>204.74787688801968</v>
      </c>
      <c r="F234" s="36">
        <f t="shared" si="60"/>
        <v>398.76234645991434</v>
      </c>
      <c r="G234" s="37">
        <f t="shared" si="60"/>
        <v>47.782175260172174</v>
      </c>
      <c r="H234" s="35">
        <f t="shared" si="60"/>
        <v>651.29239860810617</v>
      </c>
      <c r="I234" s="31">
        <f t="shared" si="60"/>
        <v>410.95720180383455</v>
      </c>
      <c r="J234" s="37">
        <f t="shared" si="60"/>
        <v>57.127243096919251</v>
      </c>
      <c r="K234" s="35">
        <f t="shared" si="60"/>
        <v>468.08444490075374</v>
      </c>
      <c r="L234" s="38">
        <f t="shared" si="60"/>
        <v>366.46414424118865</v>
      </c>
      <c r="M234" s="36">
        <f t="shared" si="60"/>
        <v>0</v>
      </c>
      <c r="N234" s="35">
        <f t="shared" si="60"/>
        <v>834.54858914194256</v>
      </c>
      <c r="O234" s="35">
        <f t="shared" si="60"/>
        <v>1214.7392555890374</v>
      </c>
      <c r="P234" s="34">
        <f>SUM(P236:P244)</f>
        <v>0</v>
      </c>
      <c r="Q234" s="49">
        <f>SUM(Q236:Q247)</f>
        <v>4192.1442490590862</v>
      </c>
      <c r="R234" s="85">
        <f>SUM(R236:R241)</f>
        <v>0</v>
      </c>
      <c r="S234" s="71"/>
    </row>
    <row r="235" spans="2:19" ht="19.5" hidden="1" customHeight="1" x14ac:dyDescent="0.2">
      <c r="B235" s="64"/>
      <c r="C235" s="35"/>
      <c r="D235" s="34"/>
      <c r="E235" s="36"/>
      <c r="F235" s="36"/>
      <c r="G235" s="37"/>
      <c r="H235" s="35"/>
      <c r="I235" s="31"/>
      <c r="J235" s="37"/>
      <c r="K235" s="35"/>
      <c r="L235" s="38"/>
      <c r="M235" s="36"/>
      <c r="N235" s="35"/>
      <c r="O235" s="35"/>
      <c r="P235" s="34"/>
      <c r="Q235" s="49"/>
      <c r="R235" s="85"/>
      <c r="S235" s="71"/>
    </row>
    <row r="236" spans="2:19" ht="19.5" hidden="1" customHeight="1" x14ac:dyDescent="0.2">
      <c r="B236" s="65" t="s">
        <v>81</v>
      </c>
      <c r="C236" s="35">
        <v>129.56799999999998</v>
      </c>
      <c r="D236" s="34"/>
      <c r="E236" s="36">
        <v>19.696263610000003</v>
      </c>
      <c r="F236" s="36">
        <v>1.12913814</v>
      </c>
      <c r="G236" s="37">
        <v>3.8921997505451942</v>
      </c>
      <c r="H236" s="35">
        <f t="shared" ref="H236:H247" si="61">+D236+E236+F236+G236</f>
        <v>24.717601500545197</v>
      </c>
      <c r="I236" s="31">
        <v>5.9139602400000006</v>
      </c>
      <c r="J236" s="37">
        <v>1.0420747995399999</v>
      </c>
      <c r="K236" s="35">
        <f t="shared" ref="K236:K241" si="62">+I236+J236</f>
        <v>6.9560350395400006</v>
      </c>
      <c r="L236" s="38">
        <v>37.361649199756101</v>
      </c>
      <c r="M236" s="36"/>
      <c r="N236" s="35">
        <f t="shared" ref="N236:N247" si="63">+L236+K236</f>
        <v>44.317684239296099</v>
      </c>
      <c r="O236" s="35">
        <v>92.46</v>
      </c>
      <c r="P236" s="34"/>
      <c r="Q236" s="49">
        <f t="shared" ref="Q236:Q241" si="64">+O236+N236+H236+C236</f>
        <v>291.06328573984126</v>
      </c>
      <c r="R236" s="85"/>
      <c r="S236" s="71"/>
    </row>
    <row r="237" spans="2:19" ht="19.5" hidden="1" customHeight="1" x14ac:dyDescent="0.2">
      <c r="B237" s="65" t="s">
        <v>82</v>
      </c>
      <c r="C237" s="35">
        <v>223.53943900000002</v>
      </c>
      <c r="D237" s="34"/>
      <c r="E237" s="36">
        <v>32.617242218077479</v>
      </c>
      <c r="F237" s="36">
        <v>6.8638327697704451</v>
      </c>
      <c r="G237" s="37">
        <v>3.381623379942611</v>
      </c>
      <c r="H237" s="35">
        <f t="shared" si="61"/>
        <v>42.862698367790536</v>
      </c>
      <c r="I237" s="31">
        <v>47.729695949219348</v>
      </c>
      <c r="J237" s="37">
        <v>4.2163430830762074</v>
      </c>
      <c r="K237" s="35">
        <f t="shared" si="62"/>
        <v>51.946039032295559</v>
      </c>
      <c r="L237" s="38">
        <v>24.353943072654232</v>
      </c>
      <c r="M237" s="36"/>
      <c r="N237" s="35">
        <f t="shared" si="63"/>
        <v>76.299982104949791</v>
      </c>
      <c r="O237" s="35">
        <v>83.581592959397412</v>
      </c>
      <c r="P237" s="34"/>
      <c r="Q237" s="49">
        <f t="shared" si="64"/>
        <v>426.28371243213775</v>
      </c>
      <c r="R237" s="85"/>
      <c r="S237" s="71"/>
    </row>
    <row r="238" spans="2:19" ht="19.5" hidden="1" customHeight="1" x14ac:dyDescent="0.2">
      <c r="B238" s="65" t="s">
        <v>83</v>
      </c>
      <c r="C238" s="35">
        <v>199.87430900000001</v>
      </c>
      <c r="D238" s="34"/>
      <c r="E238" s="36">
        <v>10.569561919999998</v>
      </c>
      <c r="F238" s="36">
        <v>0.25479719000000001</v>
      </c>
      <c r="G238" s="37">
        <v>4.1076115099999999</v>
      </c>
      <c r="H238" s="35">
        <f t="shared" si="61"/>
        <v>14.931970619999998</v>
      </c>
      <c r="I238" s="31">
        <v>27.083501320000003</v>
      </c>
      <c r="J238" s="37">
        <v>5.8622265016999995</v>
      </c>
      <c r="K238" s="35">
        <f t="shared" si="62"/>
        <v>32.945727821700004</v>
      </c>
      <c r="L238" s="38">
        <v>38.597769011129998</v>
      </c>
      <c r="M238" s="36"/>
      <c r="N238" s="35">
        <f t="shared" si="63"/>
        <v>71.543496832830002</v>
      </c>
      <c r="O238" s="35">
        <v>118.2</v>
      </c>
      <c r="P238" s="34"/>
      <c r="Q238" s="49">
        <f t="shared" si="64"/>
        <v>404.54977645282997</v>
      </c>
      <c r="R238" s="85"/>
      <c r="S238" s="71"/>
    </row>
    <row r="239" spans="2:19" ht="19.5" hidden="1" customHeight="1" x14ac:dyDescent="0.2">
      <c r="B239" s="65" t="s">
        <v>84</v>
      </c>
      <c r="C239" s="35">
        <v>110.9</v>
      </c>
      <c r="D239" s="34"/>
      <c r="E239" s="36">
        <v>14.119416650000002</v>
      </c>
      <c r="F239" s="36">
        <v>11.5</v>
      </c>
      <c r="G239" s="37">
        <v>4.548694119928264</v>
      </c>
      <c r="H239" s="35">
        <f t="shared" si="61"/>
        <v>30.168110769928266</v>
      </c>
      <c r="I239" s="31">
        <v>35.589339160197099</v>
      </c>
      <c r="J239" s="37">
        <v>3.6384045085416274</v>
      </c>
      <c r="K239" s="35">
        <f t="shared" si="62"/>
        <v>39.227743668738725</v>
      </c>
      <c r="L239" s="38">
        <v>46.973125816327112</v>
      </c>
      <c r="M239" s="36"/>
      <c r="N239" s="35">
        <f t="shared" si="63"/>
        <v>86.200869485065837</v>
      </c>
      <c r="O239" s="35">
        <f>144.8-57.1</f>
        <v>87.700000000000017</v>
      </c>
      <c r="P239" s="34"/>
      <c r="Q239" s="49">
        <f t="shared" si="64"/>
        <v>314.96898025499411</v>
      </c>
      <c r="R239" s="85"/>
      <c r="S239" s="71"/>
    </row>
    <row r="240" spans="2:19" ht="19.5" hidden="1" customHeight="1" x14ac:dyDescent="0.2">
      <c r="B240" s="65" t="s">
        <v>85</v>
      </c>
      <c r="C240" s="35">
        <v>58.5</v>
      </c>
      <c r="D240" s="34"/>
      <c r="E240" s="36">
        <v>14.002879790530846</v>
      </c>
      <c r="F240" s="36"/>
      <c r="G240" s="37">
        <v>5.1441535498134865</v>
      </c>
      <c r="H240" s="35">
        <f t="shared" si="61"/>
        <v>19.147033340344333</v>
      </c>
      <c r="I240" s="31">
        <v>9.8409571296126259</v>
      </c>
      <c r="J240" s="37">
        <v>5.4037733285164986</v>
      </c>
      <c r="K240" s="35">
        <f t="shared" si="62"/>
        <v>15.244730458129125</v>
      </c>
      <c r="L240" s="38">
        <v>27.920883652180734</v>
      </c>
      <c r="M240" s="36"/>
      <c r="N240" s="35">
        <f t="shared" si="63"/>
        <v>43.165614110309861</v>
      </c>
      <c r="O240" s="35">
        <v>206.85</v>
      </c>
      <c r="P240" s="34"/>
      <c r="Q240" s="49">
        <f t="shared" si="64"/>
        <v>327.66264745065416</v>
      </c>
      <c r="R240" s="85"/>
      <c r="S240" s="71"/>
    </row>
    <row r="241" spans="2:19" ht="19.5" hidden="1" customHeight="1" x14ac:dyDescent="0.2">
      <c r="B241" s="65" t="s">
        <v>86</v>
      </c>
      <c r="C241" s="35">
        <v>107.5</v>
      </c>
      <c r="D241" s="34"/>
      <c r="E241" s="36">
        <v>13.861616610000002</v>
      </c>
      <c r="F241" s="36">
        <v>6.0895417002869436</v>
      </c>
      <c r="G241" s="37">
        <v>2.6944431300000002</v>
      </c>
      <c r="H241" s="35">
        <f t="shared" si="61"/>
        <v>22.645601440286946</v>
      </c>
      <c r="I241" s="31">
        <v>21.383549463382924</v>
      </c>
      <c r="J241" s="37">
        <v>5.5069610925411769</v>
      </c>
      <c r="K241" s="35">
        <f t="shared" si="62"/>
        <v>26.890510555924102</v>
      </c>
      <c r="L241" s="38">
        <v>20.685547657546628</v>
      </c>
      <c r="M241" s="36"/>
      <c r="N241" s="35">
        <f t="shared" si="63"/>
        <v>47.576058213470731</v>
      </c>
      <c r="O241" s="35">
        <v>97.850026163730263</v>
      </c>
      <c r="P241" s="34"/>
      <c r="Q241" s="49">
        <f t="shared" si="64"/>
        <v>275.57168581748795</v>
      </c>
      <c r="R241" s="85"/>
      <c r="S241" s="71"/>
    </row>
    <row r="242" spans="2:19" ht="19.5" hidden="1" customHeight="1" x14ac:dyDescent="0.2">
      <c r="B242" s="65" t="s">
        <v>87</v>
      </c>
      <c r="C242" s="35">
        <v>60.050051999999994</v>
      </c>
      <c r="D242" s="34"/>
      <c r="E242" s="36">
        <v>3.5507402998565301</v>
      </c>
      <c r="F242" s="36">
        <v>30.96</v>
      </c>
      <c r="G242" s="37">
        <v>3.3917183691822093</v>
      </c>
      <c r="H242" s="35">
        <f>+D242+E242+F242+G242</f>
        <v>37.902458669038737</v>
      </c>
      <c r="I242" s="31">
        <v>31.562433241891249</v>
      </c>
      <c r="J242" s="37">
        <v>2.4567552891408897</v>
      </c>
      <c r="K242" s="35">
        <f t="shared" ref="K242:K247" si="65">+I242+J242</f>
        <v>34.019188531032135</v>
      </c>
      <c r="L242" s="38">
        <v>40.526790835882352</v>
      </c>
      <c r="M242" s="36"/>
      <c r="N242" s="35">
        <f t="shared" si="63"/>
        <v>74.54597936691448</v>
      </c>
      <c r="O242" s="35">
        <v>41.804549706226688</v>
      </c>
      <c r="P242" s="34"/>
      <c r="Q242" s="49">
        <f t="shared" ref="Q242:Q247" si="66">+O242+N242+H242+C242</f>
        <v>214.30303974217989</v>
      </c>
      <c r="R242" s="85"/>
      <c r="S242" s="71"/>
    </row>
    <row r="243" spans="2:19" ht="19.5" hidden="1" customHeight="1" x14ac:dyDescent="0.2">
      <c r="B243" s="65" t="s">
        <v>88</v>
      </c>
      <c r="C243" s="35">
        <v>58.668190999999993</v>
      </c>
      <c r="D243" s="34"/>
      <c r="E243" s="36">
        <v>0.86345334002869434</v>
      </c>
      <c r="F243" s="36">
        <v>5.1829850295695836</v>
      </c>
      <c r="G243" s="37">
        <v>2.8536992307604021</v>
      </c>
      <c r="H243" s="35">
        <f t="shared" si="61"/>
        <v>8.9001376003586792</v>
      </c>
      <c r="I243" s="31">
        <v>38.634957949704805</v>
      </c>
      <c r="J243" s="37">
        <v>3.8894770208179912</v>
      </c>
      <c r="K243" s="35">
        <f t="shared" si="65"/>
        <v>42.524434970522798</v>
      </c>
      <c r="L243" s="38">
        <v>29.991061378046687</v>
      </c>
      <c r="M243" s="36"/>
      <c r="N243" s="35">
        <f t="shared" si="63"/>
        <v>72.515496348569485</v>
      </c>
      <c r="O243" s="35">
        <v>121.34268247535151</v>
      </c>
      <c r="P243" s="34"/>
      <c r="Q243" s="49">
        <f t="shared" si="66"/>
        <v>261.42650742427963</v>
      </c>
      <c r="R243" s="85"/>
      <c r="S243" s="71"/>
    </row>
    <row r="244" spans="2:19" ht="19.5" hidden="1" customHeight="1" x14ac:dyDescent="0.2">
      <c r="B244" s="65" t="s">
        <v>89</v>
      </c>
      <c r="C244" s="35">
        <v>69.783951000000002</v>
      </c>
      <c r="D244" s="34"/>
      <c r="E244" s="36">
        <v>15.846949289813491</v>
      </c>
      <c r="F244" s="36">
        <v>18.198336000000001</v>
      </c>
      <c r="G244" s="37">
        <v>3.1602639899999998</v>
      </c>
      <c r="H244" s="35">
        <f t="shared" si="61"/>
        <v>37.205549279813489</v>
      </c>
      <c r="I244" s="31">
        <v>7.6058830853508335</v>
      </c>
      <c r="J244" s="37">
        <v>3.7287490709840001</v>
      </c>
      <c r="K244" s="35">
        <f t="shared" si="65"/>
        <v>11.334632156334834</v>
      </c>
      <c r="L244" s="38">
        <v>23.620233161375896</v>
      </c>
      <c r="M244" s="36"/>
      <c r="N244" s="35">
        <f t="shared" si="63"/>
        <v>34.954865317710727</v>
      </c>
      <c r="O244" s="35">
        <v>40.771875761563848</v>
      </c>
      <c r="P244" s="34"/>
      <c r="Q244" s="49">
        <f t="shared" si="66"/>
        <v>182.71624135908806</v>
      </c>
      <c r="R244" s="85"/>
      <c r="S244" s="71"/>
    </row>
    <row r="245" spans="2:19" ht="19.5" hidden="1" customHeight="1" x14ac:dyDescent="0.2">
      <c r="B245" s="65" t="s">
        <v>90</v>
      </c>
      <c r="C245" s="35">
        <v>69.654148520000007</v>
      </c>
      <c r="D245" s="34"/>
      <c r="E245" s="36">
        <v>4.9721600000000006</v>
      </c>
      <c r="F245" s="36">
        <v>5.2122000000000002E-2</v>
      </c>
      <c r="G245" s="37">
        <v>4.0402158300000002</v>
      </c>
      <c r="H245" s="35">
        <f t="shared" si="61"/>
        <v>9.0644978300000005</v>
      </c>
      <c r="I245" s="31">
        <v>74.949137019526546</v>
      </c>
      <c r="J245" s="37">
        <v>5.1977337906599717</v>
      </c>
      <c r="K245" s="35">
        <f t="shared" si="65"/>
        <v>80.146870810186513</v>
      </c>
      <c r="L245" s="38">
        <v>41.699635860688673</v>
      </c>
      <c r="M245" s="36"/>
      <c r="N245" s="35">
        <f t="shared" si="63"/>
        <v>121.84650667087519</v>
      </c>
      <c r="O245" s="35">
        <v>87.312647740000003</v>
      </c>
      <c r="P245" s="34"/>
      <c r="Q245" s="49">
        <f t="shared" si="66"/>
        <v>287.87780076087518</v>
      </c>
      <c r="R245" s="85"/>
      <c r="S245" s="71"/>
    </row>
    <row r="246" spans="2:19" ht="19.5" hidden="1" customHeight="1" x14ac:dyDescent="0.2">
      <c r="B246" s="65" t="s">
        <v>91</v>
      </c>
      <c r="C246" s="35">
        <v>67.929496290000003</v>
      </c>
      <c r="D246" s="34"/>
      <c r="E246" s="36">
        <v>30.289669909712643</v>
      </c>
      <c r="F246" s="36">
        <v>2.1060256402873563</v>
      </c>
      <c r="G246" s="37">
        <v>7.0204985200000003</v>
      </c>
      <c r="H246" s="35">
        <f t="shared" si="61"/>
        <v>39.416194070000003</v>
      </c>
      <c r="I246" s="31">
        <v>55.700672150059106</v>
      </c>
      <c r="J246" s="37">
        <v>6.7580831114008895</v>
      </c>
      <c r="K246" s="35">
        <f t="shared" si="65"/>
        <v>62.458755261459999</v>
      </c>
      <c r="L246" s="38">
        <v>9.533859970731001</v>
      </c>
      <c r="M246" s="36"/>
      <c r="N246" s="35">
        <f t="shared" si="63"/>
        <v>71.992615232191</v>
      </c>
      <c r="O246" s="35">
        <v>169.3900659</v>
      </c>
      <c r="P246" s="34"/>
      <c r="Q246" s="49">
        <f t="shared" si="66"/>
        <v>348.72837149219106</v>
      </c>
      <c r="R246" s="85"/>
      <c r="S246" s="71"/>
    </row>
    <row r="247" spans="2:19" ht="19.5" hidden="1" customHeight="1" x14ac:dyDescent="0.2">
      <c r="B247" s="65" t="s">
        <v>63</v>
      </c>
      <c r="C247" s="35">
        <v>335.59641891000001</v>
      </c>
      <c r="D247" s="34"/>
      <c r="E247" s="36">
        <v>44.357923250000006</v>
      </c>
      <c r="F247" s="36">
        <v>316.42556798999999</v>
      </c>
      <c r="G247" s="37">
        <v>3.54705388</v>
      </c>
      <c r="H247" s="35">
        <f t="shared" si="61"/>
        <v>364.33054512000001</v>
      </c>
      <c r="I247" s="31">
        <v>54.963115094889993</v>
      </c>
      <c r="J247" s="37">
        <v>9.4266615000000016</v>
      </c>
      <c r="K247" s="35">
        <f t="shared" si="65"/>
        <v>64.389776594889994</v>
      </c>
      <c r="L247" s="38">
        <v>25.199644624869229</v>
      </c>
      <c r="M247" s="36"/>
      <c r="N247" s="35">
        <f t="shared" si="63"/>
        <v>89.589421219759231</v>
      </c>
      <c r="O247" s="35">
        <v>67.475814882767622</v>
      </c>
      <c r="P247" s="34"/>
      <c r="Q247" s="49">
        <f t="shared" si="66"/>
        <v>856.99220013252693</v>
      </c>
      <c r="R247" s="85"/>
      <c r="S247" s="71"/>
    </row>
    <row r="248" spans="2:19" ht="19.5" hidden="1" customHeight="1" x14ac:dyDescent="0.2">
      <c r="B248" s="65"/>
      <c r="C248" s="35"/>
      <c r="D248" s="34"/>
      <c r="E248" s="36"/>
      <c r="F248" s="36"/>
      <c r="G248" s="37"/>
      <c r="H248" s="35"/>
      <c r="I248" s="31"/>
      <c r="J248" s="37"/>
      <c r="K248" s="35"/>
      <c r="L248" s="38"/>
      <c r="M248" s="36"/>
      <c r="N248" s="35"/>
      <c r="O248" s="35"/>
      <c r="P248" s="34"/>
      <c r="Q248" s="49"/>
      <c r="R248" s="85"/>
      <c r="S248" s="71"/>
    </row>
    <row r="249" spans="2:19" ht="21" customHeight="1" x14ac:dyDescent="0.2">
      <c r="B249" s="64">
        <v>2011</v>
      </c>
      <c r="C249" s="35">
        <f t="shared" ref="C249:P249" si="67">SUM(C251:C262)</f>
        <v>626.62994549999985</v>
      </c>
      <c r="D249" s="34">
        <f t="shared" si="67"/>
        <v>0</v>
      </c>
      <c r="E249" s="36">
        <f t="shared" si="67"/>
        <v>254.39413923010392</v>
      </c>
      <c r="F249" s="36">
        <f t="shared" si="67"/>
        <v>567.92781390201185</v>
      </c>
      <c r="G249" s="37">
        <f t="shared" si="67"/>
        <v>34.151139683977362</v>
      </c>
      <c r="H249" s="35">
        <f t="shared" si="67"/>
        <v>856.47309281609319</v>
      </c>
      <c r="I249" s="31">
        <f t="shared" si="67"/>
        <v>598.77653062057266</v>
      </c>
      <c r="J249" s="37">
        <f t="shared" si="67"/>
        <v>100.16824015851994</v>
      </c>
      <c r="K249" s="35">
        <f t="shared" si="67"/>
        <v>698.94477077909266</v>
      </c>
      <c r="L249" s="38">
        <f t="shared" si="67"/>
        <v>546.7607789240335</v>
      </c>
      <c r="M249" s="36">
        <f t="shared" si="67"/>
        <v>0</v>
      </c>
      <c r="N249" s="35">
        <f t="shared" si="67"/>
        <v>1245.7055497031261</v>
      </c>
      <c r="O249" s="35">
        <f t="shared" si="67"/>
        <v>1676.4005008450822</v>
      </c>
      <c r="P249" s="34">
        <f t="shared" si="67"/>
        <v>0</v>
      </c>
      <c r="Q249" s="49">
        <f>SUM(Q251:Q262)</f>
        <v>4405.2090888643015</v>
      </c>
      <c r="R249" s="85">
        <f>SUM(R251:R331)</f>
        <v>0</v>
      </c>
      <c r="S249" s="71"/>
    </row>
    <row r="250" spans="2:19" ht="19.5" hidden="1" customHeight="1" outlineLevel="1" x14ac:dyDescent="0.2">
      <c r="B250" s="64"/>
      <c r="C250" s="35"/>
      <c r="D250" s="34"/>
      <c r="E250" s="36"/>
      <c r="F250" s="36"/>
      <c r="G250" s="37"/>
      <c r="H250" s="35"/>
      <c r="I250" s="31"/>
      <c r="J250" s="37"/>
      <c r="K250" s="35"/>
      <c r="L250" s="38"/>
      <c r="M250" s="36"/>
      <c r="N250" s="35"/>
      <c r="O250" s="35"/>
      <c r="P250" s="34"/>
      <c r="Q250" s="49"/>
      <c r="R250" s="85"/>
      <c r="S250" s="71"/>
    </row>
    <row r="251" spans="2:19" ht="19.5" hidden="1" customHeight="1" outlineLevel="1" x14ac:dyDescent="0.2">
      <c r="B251" s="65" t="s">
        <v>81</v>
      </c>
      <c r="C251" s="35">
        <v>40.015751999999999</v>
      </c>
      <c r="D251" s="34"/>
      <c r="E251" s="36">
        <v>8.9265457700000006</v>
      </c>
      <c r="F251" s="36">
        <v>4.4881628400000002</v>
      </c>
      <c r="G251" s="37">
        <v>2.5538563999999999</v>
      </c>
      <c r="H251" s="35">
        <f t="shared" ref="H251:H262" si="68">+D251+E251+F251+G251</f>
        <v>15.968565010000003</v>
      </c>
      <c r="I251" s="31">
        <v>22.619335759999998</v>
      </c>
      <c r="J251" s="37">
        <v>1.9089548499999982</v>
      </c>
      <c r="K251" s="35">
        <f t="shared" ref="K251:K262" si="69">+I251+J251</f>
        <v>24.528290609999996</v>
      </c>
      <c r="L251" s="38">
        <v>32.38453209</v>
      </c>
      <c r="M251" s="36"/>
      <c r="N251" s="35">
        <f t="shared" ref="N251:N262" si="70">+L251+K251</f>
        <v>56.912822699999992</v>
      </c>
      <c r="O251" s="35">
        <f>80.34524325+45</f>
        <v>125.34524325</v>
      </c>
      <c r="P251" s="34"/>
      <c r="Q251" s="49">
        <f t="shared" ref="Q251:Q262" si="71">+O251+N251+H251+C251</f>
        <v>238.24238295999999</v>
      </c>
      <c r="R251" s="85"/>
      <c r="S251" s="71"/>
    </row>
    <row r="252" spans="2:19" ht="19.5" hidden="1" customHeight="1" outlineLevel="1" x14ac:dyDescent="0.2">
      <c r="B252" s="65" t="s">
        <v>82</v>
      </c>
      <c r="C252" s="35">
        <v>85.100659000000007</v>
      </c>
      <c r="D252" s="34"/>
      <c r="E252" s="36">
        <v>21.389183680000002</v>
      </c>
      <c r="F252" s="36">
        <v>11.178746800000001</v>
      </c>
      <c r="G252" s="37">
        <v>1.8443865100000001</v>
      </c>
      <c r="H252" s="35">
        <f t="shared" si="68"/>
        <v>34.412316990000001</v>
      </c>
      <c r="I252" s="31">
        <v>19.855219406306858</v>
      </c>
      <c r="J252" s="37">
        <v>4.4595044336931391</v>
      </c>
      <c r="K252" s="35">
        <f t="shared" si="69"/>
        <v>24.314723839999999</v>
      </c>
      <c r="L252" s="38">
        <v>17.09105065</v>
      </c>
      <c r="M252" s="36"/>
      <c r="N252" s="35">
        <f t="shared" si="70"/>
        <v>41.405774489999999</v>
      </c>
      <c r="O252" s="35">
        <v>86.749204570000003</v>
      </c>
      <c r="P252" s="34"/>
      <c r="Q252" s="49">
        <f t="shared" si="71"/>
        <v>247.66795505000002</v>
      </c>
      <c r="R252" s="85"/>
      <c r="S252" s="71"/>
    </row>
    <row r="253" spans="2:19" ht="19.5" hidden="1" customHeight="1" outlineLevel="1" x14ac:dyDescent="0.2">
      <c r="B253" s="65" t="s">
        <v>83</v>
      </c>
      <c r="C253" s="35">
        <v>44.515961000000004</v>
      </c>
      <c r="D253" s="34"/>
      <c r="E253" s="36">
        <v>22.758500000000002</v>
      </c>
      <c r="F253" s="36">
        <v>6.7484077500000001</v>
      </c>
      <c r="G253" s="37">
        <v>4.9749157300000002</v>
      </c>
      <c r="H253" s="35">
        <f t="shared" si="68"/>
        <v>34.481823480000003</v>
      </c>
      <c r="I253" s="31">
        <v>60.020047199999993</v>
      </c>
      <c r="J253" s="37">
        <v>7.7064240521046381</v>
      </c>
      <c r="K253" s="35">
        <f t="shared" si="69"/>
        <v>67.726471252104631</v>
      </c>
      <c r="L253" s="38">
        <v>48.295389779999994</v>
      </c>
      <c r="M253" s="36"/>
      <c r="N253" s="35">
        <f t="shared" si="70"/>
        <v>116.02186103210462</v>
      </c>
      <c r="O253" s="35">
        <v>87.199038720000004</v>
      </c>
      <c r="P253" s="34"/>
      <c r="Q253" s="49">
        <f t="shared" si="71"/>
        <v>282.21868423210464</v>
      </c>
      <c r="R253" s="85"/>
      <c r="S253" s="71"/>
    </row>
    <row r="254" spans="2:19" ht="19.5" hidden="1" customHeight="1" outlineLevel="1" x14ac:dyDescent="0.2">
      <c r="B254" s="65" t="s">
        <v>84</v>
      </c>
      <c r="C254" s="35">
        <v>76.171528999999992</v>
      </c>
      <c r="D254" s="34"/>
      <c r="E254" s="36">
        <v>11.467009099999999</v>
      </c>
      <c r="F254" s="36">
        <v>4.5928113800000006</v>
      </c>
      <c r="G254" s="37">
        <v>3.0032442400000003</v>
      </c>
      <c r="H254" s="35">
        <f t="shared" si="68"/>
        <v>19.06306472</v>
      </c>
      <c r="I254" s="31">
        <v>25.14152906</v>
      </c>
      <c r="J254" s="37">
        <v>3.9349551591000003</v>
      </c>
      <c r="K254" s="35">
        <f t="shared" si="69"/>
        <v>29.076484219099999</v>
      </c>
      <c r="L254" s="38">
        <v>46.706571890769233</v>
      </c>
      <c r="M254" s="36"/>
      <c r="N254" s="35">
        <f t="shared" si="70"/>
        <v>75.783056109869236</v>
      </c>
      <c r="O254" s="35">
        <v>53.394222139999997</v>
      </c>
      <c r="P254" s="34"/>
      <c r="Q254" s="49">
        <f t="shared" si="71"/>
        <v>224.41187196986922</v>
      </c>
      <c r="R254" s="85"/>
      <c r="S254" s="71"/>
    </row>
    <row r="255" spans="2:19" ht="19.5" hidden="1" customHeight="1" outlineLevel="1" x14ac:dyDescent="0.2">
      <c r="B255" s="65" t="s">
        <v>85</v>
      </c>
      <c r="C255" s="35">
        <v>97.612912499999993</v>
      </c>
      <c r="D255" s="34"/>
      <c r="E255" s="36">
        <v>22.894531929999999</v>
      </c>
      <c r="F255" s="36">
        <v>24.784552509999997</v>
      </c>
      <c r="G255" s="37">
        <v>2.2589357900000002</v>
      </c>
      <c r="H255" s="35">
        <f t="shared" si="68"/>
        <v>49.938020229999999</v>
      </c>
      <c r="I255" s="31">
        <v>91.085561459521045</v>
      </c>
      <c r="J255" s="37">
        <v>11.779153634649999</v>
      </c>
      <c r="K255" s="35">
        <f t="shared" si="69"/>
        <v>102.86471509417105</v>
      </c>
      <c r="L255" s="38">
        <v>28.077875529767777</v>
      </c>
      <c r="M255" s="36"/>
      <c r="N255" s="35">
        <f t="shared" si="70"/>
        <v>130.94259062393883</v>
      </c>
      <c r="O255" s="35">
        <v>144.3770954402035</v>
      </c>
      <c r="P255" s="34"/>
      <c r="Q255" s="49">
        <f t="shared" si="71"/>
        <v>422.87061879414233</v>
      </c>
      <c r="R255" s="85"/>
      <c r="S255" s="71"/>
    </row>
    <row r="256" spans="2:19" ht="19.5" hidden="1" customHeight="1" outlineLevel="1" x14ac:dyDescent="0.2">
      <c r="B256" s="65" t="s">
        <v>86</v>
      </c>
      <c r="C256" s="35">
        <v>73.092775000000003</v>
      </c>
      <c r="D256" s="34"/>
      <c r="E256" s="36">
        <v>27.091623259999999</v>
      </c>
      <c r="F256" s="36">
        <v>40.671888890000005</v>
      </c>
      <c r="G256" s="37">
        <v>1.13874553</v>
      </c>
      <c r="H256" s="35">
        <f t="shared" si="68"/>
        <v>68.902257679999991</v>
      </c>
      <c r="I256" s="31">
        <v>70.220329499601135</v>
      </c>
      <c r="J256" s="37">
        <v>20.475690275718865</v>
      </c>
      <c r="K256" s="35">
        <f t="shared" si="69"/>
        <v>90.696019775319996</v>
      </c>
      <c r="L256" s="38">
        <v>21.340320509999998</v>
      </c>
      <c r="M256" s="36"/>
      <c r="N256" s="35">
        <f t="shared" si="70"/>
        <v>112.03634028531999</v>
      </c>
      <c r="O256" s="35">
        <v>142.0115466</v>
      </c>
      <c r="P256" s="34"/>
      <c r="Q256" s="49">
        <f t="shared" si="71"/>
        <v>396.04291956532001</v>
      </c>
      <c r="R256" s="85"/>
      <c r="S256" s="71"/>
    </row>
    <row r="257" spans="2:30" ht="19.5" hidden="1" customHeight="1" outlineLevel="1" x14ac:dyDescent="0.2">
      <c r="B257" s="65" t="s">
        <v>87</v>
      </c>
      <c r="C257" s="35">
        <v>78.549781999999993</v>
      </c>
      <c r="D257" s="34"/>
      <c r="E257" s="36">
        <v>14.308127330000001</v>
      </c>
      <c r="F257" s="36">
        <v>1.46197997</v>
      </c>
      <c r="G257" s="37">
        <v>2.29537909</v>
      </c>
      <c r="H257" s="35">
        <f t="shared" si="68"/>
        <v>18.06548639</v>
      </c>
      <c r="I257" s="31">
        <v>76.573096340697688</v>
      </c>
      <c r="J257" s="37">
        <v>6.1851862468616252</v>
      </c>
      <c r="K257" s="35">
        <f t="shared" si="69"/>
        <v>82.758282587559307</v>
      </c>
      <c r="L257" s="38">
        <v>29.777899359999999</v>
      </c>
      <c r="M257" s="36"/>
      <c r="N257" s="35">
        <f t="shared" si="70"/>
        <v>112.5361819475593</v>
      </c>
      <c r="O257" s="35">
        <v>140.61650263999999</v>
      </c>
      <c r="P257" s="34"/>
      <c r="Q257" s="49">
        <f t="shared" si="71"/>
        <v>349.76795297755928</v>
      </c>
      <c r="R257" s="85"/>
      <c r="S257" s="71"/>
    </row>
    <row r="258" spans="2:30" ht="19.5" hidden="1" customHeight="1" outlineLevel="1" x14ac:dyDescent="0.2">
      <c r="B258" s="65" t="s">
        <v>88</v>
      </c>
      <c r="C258" s="35">
        <v>4.5619999999999994</v>
      </c>
      <c r="D258" s="34"/>
      <c r="E258" s="36">
        <v>13.456249999999999</v>
      </c>
      <c r="F258" s="36">
        <v>411.57828851999994</v>
      </c>
      <c r="G258" s="37">
        <v>1.11174738</v>
      </c>
      <c r="H258" s="35">
        <f t="shared" si="68"/>
        <v>426.14628589999995</v>
      </c>
      <c r="I258" s="31">
        <v>8.5400893225999983</v>
      </c>
      <c r="J258" s="37">
        <v>14.840783398939999</v>
      </c>
      <c r="K258" s="35">
        <f t="shared" si="69"/>
        <v>23.380872721539998</v>
      </c>
      <c r="L258" s="38">
        <v>45.181493970538568</v>
      </c>
      <c r="M258" s="36"/>
      <c r="N258" s="35">
        <f t="shared" si="70"/>
        <v>68.562366692078569</v>
      </c>
      <c r="O258" s="35">
        <v>111.79203892011647</v>
      </c>
      <c r="P258" s="34"/>
      <c r="Q258" s="49">
        <f t="shared" si="71"/>
        <v>611.06269151219499</v>
      </c>
      <c r="R258" s="85"/>
      <c r="S258" s="71"/>
    </row>
    <row r="259" spans="2:30" ht="19.5" hidden="1" customHeight="1" outlineLevel="1" x14ac:dyDescent="0.2">
      <c r="B259" s="65" t="s">
        <v>89</v>
      </c>
      <c r="C259" s="35">
        <v>2.0773619999999999</v>
      </c>
      <c r="D259" s="34"/>
      <c r="E259" s="36">
        <v>39.109289599999997</v>
      </c>
      <c r="F259" s="36"/>
      <c r="G259" s="37">
        <v>4.6517368799999996</v>
      </c>
      <c r="H259" s="35">
        <f t="shared" si="68"/>
        <v>43.761026479999998</v>
      </c>
      <c r="I259" s="31">
        <v>77.253030788999993</v>
      </c>
      <c r="J259" s="37">
        <v>8.2264807139200009</v>
      </c>
      <c r="K259" s="35">
        <f t="shared" si="69"/>
        <v>85.479511502919991</v>
      </c>
      <c r="L259" s="38">
        <v>66.264248750436678</v>
      </c>
      <c r="M259" s="36"/>
      <c r="N259" s="35">
        <f t="shared" si="70"/>
        <v>151.74376025335667</v>
      </c>
      <c r="O259" s="35">
        <v>223.20521025404656</v>
      </c>
      <c r="P259" s="34"/>
      <c r="Q259" s="49">
        <f t="shared" si="71"/>
        <v>420.78735898740325</v>
      </c>
      <c r="R259" s="85"/>
      <c r="S259" s="71"/>
    </row>
    <row r="260" spans="2:30" ht="19.5" hidden="1" customHeight="1" outlineLevel="1" x14ac:dyDescent="0.2">
      <c r="B260" s="65" t="s">
        <v>90</v>
      </c>
      <c r="C260" s="35">
        <v>18.549999999999997</v>
      </c>
      <c r="D260" s="34"/>
      <c r="E260" s="36">
        <v>25.600675728704509</v>
      </c>
      <c r="F260" s="36">
        <v>24.947347839854441</v>
      </c>
      <c r="G260" s="37">
        <v>4.8401922919941773</v>
      </c>
      <c r="H260" s="35">
        <f t="shared" si="68"/>
        <v>55.388215860553125</v>
      </c>
      <c r="I260" s="31">
        <v>67.23607002</v>
      </c>
      <c r="J260" s="37">
        <v>6.4390006939898097</v>
      </c>
      <c r="K260" s="35">
        <f t="shared" si="69"/>
        <v>73.675070713989811</v>
      </c>
      <c r="L260" s="38">
        <v>40.583790691091714</v>
      </c>
      <c r="M260" s="36"/>
      <c r="N260" s="35">
        <f t="shared" si="70"/>
        <v>114.25886140508152</v>
      </c>
      <c r="O260" s="35">
        <v>112.20468361815136</v>
      </c>
      <c r="P260" s="34"/>
      <c r="Q260" s="49">
        <f t="shared" si="71"/>
        <v>300.40176088378604</v>
      </c>
      <c r="R260" s="85"/>
      <c r="S260" s="71"/>
    </row>
    <row r="261" spans="2:30" ht="19.5" hidden="1" customHeight="1" outlineLevel="1" x14ac:dyDescent="0.2">
      <c r="B261" s="65" t="s">
        <v>91</v>
      </c>
      <c r="C261" s="35">
        <v>27.012808</v>
      </c>
      <c r="D261" s="34"/>
      <c r="E261" s="36">
        <v>20.453238440758017</v>
      </c>
      <c r="F261" s="36">
        <v>16.32460717731778</v>
      </c>
      <c r="G261" s="37">
        <v>2.0423959106712331</v>
      </c>
      <c r="H261" s="35">
        <f t="shared" si="68"/>
        <v>38.820241528747033</v>
      </c>
      <c r="I261" s="31">
        <v>16.662531860000001</v>
      </c>
      <c r="J261" s="37">
        <v>5.6594225755521865</v>
      </c>
      <c r="K261" s="35">
        <f t="shared" si="69"/>
        <v>22.321954435552186</v>
      </c>
      <c r="L261" s="38">
        <v>34.557834512215742</v>
      </c>
      <c r="M261" s="36"/>
      <c r="N261" s="35">
        <f t="shared" si="70"/>
        <v>56.879788947767928</v>
      </c>
      <c r="O261" s="35">
        <v>249.55514014005684</v>
      </c>
      <c r="P261" s="34"/>
      <c r="Q261" s="49">
        <f t="shared" si="71"/>
        <v>372.26797861657178</v>
      </c>
      <c r="R261" s="85"/>
      <c r="S261" s="71"/>
    </row>
    <row r="262" spans="2:30" ht="19.5" hidden="1" customHeight="1" outlineLevel="1" x14ac:dyDescent="0.2">
      <c r="B262" s="65" t="s">
        <v>63</v>
      </c>
      <c r="C262" s="35">
        <v>79.368404999999996</v>
      </c>
      <c r="D262" s="34"/>
      <c r="E262" s="36">
        <v>26.939164390641402</v>
      </c>
      <c r="F262" s="36">
        <v>21.151020224839648</v>
      </c>
      <c r="G262" s="37">
        <v>3.4356039313119533</v>
      </c>
      <c r="H262" s="35">
        <f t="shared" si="68"/>
        <v>51.525788546793002</v>
      </c>
      <c r="I262" s="31">
        <v>63.569689902846008</v>
      </c>
      <c r="J262" s="37">
        <v>8.5526841239896783</v>
      </c>
      <c r="K262" s="35">
        <f t="shared" si="69"/>
        <v>72.122374026835686</v>
      </c>
      <c r="L262" s="38">
        <v>136.49977118921382</v>
      </c>
      <c r="M262" s="36"/>
      <c r="N262" s="35">
        <f t="shared" si="70"/>
        <v>208.62214521604949</v>
      </c>
      <c r="O262" s="35">
        <v>199.95057455250731</v>
      </c>
      <c r="P262" s="34"/>
      <c r="Q262" s="49">
        <f t="shared" si="71"/>
        <v>539.46691331534976</v>
      </c>
      <c r="R262" s="85"/>
      <c r="S262" s="71"/>
    </row>
    <row r="263" spans="2:30" ht="19.5" hidden="1" customHeight="1" collapsed="1" x14ac:dyDescent="0.2">
      <c r="B263" s="65"/>
      <c r="C263" s="35"/>
      <c r="D263" s="34"/>
      <c r="E263" s="36"/>
      <c r="F263" s="36"/>
      <c r="G263" s="37"/>
      <c r="H263" s="35"/>
      <c r="I263" s="31"/>
      <c r="J263" s="37"/>
      <c r="K263" s="35"/>
      <c r="L263" s="38"/>
      <c r="M263" s="36"/>
      <c r="N263" s="35"/>
      <c r="O263" s="35"/>
      <c r="P263" s="34"/>
      <c r="Q263" s="49"/>
      <c r="R263" s="85"/>
      <c r="S263" s="71"/>
    </row>
    <row r="264" spans="2:30" ht="19.5" customHeight="1" x14ac:dyDescent="0.2">
      <c r="B264" s="64">
        <v>2012</v>
      </c>
      <c r="C264" s="35">
        <f>SUM(C266:C277)</f>
        <v>1868.6642350000002</v>
      </c>
      <c r="D264" s="34">
        <f t="shared" ref="D264:P264" si="72">SUM(D266:D277)</f>
        <v>0</v>
      </c>
      <c r="E264" s="36">
        <f t="shared" si="72"/>
        <v>613.9659189688922</v>
      </c>
      <c r="F264" s="36">
        <f t="shared" si="72"/>
        <v>224.93866479323614</v>
      </c>
      <c r="G264" s="37">
        <f t="shared" si="72"/>
        <v>35.355787528163262</v>
      </c>
      <c r="H264" s="35">
        <f t="shared" si="72"/>
        <v>874.26037129029157</v>
      </c>
      <c r="I264" s="31">
        <f t="shared" si="72"/>
        <v>423.07149760291247</v>
      </c>
      <c r="J264" s="37">
        <f t="shared" si="72"/>
        <v>91.229775894230016</v>
      </c>
      <c r="K264" s="35">
        <f t="shared" si="72"/>
        <v>514.30127349714257</v>
      </c>
      <c r="L264" s="38">
        <f t="shared" si="72"/>
        <v>743.110520526968</v>
      </c>
      <c r="M264" s="36">
        <f t="shared" si="72"/>
        <v>0</v>
      </c>
      <c r="N264" s="35">
        <f t="shared" si="72"/>
        <v>1257.4117940241108</v>
      </c>
      <c r="O264" s="35">
        <f t="shared" si="72"/>
        <v>1346.1562156820391</v>
      </c>
      <c r="P264" s="34">
        <f t="shared" si="72"/>
        <v>0</v>
      </c>
      <c r="Q264" s="49">
        <f>SUM(Q266:Q277)</f>
        <v>5346.4926159964416</v>
      </c>
      <c r="R264" s="85">
        <f>SUM(R266:R346)</f>
        <v>0</v>
      </c>
      <c r="S264" s="71"/>
      <c r="Y264" s="129"/>
      <c r="Z264" s="129"/>
      <c r="AA264" s="129"/>
      <c r="AB264" s="129"/>
      <c r="AC264" s="129"/>
      <c r="AD264" s="129"/>
    </row>
    <row r="265" spans="2:30" ht="19.5" hidden="1" customHeight="1" x14ac:dyDescent="0.2">
      <c r="B265" s="64"/>
      <c r="C265" s="35"/>
      <c r="D265" s="34"/>
      <c r="E265" s="36"/>
      <c r="F265" s="36"/>
      <c r="G265" s="37"/>
      <c r="H265" s="35"/>
      <c r="I265" s="31"/>
      <c r="J265" s="37"/>
      <c r="K265" s="35"/>
      <c r="L265" s="38"/>
      <c r="M265" s="36"/>
      <c r="N265" s="35"/>
      <c r="O265" s="35"/>
      <c r="P265" s="34"/>
      <c r="Q265" s="49"/>
      <c r="R265" s="85"/>
      <c r="S265" s="71"/>
      <c r="Y265" s="138"/>
      <c r="Z265" s="129"/>
      <c r="AA265" s="129"/>
      <c r="AB265" s="138"/>
      <c r="AC265" s="129"/>
      <c r="AD265" s="129"/>
    </row>
    <row r="266" spans="2:30" ht="19.5" hidden="1" customHeight="1" x14ac:dyDescent="0.2">
      <c r="B266" s="65" t="s">
        <v>81</v>
      </c>
      <c r="C266" s="35">
        <v>39.813839999999999</v>
      </c>
      <c r="D266" s="34"/>
      <c r="E266" s="36">
        <v>27.934432979591829</v>
      </c>
      <c r="F266" s="36">
        <v>4.7710432595335277</v>
      </c>
      <c r="G266" s="37">
        <v>4.5180362895918362</v>
      </c>
      <c r="H266" s="35">
        <f t="shared" ref="H266:H277" si="73">+D266+E266+F266+G266</f>
        <v>37.223512528717194</v>
      </c>
      <c r="I266" s="31">
        <v>28.111376120000003</v>
      </c>
      <c r="J266" s="37">
        <v>4.4403295272303236</v>
      </c>
      <c r="K266" s="35">
        <f t="shared" ref="K266:K277" si="74">+I266+J266</f>
        <v>32.551705647230328</v>
      </c>
      <c r="L266" s="38">
        <v>43.451807636122453</v>
      </c>
      <c r="M266" s="36"/>
      <c r="N266" s="35">
        <f t="shared" ref="N266:N277" si="75">+L266+K266</f>
        <v>76.003513283352788</v>
      </c>
      <c r="O266" s="35">
        <v>125.72934915906704</v>
      </c>
      <c r="P266" s="34"/>
      <c r="Q266" s="49">
        <f t="shared" ref="Q266:Q277" si="76">+O266+N266+H266+C266</f>
        <v>278.77021497113708</v>
      </c>
      <c r="R266" s="85"/>
      <c r="S266" s="71"/>
      <c r="Y266" s="129"/>
      <c r="Z266" s="129"/>
      <c r="AA266" s="129"/>
      <c r="AB266" s="129"/>
      <c r="AC266" s="129"/>
      <c r="AD266" s="129"/>
    </row>
    <row r="267" spans="2:30" ht="19.5" hidden="1" customHeight="1" x14ac:dyDescent="0.2">
      <c r="B267" s="65" t="s">
        <v>82</v>
      </c>
      <c r="C267" s="35">
        <v>68.693599999999989</v>
      </c>
      <c r="D267" s="34"/>
      <c r="E267" s="36">
        <v>18.888729210000001</v>
      </c>
      <c r="F267" s="36">
        <v>3.5318083500000004</v>
      </c>
      <c r="G267" s="37">
        <v>2.24410848</v>
      </c>
      <c r="H267" s="35">
        <f t="shared" si="73"/>
        <v>24.664646040000001</v>
      </c>
      <c r="I267" s="31">
        <v>32.756138669999999</v>
      </c>
      <c r="J267" s="37">
        <v>5.8071298799999997</v>
      </c>
      <c r="K267" s="35">
        <f t="shared" si="74"/>
        <v>38.563268549999997</v>
      </c>
      <c r="L267" s="38">
        <v>67.185475409999995</v>
      </c>
      <c r="M267" s="36"/>
      <c r="N267" s="35">
        <f t="shared" si="75"/>
        <v>105.74874395999998</v>
      </c>
      <c r="O267" s="35">
        <v>92.59574465</v>
      </c>
      <c r="P267" s="34"/>
      <c r="Q267" s="49">
        <f t="shared" si="76"/>
        <v>291.70273464999997</v>
      </c>
      <c r="R267" s="85"/>
      <c r="S267" s="71"/>
      <c r="Y267" s="129"/>
      <c r="Z267" s="129"/>
      <c r="AA267" s="129"/>
      <c r="AB267" s="129"/>
      <c r="AC267" s="129"/>
      <c r="AD267" s="129"/>
    </row>
    <row r="268" spans="2:30" ht="19.5" hidden="1" customHeight="1" x14ac:dyDescent="0.2">
      <c r="B268" s="65" t="s">
        <v>83</v>
      </c>
      <c r="C268" s="35">
        <v>28.185137000000005</v>
      </c>
      <c r="D268" s="34"/>
      <c r="E268" s="36">
        <v>40.907870160000002</v>
      </c>
      <c r="F268" s="36">
        <v>24.357783150000003</v>
      </c>
      <c r="G268" s="37">
        <v>1.0772308900000001</v>
      </c>
      <c r="H268" s="35">
        <f t="shared" si="73"/>
        <v>66.3428842</v>
      </c>
      <c r="I268" s="31">
        <v>39.280502189999993</v>
      </c>
      <c r="J268" s="37">
        <v>6.7850642485714294</v>
      </c>
      <c r="K268" s="35">
        <f t="shared" si="74"/>
        <v>46.065566438571423</v>
      </c>
      <c r="L268" s="38">
        <v>22.79025369</v>
      </c>
      <c r="M268" s="36"/>
      <c r="N268" s="35">
        <f t="shared" si="75"/>
        <v>68.855820128571423</v>
      </c>
      <c r="O268" s="35">
        <v>157.77984237999999</v>
      </c>
      <c r="P268" s="34"/>
      <c r="Q268" s="49">
        <f t="shared" si="76"/>
        <v>321.1636837085714</v>
      </c>
      <c r="R268" s="85"/>
      <c r="S268" s="71"/>
      <c r="Y268" s="129"/>
      <c r="Z268" s="129"/>
      <c r="AA268" s="129"/>
      <c r="AB268" s="129"/>
      <c r="AC268" s="129"/>
      <c r="AD268" s="129"/>
    </row>
    <row r="269" spans="2:30" ht="19.5" hidden="1" customHeight="1" x14ac:dyDescent="0.2">
      <c r="B269" s="65" t="s">
        <v>84</v>
      </c>
      <c r="C269" s="35">
        <v>293.88795700000003</v>
      </c>
      <c r="D269" s="34"/>
      <c r="E269" s="36">
        <v>40.498591259999998</v>
      </c>
      <c r="F269" s="36">
        <v>3.8878677600000002</v>
      </c>
      <c r="G269" s="37">
        <v>2.3086031500000002</v>
      </c>
      <c r="H269" s="35">
        <f t="shared" si="73"/>
        <v>46.69506217</v>
      </c>
      <c r="I269" s="31">
        <v>38.653535669999997</v>
      </c>
      <c r="J269" s="37">
        <v>11.943270260612241</v>
      </c>
      <c r="K269" s="35">
        <f t="shared" si="74"/>
        <v>50.596805930612234</v>
      </c>
      <c r="L269" s="38">
        <v>40.404290230000001</v>
      </c>
      <c r="M269" s="36"/>
      <c r="N269" s="35">
        <f t="shared" si="75"/>
        <v>91.001096160612235</v>
      </c>
      <c r="O269" s="35">
        <v>93.204556939999989</v>
      </c>
      <c r="P269" s="34"/>
      <c r="Q269" s="49">
        <f t="shared" si="76"/>
        <v>524.78867227061221</v>
      </c>
      <c r="R269" s="85"/>
      <c r="S269" s="71"/>
      <c r="Y269" s="129"/>
      <c r="Z269" s="129"/>
      <c r="AA269" s="129"/>
      <c r="AB269" s="129"/>
      <c r="AC269" s="129"/>
      <c r="AD269" s="129"/>
    </row>
    <row r="270" spans="2:30" ht="19.5" hidden="1" customHeight="1" x14ac:dyDescent="0.2">
      <c r="B270" s="65" t="s">
        <v>85</v>
      </c>
      <c r="C270" s="35">
        <v>112.40222800000001</v>
      </c>
      <c r="D270" s="34"/>
      <c r="E270" s="36">
        <v>81.799919500000001</v>
      </c>
      <c r="F270" s="36">
        <v>36.111184180000002</v>
      </c>
      <c r="G270" s="37">
        <v>4.1087268100000003</v>
      </c>
      <c r="H270" s="35">
        <f t="shared" si="73"/>
        <v>122.01983049</v>
      </c>
      <c r="I270" s="31">
        <v>48.639047570000002</v>
      </c>
      <c r="J270" s="37">
        <v>8.9970461385131131</v>
      </c>
      <c r="K270" s="35">
        <f t="shared" si="74"/>
        <v>57.636093708513116</v>
      </c>
      <c r="L270" s="38">
        <v>29.103461410000005</v>
      </c>
      <c r="M270" s="36"/>
      <c r="N270" s="35">
        <f t="shared" si="75"/>
        <v>86.739555118513124</v>
      </c>
      <c r="O270" s="35">
        <v>217.39965435999852</v>
      </c>
      <c r="P270" s="34"/>
      <c r="Q270" s="49">
        <f t="shared" si="76"/>
        <v>538.56126796851163</v>
      </c>
      <c r="R270" s="85"/>
      <c r="S270" s="71"/>
      <c r="Y270" s="129"/>
      <c r="Z270" s="129"/>
      <c r="AA270" s="129"/>
      <c r="AB270" s="129"/>
      <c r="AC270" s="129"/>
      <c r="AD270" s="129"/>
    </row>
    <row r="271" spans="2:30" ht="19.5" hidden="1" customHeight="1" x14ac:dyDescent="0.2">
      <c r="B271" s="65" t="s">
        <v>86</v>
      </c>
      <c r="C271" s="35">
        <v>154.22949700000001</v>
      </c>
      <c r="D271" s="34"/>
      <c r="E271" s="36">
        <v>52.086853409999989</v>
      </c>
      <c r="F271" s="36">
        <v>0.26129669</v>
      </c>
      <c r="G271" s="37">
        <v>2.8111241199999997</v>
      </c>
      <c r="H271" s="35">
        <f t="shared" si="73"/>
        <v>55.159274219999993</v>
      </c>
      <c r="I271" s="31">
        <v>56.390050987504381</v>
      </c>
      <c r="J271" s="37">
        <v>9.2291317564897906</v>
      </c>
      <c r="K271" s="35">
        <f t="shared" si="74"/>
        <v>65.619182743994173</v>
      </c>
      <c r="L271" s="38">
        <v>76.140344200000001</v>
      </c>
      <c r="M271" s="36"/>
      <c r="N271" s="35">
        <f t="shared" si="75"/>
        <v>141.75952694399416</v>
      </c>
      <c r="O271" s="35">
        <v>105.84163749999999</v>
      </c>
      <c r="P271" s="34"/>
      <c r="Q271" s="49">
        <f t="shared" si="76"/>
        <v>456.98993566399417</v>
      </c>
      <c r="R271" s="85"/>
      <c r="S271" s="71"/>
      <c r="Y271" s="129"/>
      <c r="Z271" s="129"/>
      <c r="AA271" s="129"/>
      <c r="AB271" s="129"/>
      <c r="AC271" s="129"/>
      <c r="AD271" s="129"/>
    </row>
    <row r="272" spans="2:30" ht="19.5" hidden="1" customHeight="1" x14ac:dyDescent="0.2">
      <c r="B272" s="65" t="s">
        <v>87</v>
      </c>
      <c r="C272" s="35">
        <v>80.099999999999994</v>
      </c>
      <c r="D272" s="34"/>
      <c r="E272" s="36">
        <v>56.257291859999995</v>
      </c>
      <c r="F272" s="36">
        <v>33.36698767</v>
      </c>
      <c r="G272" s="37">
        <v>7.4861042599999994</v>
      </c>
      <c r="H272" s="35">
        <f t="shared" si="73"/>
        <v>97.11038379</v>
      </c>
      <c r="I272" s="31">
        <v>20.470777780495624</v>
      </c>
      <c r="J272" s="37">
        <v>6.171785218133822</v>
      </c>
      <c r="K272" s="35">
        <f t="shared" si="74"/>
        <v>26.642562998629444</v>
      </c>
      <c r="L272" s="38">
        <v>46.830882545597674</v>
      </c>
      <c r="M272" s="36"/>
      <c r="N272" s="35">
        <f t="shared" si="75"/>
        <v>73.473445544227118</v>
      </c>
      <c r="O272" s="35">
        <v>131.45523788</v>
      </c>
      <c r="P272" s="34"/>
      <c r="Q272" s="49">
        <f t="shared" si="76"/>
        <v>382.13906721422711</v>
      </c>
      <c r="R272" s="85"/>
      <c r="S272" s="71"/>
    </row>
    <row r="273" spans="2:19" ht="19.5" hidden="1" customHeight="1" x14ac:dyDescent="0.2">
      <c r="B273" s="65" t="s">
        <v>88</v>
      </c>
      <c r="C273" s="35">
        <v>190.278989</v>
      </c>
      <c r="D273" s="34"/>
      <c r="E273" s="36">
        <v>48.037750868892125</v>
      </c>
      <c r="F273" s="36">
        <v>20.915168640000001</v>
      </c>
      <c r="G273" s="37">
        <v>2.9786365785714284</v>
      </c>
      <c r="H273" s="35">
        <f t="shared" si="73"/>
        <v>71.931556087463548</v>
      </c>
      <c r="I273" s="31">
        <v>15.643661429912539</v>
      </c>
      <c r="J273" s="37">
        <v>9.163836810204085</v>
      </c>
      <c r="K273" s="35">
        <f t="shared" si="74"/>
        <v>24.807498240116622</v>
      </c>
      <c r="L273" s="38">
        <v>18.715838793119534</v>
      </c>
      <c r="M273" s="36"/>
      <c r="N273" s="35">
        <f t="shared" si="75"/>
        <v>43.52333703323616</v>
      </c>
      <c r="O273" s="35">
        <v>90.125060809795912</v>
      </c>
      <c r="P273" s="34"/>
      <c r="Q273" s="49">
        <f t="shared" si="76"/>
        <v>395.85894293049557</v>
      </c>
      <c r="R273" s="85"/>
      <c r="S273" s="71"/>
    </row>
    <row r="274" spans="2:19" ht="19.5" hidden="1" customHeight="1" x14ac:dyDescent="0.2">
      <c r="B274" s="65" t="s">
        <v>89</v>
      </c>
      <c r="C274" s="35">
        <v>126.464761</v>
      </c>
      <c r="D274" s="34"/>
      <c r="E274" s="36">
        <v>93.218915330000002</v>
      </c>
      <c r="F274" s="36">
        <v>6.0262612200000003</v>
      </c>
      <c r="G274" s="37">
        <v>2.5846464400000002</v>
      </c>
      <c r="H274" s="35">
        <f t="shared" si="73"/>
        <v>101.82982299</v>
      </c>
      <c r="I274" s="31">
        <v>46.575467554999996</v>
      </c>
      <c r="J274" s="37">
        <v>8.208683885000001</v>
      </c>
      <c r="K274" s="35">
        <f t="shared" si="74"/>
        <v>54.784151439999995</v>
      </c>
      <c r="L274" s="38">
        <v>30.933430479999998</v>
      </c>
      <c r="M274" s="36"/>
      <c r="N274" s="35">
        <f t="shared" si="75"/>
        <v>85.717581919999986</v>
      </c>
      <c r="O274" s="35">
        <v>68.997599890000004</v>
      </c>
      <c r="P274" s="34"/>
      <c r="Q274" s="49">
        <f t="shared" si="76"/>
        <v>383.00976580000003</v>
      </c>
      <c r="R274" s="85"/>
      <c r="S274" s="71"/>
    </row>
    <row r="275" spans="2:19" ht="19.5" hidden="1" customHeight="1" x14ac:dyDescent="0.2">
      <c r="B275" s="65" t="s">
        <v>90</v>
      </c>
      <c r="C275" s="35">
        <v>330.712986</v>
      </c>
      <c r="D275" s="34"/>
      <c r="E275" s="36">
        <v>45.143820690408198</v>
      </c>
      <c r="F275" s="36">
        <v>15.569301209999999</v>
      </c>
      <c r="G275" s="37">
        <v>1.4585875799999999</v>
      </c>
      <c r="H275" s="35">
        <f t="shared" si="73"/>
        <v>62.171709480408197</v>
      </c>
      <c r="I275" s="31">
        <v>53.730727610000002</v>
      </c>
      <c r="J275" s="37">
        <v>4.6398357694752184</v>
      </c>
      <c r="K275" s="35">
        <f t="shared" si="74"/>
        <v>58.370563379475222</v>
      </c>
      <c r="L275" s="38">
        <v>231.72574003973762</v>
      </c>
      <c r="M275" s="36"/>
      <c r="N275" s="35">
        <f t="shared" si="75"/>
        <v>290.09630341921286</v>
      </c>
      <c r="O275" s="35">
        <v>106.9</v>
      </c>
      <c r="P275" s="34"/>
      <c r="Q275" s="49">
        <f t="shared" si="76"/>
        <v>789.88099889962109</v>
      </c>
      <c r="R275" s="85"/>
      <c r="S275" s="71"/>
    </row>
    <row r="276" spans="2:19" ht="19.5" hidden="1" customHeight="1" x14ac:dyDescent="0.2">
      <c r="B276" s="65" t="s">
        <v>91</v>
      </c>
      <c r="C276" s="35">
        <v>146.69999999999999</v>
      </c>
      <c r="D276" s="34"/>
      <c r="E276" s="36">
        <v>56.554611350000002</v>
      </c>
      <c r="F276" s="36">
        <v>10.98227698364431</v>
      </c>
      <c r="G276" s="37">
        <v>2.0696291499999999</v>
      </c>
      <c r="H276" s="35">
        <f t="shared" si="73"/>
        <v>69.606517483644311</v>
      </c>
      <c r="I276" s="31">
        <v>15.7950447</v>
      </c>
      <c r="J276" s="37">
        <v>7.3534954299999997</v>
      </c>
      <c r="K276" s="35">
        <f t="shared" si="74"/>
        <v>23.148540130000001</v>
      </c>
      <c r="L276" s="38">
        <v>61.830708283090388</v>
      </c>
      <c r="M276" s="36"/>
      <c r="N276" s="35">
        <f t="shared" si="75"/>
        <v>84.979248413090389</v>
      </c>
      <c r="O276" s="35">
        <v>81.5</v>
      </c>
      <c r="P276" s="34"/>
      <c r="Q276" s="49">
        <f t="shared" si="76"/>
        <v>382.78576589673469</v>
      </c>
      <c r="R276" s="85"/>
      <c r="S276" s="71"/>
    </row>
    <row r="277" spans="2:19" ht="19.5" hidden="1" customHeight="1" x14ac:dyDescent="0.2">
      <c r="B277" s="65" t="s">
        <v>63</v>
      </c>
      <c r="C277" s="35">
        <v>297.19524000000001</v>
      </c>
      <c r="D277" s="34"/>
      <c r="E277" s="36">
        <v>52.637132350000002</v>
      </c>
      <c r="F277" s="36">
        <v>65.157685680058307</v>
      </c>
      <c r="G277" s="37">
        <v>1.7103537799999999</v>
      </c>
      <c r="H277" s="35">
        <f t="shared" si="73"/>
        <v>119.50517181005831</v>
      </c>
      <c r="I277" s="31">
        <v>27.025167320000001</v>
      </c>
      <c r="J277" s="37">
        <v>8.4901669700000006</v>
      </c>
      <c r="K277" s="35">
        <f t="shared" si="74"/>
        <v>35.515334289999998</v>
      </c>
      <c r="L277" s="38">
        <v>73.99828780930028</v>
      </c>
      <c r="M277" s="36"/>
      <c r="N277" s="35">
        <f t="shared" si="75"/>
        <v>109.51362209930028</v>
      </c>
      <c r="O277" s="35">
        <v>74.627532113177836</v>
      </c>
      <c r="P277" s="34"/>
      <c r="Q277" s="49">
        <f t="shared" si="76"/>
        <v>600.84156602253643</v>
      </c>
      <c r="R277" s="85"/>
      <c r="S277" s="71"/>
    </row>
    <row r="278" spans="2:19" ht="19.5" hidden="1" customHeight="1" x14ac:dyDescent="0.2">
      <c r="B278" s="65"/>
      <c r="C278" s="35"/>
      <c r="D278" s="34"/>
      <c r="E278" s="36"/>
      <c r="F278" s="36"/>
      <c r="G278" s="37"/>
      <c r="H278" s="35"/>
      <c r="I278" s="31"/>
      <c r="J278" s="37"/>
      <c r="K278" s="35"/>
      <c r="L278" s="38"/>
      <c r="M278" s="36"/>
      <c r="N278" s="35"/>
      <c r="O278" s="35"/>
      <c r="P278" s="34"/>
      <c r="Q278" s="49"/>
      <c r="R278" s="85"/>
      <c r="S278" s="71"/>
    </row>
    <row r="279" spans="2:19" ht="19.5" customHeight="1" x14ac:dyDescent="0.2">
      <c r="B279" s="64">
        <v>2013</v>
      </c>
      <c r="C279" s="35">
        <f>SUM(C281:C292)</f>
        <v>1616.0547898500001</v>
      </c>
      <c r="D279" s="34">
        <f t="shared" ref="D279:Q279" si="77">SUM(D281:D292)</f>
        <v>103.65788792000001</v>
      </c>
      <c r="E279" s="36">
        <f t="shared" si="77"/>
        <v>931.8271109599998</v>
      </c>
      <c r="F279" s="36">
        <f t="shared" si="77"/>
        <v>303.98871589000004</v>
      </c>
      <c r="G279" s="37">
        <f t="shared" si="77"/>
        <v>30.6271621</v>
      </c>
      <c r="H279" s="35">
        <f t="shared" si="77"/>
        <v>1370.1008768700001</v>
      </c>
      <c r="I279" s="31">
        <f t="shared" si="77"/>
        <v>224.13408463838005</v>
      </c>
      <c r="J279" s="37">
        <f t="shared" si="77"/>
        <v>105.35644853162002</v>
      </c>
      <c r="K279" s="35">
        <f t="shared" si="77"/>
        <v>329.49053316999999</v>
      </c>
      <c r="L279" s="38">
        <f t="shared" si="77"/>
        <v>1022.1017489781838</v>
      </c>
      <c r="M279" s="36">
        <f t="shared" si="77"/>
        <v>0</v>
      </c>
      <c r="N279" s="35">
        <f t="shared" si="77"/>
        <v>1351.5922821481838</v>
      </c>
      <c r="O279" s="35">
        <f t="shared" si="77"/>
        <v>2670.4892021746359</v>
      </c>
      <c r="P279" s="34">
        <f t="shared" si="77"/>
        <v>0</v>
      </c>
      <c r="Q279" s="49">
        <f t="shared" si="77"/>
        <v>7008.2371510428202</v>
      </c>
      <c r="R279" s="85">
        <f>SUM(R281:R361)</f>
        <v>0</v>
      </c>
      <c r="S279" s="71"/>
    </row>
    <row r="280" spans="2:19" ht="19.5" customHeight="1" x14ac:dyDescent="0.2">
      <c r="B280" s="64"/>
      <c r="C280" s="35"/>
      <c r="D280" s="34"/>
      <c r="E280" s="36"/>
      <c r="F280" s="36"/>
      <c r="G280" s="37"/>
      <c r="H280" s="35"/>
      <c r="I280" s="31"/>
      <c r="J280" s="37"/>
      <c r="K280" s="35"/>
      <c r="L280" s="38"/>
      <c r="M280" s="36"/>
      <c r="N280" s="35"/>
      <c r="O280" s="35"/>
      <c r="P280" s="34"/>
      <c r="Q280" s="49"/>
      <c r="R280" s="85"/>
      <c r="S280" s="71"/>
    </row>
    <row r="281" spans="2:19" ht="19.5" customHeight="1" x14ac:dyDescent="0.2">
      <c r="B281" s="65" t="s">
        <v>81</v>
      </c>
      <c r="C281" s="35">
        <v>218.31716800000001</v>
      </c>
      <c r="D281" s="34"/>
      <c r="E281" s="36">
        <v>107.76929330000002</v>
      </c>
      <c r="F281" s="36">
        <v>8.2146384000000001</v>
      </c>
      <c r="G281" s="37">
        <v>2.5049834800000004</v>
      </c>
      <c r="H281" s="35">
        <f t="shared" ref="H281:H292" si="78">+D281+E281+F281+G281</f>
        <v>118.48891518000002</v>
      </c>
      <c r="I281" s="31">
        <v>52.637953009999997</v>
      </c>
      <c r="J281" s="37">
        <v>5.01228155</v>
      </c>
      <c r="K281" s="35">
        <f t="shared" ref="K281:K292" si="79">+I281+J281</f>
        <v>57.650234559999994</v>
      </c>
      <c r="L281" s="38">
        <v>125.66831895885423</v>
      </c>
      <c r="M281" s="36"/>
      <c r="N281" s="35">
        <f t="shared" ref="N281:N292" si="80">+L281+K281</f>
        <v>183.31855351885423</v>
      </c>
      <c r="O281" s="35">
        <v>89.075669610000006</v>
      </c>
      <c r="P281" s="34"/>
      <c r="Q281" s="49">
        <f t="shared" ref="Q281:Q292" si="81">+O281+N281+H281+C281</f>
        <v>609.20030630885435</v>
      </c>
      <c r="R281" s="85"/>
      <c r="S281" s="71"/>
    </row>
    <row r="282" spans="2:19" ht="19.5" customHeight="1" x14ac:dyDescent="0.2">
      <c r="B282" s="65" t="s">
        <v>82</v>
      </c>
      <c r="C282" s="35">
        <v>151.184336</v>
      </c>
      <c r="D282" s="34">
        <v>4.5787315700000004</v>
      </c>
      <c r="E282" s="36">
        <v>36.440190680000001</v>
      </c>
      <c r="F282" s="36">
        <v>15.321246420000001</v>
      </c>
      <c r="G282" s="37">
        <v>1.5773077099999999</v>
      </c>
      <c r="H282" s="35">
        <f t="shared" si="78"/>
        <v>57.917476380000004</v>
      </c>
      <c r="I282" s="31">
        <v>16.922415168380002</v>
      </c>
      <c r="J282" s="37">
        <v>4.5748086216199999</v>
      </c>
      <c r="K282" s="35">
        <f t="shared" si="79"/>
        <v>21.497223790000003</v>
      </c>
      <c r="L282" s="38">
        <v>28.2175695</v>
      </c>
      <c r="M282" s="36"/>
      <c r="N282" s="35">
        <f t="shared" si="80"/>
        <v>49.714793290000003</v>
      </c>
      <c r="O282" s="35">
        <v>143.47884993000002</v>
      </c>
      <c r="P282" s="34"/>
      <c r="Q282" s="49">
        <f t="shared" si="81"/>
        <v>402.29545560000003</v>
      </c>
      <c r="R282" s="85"/>
      <c r="S282" s="71"/>
    </row>
    <row r="283" spans="2:19" ht="19.5" customHeight="1" x14ac:dyDescent="0.2">
      <c r="B283" s="65" t="s">
        <v>83</v>
      </c>
      <c r="C283" s="35">
        <v>191.34044</v>
      </c>
      <c r="D283" s="34">
        <v>2.8098086699999998</v>
      </c>
      <c r="E283" s="36">
        <v>78.521995790000005</v>
      </c>
      <c r="F283" s="36">
        <v>23.658564820000002</v>
      </c>
      <c r="G283" s="37">
        <v>2.6852216699999998</v>
      </c>
      <c r="H283" s="35">
        <f t="shared" si="78"/>
        <v>107.67559095000001</v>
      </c>
      <c r="I283" s="31">
        <v>14.02557726</v>
      </c>
      <c r="J283" s="37">
        <v>10.14696453</v>
      </c>
      <c r="K283" s="35">
        <f t="shared" si="79"/>
        <v>24.17254179</v>
      </c>
      <c r="L283" s="38">
        <v>34.37462945</v>
      </c>
      <c r="M283" s="36"/>
      <c r="N283" s="35">
        <f t="shared" si="80"/>
        <v>58.547171239999997</v>
      </c>
      <c r="O283" s="35">
        <v>123.21681251000001</v>
      </c>
      <c r="P283" s="34"/>
      <c r="Q283" s="49">
        <f t="shared" si="81"/>
        <v>480.78001470000004</v>
      </c>
      <c r="R283" s="85"/>
      <c r="S283" s="71"/>
    </row>
    <row r="284" spans="2:19" ht="19.5" customHeight="1" x14ac:dyDescent="0.2">
      <c r="B284" s="65" t="s">
        <v>84</v>
      </c>
      <c r="C284" s="35">
        <v>84.698958000000005</v>
      </c>
      <c r="D284" s="34">
        <v>7.5013823799999999</v>
      </c>
      <c r="E284" s="36">
        <v>89.564843249999996</v>
      </c>
      <c r="F284" s="36">
        <v>22.665015960000002</v>
      </c>
      <c r="G284" s="37">
        <v>1.6148388800000002</v>
      </c>
      <c r="H284" s="35">
        <f t="shared" si="78"/>
        <v>121.34608046999999</v>
      </c>
      <c r="I284" s="31">
        <v>20.950088630000003</v>
      </c>
      <c r="J284" s="37">
        <v>16.684986439999999</v>
      </c>
      <c r="K284" s="35">
        <f t="shared" si="79"/>
        <v>37.635075069999999</v>
      </c>
      <c r="L284" s="38">
        <v>51.531904909912541</v>
      </c>
      <c r="M284" s="36"/>
      <c r="N284" s="35">
        <f t="shared" si="80"/>
        <v>89.16697997991254</v>
      </c>
      <c r="O284" s="35">
        <v>71.014375020000003</v>
      </c>
      <c r="P284" s="34"/>
      <c r="Q284" s="49">
        <f t="shared" si="81"/>
        <v>366.22639346991252</v>
      </c>
      <c r="R284" s="85"/>
      <c r="S284" s="71"/>
    </row>
    <row r="285" spans="2:19" ht="19.5" customHeight="1" x14ac:dyDescent="0.2">
      <c r="B285" s="65" t="s">
        <v>85</v>
      </c>
      <c r="C285" s="35">
        <v>114.441315</v>
      </c>
      <c r="D285" s="34">
        <v>1.9997891400000001</v>
      </c>
      <c r="E285" s="36">
        <v>71.301069229999996</v>
      </c>
      <c r="F285" s="36">
        <v>17.380187450000001</v>
      </c>
      <c r="G285" s="37">
        <v>2.9006327700000005</v>
      </c>
      <c r="H285" s="35">
        <f t="shared" si="78"/>
        <v>93.58167859000001</v>
      </c>
      <c r="I285" s="31">
        <v>16.46016565</v>
      </c>
      <c r="J285" s="37">
        <v>7.5895710800000007</v>
      </c>
      <c r="K285" s="35">
        <f t="shared" si="79"/>
        <v>24.049736729999999</v>
      </c>
      <c r="L285" s="38">
        <v>147.08547964000002</v>
      </c>
      <c r="M285" s="36"/>
      <c r="N285" s="35">
        <f t="shared" si="80"/>
        <v>171.13521637000002</v>
      </c>
      <c r="O285" s="35">
        <v>185.75771051000001</v>
      </c>
      <c r="P285" s="34"/>
      <c r="Q285" s="49">
        <f t="shared" si="81"/>
        <v>564.91592047000006</v>
      </c>
      <c r="R285" s="85"/>
      <c r="S285" s="71"/>
    </row>
    <row r="286" spans="2:19" ht="19.5" customHeight="1" x14ac:dyDescent="0.2">
      <c r="B286" s="65" t="s">
        <v>86</v>
      </c>
      <c r="C286" s="35">
        <v>46.133831999999998</v>
      </c>
      <c r="D286" s="34">
        <v>4.49988163</v>
      </c>
      <c r="E286" s="36">
        <v>63.226635000000002</v>
      </c>
      <c r="F286" s="36">
        <v>8.2140805999999991</v>
      </c>
      <c r="G286" s="37">
        <v>2.7756917299999997</v>
      </c>
      <c r="H286" s="35">
        <f t="shared" si="78"/>
        <v>78.716288960000014</v>
      </c>
      <c r="I286" s="31">
        <v>18.76025585</v>
      </c>
      <c r="J286" s="37">
        <v>9.8857880799999993</v>
      </c>
      <c r="K286" s="35">
        <f t="shared" si="79"/>
        <v>28.646043929999998</v>
      </c>
      <c r="L286" s="38">
        <v>106.14376791000001</v>
      </c>
      <c r="M286" s="36"/>
      <c r="N286" s="35">
        <f t="shared" si="80"/>
        <v>134.78981184</v>
      </c>
      <c r="O286" s="35">
        <v>127.98510105999901</v>
      </c>
      <c r="P286" s="34"/>
      <c r="Q286" s="49">
        <f t="shared" si="81"/>
        <v>387.62503385999901</v>
      </c>
      <c r="R286" s="85"/>
      <c r="S286" s="71"/>
    </row>
    <row r="287" spans="2:19" ht="19.5" customHeight="1" x14ac:dyDescent="0.2">
      <c r="B287" s="65" t="s">
        <v>87</v>
      </c>
      <c r="C287" s="35">
        <v>75.211882000000003</v>
      </c>
      <c r="D287" s="34"/>
      <c r="E287" s="36">
        <v>80.265851590000011</v>
      </c>
      <c r="F287" s="36">
        <v>28.381374190000002</v>
      </c>
      <c r="G287" s="37">
        <v>3.23320403</v>
      </c>
      <c r="H287" s="35">
        <f t="shared" si="78"/>
        <v>111.88042981000001</v>
      </c>
      <c r="I287" s="31">
        <v>5.1683674899999996</v>
      </c>
      <c r="J287" s="37">
        <v>2.59419668</v>
      </c>
      <c r="K287" s="35">
        <f t="shared" si="79"/>
        <v>7.7625641699999992</v>
      </c>
      <c r="L287" s="38">
        <v>92.826050809999998</v>
      </c>
      <c r="M287" s="36"/>
      <c r="N287" s="35">
        <f t="shared" si="80"/>
        <v>100.58861498</v>
      </c>
      <c r="O287" s="35">
        <v>177.53777638000003</v>
      </c>
      <c r="P287" s="34"/>
      <c r="Q287" s="49">
        <f t="shared" si="81"/>
        <v>465.21870317000003</v>
      </c>
      <c r="R287" s="85"/>
      <c r="S287" s="71"/>
    </row>
    <row r="288" spans="2:19" ht="19.5" customHeight="1" x14ac:dyDescent="0.2">
      <c r="B288" s="65" t="s">
        <v>88</v>
      </c>
      <c r="C288" s="35">
        <v>138.378942</v>
      </c>
      <c r="D288" s="34">
        <v>4.1617215999999999</v>
      </c>
      <c r="E288" s="36">
        <v>80.437054140000015</v>
      </c>
      <c r="F288" s="36">
        <v>61.369495790000002</v>
      </c>
      <c r="G288" s="37">
        <v>2.8166639499999997</v>
      </c>
      <c r="H288" s="35">
        <f t="shared" si="78"/>
        <v>148.78493548</v>
      </c>
      <c r="I288" s="31">
        <v>18.425238320000002</v>
      </c>
      <c r="J288" s="37">
        <v>4.8727939999999998</v>
      </c>
      <c r="K288" s="35">
        <f t="shared" si="79"/>
        <v>23.298032320000001</v>
      </c>
      <c r="L288" s="38">
        <v>65.845209420000003</v>
      </c>
      <c r="M288" s="36"/>
      <c r="N288" s="35">
        <f t="shared" si="80"/>
        <v>89.143241740000008</v>
      </c>
      <c r="O288" s="35">
        <v>715.9866245799999</v>
      </c>
      <c r="P288" s="34"/>
      <c r="Q288" s="49">
        <f t="shared" si="81"/>
        <v>1092.2937437999999</v>
      </c>
      <c r="R288" s="85"/>
      <c r="S288" s="71"/>
    </row>
    <row r="289" spans="2:19" ht="19.5" customHeight="1" x14ac:dyDescent="0.2">
      <c r="B289" s="65" t="s">
        <v>89</v>
      </c>
      <c r="C289" s="35">
        <v>63.285985000000011</v>
      </c>
      <c r="D289" s="34"/>
      <c r="E289" s="36">
        <v>122.02770972999998</v>
      </c>
      <c r="F289" s="36">
        <v>41.802620089999998</v>
      </c>
      <c r="G289" s="37">
        <v>1.1809702</v>
      </c>
      <c r="H289" s="35">
        <f t="shared" si="78"/>
        <v>165.01130001999996</v>
      </c>
      <c r="I289" s="31">
        <v>13.750856819999999</v>
      </c>
      <c r="J289" s="37">
        <v>9.7395247300000012</v>
      </c>
      <c r="K289" s="35">
        <f t="shared" si="79"/>
        <v>23.490381550000002</v>
      </c>
      <c r="L289" s="38">
        <v>65.850874159999989</v>
      </c>
      <c r="M289" s="36"/>
      <c r="N289" s="35">
        <f t="shared" si="80"/>
        <v>89.341255709999984</v>
      </c>
      <c r="O289" s="35">
        <v>95.637400239999977</v>
      </c>
      <c r="P289" s="34"/>
      <c r="Q289" s="49">
        <f t="shared" si="81"/>
        <v>413.27594096999997</v>
      </c>
      <c r="R289" s="85"/>
      <c r="S289" s="71"/>
    </row>
    <row r="290" spans="2:19" ht="19.5" customHeight="1" x14ac:dyDescent="0.2">
      <c r="B290" s="65" t="s">
        <v>90</v>
      </c>
      <c r="C290" s="35">
        <v>94.575669000000005</v>
      </c>
      <c r="D290" s="34"/>
      <c r="E290" s="36">
        <v>46.24951196</v>
      </c>
      <c r="F290" s="36">
        <v>16.345909750000001</v>
      </c>
      <c r="G290" s="37">
        <v>3.5185571100000002</v>
      </c>
      <c r="H290" s="35">
        <f t="shared" si="78"/>
        <v>66.11397882</v>
      </c>
      <c r="I290" s="31">
        <v>13.13201437</v>
      </c>
      <c r="J290" s="37">
        <v>16.709814430000002</v>
      </c>
      <c r="K290" s="35">
        <f t="shared" si="79"/>
        <v>29.841828800000002</v>
      </c>
      <c r="L290" s="38">
        <v>80.991224240000008</v>
      </c>
      <c r="M290" s="36"/>
      <c r="N290" s="35">
        <f t="shared" si="80"/>
        <v>110.83305304000001</v>
      </c>
      <c r="O290" s="35">
        <v>681.15309643000001</v>
      </c>
      <c r="P290" s="34"/>
      <c r="Q290" s="49">
        <f t="shared" si="81"/>
        <v>952.67579728999999</v>
      </c>
      <c r="R290" s="85"/>
      <c r="S290" s="71"/>
    </row>
    <row r="291" spans="2:19" ht="19.5" customHeight="1" x14ac:dyDescent="0.2">
      <c r="B291" s="65" t="s">
        <v>91</v>
      </c>
      <c r="C291" s="35">
        <v>161.84237899999999</v>
      </c>
      <c r="D291" s="34">
        <v>77.400072929999993</v>
      </c>
      <c r="E291" s="36"/>
      <c r="F291" s="36">
        <v>19.302406380000004</v>
      </c>
      <c r="G291" s="37">
        <v>2.9200815900000001</v>
      </c>
      <c r="H291" s="35">
        <f t="shared" si="78"/>
        <v>99.622560899999996</v>
      </c>
      <c r="I291" s="31">
        <v>14.036739580000003</v>
      </c>
      <c r="J291" s="37">
        <v>7.5794946899999998</v>
      </c>
      <c r="K291" s="35">
        <f t="shared" si="79"/>
        <v>21.616234270000003</v>
      </c>
      <c r="L291" s="38">
        <v>79.769799849999998</v>
      </c>
      <c r="M291" s="36"/>
      <c r="N291" s="35">
        <f t="shared" si="80"/>
        <v>101.38603412000001</v>
      </c>
      <c r="O291" s="35">
        <v>142.50219621000113</v>
      </c>
      <c r="P291" s="34"/>
      <c r="Q291" s="49">
        <f t="shared" si="81"/>
        <v>505.35317023000113</v>
      </c>
      <c r="R291" s="85"/>
      <c r="S291" s="71"/>
    </row>
    <row r="292" spans="2:19" ht="19.5" customHeight="1" x14ac:dyDescent="0.2">
      <c r="B292" s="65" t="s">
        <v>63</v>
      </c>
      <c r="C292" s="35">
        <v>276.64388385000001</v>
      </c>
      <c r="D292" s="34">
        <v>0.70650000000000002</v>
      </c>
      <c r="E292" s="36">
        <v>156.02295628999997</v>
      </c>
      <c r="F292" s="36">
        <v>41.333176039999998</v>
      </c>
      <c r="G292" s="37">
        <v>2.8990089799999996</v>
      </c>
      <c r="H292" s="35">
        <f t="shared" si="78"/>
        <v>200.96164130999998</v>
      </c>
      <c r="I292" s="31">
        <v>19.864412489999999</v>
      </c>
      <c r="J292" s="37">
        <v>9.9662237000000005</v>
      </c>
      <c r="K292" s="35">
        <f t="shared" si="79"/>
        <v>29.83063619</v>
      </c>
      <c r="L292" s="38">
        <v>143.79692012941692</v>
      </c>
      <c r="M292" s="36"/>
      <c r="N292" s="35">
        <f t="shared" si="80"/>
        <v>173.62755631941693</v>
      </c>
      <c r="O292" s="35">
        <v>117.14358969463555</v>
      </c>
      <c r="P292" s="34"/>
      <c r="Q292" s="49">
        <f t="shared" si="81"/>
        <v>768.37667117405249</v>
      </c>
      <c r="R292" s="85"/>
      <c r="S292" s="71"/>
    </row>
    <row r="293" spans="2:19" ht="19.5" customHeight="1" x14ac:dyDescent="0.2">
      <c r="B293" s="65"/>
      <c r="C293" s="35"/>
      <c r="D293" s="34"/>
      <c r="E293" s="36"/>
      <c r="F293" s="36"/>
      <c r="G293" s="37"/>
      <c r="H293" s="35"/>
      <c r="I293" s="31"/>
      <c r="J293" s="139"/>
      <c r="K293" s="35"/>
      <c r="L293" s="38"/>
      <c r="M293" s="36"/>
      <c r="N293" s="35"/>
      <c r="O293" s="35"/>
      <c r="P293" s="34"/>
      <c r="Q293" s="49"/>
      <c r="R293" s="85"/>
      <c r="S293" s="71"/>
    </row>
    <row r="294" spans="2:19" ht="19.5" customHeight="1" x14ac:dyDescent="0.2">
      <c r="B294" s="64">
        <v>2014</v>
      </c>
      <c r="C294" s="35">
        <f t="shared" ref="C294:O294" si="82">SUM(C296:C307)</f>
        <v>2406.2907177799998</v>
      </c>
      <c r="D294" s="34">
        <f t="shared" si="82"/>
        <v>0.16181000000000001</v>
      </c>
      <c r="E294" s="36">
        <f t="shared" si="82"/>
        <v>1024.2044544800001</v>
      </c>
      <c r="F294" s="36">
        <f t="shared" si="82"/>
        <v>319.29756512</v>
      </c>
      <c r="G294" s="37">
        <f t="shared" si="82"/>
        <v>17.360688240000002</v>
      </c>
      <c r="H294" s="35">
        <f t="shared" si="82"/>
        <v>1361.02451784</v>
      </c>
      <c r="I294" s="31">
        <f t="shared" si="82"/>
        <v>224.86783298999998</v>
      </c>
      <c r="J294" s="37">
        <f t="shared" si="82"/>
        <v>137.36542503000001</v>
      </c>
      <c r="K294" s="35">
        <f t="shared" si="82"/>
        <v>362.23325801999994</v>
      </c>
      <c r="L294" s="38">
        <f t="shared" si="82"/>
        <v>1077.59837182</v>
      </c>
      <c r="M294" s="36">
        <f t="shared" si="82"/>
        <v>0</v>
      </c>
      <c r="N294" s="35">
        <f t="shared" si="82"/>
        <v>1439.83162984</v>
      </c>
      <c r="O294" s="35">
        <f t="shared" si="82"/>
        <v>2212.7287015999991</v>
      </c>
      <c r="P294" s="34">
        <f t="shared" ref="P294" si="83">SUM(P296:P331)</f>
        <v>0</v>
      </c>
      <c r="Q294" s="49">
        <f>SUM(Q296:Q307)</f>
        <v>7419.8755670599985</v>
      </c>
      <c r="R294" s="85"/>
      <c r="S294" s="71"/>
    </row>
    <row r="295" spans="2:19" ht="19.5" customHeight="1" x14ac:dyDescent="0.2">
      <c r="B295" s="64"/>
      <c r="C295" s="35"/>
      <c r="D295" s="34"/>
      <c r="E295" s="36"/>
      <c r="F295" s="36"/>
      <c r="G295" s="37"/>
      <c r="H295" s="35"/>
      <c r="I295" s="31"/>
      <c r="J295" s="37"/>
      <c r="K295" s="35"/>
      <c r="L295" s="38"/>
      <c r="M295" s="36"/>
      <c r="N295" s="35"/>
      <c r="O295" s="35"/>
      <c r="P295" s="34"/>
      <c r="Q295" s="49"/>
      <c r="R295" s="85"/>
      <c r="S295" s="71"/>
    </row>
    <row r="296" spans="2:19" ht="19.5" customHeight="1" x14ac:dyDescent="0.2">
      <c r="B296" s="65" t="s">
        <v>81</v>
      </c>
      <c r="C296" s="35">
        <v>225.19267000000002</v>
      </c>
      <c r="D296" s="34"/>
      <c r="E296" s="36">
        <v>62.26831378</v>
      </c>
      <c r="F296" s="36">
        <v>1.5374697499999999</v>
      </c>
      <c r="G296" s="37">
        <v>1.7414124799999997</v>
      </c>
      <c r="H296" s="35">
        <f t="shared" ref="H296:H307" si="84">+D296+E296+F296+G296</f>
        <v>65.547196009999993</v>
      </c>
      <c r="I296" s="31">
        <v>5.6220631700000006</v>
      </c>
      <c r="J296" s="37">
        <v>2.6537341300000001</v>
      </c>
      <c r="K296" s="35">
        <f t="shared" ref="K296:K307" si="85">+I296+J296</f>
        <v>8.2757973000000007</v>
      </c>
      <c r="L296" s="38">
        <v>54.400664249999991</v>
      </c>
      <c r="M296" s="36"/>
      <c r="N296" s="35">
        <f t="shared" ref="N296:N307" si="86">+L296+K296</f>
        <v>62.676461549999992</v>
      </c>
      <c r="O296" s="35">
        <v>143.49157604000001</v>
      </c>
      <c r="P296" s="34"/>
      <c r="Q296" s="49">
        <f t="shared" ref="Q296:Q307" si="87">+O296+N296+H296+C296</f>
        <v>496.90790360000005</v>
      </c>
      <c r="R296" s="85"/>
      <c r="S296" s="71"/>
    </row>
    <row r="297" spans="2:19" ht="19.5" customHeight="1" x14ac:dyDescent="0.2">
      <c r="B297" s="65" t="s">
        <v>82</v>
      </c>
      <c r="C297" s="35">
        <v>267.335307</v>
      </c>
      <c r="D297" s="34"/>
      <c r="E297" s="36">
        <v>58.966917299999999</v>
      </c>
      <c r="F297" s="36">
        <v>32.475923829999999</v>
      </c>
      <c r="G297" s="37">
        <v>0.92426429999999993</v>
      </c>
      <c r="H297" s="35">
        <f t="shared" si="84"/>
        <v>92.367105430000009</v>
      </c>
      <c r="I297" s="31">
        <v>18.63538818</v>
      </c>
      <c r="J297" s="37">
        <v>18.952972030000002</v>
      </c>
      <c r="K297" s="35">
        <f t="shared" si="85"/>
        <v>37.588360210000005</v>
      </c>
      <c r="L297" s="38">
        <v>103.51096971</v>
      </c>
      <c r="M297" s="36"/>
      <c r="N297" s="35">
        <f t="shared" si="86"/>
        <v>141.09932992</v>
      </c>
      <c r="O297" s="35">
        <v>73.858013330000006</v>
      </c>
      <c r="P297" s="34"/>
      <c r="Q297" s="49">
        <f t="shared" si="87"/>
        <v>574.65975567999999</v>
      </c>
      <c r="R297" s="85"/>
      <c r="S297" s="71"/>
    </row>
    <row r="298" spans="2:19" ht="19.5" customHeight="1" x14ac:dyDescent="0.2">
      <c r="B298" s="65" t="s">
        <v>83</v>
      </c>
      <c r="C298" s="35">
        <v>299.70410699999996</v>
      </c>
      <c r="D298" s="34"/>
      <c r="E298" s="36">
        <v>43.988099870000006</v>
      </c>
      <c r="F298" s="36">
        <v>26.823674449999999</v>
      </c>
      <c r="G298" s="37">
        <v>1.76364108</v>
      </c>
      <c r="H298" s="35">
        <f t="shared" si="84"/>
        <v>72.575415400000011</v>
      </c>
      <c r="I298" s="31">
        <v>37.715187379999996</v>
      </c>
      <c r="J298" s="37">
        <v>8.4087514900000002</v>
      </c>
      <c r="K298" s="35">
        <f t="shared" si="85"/>
        <v>46.123938869999996</v>
      </c>
      <c r="L298" s="38">
        <v>53.41918089</v>
      </c>
      <c r="M298" s="36"/>
      <c r="N298" s="35">
        <f t="shared" si="86"/>
        <v>99.543119759999996</v>
      </c>
      <c r="O298" s="35">
        <v>122.91442950000001</v>
      </c>
      <c r="P298" s="34"/>
      <c r="Q298" s="49">
        <f t="shared" si="87"/>
        <v>594.73707165999997</v>
      </c>
      <c r="R298" s="85"/>
      <c r="S298" s="71"/>
    </row>
    <row r="299" spans="2:19" ht="19.5" customHeight="1" x14ac:dyDescent="0.2">
      <c r="B299" s="65" t="s">
        <v>84</v>
      </c>
      <c r="C299" s="35">
        <v>175.80763100000001</v>
      </c>
      <c r="D299" s="34"/>
      <c r="E299" s="36">
        <v>79.481711380000007</v>
      </c>
      <c r="F299" s="36">
        <v>95.861529980000014</v>
      </c>
      <c r="G299" s="37">
        <v>2.1492438000000003</v>
      </c>
      <c r="H299" s="35">
        <f t="shared" si="84"/>
        <v>177.49248516000003</v>
      </c>
      <c r="I299" s="31">
        <v>18.85370108</v>
      </c>
      <c r="J299" s="37">
        <v>16.912417060000003</v>
      </c>
      <c r="K299" s="35">
        <f t="shared" si="85"/>
        <v>35.766118140000003</v>
      </c>
      <c r="L299" s="38">
        <v>119.35926881999998</v>
      </c>
      <c r="M299" s="36"/>
      <c r="N299" s="35">
        <f t="shared" si="86"/>
        <v>155.12538695999999</v>
      </c>
      <c r="O299" s="35">
        <v>96.757902760000007</v>
      </c>
      <c r="P299" s="34"/>
      <c r="Q299" s="49">
        <f t="shared" si="87"/>
        <v>605.18340588000001</v>
      </c>
      <c r="R299" s="85"/>
      <c r="S299" s="71"/>
    </row>
    <row r="300" spans="2:19" ht="19.5" customHeight="1" x14ac:dyDescent="0.2">
      <c r="B300" s="65" t="s">
        <v>85</v>
      </c>
      <c r="C300" s="35">
        <v>188.021525</v>
      </c>
      <c r="D300" s="34"/>
      <c r="E300" s="36">
        <v>83.351185100000009</v>
      </c>
      <c r="F300" s="36">
        <v>42.27950165</v>
      </c>
      <c r="G300" s="37">
        <v>1.0036600200000001</v>
      </c>
      <c r="H300" s="35">
        <f t="shared" si="84"/>
        <v>126.63434677000001</v>
      </c>
      <c r="I300" s="31">
        <v>18.7633525</v>
      </c>
      <c r="J300" s="37">
        <v>9.4713689400000014</v>
      </c>
      <c r="K300" s="35">
        <f t="shared" si="85"/>
        <v>28.234721440000001</v>
      </c>
      <c r="L300" s="38">
        <v>107.47192538</v>
      </c>
      <c r="M300" s="36"/>
      <c r="N300" s="35">
        <f t="shared" si="86"/>
        <v>135.70664682</v>
      </c>
      <c r="O300" s="35">
        <v>124.03150832999968</v>
      </c>
      <c r="P300" s="34"/>
      <c r="Q300" s="49">
        <f t="shared" si="87"/>
        <v>574.39402691999965</v>
      </c>
      <c r="R300" s="85"/>
      <c r="S300" s="71"/>
    </row>
    <row r="301" spans="2:19" ht="19.5" customHeight="1" x14ac:dyDescent="0.2">
      <c r="B301" s="65" t="s">
        <v>86</v>
      </c>
      <c r="C301" s="35">
        <v>123.64170999999999</v>
      </c>
      <c r="D301" s="34"/>
      <c r="E301" s="36">
        <v>92.981056840000008</v>
      </c>
      <c r="F301" s="36">
        <v>10.396612859999999</v>
      </c>
      <c r="G301" s="37">
        <v>0.48686205999999999</v>
      </c>
      <c r="H301" s="35">
        <f t="shared" si="84"/>
        <v>103.86453176000001</v>
      </c>
      <c r="I301" s="31">
        <v>22.187273119999997</v>
      </c>
      <c r="J301" s="37">
        <v>10.854299339999999</v>
      </c>
      <c r="K301" s="35">
        <f t="shared" si="85"/>
        <v>33.041572459999998</v>
      </c>
      <c r="L301" s="38">
        <v>93.638536749999986</v>
      </c>
      <c r="M301" s="36"/>
      <c r="N301" s="35">
        <f t="shared" si="86"/>
        <v>126.68010920999998</v>
      </c>
      <c r="O301" s="35">
        <v>65.337293969999692</v>
      </c>
      <c r="P301" s="34"/>
      <c r="Q301" s="49">
        <f t="shared" si="87"/>
        <v>419.52364493999971</v>
      </c>
      <c r="R301" s="85"/>
      <c r="S301" s="71"/>
    </row>
    <row r="302" spans="2:19" ht="19.5" customHeight="1" x14ac:dyDescent="0.2">
      <c r="B302" s="65" t="s">
        <v>87</v>
      </c>
      <c r="C302" s="35">
        <v>162.76000000000002</v>
      </c>
      <c r="D302" s="34"/>
      <c r="E302" s="36">
        <v>96.959294780000008</v>
      </c>
      <c r="F302" s="36">
        <v>20.209577670000002</v>
      </c>
      <c r="G302" s="37">
        <v>1.8305178499999999</v>
      </c>
      <c r="H302" s="35">
        <f t="shared" si="84"/>
        <v>118.99939030000002</v>
      </c>
      <c r="I302" s="31">
        <v>6.4880145599999999</v>
      </c>
      <c r="J302" s="37">
        <v>2.9095795500000001</v>
      </c>
      <c r="K302" s="35">
        <f t="shared" si="85"/>
        <v>9.39759411</v>
      </c>
      <c r="L302" s="38">
        <v>91.263686849999999</v>
      </c>
      <c r="M302" s="36"/>
      <c r="N302" s="35">
        <f t="shared" si="86"/>
        <v>100.66128096</v>
      </c>
      <c r="O302" s="35">
        <v>210.62821907999975</v>
      </c>
      <c r="P302" s="34"/>
      <c r="Q302" s="49">
        <f t="shared" si="87"/>
        <v>593.04889033999984</v>
      </c>
      <c r="R302" s="85"/>
      <c r="S302" s="71"/>
    </row>
    <row r="303" spans="2:19" ht="19.5" customHeight="1" x14ac:dyDescent="0.2">
      <c r="B303" s="65" t="s">
        <v>88</v>
      </c>
      <c r="C303" s="35">
        <v>217.17161100000001</v>
      </c>
      <c r="D303" s="34"/>
      <c r="E303" s="36">
        <v>86.47927116000001</v>
      </c>
      <c r="F303" s="36">
        <v>22.557554250000003</v>
      </c>
      <c r="G303" s="37">
        <v>1.5587280100000001</v>
      </c>
      <c r="H303" s="35">
        <f t="shared" si="84"/>
        <v>110.59555342</v>
      </c>
      <c r="I303" s="31">
        <v>18.13633725</v>
      </c>
      <c r="J303" s="37">
        <v>19.549017120000006</v>
      </c>
      <c r="K303" s="35">
        <f t="shared" si="85"/>
        <v>37.685354370000006</v>
      </c>
      <c r="L303" s="38">
        <v>92.346352859999996</v>
      </c>
      <c r="M303" s="36"/>
      <c r="N303" s="35">
        <f t="shared" si="86"/>
        <v>130.03170722999999</v>
      </c>
      <c r="O303" s="35">
        <v>225.12629529999998</v>
      </c>
      <c r="P303" s="34"/>
      <c r="Q303" s="49">
        <f t="shared" si="87"/>
        <v>682.92516694999995</v>
      </c>
      <c r="R303" s="85"/>
      <c r="S303" s="71"/>
    </row>
    <row r="304" spans="2:19" ht="19.5" customHeight="1" x14ac:dyDescent="0.2">
      <c r="B304" s="65" t="s">
        <v>89</v>
      </c>
      <c r="C304" s="35">
        <v>125.11258000000001</v>
      </c>
      <c r="D304" s="34">
        <v>0.16181000000000001</v>
      </c>
      <c r="E304" s="141">
        <v>114.20168418</v>
      </c>
      <c r="F304" s="141">
        <v>32.706636499999995</v>
      </c>
      <c r="G304" s="142">
        <v>2.3793010900000002</v>
      </c>
      <c r="H304" s="35">
        <f t="shared" si="84"/>
        <v>149.44943177000002</v>
      </c>
      <c r="I304" s="31">
        <v>19.948755299999998</v>
      </c>
      <c r="J304" s="143">
        <v>9.07486557</v>
      </c>
      <c r="K304" s="140">
        <f t="shared" si="85"/>
        <v>29.023620869999998</v>
      </c>
      <c r="L304" s="38">
        <v>102.68926974</v>
      </c>
      <c r="M304" s="141"/>
      <c r="N304" s="35">
        <f t="shared" si="86"/>
        <v>131.71289060999999</v>
      </c>
      <c r="O304" s="35">
        <v>167.26061049999998</v>
      </c>
      <c r="P304" s="34"/>
      <c r="Q304" s="49">
        <f t="shared" si="87"/>
        <v>573.53551287999994</v>
      </c>
      <c r="R304" s="85"/>
      <c r="S304" s="71"/>
    </row>
    <row r="305" spans="2:19" ht="19.5" customHeight="1" x14ac:dyDescent="0.2">
      <c r="B305" s="65" t="s">
        <v>90</v>
      </c>
      <c r="C305" s="35">
        <v>138.94970999999998</v>
      </c>
      <c r="D305" s="34"/>
      <c r="E305" s="141">
        <v>106.68156675</v>
      </c>
      <c r="F305" s="141">
        <v>13.367195630000001</v>
      </c>
      <c r="G305" s="142">
        <v>1.29165328</v>
      </c>
      <c r="H305" s="35">
        <f t="shared" si="84"/>
        <v>121.34041566000001</v>
      </c>
      <c r="I305" s="31">
        <v>15.177638250000001</v>
      </c>
      <c r="J305" s="143">
        <v>17.348775750000001</v>
      </c>
      <c r="K305" s="140">
        <f t="shared" si="85"/>
        <v>32.526414000000003</v>
      </c>
      <c r="L305" s="38">
        <v>84.268491650000001</v>
      </c>
      <c r="M305" s="141"/>
      <c r="N305" s="35">
        <f t="shared" si="86"/>
        <v>116.79490565</v>
      </c>
      <c r="O305" s="35">
        <v>155.10847331999992</v>
      </c>
      <c r="P305" s="34"/>
      <c r="Q305" s="49">
        <f t="shared" si="87"/>
        <v>532.19350463000001</v>
      </c>
      <c r="R305" s="85"/>
      <c r="S305" s="71"/>
    </row>
    <row r="306" spans="2:19" ht="19.5" customHeight="1" x14ac:dyDescent="0.2">
      <c r="B306" s="65" t="s">
        <v>91</v>
      </c>
      <c r="C306" s="35">
        <v>150.07805399999998</v>
      </c>
      <c r="D306" s="34"/>
      <c r="E306" s="141">
        <v>53.823206570000004</v>
      </c>
      <c r="F306" s="141">
        <v>9.9785033599999995</v>
      </c>
      <c r="G306" s="142">
        <v>1.6247696500000002</v>
      </c>
      <c r="H306" s="35">
        <f t="shared" si="84"/>
        <v>65.426479580000006</v>
      </c>
      <c r="I306" s="31">
        <v>21.510036289999999</v>
      </c>
      <c r="J306" s="143">
        <v>10.224260009999998</v>
      </c>
      <c r="K306" s="140">
        <f t="shared" si="85"/>
        <v>31.734296299999997</v>
      </c>
      <c r="L306" s="38">
        <v>68.155047389999979</v>
      </c>
      <c r="M306" s="141"/>
      <c r="N306" s="35">
        <f t="shared" si="86"/>
        <v>99.889343689999976</v>
      </c>
      <c r="O306" s="35">
        <v>239.36573136000004</v>
      </c>
      <c r="P306" s="34"/>
      <c r="Q306" s="49">
        <f t="shared" si="87"/>
        <v>554.75960863</v>
      </c>
      <c r="R306" s="85"/>
      <c r="S306" s="71"/>
    </row>
    <row r="307" spans="2:19" ht="19.5" customHeight="1" x14ac:dyDescent="0.2">
      <c r="B307" s="65" t="s">
        <v>63</v>
      </c>
      <c r="C307" s="35">
        <v>332.51581278000003</v>
      </c>
      <c r="D307" s="34"/>
      <c r="E307" s="141">
        <v>145.02214677000001</v>
      </c>
      <c r="F307" s="141">
        <v>11.103385190000001</v>
      </c>
      <c r="G307" s="142">
        <v>0.60663462000000001</v>
      </c>
      <c r="H307" s="35">
        <f t="shared" si="84"/>
        <v>156.73216658000001</v>
      </c>
      <c r="I307" s="31">
        <v>21.830085910000001</v>
      </c>
      <c r="J307" s="143">
        <v>11.005384040000001</v>
      </c>
      <c r="K307" s="140">
        <f t="shared" si="85"/>
        <v>32.835469950000004</v>
      </c>
      <c r="L307" s="38">
        <v>107.07497753000001</v>
      </c>
      <c r="M307" s="141"/>
      <c r="N307" s="35">
        <f t="shared" si="86"/>
        <v>139.91044748000002</v>
      </c>
      <c r="O307" s="35">
        <v>588.84864810999966</v>
      </c>
      <c r="P307" s="34"/>
      <c r="Q307" s="49">
        <f t="shared" si="87"/>
        <v>1218.0070749499996</v>
      </c>
      <c r="R307" s="85"/>
      <c r="S307" s="71"/>
    </row>
    <row r="308" spans="2:19" ht="19.5" customHeight="1" x14ac:dyDescent="0.2">
      <c r="B308" s="65"/>
      <c r="C308" s="35"/>
      <c r="D308" s="34"/>
      <c r="E308" s="141"/>
      <c r="F308" s="141"/>
      <c r="G308" s="142"/>
      <c r="H308" s="35"/>
      <c r="I308" s="31"/>
      <c r="J308" s="143"/>
      <c r="K308" s="140"/>
      <c r="L308" s="38"/>
      <c r="M308" s="141"/>
      <c r="N308" s="35"/>
      <c r="O308" s="35"/>
      <c r="P308" s="34"/>
      <c r="Q308" s="49"/>
      <c r="R308" s="85"/>
      <c r="S308" s="71"/>
    </row>
    <row r="309" spans="2:19" ht="19.5" customHeight="1" x14ac:dyDescent="0.2">
      <c r="B309" s="64">
        <v>2015</v>
      </c>
      <c r="C309" s="35">
        <f t="shared" ref="C309:O309" si="88">SUM(C311:C323)</f>
        <v>2582.2804519699998</v>
      </c>
      <c r="D309" s="34">
        <f t="shared" si="88"/>
        <v>79.936865309999988</v>
      </c>
      <c r="E309" s="141">
        <f t="shared" si="88"/>
        <v>705.81088503000001</v>
      </c>
      <c r="F309" s="141">
        <f t="shared" si="88"/>
        <v>287.71447374999997</v>
      </c>
      <c r="G309" s="142">
        <f t="shared" si="88"/>
        <v>34.449405289999994</v>
      </c>
      <c r="H309" s="35">
        <f t="shared" si="88"/>
        <v>1107.9116293799998</v>
      </c>
      <c r="I309" s="31">
        <f t="shared" si="88"/>
        <v>283.07453092979449</v>
      </c>
      <c r="J309" s="143">
        <f t="shared" si="88"/>
        <v>150.71518979357717</v>
      </c>
      <c r="K309" s="140">
        <f t="shared" si="88"/>
        <v>433.78972072337172</v>
      </c>
      <c r="L309" s="38">
        <f t="shared" si="88"/>
        <v>1061.5877103400014</v>
      </c>
      <c r="M309" s="141">
        <f t="shared" si="88"/>
        <v>0</v>
      </c>
      <c r="N309" s="35">
        <f t="shared" si="88"/>
        <v>1495.3774310633726</v>
      </c>
      <c r="O309" s="35">
        <f t="shared" si="88"/>
        <v>3476.6361155999994</v>
      </c>
      <c r="P309" s="34">
        <f t="shared" ref="P309" si="89">SUM(P311:P313)</f>
        <v>0</v>
      </c>
      <c r="Q309" s="49">
        <f>SUM(Q311:Q323)</f>
        <v>8662.2056280133729</v>
      </c>
      <c r="R309" s="85"/>
      <c r="S309" s="71"/>
    </row>
    <row r="310" spans="2:19" ht="19.5" customHeight="1" x14ac:dyDescent="0.2">
      <c r="B310" s="64"/>
      <c r="C310" s="35"/>
      <c r="D310" s="34"/>
      <c r="E310" s="141"/>
      <c r="F310" s="141"/>
      <c r="G310" s="142"/>
      <c r="H310" s="35"/>
      <c r="I310" s="31"/>
      <c r="J310" s="143"/>
      <c r="K310" s="140"/>
      <c r="L310" s="38"/>
      <c r="M310" s="141"/>
      <c r="N310" s="35"/>
      <c r="O310" s="35"/>
      <c r="P310" s="34"/>
      <c r="Q310" s="49"/>
      <c r="R310" s="85"/>
      <c r="S310" s="71"/>
    </row>
    <row r="311" spans="2:19" ht="19.5" customHeight="1" x14ac:dyDescent="0.2">
      <c r="B311" s="65" t="s">
        <v>81</v>
      </c>
      <c r="C311" s="35">
        <v>18.854348000000002</v>
      </c>
      <c r="D311" s="34"/>
      <c r="E311" s="141">
        <v>1.0658342599999999</v>
      </c>
      <c r="F311" s="141">
        <v>32.002533979999995</v>
      </c>
      <c r="G311" s="142">
        <v>6.3346056300000004</v>
      </c>
      <c r="H311" s="35">
        <f t="shared" ref="H311:H322" si="90">+D311+E311+F311+G311</f>
        <v>39.402973869999997</v>
      </c>
      <c r="I311" s="31">
        <v>8.3078266200000002</v>
      </c>
      <c r="J311" s="143">
        <v>4.6989606199999994</v>
      </c>
      <c r="K311" s="140">
        <f t="shared" ref="K311:K322" si="91">+I311+J311</f>
        <v>13.00678724</v>
      </c>
      <c r="L311" s="38">
        <v>94.679866450000006</v>
      </c>
      <c r="M311" s="141"/>
      <c r="N311" s="35">
        <f t="shared" ref="N311:N322" si="92">+L311+K311</f>
        <v>107.68665369</v>
      </c>
      <c r="O311" s="35">
        <v>516.12931708999997</v>
      </c>
      <c r="P311" s="34"/>
      <c r="Q311" s="49">
        <f t="shared" ref="Q311:Q322" si="93">+O311+N311+H311+C311</f>
        <v>682.07329264999987</v>
      </c>
      <c r="R311" s="85"/>
      <c r="S311" s="71"/>
    </row>
    <row r="312" spans="2:19" ht="19.5" customHeight="1" x14ac:dyDescent="0.2">
      <c r="B312" s="65" t="s">
        <v>82</v>
      </c>
      <c r="C312" s="35">
        <v>14.447702</v>
      </c>
      <c r="D312" s="34"/>
      <c r="E312" s="141">
        <v>15.236951839999998</v>
      </c>
      <c r="F312" s="141">
        <v>22.199206939999996</v>
      </c>
      <c r="G312" s="142">
        <v>1.2168554199999999</v>
      </c>
      <c r="H312" s="35">
        <f t="shared" si="90"/>
        <v>38.653014199999994</v>
      </c>
      <c r="I312" s="31">
        <v>17.831112279999999</v>
      </c>
      <c r="J312" s="143">
        <v>19.567485530000003</v>
      </c>
      <c r="K312" s="140">
        <f t="shared" si="91"/>
        <v>37.398597809999998</v>
      </c>
      <c r="L312" s="38">
        <v>34.181571999999996</v>
      </c>
      <c r="M312" s="141"/>
      <c r="N312" s="35">
        <f t="shared" si="92"/>
        <v>71.580169810000001</v>
      </c>
      <c r="O312" s="35">
        <v>368.25759539999996</v>
      </c>
      <c r="P312" s="34"/>
      <c r="Q312" s="49">
        <f t="shared" si="93"/>
        <v>492.93848140999989</v>
      </c>
      <c r="R312" s="85"/>
      <c r="S312" s="71"/>
    </row>
    <row r="313" spans="2:19" ht="19.5" customHeight="1" x14ac:dyDescent="0.2">
      <c r="B313" s="65" t="s">
        <v>83</v>
      </c>
      <c r="C313" s="35">
        <v>47.507632000000015</v>
      </c>
      <c r="D313" s="34">
        <v>6.93E-2</v>
      </c>
      <c r="E313" s="141">
        <v>76.288335889999999</v>
      </c>
      <c r="F313" s="141">
        <v>10.95939957</v>
      </c>
      <c r="G313" s="142">
        <v>0.89914620000000001</v>
      </c>
      <c r="H313" s="35">
        <f t="shared" si="90"/>
        <v>88.216181660000004</v>
      </c>
      <c r="I313" s="31">
        <v>20.290755970000003</v>
      </c>
      <c r="J313" s="143">
        <v>8.7573079599999986</v>
      </c>
      <c r="K313" s="140">
        <f t="shared" si="91"/>
        <v>29.048063930000001</v>
      </c>
      <c r="L313" s="38">
        <v>91.649925920000001</v>
      </c>
      <c r="M313" s="141"/>
      <c r="N313" s="35">
        <f t="shared" si="92"/>
        <v>120.69798985</v>
      </c>
      <c r="O313" s="35">
        <v>482.6754880799989</v>
      </c>
      <c r="P313" s="34"/>
      <c r="Q313" s="49">
        <f t="shared" si="93"/>
        <v>739.09729158999892</v>
      </c>
      <c r="R313" s="85"/>
      <c r="S313" s="71"/>
    </row>
    <row r="314" spans="2:19" ht="19.5" customHeight="1" x14ac:dyDescent="0.2">
      <c r="B314" s="65" t="s">
        <v>84</v>
      </c>
      <c r="C314" s="35">
        <v>135.39321099999998</v>
      </c>
      <c r="D314" s="34"/>
      <c r="E314" s="141">
        <v>26.17534508</v>
      </c>
      <c r="F314" s="141">
        <v>10.255693219999998</v>
      </c>
      <c r="G314" s="142">
        <v>2.1439941999999999</v>
      </c>
      <c r="H314" s="35">
        <f t="shared" si="90"/>
        <v>38.575032499999999</v>
      </c>
      <c r="I314" s="31">
        <v>17.259912980000003</v>
      </c>
      <c r="J314" s="143">
        <v>17.957310679999999</v>
      </c>
      <c r="K314" s="140">
        <f t="shared" si="91"/>
        <v>35.217223660000002</v>
      </c>
      <c r="L314" s="38">
        <v>163.50478078</v>
      </c>
      <c r="M314" s="141"/>
      <c r="N314" s="35">
        <f t="shared" si="92"/>
        <v>198.72200444000001</v>
      </c>
      <c r="O314" s="35">
        <v>402.01833126000002</v>
      </c>
      <c r="P314" s="34"/>
      <c r="Q314" s="49">
        <f t="shared" si="93"/>
        <v>774.70857920000003</v>
      </c>
      <c r="R314" s="85"/>
      <c r="S314" s="71"/>
    </row>
    <row r="315" spans="2:19" ht="19.5" customHeight="1" x14ac:dyDescent="0.2">
      <c r="B315" s="65" t="s">
        <v>85</v>
      </c>
      <c r="C315" s="35">
        <v>48.040832999999992</v>
      </c>
      <c r="D315" s="34">
        <v>2.1499999999999998E-2</v>
      </c>
      <c r="E315" s="141">
        <v>62.478151480000001</v>
      </c>
      <c r="F315" s="141">
        <v>11.667813629999999</v>
      </c>
      <c r="G315" s="142">
        <v>1.51877124</v>
      </c>
      <c r="H315" s="35">
        <f t="shared" si="90"/>
        <v>75.686236350000016</v>
      </c>
      <c r="I315" s="31">
        <v>57.342285360000005</v>
      </c>
      <c r="J315" s="143">
        <v>11.613591239999998</v>
      </c>
      <c r="K315" s="140">
        <f t="shared" si="91"/>
        <v>68.955876600000011</v>
      </c>
      <c r="L315" s="38">
        <v>109.24249702</v>
      </c>
      <c r="M315" s="141"/>
      <c r="N315" s="35">
        <f t="shared" si="92"/>
        <v>178.19837362000001</v>
      </c>
      <c r="O315" s="35">
        <v>359.17783582000004</v>
      </c>
      <c r="P315" s="34"/>
      <c r="Q315" s="49">
        <f t="shared" si="93"/>
        <v>661.1032787900001</v>
      </c>
      <c r="R315" s="85"/>
      <c r="S315" s="71"/>
    </row>
    <row r="316" spans="2:19" ht="19.5" customHeight="1" x14ac:dyDescent="0.2">
      <c r="B316" s="65" t="s">
        <v>86</v>
      </c>
      <c r="C316" s="35">
        <f>11.51335+1</f>
        <v>12.513350000000001</v>
      </c>
      <c r="D316" s="34"/>
      <c r="E316" s="141">
        <v>94.834801249999998</v>
      </c>
      <c r="F316" s="141">
        <v>75.479854589999988</v>
      </c>
      <c r="G316" s="142">
        <v>2.9253464699999996</v>
      </c>
      <c r="H316" s="35">
        <f t="shared" si="90"/>
        <v>173.24000230999999</v>
      </c>
      <c r="I316" s="31">
        <v>33.896324826161639</v>
      </c>
      <c r="J316" s="143">
        <v>10.808303263838367</v>
      </c>
      <c r="K316" s="140">
        <f t="shared" si="91"/>
        <v>44.704628090000007</v>
      </c>
      <c r="L316" s="38">
        <v>85.848134770000001</v>
      </c>
      <c r="M316" s="141"/>
      <c r="N316" s="35">
        <f t="shared" si="92"/>
        <v>130.55276286</v>
      </c>
      <c r="O316" s="35">
        <v>424.49751545000026</v>
      </c>
      <c r="P316" s="34"/>
      <c r="Q316" s="49">
        <f t="shared" si="93"/>
        <v>740.80363062000026</v>
      </c>
      <c r="R316" s="85"/>
      <c r="S316" s="71"/>
    </row>
    <row r="317" spans="2:19" ht="19.5" customHeight="1" x14ac:dyDescent="0.2">
      <c r="B317" s="65" t="s">
        <v>87</v>
      </c>
      <c r="C317" s="35">
        <f>166.59234455+20</f>
        <v>186.59234455000001</v>
      </c>
      <c r="D317" s="34">
        <v>0.91230696</v>
      </c>
      <c r="E317" s="141">
        <v>93.094987410000002</v>
      </c>
      <c r="F317" s="141">
        <v>25.706029879999996</v>
      </c>
      <c r="G317" s="142">
        <v>2.2093860200000002</v>
      </c>
      <c r="H317" s="35">
        <f t="shared" si="90"/>
        <v>121.92271027</v>
      </c>
      <c r="I317" s="31">
        <v>8.8044274599999994</v>
      </c>
      <c r="J317" s="143">
        <v>5.7822563699999998</v>
      </c>
      <c r="K317" s="140">
        <f t="shared" si="91"/>
        <v>14.586683829999998</v>
      </c>
      <c r="L317" s="38">
        <v>52.222355700000008</v>
      </c>
      <c r="M317" s="141"/>
      <c r="N317" s="35">
        <f t="shared" si="92"/>
        <v>66.809039530000007</v>
      </c>
      <c r="O317" s="35">
        <v>167.60404396000018</v>
      </c>
      <c r="P317" s="34"/>
      <c r="Q317" s="49">
        <f t="shared" si="93"/>
        <v>542.92813831000012</v>
      </c>
      <c r="R317" s="85"/>
      <c r="S317" s="71"/>
    </row>
    <row r="318" spans="2:19" ht="19.5" customHeight="1" x14ac:dyDescent="0.2">
      <c r="B318" s="65" t="s">
        <v>88</v>
      </c>
      <c r="C318" s="35">
        <v>414.66796441999998</v>
      </c>
      <c r="D318" s="34">
        <v>78.933758349999991</v>
      </c>
      <c r="E318" s="141">
        <v>28.609302409999998</v>
      </c>
      <c r="F318" s="141">
        <v>17.485872990000001</v>
      </c>
      <c r="G318" s="142">
        <v>1.2846681099999999</v>
      </c>
      <c r="H318" s="35">
        <f t="shared" si="90"/>
        <v>126.31360185999999</v>
      </c>
      <c r="I318" s="31">
        <v>20.12028582558035</v>
      </c>
      <c r="J318" s="143">
        <v>19.290275664419653</v>
      </c>
      <c r="K318" s="140">
        <f t="shared" si="91"/>
        <v>39.410561490000006</v>
      </c>
      <c r="L318" s="38">
        <v>61.538325709999995</v>
      </c>
      <c r="M318" s="141"/>
      <c r="N318" s="35">
        <f t="shared" si="92"/>
        <v>100.9488872</v>
      </c>
      <c r="O318" s="35">
        <v>151.5535383400001</v>
      </c>
      <c r="P318" s="34"/>
      <c r="Q318" s="49">
        <f t="shared" si="93"/>
        <v>793.48399182000003</v>
      </c>
      <c r="R318" s="85"/>
      <c r="S318" s="71"/>
    </row>
    <row r="319" spans="2:19" ht="19.5" customHeight="1" x14ac:dyDescent="0.2">
      <c r="B319" s="65" t="s">
        <v>89</v>
      </c>
      <c r="C319" s="35">
        <v>309.04082</v>
      </c>
      <c r="D319" s="34"/>
      <c r="E319" s="141">
        <v>50.870688330000007</v>
      </c>
      <c r="F319" s="141">
        <v>15.939442579999998</v>
      </c>
      <c r="G319" s="142">
        <v>0.72967231999999993</v>
      </c>
      <c r="H319" s="35">
        <f t="shared" si="90"/>
        <v>67.539803230000004</v>
      </c>
      <c r="I319" s="31">
        <v>21.169421140190355</v>
      </c>
      <c r="J319" s="143">
        <v>9.7826623698096462</v>
      </c>
      <c r="K319" s="140">
        <f t="shared" si="91"/>
        <v>30.952083510000001</v>
      </c>
      <c r="L319" s="38">
        <v>88.630457320001355</v>
      </c>
      <c r="M319" s="141"/>
      <c r="N319" s="35">
        <f t="shared" si="92"/>
        <v>119.58254083000136</v>
      </c>
      <c r="O319" s="35">
        <v>130.57584751000007</v>
      </c>
      <c r="P319" s="34"/>
      <c r="Q319" s="49">
        <f t="shared" si="93"/>
        <v>626.73901157000137</v>
      </c>
      <c r="R319" s="85"/>
      <c r="S319" s="71"/>
    </row>
    <row r="320" spans="2:19" ht="19.5" customHeight="1" x14ac:dyDescent="0.2">
      <c r="B320" s="65" t="s">
        <v>90</v>
      </c>
      <c r="C320" s="35">
        <v>372.20984999999996</v>
      </c>
      <c r="D320" s="34"/>
      <c r="E320" s="141">
        <v>67.804140180000005</v>
      </c>
      <c r="F320" s="141">
        <v>24.168884150000007</v>
      </c>
      <c r="G320" s="142">
        <v>9.4811729399999987</v>
      </c>
      <c r="H320" s="35">
        <f t="shared" si="90"/>
        <v>101.45419727000001</v>
      </c>
      <c r="I320" s="31">
        <v>19.42336117</v>
      </c>
      <c r="J320" s="143">
        <v>18.93592756</v>
      </c>
      <c r="K320" s="140">
        <f t="shared" si="91"/>
        <v>38.359288730000003</v>
      </c>
      <c r="L320" s="38">
        <v>68.292205490000001</v>
      </c>
      <c r="M320" s="141"/>
      <c r="N320" s="35">
        <f t="shared" si="92"/>
        <v>106.65149422</v>
      </c>
      <c r="O320" s="35">
        <f>(616.32207399-469.11)+42.26213153-0.40099</f>
        <v>189.07321552000002</v>
      </c>
      <c r="P320" s="34"/>
      <c r="Q320" s="49">
        <f t="shared" si="93"/>
        <v>769.38875701000006</v>
      </c>
      <c r="R320" s="85"/>
      <c r="S320" s="71"/>
    </row>
    <row r="321" spans="1:19" ht="19.5" customHeight="1" x14ac:dyDescent="0.2">
      <c r="B321" s="65" t="s">
        <v>91</v>
      </c>
      <c r="C321" s="35">
        <v>326.13246400000003</v>
      </c>
      <c r="D321" s="34"/>
      <c r="E321" s="141">
        <v>105.51676996</v>
      </c>
      <c r="F321" s="141">
        <v>13.774676700000001</v>
      </c>
      <c r="G321" s="142">
        <v>0.64790475999999997</v>
      </c>
      <c r="H321" s="35">
        <f t="shared" si="90"/>
        <v>119.93935142000001</v>
      </c>
      <c r="I321" s="31">
        <v>24.134946440000004</v>
      </c>
      <c r="J321" s="143">
        <v>10.79514799</v>
      </c>
      <c r="K321" s="140">
        <f t="shared" si="91"/>
        <v>34.930094430000004</v>
      </c>
      <c r="L321" s="38">
        <v>113.71891434</v>
      </c>
      <c r="M321" s="141"/>
      <c r="N321" s="35">
        <f t="shared" si="92"/>
        <v>148.64900876999999</v>
      </c>
      <c r="O321" s="35">
        <v>141.93926605999999</v>
      </c>
      <c r="P321" s="34"/>
      <c r="Q321" s="49">
        <f t="shared" si="93"/>
        <v>736.66009025000005</v>
      </c>
      <c r="R321" s="85"/>
      <c r="S321" s="71"/>
    </row>
    <row r="322" spans="1:19" ht="19.5" customHeight="1" x14ac:dyDescent="0.2">
      <c r="B322" s="65" t="s">
        <v>63</v>
      </c>
      <c r="C322" s="35">
        <v>696.87993300000005</v>
      </c>
      <c r="D322" s="34"/>
      <c r="E322" s="141">
        <v>83.83557694000001</v>
      </c>
      <c r="F322" s="141">
        <v>28.075065519999999</v>
      </c>
      <c r="G322" s="142">
        <v>5.0578819799999994</v>
      </c>
      <c r="H322" s="35">
        <f t="shared" si="90"/>
        <v>116.96852444000001</v>
      </c>
      <c r="I322" s="31">
        <v>34.493870857862163</v>
      </c>
      <c r="J322" s="143">
        <v>12.725960545509505</v>
      </c>
      <c r="K322" s="140">
        <f t="shared" si="91"/>
        <v>47.219831403371671</v>
      </c>
      <c r="L322" s="38">
        <v>98.078674840000005</v>
      </c>
      <c r="M322" s="141"/>
      <c r="N322" s="35">
        <f t="shared" si="92"/>
        <v>145.29850624337166</v>
      </c>
      <c r="O322" s="35">
        <v>143.13412111</v>
      </c>
      <c r="P322" s="34"/>
      <c r="Q322" s="49">
        <f t="shared" si="93"/>
        <v>1102.2810847933717</v>
      </c>
      <c r="R322" s="85"/>
      <c r="S322" s="71"/>
    </row>
    <row r="323" spans="1:19" ht="5.25" customHeight="1" x14ac:dyDescent="0.2">
      <c r="B323" s="133"/>
      <c r="C323" s="134"/>
      <c r="D323" s="135"/>
      <c r="E323" s="144"/>
      <c r="F323" s="144"/>
      <c r="G323" s="145"/>
      <c r="H323" s="134"/>
      <c r="I323" s="136"/>
      <c r="J323" s="146"/>
      <c r="K323" s="137"/>
      <c r="L323" s="130"/>
      <c r="M323" s="144"/>
      <c r="N323" s="134"/>
      <c r="O323" s="134"/>
      <c r="P323" s="135"/>
      <c r="Q323" s="131"/>
      <c r="R323" s="132"/>
      <c r="S323" s="71"/>
    </row>
    <row r="324" spans="1:19" ht="17.100000000000001" customHeight="1" x14ac:dyDescent="0.2">
      <c r="B324" s="7" t="s">
        <v>100</v>
      </c>
      <c r="C324" s="5" t="s">
        <v>103</v>
      </c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 spans="1:19" ht="16.5" customHeight="1" x14ac:dyDescent="0.2">
      <c r="B325" s="7" t="s">
        <v>101</v>
      </c>
      <c r="C325" s="5" t="s">
        <v>104</v>
      </c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 spans="1:19" ht="6.75" hidden="1" customHeight="1" x14ac:dyDescent="0.2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 spans="1:19" ht="17.100000000000001" customHeight="1" x14ac:dyDescent="0.2">
      <c r="B327" s="7" t="s">
        <v>102</v>
      </c>
      <c r="C327" s="5" t="s">
        <v>109</v>
      </c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 spans="1:19" ht="17.100000000000001" customHeight="1" x14ac:dyDescent="0.2">
      <c r="C328" s="5" t="s">
        <v>110</v>
      </c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 spans="1:19" ht="17.100000000000001" customHeight="1" x14ac:dyDescent="0.2">
      <c r="C329" s="5" t="s">
        <v>111</v>
      </c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 spans="1:19" ht="17.100000000000001" hidden="1" customHeight="1" x14ac:dyDescent="0.2">
      <c r="A330" s="6"/>
      <c r="B330" s="5" t="s">
        <v>41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 spans="1:19" ht="17.100000000000001" hidden="1" customHeight="1" x14ac:dyDescent="0.2">
      <c r="A331" s="6"/>
      <c r="B331" s="5" t="s">
        <v>42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r="332" spans="1:19" ht="17.100000000000001" hidden="1" customHeight="1" x14ac:dyDescent="0.2">
      <c r="A332" s="6"/>
      <c r="B332" s="5" t="s">
        <v>43</v>
      </c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 spans="1:19" ht="17.100000000000001" hidden="1" customHeight="1" x14ac:dyDescent="0.2">
      <c r="A333" s="6"/>
      <c r="B333" s="5" t="s">
        <v>44</v>
      </c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r="334" spans="1:19" ht="0.75" hidden="1" customHeight="1" x14ac:dyDescent="0.2">
      <c r="A334" s="6"/>
      <c r="B334" s="5" t="s">
        <v>45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 spans="1:19" ht="16.5" hidden="1" customHeight="1" x14ac:dyDescent="0.2">
      <c r="B335" s="40"/>
      <c r="C335" s="7" t="s">
        <v>94</v>
      </c>
    </row>
    <row r="336" spans="1:19" ht="12.75" hidden="1" customHeight="1" x14ac:dyDescent="0.2">
      <c r="C336" s="7" t="s">
        <v>95</v>
      </c>
    </row>
    <row r="337" spans="3:18" ht="15" hidden="1" customHeight="1" x14ac:dyDescent="0.2">
      <c r="C337" s="5" t="s">
        <v>80</v>
      </c>
      <c r="O337" s="61"/>
      <c r="P337" s="61"/>
    </row>
    <row r="338" spans="3:18" ht="15" x14ac:dyDescent="0.2">
      <c r="C338" s="5" t="s">
        <v>112</v>
      </c>
      <c r="O338" s="61"/>
      <c r="Q338" s="91"/>
    </row>
    <row r="339" spans="3:18" ht="15" x14ac:dyDescent="0.2">
      <c r="O339" s="61"/>
      <c r="P339" s="61"/>
      <c r="Q339" s="61"/>
    </row>
    <row r="340" spans="3:18" ht="15" x14ac:dyDescent="0.2">
      <c r="Q340" s="61"/>
    </row>
    <row r="341" spans="3:18" ht="15" x14ac:dyDescent="0.2">
      <c r="G341" s="61"/>
      <c r="H341" s="61"/>
      <c r="I341" s="61"/>
      <c r="R341" s="7">
        <f>SUM(R337:R340)</f>
        <v>0</v>
      </c>
    </row>
  </sheetData>
  <mergeCells count="11">
    <mergeCell ref="P7:R10"/>
    <mergeCell ref="D9:H9"/>
    <mergeCell ref="B6:B12"/>
    <mergeCell ref="I9:N9"/>
    <mergeCell ref="D11:D12"/>
    <mergeCell ref="F11:F12"/>
    <mergeCell ref="L11:M12"/>
    <mergeCell ref="N11:N12"/>
    <mergeCell ref="I11:K11"/>
    <mergeCell ref="H11:H12"/>
    <mergeCell ref="C7:C11"/>
  </mergeCells>
  <phoneticPr fontId="0" type="noConversion"/>
  <printOptions horizontalCentered="1" verticalCentered="1"/>
  <pageMargins left="0.55118110236220474" right="0.59055118110236227" top="0.11811023622047245" bottom="0.6692913385826772" header="0.51181102362204722" footer="0.51181102362204722"/>
  <pageSetup scale="45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10" transitionEvaluation="1" codeName="Hoja2">
    <pageSetUpPr fitToPage="1"/>
  </sheetPr>
  <dimension ref="A1:Z120"/>
  <sheetViews>
    <sheetView showGridLines="0" showZeros="0" topLeftCell="A110" zoomScale="75" zoomScaleNormal="75" workbookViewId="0">
      <selection activeCell="E129" sqref="E129"/>
    </sheetView>
  </sheetViews>
  <sheetFormatPr baseColWidth="10" defaultColWidth="9.77734375" defaultRowHeight="12.75" x14ac:dyDescent="0.2"/>
  <cols>
    <col min="1" max="1" width="1.77734375" style="7" customWidth="1"/>
    <col min="2" max="2" width="11.6640625" style="7" customWidth="1"/>
    <col min="3" max="3" width="10.109375" style="7" customWidth="1"/>
    <col min="4" max="4" width="8.77734375" style="7" customWidth="1"/>
    <col min="5" max="5" width="11.6640625" style="7" customWidth="1"/>
    <col min="6" max="6" width="7.88671875" style="7" customWidth="1"/>
    <col min="7" max="7" width="16" style="7" customWidth="1"/>
    <col min="8" max="8" width="8.33203125" style="7" customWidth="1"/>
    <col min="9" max="9" width="9.77734375" style="7" customWidth="1"/>
    <col min="10" max="10" width="10.33203125" style="7" customWidth="1"/>
    <col min="11" max="11" width="8.33203125" style="7" customWidth="1"/>
    <col min="12" max="12" width="11" style="7" customWidth="1"/>
    <col min="13" max="13" width="2.77734375" style="7" customWidth="1"/>
    <col min="14" max="14" width="10.109375" style="7" customWidth="1"/>
    <col min="15" max="15" width="7.88671875" style="7" customWidth="1"/>
    <col min="16" max="16" width="1.77734375" style="7" customWidth="1"/>
    <col min="17" max="17" width="8.44140625" style="7" customWidth="1"/>
    <col min="18" max="18" width="1" style="7" customWidth="1"/>
    <col min="19" max="19" width="2.33203125" style="7" customWidth="1"/>
    <col min="20" max="24" width="0" style="7" hidden="1" customWidth="1"/>
    <col min="25" max="16384" width="9.77734375" style="7"/>
  </cols>
  <sheetData>
    <row r="1" spans="1:19" s="12" customFormat="1" ht="27.75" customHeight="1" x14ac:dyDescent="0.25">
      <c r="A1" s="9"/>
      <c r="B1" s="10"/>
      <c r="C1" s="11"/>
      <c r="D1" s="11"/>
    </row>
    <row r="2" spans="1:19" s="13" customFormat="1" ht="51" customHeight="1" x14ac:dyDescent="0.4">
      <c r="B2" s="14" t="s">
        <v>1</v>
      </c>
      <c r="C2" s="15"/>
      <c r="D2" s="15"/>
      <c r="E2" s="15"/>
      <c r="F2" s="16"/>
      <c r="G2" s="17"/>
      <c r="H2" s="17"/>
      <c r="I2" s="17"/>
      <c r="J2" s="17"/>
      <c r="K2" s="17"/>
      <c r="L2" s="17"/>
      <c r="M2" s="17"/>
      <c r="N2" s="15"/>
      <c r="O2" s="15"/>
      <c r="P2" s="15"/>
      <c r="Q2" s="15"/>
      <c r="R2" s="15"/>
    </row>
    <row r="3" spans="1:19" s="18" customFormat="1" ht="15" customHeight="1" x14ac:dyDescent="0.35">
      <c r="B3" s="8"/>
      <c r="C3" s="19"/>
      <c r="D3" s="19"/>
      <c r="E3" s="19"/>
      <c r="F3" s="19"/>
      <c r="G3" s="19"/>
      <c r="H3" s="20"/>
      <c r="I3" s="21"/>
      <c r="J3" s="21"/>
      <c r="K3" s="19"/>
      <c r="L3" s="19"/>
      <c r="M3" s="19"/>
      <c r="N3" s="19"/>
      <c r="O3" s="19"/>
      <c r="P3" s="19"/>
      <c r="Q3" s="19"/>
      <c r="R3" s="19"/>
    </row>
    <row r="4" spans="1:19" s="22" customFormat="1" ht="30" customHeight="1" thickBot="1" x14ac:dyDescent="0.25">
      <c r="B4" s="43"/>
      <c r="C4" s="23"/>
      <c r="D4" s="23"/>
      <c r="E4" s="23"/>
      <c r="F4" s="23"/>
      <c r="G4" s="23"/>
      <c r="H4" s="23"/>
      <c r="I4" s="23"/>
      <c r="J4" s="23"/>
      <c r="K4" s="23"/>
      <c r="L4" s="23"/>
      <c r="N4" s="25"/>
      <c r="O4" s="24" t="s">
        <v>62</v>
      </c>
      <c r="P4" s="26"/>
      <c r="Q4" s="26"/>
      <c r="R4" s="26"/>
    </row>
    <row r="5" spans="1:19" ht="8.25" customHeight="1" x14ac:dyDescent="0.2">
      <c r="B5" s="95"/>
      <c r="C5" s="96"/>
      <c r="D5" s="96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6"/>
      <c r="Q5" s="97"/>
      <c r="R5" s="98"/>
      <c r="S5" s="71"/>
    </row>
    <row r="6" spans="1:19" ht="15.95" customHeight="1" x14ac:dyDescent="0.25">
      <c r="B6" s="168" t="s">
        <v>75</v>
      </c>
      <c r="C6" s="51"/>
      <c r="D6" s="73" t="s">
        <v>47</v>
      </c>
      <c r="E6" s="74"/>
      <c r="F6" s="75"/>
      <c r="G6" s="74"/>
      <c r="H6" s="74"/>
      <c r="I6" s="74"/>
      <c r="J6" s="74"/>
      <c r="K6" s="74"/>
      <c r="L6" s="74"/>
      <c r="M6" s="74"/>
      <c r="N6" s="74"/>
      <c r="O6" s="74"/>
      <c r="P6" s="52"/>
      <c r="Q6" s="76"/>
      <c r="R6" s="77"/>
      <c r="S6" s="71"/>
    </row>
    <row r="7" spans="1:19" ht="15.95" customHeight="1" x14ac:dyDescent="0.25">
      <c r="B7" s="168"/>
      <c r="C7" s="51" t="s">
        <v>2</v>
      </c>
      <c r="D7" s="53" t="s">
        <v>4</v>
      </c>
      <c r="E7" s="78" t="s">
        <v>4</v>
      </c>
      <c r="F7" s="78" t="s">
        <v>4</v>
      </c>
      <c r="G7" s="78" t="s">
        <v>4</v>
      </c>
      <c r="H7" s="78" t="s">
        <v>4</v>
      </c>
      <c r="I7" s="78" t="s">
        <v>4</v>
      </c>
      <c r="J7" s="76"/>
      <c r="K7" s="76"/>
      <c r="L7" s="78" t="s">
        <v>4</v>
      </c>
      <c r="M7" s="78" t="s">
        <v>4</v>
      </c>
      <c r="N7" s="78" t="s">
        <v>4</v>
      </c>
      <c r="O7" s="78" t="s">
        <v>4</v>
      </c>
      <c r="P7" s="52"/>
      <c r="Q7" s="78" t="s">
        <v>4</v>
      </c>
      <c r="R7" s="77"/>
      <c r="S7" s="71"/>
    </row>
    <row r="8" spans="1:19" ht="1.5" customHeight="1" x14ac:dyDescent="0.25">
      <c r="B8" s="168"/>
      <c r="C8" s="52"/>
      <c r="D8" s="54"/>
      <c r="E8" s="55"/>
      <c r="F8" s="55"/>
      <c r="G8" s="55"/>
      <c r="H8" s="55"/>
      <c r="I8" s="54"/>
      <c r="J8" s="55"/>
      <c r="K8" s="55"/>
      <c r="L8" s="55"/>
      <c r="M8" s="55"/>
      <c r="N8" s="55"/>
      <c r="O8" s="54"/>
      <c r="P8" s="52"/>
      <c r="Q8" s="79"/>
      <c r="R8" s="80"/>
      <c r="S8" s="71"/>
    </row>
    <row r="9" spans="1:19" ht="15.95" customHeight="1" x14ac:dyDescent="0.25">
      <c r="B9" s="168"/>
      <c r="C9" s="56" t="s">
        <v>3</v>
      </c>
      <c r="D9" s="57" t="s">
        <v>46</v>
      </c>
      <c r="E9" s="81"/>
      <c r="F9" s="81"/>
      <c r="G9" s="81"/>
      <c r="H9" s="82" t="s">
        <v>4</v>
      </c>
      <c r="I9" s="150" t="s">
        <v>78</v>
      </c>
      <c r="J9" s="151"/>
      <c r="K9" s="151"/>
      <c r="L9" s="151"/>
      <c r="M9" s="151"/>
      <c r="N9" s="152"/>
      <c r="O9" s="59"/>
      <c r="P9" s="52"/>
      <c r="Q9" s="83" t="s">
        <v>5</v>
      </c>
      <c r="R9" s="80"/>
      <c r="S9" s="71"/>
    </row>
    <row r="10" spans="1:19" ht="15" customHeight="1" x14ac:dyDescent="0.25">
      <c r="B10" s="168"/>
      <c r="C10" s="56" t="s">
        <v>6</v>
      </c>
      <c r="D10" s="52"/>
      <c r="E10" s="79"/>
      <c r="F10" s="79"/>
      <c r="G10" s="79"/>
      <c r="H10" s="79"/>
      <c r="I10" s="52"/>
      <c r="J10" s="79"/>
      <c r="K10" s="79"/>
      <c r="L10" s="79"/>
      <c r="M10" s="79"/>
      <c r="N10" s="79"/>
      <c r="O10" s="56" t="s">
        <v>67</v>
      </c>
      <c r="P10" s="52"/>
      <c r="Q10" s="58" t="s">
        <v>7</v>
      </c>
      <c r="R10" s="80"/>
      <c r="S10" s="71"/>
    </row>
    <row r="11" spans="1:19" ht="18.75" customHeight="1" x14ac:dyDescent="0.25">
      <c r="B11" s="168"/>
      <c r="C11" s="52"/>
      <c r="D11" s="155" t="s">
        <v>64</v>
      </c>
      <c r="E11" s="60" t="s">
        <v>65</v>
      </c>
      <c r="F11" s="157" t="s">
        <v>67</v>
      </c>
      <c r="G11" s="60" t="s">
        <v>76</v>
      </c>
      <c r="H11" s="161" t="s">
        <v>71</v>
      </c>
      <c r="I11" s="163" t="s">
        <v>96</v>
      </c>
      <c r="J11" s="164"/>
      <c r="K11" s="165"/>
      <c r="L11" s="157" t="s">
        <v>70</v>
      </c>
      <c r="M11" s="159"/>
      <c r="N11" s="161" t="s">
        <v>5</v>
      </c>
      <c r="O11" s="92">
        <v>-3</v>
      </c>
      <c r="P11" s="52"/>
      <c r="Q11" s="58"/>
      <c r="R11" s="80"/>
      <c r="S11" s="71"/>
    </row>
    <row r="12" spans="1:19" ht="21" customHeight="1" x14ac:dyDescent="0.25">
      <c r="B12" s="169"/>
      <c r="C12" s="52"/>
      <c r="D12" s="170"/>
      <c r="E12" s="58" t="s">
        <v>66</v>
      </c>
      <c r="F12" s="171"/>
      <c r="G12" s="58" t="s">
        <v>77</v>
      </c>
      <c r="H12" s="174"/>
      <c r="I12" s="94" t="s">
        <v>68</v>
      </c>
      <c r="J12" s="60" t="s">
        <v>69</v>
      </c>
      <c r="K12" s="101" t="s">
        <v>71</v>
      </c>
      <c r="L12" s="172"/>
      <c r="M12" s="172"/>
      <c r="N12" s="173"/>
      <c r="O12" s="59"/>
      <c r="P12" s="52"/>
      <c r="Q12" s="79"/>
      <c r="R12" s="80"/>
      <c r="S12" s="71"/>
    </row>
    <row r="13" spans="1:19" ht="21" customHeight="1" x14ac:dyDescent="0.25">
      <c r="B13" s="104">
        <v>1980</v>
      </c>
      <c r="C13" s="105"/>
      <c r="D13" s="93"/>
      <c r="E13" s="60"/>
      <c r="F13" s="106"/>
      <c r="G13" s="60"/>
      <c r="H13" s="107"/>
      <c r="I13" s="94"/>
      <c r="J13" s="60"/>
      <c r="K13" s="101"/>
      <c r="L13" s="93"/>
      <c r="M13" s="93"/>
      <c r="N13" s="108"/>
      <c r="O13" s="109"/>
      <c r="P13" s="54"/>
      <c r="Q13" s="28">
        <v>1520.865</v>
      </c>
      <c r="R13" s="84"/>
      <c r="S13" s="71"/>
    </row>
    <row r="14" spans="1:19" ht="21" customHeight="1" x14ac:dyDescent="0.25">
      <c r="B14" s="110">
        <v>1981</v>
      </c>
      <c r="C14" s="111"/>
      <c r="D14" s="102"/>
      <c r="E14" s="58"/>
      <c r="F14" s="99"/>
      <c r="G14" s="58"/>
      <c r="H14" s="100"/>
      <c r="I14" s="56"/>
      <c r="J14" s="58"/>
      <c r="K14" s="51"/>
      <c r="L14" s="102"/>
      <c r="M14" s="102"/>
      <c r="N14" s="103"/>
      <c r="O14" s="59"/>
      <c r="P14" s="52"/>
      <c r="Q14" s="112">
        <v>1376.1</v>
      </c>
      <c r="R14" s="80"/>
      <c r="S14" s="71"/>
    </row>
    <row r="15" spans="1:19" ht="21" customHeight="1" x14ac:dyDescent="0.25">
      <c r="B15" s="110">
        <v>1982</v>
      </c>
      <c r="C15" s="111"/>
      <c r="D15" s="102"/>
      <c r="E15" s="58"/>
      <c r="F15" s="99"/>
      <c r="G15" s="58"/>
      <c r="H15" s="100"/>
      <c r="I15" s="56"/>
      <c r="J15" s="58"/>
      <c r="K15" s="51"/>
      <c r="L15" s="102"/>
      <c r="M15" s="102"/>
      <c r="N15" s="103"/>
      <c r="O15" s="59"/>
      <c r="P15" s="52"/>
      <c r="Q15" s="112">
        <v>543.07100000000003</v>
      </c>
      <c r="R15" s="80"/>
      <c r="S15" s="71"/>
    </row>
    <row r="16" spans="1:19" ht="20.25" customHeight="1" x14ac:dyDescent="0.2">
      <c r="B16" s="110">
        <v>1983</v>
      </c>
      <c r="C16" s="113">
        <v>105.6</v>
      </c>
      <c r="D16" s="86"/>
      <c r="E16" s="112"/>
      <c r="F16" s="112"/>
      <c r="G16" s="112"/>
      <c r="H16" s="35">
        <v>182.9</v>
      </c>
      <c r="I16" s="114"/>
      <c r="J16" s="112"/>
      <c r="K16" s="113">
        <v>353.3</v>
      </c>
      <c r="L16" s="112"/>
      <c r="M16" s="112"/>
      <c r="N16" s="113">
        <v>153.9</v>
      </c>
      <c r="O16" s="35">
        <v>77.400000000000006</v>
      </c>
      <c r="P16" s="114"/>
      <c r="Q16" s="112">
        <f t="shared" ref="Q16:Q22" si="0">+O16+N16+K16+H16+C16</f>
        <v>873.1</v>
      </c>
      <c r="R16" s="80"/>
      <c r="S16" s="71"/>
    </row>
    <row r="17" spans="1:19" ht="18.75" customHeight="1" x14ac:dyDescent="0.2">
      <c r="B17" s="110">
        <v>1984</v>
      </c>
      <c r="C17" s="113">
        <v>109</v>
      </c>
      <c r="D17" s="86"/>
      <c r="E17" s="112"/>
      <c r="F17" s="112"/>
      <c r="G17" s="112"/>
      <c r="H17" s="35">
        <v>150.4</v>
      </c>
      <c r="I17" s="114"/>
      <c r="J17" s="112"/>
      <c r="K17" s="113">
        <v>232.7</v>
      </c>
      <c r="L17" s="112"/>
      <c r="M17" s="112"/>
      <c r="N17" s="113">
        <v>170.2</v>
      </c>
      <c r="O17" s="31">
        <v>89.3</v>
      </c>
      <c r="P17" s="114"/>
      <c r="Q17" s="112">
        <f t="shared" si="0"/>
        <v>751.6</v>
      </c>
      <c r="R17" s="80"/>
      <c r="S17" s="71"/>
    </row>
    <row r="18" spans="1:19" ht="24.75" customHeight="1" x14ac:dyDescent="0.2">
      <c r="B18" s="110">
        <v>1985</v>
      </c>
      <c r="C18" s="113">
        <v>73.099999999999994</v>
      </c>
      <c r="D18" s="114"/>
      <c r="E18" s="112"/>
      <c r="F18" s="112"/>
      <c r="G18" s="112"/>
      <c r="H18" s="35">
        <v>154.30000000000001</v>
      </c>
      <c r="I18" s="114"/>
      <c r="J18" s="112"/>
      <c r="K18" s="113">
        <v>375.7</v>
      </c>
      <c r="L18" s="112"/>
      <c r="M18" s="112"/>
      <c r="N18" s="113">
        <v>138.5</v>
      </c>
      <c r="O18" s="31">
        <v>109.6</v>
      </c>
      <c r="P18" s="114"/>
      <c r="Q18" s="112">
        <f t="shared" si="0"/>
        <v>851.19999999999993</v>
      </c>
      <c r="R18" s="80"/>
      <c r="S18" s="71"/>
    </row>
    <row r="19" spans="1:19" ht="28.5" customHeight="1" x14ac:dyDescent="0.2">
      <c r="B19" s="110">
        <v>1986</v>
      </c>
      <c r="C19" s="113">
        <v>414.3</v>
      </c>
      <c r="D19" s="114"/>
      <c r="E19" s="112"/>
      <c r="F19" s="112"/>
      <c r="G19" s="112"/>
      <c r="H19" s="35">
        <v>77.3</v>
      </c>
      <c r="I19" s="114"/>
      <c r="J19" s="112"/>
      <c r="K19" s="113">
        <v>262.8</v>
      </c>
      <c r="L19" s="112"/>
      <c r="M19" s="112"/>
      <c r="N19" s="113">
        <v>131.19999999999999</v>
      </c>
      <c r="O19" s="31">
        <v>42.8</v>
      </c>
      <c r="P19" s="114"/>
      <c r="Q19" s="112">
        <f t="shared" si="0"/>
        <v>928.40000000000009</v>
      </c>
      <c r="R19" s="80"/>
      <c r="S19" s="71"/>
    </row>
    <row r="20" spans="1:19" ht="24.75" customHeight="1" x14ac:dyDescent="0.2">
      <c r="B20" s="110">
        <v>1987</v>
      </c>
      <c r="C20" s="113">
        <v>474.9</v>
      </c>
      <c r="D20" s="114"/>
      <c r="E20" s="112"/>
      <c r="F20" s="112"/>
      <c r="G20" s="112"/>
      <c r="H20" s="35">
        <v>59.9</v>
      </c>
      <c r="I20" s="114"/>
      <c r="J20" s="112"/>
      <c r="K20" s="113">
        <v>131.4</v>
      </c>
      <c r="L20" s="112"/>
      <c r="M20" s="112"/>
      <c r="N20" s="113">
        <v>112.6</v>
      </c>
      <c r="O20" s="31">
        <v>6.1</v>
      </c>
      <c r="P20" s="114"/>
      <c r="Q20" s="112">
        <f t="shared" si="0"/>
        <v>784.9</v>
      </c>
      <c r="R20" s="80"/>
      <c r="S20" s="71"/>
    </row>
    <row r="21" spans="1:19" ht="28.5" customHeight="1" x14ac:dyDescent="0.2">
      <c r="B21" s="110">
        <v>1988</v>
      </c>
      <c r="C21" s="113">
        <v>569.4</v>
      </c>
      <c r="D21" s="114"/>
      <c r="E21" s="112"/>
      <c r="F21" s="112"/>
      <c r="G21" s="112"/>
      <c r="H21" s="35">
        <v>53.9</v>
      </c>
      <c r="I21" s="114"/>
      <c r="J21" s="112"/>
      <c r="K21" s="113">
        <v>247.8</v>
      </c>
      <c r="L21" s="112"/>
      <c r="M21" s="112"/>
      <c r="N21" s="113">
        <v>131.80000000000001</v>
      </c>
      <c r="O21" s="31">
        <v>5.9</v>
      </c>
      <c r="P21" s="114"/>
      <c r="Q21" s="112">
        <f t="shared" si="0"/>
        <v>1008.8</v>
      </c>
      <c r="R21" s="80"/>
      <c r="S21" s="71"/>
    </row>
    <row r="22" spans="1:19" ht="22.5" customHeight="1" x14ac:dyDescent="0.2">
      <c r="B22" s="110">
        <v>1989</v>
      </c>
      <c r="C22" s="113">
        <v>682</v>
      </c>
      <c r="D22" s="114"/>
      <c r="E22" s="112"/>
      <c r="F22" s="112"/>
      <c r="G22" s="112"/>
      <c r="H22" s="35">
        <v>33.5</v>
      </c>
      <c r="I22" s="114"/>
      <c r="J22" s="112"/>
      <c r="K22" s="113">
        <v>231.2</v>
      </c>
      <c r="L22" s="112"/>
      <c r="M22" s="112"/>
      <c r="N22" s="113">
        <v>270.60000000000002</v>
      </c>
      <c r="O22" s="31">
        <v>170.4</v>
      </c>
      <c r="P22" s="114"/>
      <c r="Q22" s="112">
        <f t="shared" si="0"/>
        <v>1387.7</v>
      </c>
      <c r="R22" s="80"/>
      <c r="S22" s="71"/>
    </row>
    <row r="23" spans="1:19" ht="24.95" customHeight="1" x14ac:dyDescent="0.2">
      <c r="B23" s="115" t="s">
        <v>8</v>
      </c>
      <c r="C23" s="35">
        <v>923.9</v>
      </c>
      <c r="D23" s="31">
        <v>5.4</v>
      </c>
      <c r="E23" s="38">
        <v>25.5</v>
      </c>
      <c r="F23" s="38">
        <v>37.799999999999997</v>
      </c>
      <c r="G23" s="38">
        <v>0.1</v>
      </c>
      <c r="H23" s="35">
        <v>68.8</v>
      </c>
      <c r="I23" s="31">
        <v>213.4</v>
      </c>
      <c r="J23" s="38">
        <v>84.1</v>
      </c>
      <c r="K23" s="35">
        <v>297.5</v>
      </c>
      <c r="L23" s="38">
        <v>77.8</v>
      </c>
      <c r="M23" s="34"/>
      <c r="N23" s="35">
        <v>375.3</v>
      </c>
      <c r="O23" s="31">
        <v>524.4</v>
      </c>
      <c r="P23" s="32"/>
      <c r="Q23" s="38">
        <v>1892.4</v>
      </c>
      <c r="R23" s="85"/>
      <c r="S23" s="71"/>
    </row>
    <row r="24" spans="1:19" ht="24.95" customHeight="1" x14ac:dyDescent="0.2">
      <c r="B24" s="115" t="s">
        <v>9</v>
      </c>
      <c r="C24" s="35">
        <v>999.4</v>
      </c>
      <c r="D24" s="31">
        <v>5.9</v>
      </c>
      <c r="E24" s="38">
        <v>34.1</v>
      </c>
      <c r="F24" s="38">
        <v>13.9</v>
      </c>
      <c r="G24" s="38">
        <v>0</v>
      </c>
      <c r="H24" s="35">
        <v>53.9</v>
      </c>
      <c r="I24" s="31">
        <v>150.19999999999999</v>
      </c>
      <c r="J24" s="38">
        <v>99.7</v>
      </c>
      <c r="K24" s="35">
        <v>249.9</v>
      </c>
      <c r="L24" s="38">
        <v>118.5</v>
      </c>
      <c r="M24" s="34"/>
      <c r="N24" s="35">
        <v>368.4</v>
      </c>
      <c r="O24" s="31">
        <v>364.9</v>
      </c>
      <c r="P24" s="32"/>
      <c r="Q24" s="38">
        <v>1786.6</v>
      </c>
      <c r="R24" s="85"/>
      <c r="S24" s="71"/>
    </row>
    <row r="25" spans="1:19" ht="24.95" customHeight="1" x14ac:dyDescent="0.2">
      <c r="B25" s="115" t="s">
        <v>10</v>
      </c>
      <c r="C25" s="35">
        <v>807.9</v>
      </c>
      <c r="D25" s="31">
        <v>6.2</v>
      </c>
      <c r="E25" s="38">
        <v>42.1</v>
      </c>
      <c r="F25" s="38">
        <v>41.2</v>
      </c>
      <c r="G25" s="38">
        <v>16.8</v>
      </c>
      <c r="H25" s="35">
        <v>106.3</v>
      </c>
      <c r="I25" s="31">
        <v>113.2</v>
      </c>
      <c r="J25" s="38">
        <v>91.2</v>
      </c>
      <c r="K25" s="35">
        <v>204.4</v>
      </c>
      <c r="L25" s="38">
        <v>91.3</v>
      </c>
      <c r="M25" s="34"/>
      <c r="N25" s="35">
        <v>295.7</v>
      </c>
      <c r="O25" s="31">
        <v>224.2</v>
      </c>
      <c r="P25" s="32"/>
      <c r="Q25" s="38">
        <v>1434.1</v>
      </c>
      <c r="R25" s="85"/>
      <c r="S25" s="71"/>
    </row>
    <row r="26" spans="1:19" ht="21.95" customHeight="1" x14ac:dyDescent="0.2">
      <c r="B26" s="116" t="s">
        <v>11</v>
      </c>
      <c r="C26" s="35">
        <v>861.7</v>
      </c>
      <c r="D26" s="31">
        <v>4.8</v>
      </c>
      <c r="E26" s="38">
        <v>15.4</v>
      </c>
      <c r="F26" s="38">
        <v>11.5</v>
      </c>
      <c r="G26" s="38">
        <v>48.1</v>
      </c>
      <c r="H26" s="35">
        <v>79.8</v>
      </c>
      <c r="I26" s="31">
        <v>100.1</v>
      </c>
      <c r="J26" s="38">
        <v>111.9</v>
      </c>
      <c r="K26" s="35">
        <v>212</v>
      </c>
      <c r="L26" s="38">
        <v>32.700000000000003</v>
      </c>
      <c r="M26" s="34"/>
      <c r="N26" s="35">
        <v>244.7</v>
      </c>
      <c r="O26" s="31">
        <v>384.2</v>
      </c>
      <c r="P26" s="32"/>
      <c r="Q26" s="38">
        <v>1570.4</v>
      </c>
      <c r="R26" s="85"/>
      <c r="S26" s="71"/>
    </row>
    <row r="27" spans="1:19" ht="21.95" customHeight="1" x14ac:dyDescent="0.2">
      <c r="B27" s="116" t="s">
        <v>12</v>
      </c>
      <c r="C27" s="35">
        <v>1045.7</v>
      </c>
      <c r="D27" s="31">
        <v>4.5999999999999996</v>
      </c>
      <c r="E27" s="38">
        <v>6.4</v>
      </c>
      <c r="F27" s="38">
        <v>7.6</v>
      </c>
      <c r="G27" s="38">
        <v>39.700000000000003</v>
      </c>
      <c r="H27" s="35">
        <v>58.3</v>
      </c>
      <c r="I27" s="31">
        <v>118.2</v>
      </c>
      <c r="J27" s="38">
        <v>128.30000000000001</v>
      </c>
      <c r="K27" s="35">
        <v>246.5</v>
      </c>
      <c r="L27" s="38">
        <v>23.3</v>
      </c>
      <c r="M27" s="34"/>
      <c r="N27" s="35">
        <v>269.8</v>
      </c>
      <c r="O27" s="31">
        <v>234.2</v>
      </c>
      <c r="P27" s="32"/>
      <c r="Q27" s="38">
        <v>1608</v>
      </c>
      <c r="R27" s="85"/>
      <c r="S27" s="71"/>
    </row>
    <row r="28" spans="1:19" ht="21.95" customHeight="1" x14ac:dyDescent="0.2">
      <c r="B28" s="116" t="s">
        <v>13</v>
      </c>
      <c r="C28" s="35">
        <v>1449.6</v>
      </c>
      <c r="D28" s="31">
        <v>2.4</v>
      </c>
      <c r="E28" s="38">
        <v>3.9</v>
      </c>
      <c r="F28" s="38">
        <v>9.5</v>
      </c>
      <c r="G28" s="38">
        <v>61.7</v>
      </c>
      <c r="H28" s="35">
        <v>77.5</v>
      </c>
      <c r="I28" s="31">
        <v>115.3</v>
      </c>
      <c r="J28" s="38">
        <v>130.9</v>
      </c>
      <c r="K28" s="35">
        <v>246.2</v>
      </c>
      <c r="L28" s="38">
        <v>38.5</v>
      </c>
      <c r="M28" s="34"/>
      <c r="N28" s="35">
        <v>284.7</v>
      </c>
      <c r="O28" s="31">
        <v>445.54</v>
      </c>
      <c r="P28" s="32"/>
      <c r="Q28" s="38">
        <v>2257.34</v>
      </c>
      <c r="R28" s="85"/>
      <c r="S28" s="71"/>
    </row>
    <row r="29" spans="1:19" ht="21.95" customHeight="1" x14ac:dyDescent="0.2">
      <c r="B29" s="117"/>
      <c r="C29" s="68"/>
      <c r="D29" s="32"/>
      <c r="E29" s="34"/>
      <c r="F29" s="34"/>
      <c r="G29" s="34"/>
      <c r="H29" s="68"/>
      <c r="I29" s="32"/>
      <c r="J29" s="34"/>
      <c r="K29" s="68"/>
      <c r="L29" s="34"/>
      <c r="M29" s="34"/>
      <c r="N29" s="68"/>
      <c r="O29" s="32"/>
      <c r="P29" s="32"/>
      <c r="Q29" s="34"/>
      <c r="R29" s="85"/>
      <c r="S29" s="71"/>
    </row>
    <row r="30" spans="1:19" ht="21.95" customHeight="1" x14ac:dyDescent="0.2">
      <c r="A30" s="6"/>
      <c r="B30" s="116" t="s">
        <v>14</v>
      </c>
      <c r="C30" s="35">
        <v>142.30000000000001</v>
      </c>
      <c r="D30" s="31">
        <v>0</v>
      </c>
      <c r="E30" s="38">
        <v>0.4</v>
      </c>
      <c r="F30" s="38">
        <v>0.5</v>
      </c>
      <c r="G30" s="38">
        <v>3.5</v>
      </c>
      <c r="H30" s="69">
        <v>4.4000000000000004</v>
      </c>
      <c r="I30" s="31">
        <v>10.8</v>
      </c>
      <c r="J30" s="38">
        <v>11</v>
      </c>
      <c r="K30" s="69">
        <v>21.8</v>
      </c>
      <c r="L30" s="38">
        <v>2.8</v>
      </c>
      <c r="M30" s="34"/>
      <c r="N30" s="69">
        <v>24.6</v>
      </c>
      <c r="O30" s="31">
        <v>26.28</v>
      </c>
      <c r="P30" s="32"/>
      <c r="Q30" s="49">
        <v>197.58</v>
      </c>
      <c r="R30" s="85"/>
      <c r="S30" s="71"/>
    </row>
    <row r="31" spans="1:19" ht="21.95" customHeight="1" x14ac:dyDescent="0.2">
      <c r="A31" s="6"/>
      <c r="B31" s="116" t="s">
        <v>15</v>
      </c>
      <c r="C31" s="35">
        <v>140.19999999999999</v>
      </c>
      <c r="D31" s="31">
        <v>0</v>
      </c>
      <c r="E31" s="38">
        <v>0.3</v>
      </c>
      <c r="F31" s="38">
        <v>0</v>
      </c>
      <c r="G31" s="38">
        <v>6.3</v>
      </c>
      <c r="H31" s="69">
        <v>6.6</v>
      </c>
      <c r="I31" s="31">
        <v>8.1</v>
      </c>
      <c r="J31" s="38">
        <v>7.6</v>
      </c>
      <c r="K31" s="69">
        <v>15.7</v>
      </c>
      <c r="L31" s="38">
        <v>1.8</v>
      </c>
      <c r="M31" s="34"/>
      <c r="N31" s="69">
        <v>17.5</v>
      </c>
      <c r="O31" s="31">
        <v>17.600000000000001</v>
      </c>
      <c r="P31" s="32"/>
      <c r="Q31" s="49">
        <v>181.9</v>
      </c>
      <c r="R31" s="85"/>
      <c r="S31" s="71"/>
    </row>
    <row r="32" spans="1:19" ht="21.95" customHeight="1" x14ac:dyDescent="0.2">
      <c r="A32" s="6"/>
      <c r="B32" s="116" t="s">
        <v>16</v>
      </c>
      <c r="C32" s="35">
        <v>114.5</v>
      </c>
      <c r="D32" s="31">
        <v>0.5</v>
      </c>
      <c r="E32" s="38">
        <v>0.2</v>
      </c>
      <c r="F32" s="38">
        <v>0.2</v>
      </c>
      <c r="G32" s="38">
        <v>2.4</v>
      </c>
      <c r="H32" s="69">
        <v>3.3</v>
      </c>
      <c r="I32" s="31">
        <v>12</v>
      </c>
      <c r="J32" s="38">
        <v>17.7</v>
      </c>
      <c r="K32" s="69">
        <v>29.7</v>
      </c>
      <c r="L32" s="38">
        <v>2.4</v>
      </c>
      <c r="M32" s="34"/>
      <c r="N32" s="69">
        <v>32.1</v>
      </c>
      <c r="O32" s="31">
        <v>44.3</v>
      </c>
      <c r="P32" s="32"/>
      <c r="Q32" s="49">
        <v>194.2</v>
      </c>
      <c r="R32" s="85"/>
      <c r="S32" s="71"/>
    </row>
    <row r="33" spans="1:19" ht="21.95" customHeight="1" x14ac:dyDescent="0.2">
      <c r="A33" s="6"/>
      <c r="B33" s="116" t="s">
        <v>17</v>
      </c>
      <c r="C33" s="35">
        <v>108.2</v>
      </c>
      <c r="D33" s="31">
        <v>0.1</v>
      </c>
      <c r="E33" s="38">
        <v>0</v>
      </c>
      <c r="F33" s="38">
        <v>1.5</v>
      </c>
      <c r="G33" s="38">
        <v>6.7</v>
      </c>
      <c r="H33" s="69">
        <v>8.3000000000000007</v>
      </c>
      <c r="I33" s="31">
        <v>11.7</v>
      </c>
      <c r="J33" s="38">
        <v>10.3</v>
      </c>
      <c r="K33" s="69">
        <v>22</v>
      </c>
      <c r="L33" s="38">
        <v>3.2</v>
      </c>
      <c r="M33" s="34"/>
      <c r="N33" s="69">
        <v>25.2</v>
      </c>
      <c r="O33" s="31">
        <v>113</v>
      </c>
      <c r="P33" s="32"/>
      <c r="Q33" s="49">
        <v>254.7</v>
      </c>
      <c r="R33" s="85"/>
      <c r="S33" s="71"/>
    </row>
    <row r="34" spans="1:19" ht="21.95" customHeight="1" x14ac:dyDescent="0.2">
      <c r="A34" s="6"/>
      <c r="B34" s="116" t="s">
        <v>18</v>
      </c>
      <c r="C34" s="35">
        <v>109.4</v>
      </c>
      <c r="D34" s="31">
        <v>0.1</v>
      </c>
      <c r="E34" s="38">
        <v>0</v>
      </c>
      <c r="F34" s="38">
        <v>0.5</v>
      </c>
      <c r="G34" s="38">
        <v>3</v>
      </c>
      <c r="H34" s="69">
        <v>3.6</v>
      </c>
      <c r="I34" s="31">
        <v>8.5</v>
      </c>
      <c r="J34" s="38">
        <v>12.7</v>
      </c>
      <c r="K34" s="69">
        <v>21.2</v>
      </c>
      <c r="L34" s="38">
        <v>3.1</v>
      </c>
      <c r="M34" s="34"/>
      <c r="N34" s="69">
        <v>24.3</v>
      </c>
      <c r="O34" s="31">
        <v>10.68</v>
      </c>
      <c r="P34" s="32"/>
      <c r="Q34" s="49">
        <v>147.97999999999999</v>
      </c>
      <c r="R34" s="85"/>
      <c r="S34" s="71"/>
    </row>
    <row r="35" spans="1:19" ht="21.95" customHeight="1" x14ac:dyDescent="0.2">
      <c r="A35" s="6"/>
      <c r="B35" s="116" t="s">
        <v>19</v>
      </c>
      <c r="C35" s="35">
        <v>88.3</v>
      </c>
      <c r="D35" s="31">
        <v>0.6</v>
      </c>
      <c r="E35" s="38">
        <v>0.3</v>
      </c>
      <c r="F35" s="38">
        <v>2.1</v>
      </c>
      <c r="G35" s="38">
        <v>5</v>
      </c>
      <c r="H35" s="69">
        <v>8</v>
      </c>
      <c r="I35" s="31">
        <v>8.4</v>
      </c>
      <c r="J35" s="38">
        <v>7.7</v>
      </c>
      <c r="K35" s="69">
        <v>16.100000000000001</v>
      </c>
      <c r="L35" s="38">
        <v>6.7</v>
      </c>
      <c r="M35" s="34"/>
      <c r="N35" s="69">
        <v>22.8</v>
      </c>
      <c r="O35" s="31">
        <v>47.4</v>
      </c>
      <c r="P35" s="32"/>
      <c r="Q35" s="49">
        <v>166.5</v>
      </c>
      <c r="R35" s="85"/>
      <c r="S35" s="71"/>
    </row>
    <row r="36" spans="1:19" ht="21.95" customHeight="1" x14ac:dyDescent="0.2">
      <c r="A36" s="6"/>
      <c r="B36" s="116" t="s">
        <v>20</v>
      </c>
      <c r="C36" s="35">
        <v>122.6</v>
      </c>
      <c r="D36" s="31">
        <v>0.2</v>
      </c>
      <c r="E36" s="38">
        <v>0</v>
      </c>
      <c r="F36" s="38">
        <v>0.6</v>
      </c>
      <c r="G36" s="38">
        <v>6.4</v>
      </c>
      <c r="H36" s="69">
        <v>7.2</v>
      </c>
      <c r="I36" s="31">
        <v>11.6</v>
      </c>
      <c r="J36" s="38">
        <v>12.4</v>
      </c>
      <c r="K36" s="69">
        <v>24</v>
      </c>
      <c r="L36" s="38">
        <v>5.2</v>
      </c>
      <c r="M36" s="34"/>
      <c r="N36" s="69">
        <v>29.2</v>
      </c>
      <c r="O36" s="31">
        <v>5.7</v>
      </c>
      <c r="P36" s="32"/>
      <c r="Q36" s="49">
        <v>164.7</v>
      </c>
      <c r="R36" s="85"/>
      <c r="S36" s="71"/>
    </row>
    <row r="37" spans="1:19" ht="21.95" customHeight="1" x14ac:dyDescent="0.2">
      <c r="A37" s="6"/>
      <c r="B37" s="116" t="s">
        <v>21</v>
      </c>
      <c r="C37" s="35">
        <v>192.4</v>
      </c>
      <c r="D37" s="31">
        <v>0.2</v>
      </c>
      <c r="E37" s="38">
        <v>0.5</v>
      </c>
      <c r="F37" s="38">
        <v>0.9</v>
      </c>
      <c r="G37" s="38">
        <v>6.5</v>
      </c>
      <c r="H37" s="69">
        <v>8.1</v>
      </c>
      <c r="I37" s="31">
        <v>9.3000000000000007</v>
      </c>
      <c r="J37" s="38">
        <v>8.4</v>
      </c>
      <c r="K37" s="69">
        <v>17.7</v>
      </c>
      <c r="L37" s="38">
        <v>2</v>
      </c>
      <c r="M37" s="34"/>
      <c r="N37" s="69">
        <v>19.7</v>
      </c>
      <c r="O37" s="31">
        <v>38.6</v>
      </c>
      <c r="P37" s="32"/>
      <c r="Q37" s="49">
        <v>258.8</v>
      </c>
      <c r="R37" s="85"/>
      <c r="S37" s="71"/>
    </row>
    <row r="38" spans="1:19" ht="21.95" customHeight="1" x14ac:dyDescent="0.2">
      <c r="A38" s="6"/>
      <c r="B38" s="116" t="s">
        <v>22</v>
      </c>
      <c r="C38" s="35">
        <v>107.7</v>
      </c>
      <c r="D38" s="31">
        <v>0.2</v>
      </c>
      <c r="E38" s="38">
        <v>0.7</v>
      </c>
      <c r="F38" s="38">
        <v>0.5</v>
      </c>
      <c r="G38" s="38">
        <v>3.7</v>
      </c>
      <c r="H38" s="69">
        <v>5.0999999999999996</v>
      </c>
      <c r="I38" s="31">
        <v>10.9</v>
      </c>
      <c r="J38" s="38">
        <v>16.7</v>
      </c>
      <c r="K38" s="69">
        <v>27.6</v>
      </c>
      <c r="L38" s="38">
        <v>3.6</v>
      </c>
      <c r="M38" s="34"/>
      <c r="N38" s="69">
        <v>31.2</v>
      </c>
      <c r="O38" s="31">
        <v>34.799999999999997</v>
      </c>
      <c r="P38" s="32"/>
      <c r="Q38" s="49">
        <v>178.8</v>
      </c>
      <c r="R38" s="85"/>
      <c r="S38" s="71"/>
    </row>
    <row r="39" spans="1:19" ht="21.95" customHeight="1" x14ac:dyDescent="0.2">
      <c r="A39" s="6"/>
      <c r="B39" s="116" t="s">
        <v>23</v>
      </c>
      <c r="C39" s="35">
        <v>116.5</v>
      </c>
      <c r="D39" s="31">
        <v>0.1</v>
      </c>
      <c r="E39" s="38">
        <v>0.3</v>
      </c>
      <c r="F39" s="38">
        <v>0.3</v>
      </c>
      <c r="G39" s="38">
        <v>5.3</v>
      </c>
      <c r="H39" s="69">
        <v>6</v>
      </c>
      <c r="I39" s="31">
        <v>8.9</v>
      </c>
      <c r="J39" s="38">
        <v>7.9</v>
      </c>
      <c r="K39" s="69">
        <v>16.8</v>
      </c>
      <c r="L39" s="38">
        <v>3.1</v>
      </c>
      <c r="M39" s="34"/>
      <c r="N39" s="69">
        <v>19.899999999999999</v>
      </c>
      <c r="O39" s="31">
        <v>41.38</v>
      </c>
      <c r="P39" s="32"/>
      <c r="Q39" s="49">
        <v>183.78</v>
      </c>
      <c r="R39" s="85"/>
      <c r="S39" s="71"/>
    </row>
    <row r="40" spans="1:19" ht="21.95" customHeight="1" x14ac:dyDescent="0.2">
      <c r="A40" s="6"/>
      <c r="B40" s="116" t="s">
        <v>24</v>
      </c>
      <c r="C40" s="35">
        <v>85.6</v>
      </c>
      <c r="D40" s="31">
        <v>0.1</v>
      </c>
      <c r="E40" s="38">
        <v>1</v>
      </c>
      <c r="F40" s="38">
        <v>2.4</v>
      </c>
      <c r="G40" s="38">
        <v>8</v>
      </c>
      <c r="H40" s="69">
        <v>11.5</v>
      </c>
      <c r="I40" s="31">
        <v>5.9</v>
      </c>
      <c r="J40" s="38">
        <v>8.4</v>
      </c>
      <c r="K40" s="69">
        <v>14.3</v>
      </c>
      <c r="L40" s="38">
        <v>2.5</v>
      </c>
      <c r="M40" s="34"/>
      <c r="N40" s="69">
        <v>16.8</v>
      </c>
      <c r="O40" s="31">
        <v>34.200000000000003</v>
      </c>
      <c r="P40" s="32"/>
      <c r="Q40" s="49">
        <v>148.1</v>
      </c>
      <c r="R40" s="85"/>
      <c r="S40" s="71"/>
    </row>
    <row r="41" spans="1:19" ht="21.95" customHeight="1" x14ac:dyDescent="0.2">
      <c r="A41" s="6"/>
      <c r="B41" s="116" t="s">
        <v>25</v>
      </c>
      <c r="C41" s="35">
        <v>121.9</v>
      </c>
      <c r="D41" s="31">
        <v>0.3</v>
      </c>
      <c r="E41" s="38">
        <v>0.2</v>
      </c>
      <c r="F41" s="38">
        <v>0</v>
      </c>
      <c r="G41" s="38">
        <v>4.9000000000000004</v>
      </c>
      <c r="H41" s="69">
        <v>5.4</v>
      </c>
      <c r="I41" s="31">
        <v>9.1999999999999993</v>
      </c>
      <c r="J41" s="38">
        <v>10.1</v>
      </c>
      <c r="K41" s="69">
        <v>19.3</v>
      </c>
      <c r="L41" s="38">
        <v>2.1</v>
      </c>
      <c r="M41" s="34"/>
      <c r="N41" s="69">
        <v>21.4</v>
      </c>
      <c r="O41" s="31">
        <v>31.6</v>
      </c>
      <c r="P41" s="32"/>
      <c r="Q41" s="49">
        <v>180.3</v>
      </c>
      <c r="R41" s="85"/>
      <c r="S41" s="71"/>
    </row>
    <row r="42" spans="1:19" ht="21.95" customHeight="1" x14ac:dyDescent="0.2">
      <c r="B42" s="117"/>
      <c r="C42" s="68"/>
      <c r="D42" s="32"/>
      <c r="E42" s="34"/>
      <c r="F42" s="34"/>
      <c r="G42" s="34"/>
      <c r="H42" s="68"/>
      <c r="I42" s="32"/>
      <c r="J42" s="34"/>
      <c r="K42" s="68"/>
      <c r="L42" s="34"/>
      <c r="M42" s="34"/>
      <c r="N42" s="68"/>
      <c r="O42" s="32"/>
      <c r="P42" s="32"/>
      <c r="Q42" s="34"/>
      <c r="R42" s="85"/>
      <c r="S42" s="71"/>
    </row>
    <row r="43" spans="1:19" ht="21.95" customHeight="1" x14ac:dyDescent="0.2">
      <c r="B43" s="116" t="s">
        <v>26</v>
      </c>
      <c r="C43" s="35">
        <v>2226.8000000000002</v>
      </c>
      <c r="D43" s="31">
        <v>2.1</v>
      </c>
      <c r="E43" s="38">
        <v>7.22</v>
      </c>
      <c r="F43" s="38">
        <v>3.2</v>
      </c>
      <c r="G43" s="38">
        <v>46.4</v>
      </c>
      <c r="H43" s="35">
        <v>58.92</v>
      </c>
      <c r="I43" s="31">
        <v>115.52</v>
      </c>
      <c r="J43" s="38">
        <v>121.3</v>
      </c>
      <c r="K43" s="35">
        <v>236.82</v>
      </c>
      <c r="L43" s="38">
        <v>37.22</v>
      </c>
      <c r="M43" s="34"/>
      <c r="N43" s="35">
        <v>274.04000000000002</v>
      </c>
      <c r="O43" s="31">
        <v>902</v>
      </c>
      <c r="P43" s="32"/>
      <c r="Q43" s="38">
        <v>3461.76</v>
      </c>
      <c r="R43" s="85"/>
      <c r="S43" s="71"/>
    </row>
    <row r="44" spans="1:19" ht="24.95" customHeight="1" x14ac:dyDescent="0.2">
      <c r="B44" s="118"/>
      <c r="C44" s="68"/>
      <c r="D44" s="32"/>
      <c r="E44" s="34"/>
      <c r="F44" s="34"/>
      <c r="G44" s="34"/>
      <c r="H44" s="68"/>
      <c r="I44" s="32"/>
      <c r="J44" s="34"/>
      <c r="K44" s="68"/>
      <c r="L44" s="34"/>
      <c r="M44" s="34"/>
      <c r="N44" s="68"/>
      <c r="O44" s="32"/>
      <c r="P44" s="32"/>
      <c r="Q44" s="34"/>
      <c r="R44" s="85"/>
      <c r="S44" s="71"/>
    </row>
    <row r="45" spans="1:19" ht="24.95" customHeight="1" x14ac:dyDescent="0.2">
      <c r="B45" s="119" t="s">
        <v>27</v>
      </c>
      <c r="C45" s="35">
        <v>132.19999999999999</v>
      </c>
      <c r="D45" s="31">
        <v>0.1</v>
      </c>
      <c r="E45" s="38">
        <v>0.8</v>
      </c>
      <c r="F45" s="38">
        <v>0</v>
      </c>
      <c r="G45" s="38">
        <v>4.4000000000000004</v>
      </c>
      <c r="H45" s="69">
        <v>5.3</v>
      </c>
      <c r="I45" s="31">
        <v>11.1</v>
      </c>
      <c r="J45" s="38">
        <v>9.6</v>
      </c>
      <c r="K45" s="69">
        <v>20.7</v>
      </c>
      <c r="L45" s="38">
        <v>1.5</v>
      </c>
      <c r="M45" s="34"/>
      <c r="N45" s="69">
        <v>22.2</v>
      </c>
      <c r="O45" s="31">
        <v>17.600000000000001</v>
      </c>
      <c r="P45" s="32"/>
      <c r="Q45" s="49">
        <v>177.3</v>
      </c>
      <c r="R45" s="85"/>
      <c r="S45" s="71"/>
    </row>
    <row r="46" spans="1:19" ht="24.95" customHeight="1" x14ac:dyDescent="0.2">
      <c r="B46" s="119" t="s">
        <v>28</v>
      </c>
      <c r="C46" s="35">
        <v>178.9</v>
      </c>
      <c r="D46" s="31">
        <v>0.3</v>
      </c>
      <c r="E46" s="38">
        <v>0.7</v>
      </c>
      <c r="F46" s="38">
        <v>0.2</v>
      </c>
      <c r="G46" s="38">
        <v>3.2</v>
      </c>
      <c r="H46" s="69">
        <v>4.4000000000000004</v>
      </c>
      <c r="I46" s="31">
        <v>9.3000000000000007</v>
      </c>
      <c r="J46" s="38">
        <v>6.6</v>
      </c>
      <c r="K46" s="69">
        <v>15.9</v>
      </c>
      <c r="L46" s="38">
        <v>2</v>
      </c>
      <c r="M46" s="34"/>
      <c r="N46" s="69">
        <v>17.899999999999999</v>
      </c>
      <c r="O46" s="31">
        <v>42.6</v>
      </c>
      <c r="P46" s="32"/>
      <c r="Q46" s="49">
        <v>243.8</v>
      </c>
      <c r="R46" s="85"/>
      <c r="S46" s="71"/>
    </row>
    <row r="47" spans="1:19" ht="24.95" customHeight="1" x14ac:dyDescent="0.2">
      <c r="B47" s="119" t="s">
        <v>29</v>
      </c>
      <c r="C47" s="35">
        <v>212.5</v>
      </c>
      <c r="D47" s="31">
        <v>0.1</v>
      </c>
      <c r="E47" s="38">
        <v>0.3</v>
      </c>
      <c r="F47" s="38">
        <v>0</v>
      </c>
      <c r="G47" s="38">
        <v>4.9000000000000004</v>
      </c>
      <c r="H47" s="69">
        <v>5.3</v>
      </c>
      <c r="I47" s="31">
        <v>18.399999999999999</v>
      </c>
      <c r="J47" s="38">
        <v>20</v>
      </c>
      <c r="K47" s="69">
        <v>38.4</v>
      </c>
      <c r="L47" s="38">
        <v>3.5</v>
      </c>
      <c r="M47" s="34"/>
      <c r="N47" s="69">
        <v>41.9</v>
      </c>
      <c r="O47" s="31">
        <v>36.5</v>
      </c>
      <c r="P47" s="32"/>
      <c r="Q47" s="49">
        <v>296.2</v>
      </c>
      <c r="R47" s="85"/>
      <c r="S47" s="71"/>
    </row>
    <row r="48" spans="1:19" ht="24.95" customHeight="1" x14ac:dyDescent="0.2">
      <c r="B48" s="119" t="s">
        <v>30</v>
      </c>
      <c r="C48" s="35">
        <v>212.8</v>
      </c>
      <c r="D48" s="31">
        <v>0.3</v>
      </c>
      <c r="E48" s="38">
        <v>0.5</v>
      </c>
      <c r="F48" s="38">
        <v>0</v>
      </c>
      <c r="G48" s="38">
        <v>2.9</v>
      </c>
      <c r="H48" s="69">
        <v>3.7</v>
      </c>
      <c r="I48" s="31">
        <v>8.3000000000000007</v>
      </c>
      <c r="J48" s="38">
        <v>7.8</v>
      </c>
      <c r="K48" s="69">
        <v>16.100000000000001</v>
      </c>
      <c r="L48" s="38">
        <v>2.5</v>
      </c>
      <c r="M48" s="34"/>
      <c r="N48" s="69">
        <v>18.600000000000001</v>
      </c>
      <c r="O48" s="31">
        <v>42.3</v>
      </c>
      <c r="P48" s="32"/>
      <c r="Q48" s="49">
        <v>277.39999999999998</v>
      </c>
      <c r="R48" s="85"/>
      <c r="S48" s="71"/>
    </row>
    <row r="49" spans="2:20" ht="24.95" customHeight="1" x14ac:dyDescent="0.2">
      <c r="B49" s="119" t="s">
        <v>31</v>
      </c>
      <c r="C49" s="35">
        <v>151.4</v>
      </c>
      <c r="D49" s="31">
        <v>0</v>
      </c>
      <c r="E49" s="38">
        <v>0.6</v>
      </c>
      <c r="F49" s="38">
        <v>0</v>
      </c>
      <c r="G49" s="38">
        <v>3.5</v>
      </c>
      <c r="H49" s="69">
        <v>4.0999999999999996</v>
      </c>
      <c r="I49" s="31">
        <v>11.4</v>
      </c>
      <c r="J49" s="38">
        <v>13.3</v>
      </c>
      <c r="K49" s="69">
        <v>24.7</v>
      </c>
      <c r="L49" s="38">
        <v>2.7</v>
      </c>
      <c r="M49" s="34"/>
      <c r="N49" s="69">
        <v>27.4</v>
      </c>
      <c r="O49" s="31">
        <v>100.5</v>
      </c>
      <c r="P49" s="32"/>
      <c r="Q49" s="49">
        <v>283.39999999999998</v>
      </c>
      <c r="R49" s="85"/>
      <c r="S49" s="71"/>
    </row>
    <row r="50" spans="2:20" ht="24.95" customHeight="1" x14ac:dyDescent="0.2">
      <c r="B50" s="119" t="s">
        <v>32</v>
      </c>
      <c r="C50" s="35">
        <v>166.7</v>
      </c>
      <c r="D50" s="31">
        <v>0.2</v>
      </c>
      <c r="E50" s="38">
        <v>2.1</v>
      </c>
      <c r="F50" s="38">
        <v>0.1</v>
      </c>
      <c r="G50" s="38">
        <v>5</v>
      </c>
      <c r="H50" s="69">
        <v>7.4</v>
      </c>
      <c r="I50" s="31">
        <v>6.2</v>
      </c>
      <c r="J50" s="38">
        <v>8.6</v>
      </c>
      <c r="K50" s="69">
        <v>14.8</v>
      </c>
      <c r="L50" s="38">
        <v>3.9</v>
      </c>
      <c r="M50" s="34"/>
      <c r="N50" s="69">
        <v>18.7</v>
      </c>
      <c r="O50" s="31">
        <v>41.8</v>
      </c>
      <c r="P50" s="32"/>
      <c r="Q50" s="49">
        <v>234.6</v>
      </c>
      <c r="R50" s="85"/>
      <c r="S50" s="71"/>
    </row>
    <row r="51" spans="2:20" ht="24.95" customHeight="1" x14ac:dyDescent="0.2">
      <c r="B51" s="119" t="s">
        <v>33</v>
      </c>
      <c r="C51" s="35">
        <v>171.5</v>
      </c>
      <c r="D51" s="31">
        <v>0</v>
      </c>
      <c r="E51" s="38">
        <v>0.4</v>
      </c>
      <c r="F51" s="38">
        <v>0.3</v>
      </c>
      <c r="G51" s="38">
        <v>5.5</v>
      </c>
      <c r="H51" s="69">
        <v>6.2</v>
      </c>
      <c r="I51" s="31">
        <v>7.3</v>
      </c>
      <c r="J51" s="38">
        <v>8.4</v>
      </c>
      <c r="K51" s="69">
        <v>15.7</v>
      </c>
      <c r="L51" s="38">
        <v>2.8</v>
      </c>
      <c r="M51" s="34"/>
      <c r="N51" s="69">
        <v>18.5</v>
      </c>
      <c r="O51" s="31">
        <v>109.5</v>
      </c>
      <c r="P51" s="32"/>
      <c r="Q51" s="49">
        <v>305.7</v>
      </c>
      <c r="R51" s="85"/>
      <c r="S51" s="71"/>
    </row>
    <row r="52" spans="2:20" ht="24.95" customHeight="1" x14ac:dyDescent="0.2">
      <c r="B52" s="119" t="s">
        <v>34</v>
      </c>
      <c r="C52" s="35">
        <v>187.5</v>
      </c>
      <c r="D52" s="31">
        <v>0.3</v>
      </c>
      <c r="E52" s="38">
        <v>0.9</v>
      </c>
      <c r="F52" s="38">
        <v>0.6</v>
      </c>
      <c r="G52" s="38">
        <v>4</v>
      </c>
      <c r="H52" s="69">
        <v>5.8</v>
      </c>
      <c r="I52" s="31">
        <v>2.1</v>
      </c>
      <c r="J52" s="38">
        <v>4.9000000000000004</v>
      </c>
      <c r="K52" s="69">
        <v>7</v>
      </c>
      <c r="L52" s="38">
        <v>6</v>
      </c>
      <c r="M52" s="34"/>
      <c r="N52" s="69">
        <v>13</v>
      </c>
      <c r="O52" s="31">
        <v>95</v>
      </c>
      <c r="P52" s="32"/>
      <c r="Q52" s="49">
        <v>301.3</v>
      </c>
      <c r="R52" s="85"/>
      <c r="S52" s="71"/>
    </row>
    <row r="53" spans="2:20" ht="24.95" customHeight="1" x14ac:dyDescent="0.2">
      <c r="B53" s="119" t="s">
        <v>35</v>
      </c>
      <c r="C53" s="35">
        <v>190.4</v>
      </c>
      <c r="D53" s="31">
        <v>0.2</v>
      </c>
      <c r="E53" s="38">
        <v>0.1</v>
      </c>
      <c r="F53" s="38">
        <v>0.2</v>
      </c>
      <c r="G53" s="38">
        <v>4</v>
      </c>
      <c r="H53" s="69">
        <v>4.5</v>
      </c>
      <c r="I53" s="31">
        <v>15.1</v>
      </c>
      <c r="J53" s="38">
        <v>11</v>
      </c>
      <c r="K53" s="69">
        <v>26.1</v>
      </c>
      <c r="L53" s="38">
        <v>2.5</v>
      </c>
      <c r="M53" s="34"/>
      <c r="N53" s="69">
        <v>28.6</v>
      </c>
      <c r="O53" s="31">
        <v>85</v>
      </c>
      <c r="P53" s="32"/>
      <c r="Q53" s="49">
        <v>308.5</v>
      </c>
      <c r="R53" s="85"/>
      <c r="S53" s="71"/>
    </row>
    <row r="54" spans="2:20" ht="24.95" customHeight="1" x14ac:dyDescent="0.2">
      <c r="B54" s="119" t="s">
        <v>36</v>
      </c>
      <c r="C54" s="35">
        <v>210.3</v>
      </c>
      <c r="D54" s="31">
        <v>0.6</v>
      </c>
      <c r="E54" s="38">
        <v>0.4</v>
      </c>
      <c r="F54" s="38">
        <v>1.2</v>
      </c>
      <c r="G54" s="38">
        <v>2.1</v>
      </c>
      <c r="H54" s="69">
        <v>4.3</v>
      </c>
      <c r="I54" s="31">
        <v>11.3</v>
      </c>
      <c r="J54" s="38">
        <v>8</v>
      </c>
      <c r="K54" s="69">
        <v>19.3</v>
      </c>
      <c r="L54" s="38">
        <v>2</v>
      </c>
      <c r="M54" s="34"/>
      <c r="N54" s="69">
        <v>21.3</v>
      </c>
      <c r="O54" s="31">
        <v>117.7</v>
      </c>
      <c r="P54" s="32"/>
      <c r="Q54" s="49">
        <v>353.6</v>
      </c>
      <c r="R54" s="85"/>
      <c r="S54" s="71"/>
    </row>
    <row r="55" spans="2:20" ht="24.95" customHeight="1" x14ac:dyDescent="0.2">
      <c r="B55" s="119" t="s">
        <v>37</v>
      </c>
      <c r="C55" s="35">
        <v>195.6</v>
      </c>
      <c r="D55" s="31">
        <v>0</v>
      </c>
      <c r="E55" s="38">
        <v>0.4</v>
      </c>
      <c r="F55" s="38">
        <v>0.1</v>
      </c>
      <c r="G55" s="38">
        <v>3.4</v>
      </c>
      <c r="H55" s="69">
        <v>3.9</v>
      </c>
      <c r="I55" s="31">
        <v>8</v>
      </c>
      <c r="J55" s="38">
        <v>10.8</v>
      </c>
      <c r="K55" s="69">
        <v>18.8</v>
      </c>
      <c r="L55" s="38">
        <v>3.2</v>
      </c>
      <c r="M55" s="34"/>
      <c r="N55" s="69">
        <v>22</v>
      </c>
      <c r="O55" s="31">
        <v>98.9</v>
      </c>
      <c r="P55" s="32"/>
      <c r="Q55" s="49">
        <v>320.39999999999998</v>
      </c>
      <c r="R55" s="85"/>
      <c r="S55" s="71"/>
    </row>
    <row r="56" spans="2:20" ht="24.95" customHeight="1" x14ac:dyDescent="0.2">
      <c r="B56" s="119" t="s">
        <v>38</v>
      </c>
      <c r="C56" s="35">
        <v>217</v>
      </c>
      <c r="D56" s="31">
        <v>0</v>
      </c>
      <c r="E56" s="38">
        <v>0.02</v>
      </c>
      <c r="F56" s="38">
        <v>0.5</v>
      </c>
      <c r="G56" s="38">
        <v>3.5</v>
      </c>
      <c r="H56" s="69">
        <v>4.0199999999999996</v>
      </c>
      <c r="I56" s="31">
        <v>7.02</v>
      </c>
      <c r="J56" s="38">
        <v>12.3</v>
      </c>
      <c r="K56" s="69">
        <v>19.32</v>
      </c>
      <c r="L56" s="38">
        <v>4.62</v>
      </c>
      <c r="M56" s="34"/>
      <c r="N56" s="69">
        <v>23.94</v>
      </c>
      <c r="O56" s="31">
        <v>114.6</v>
      </c>
      <c r="P56" s="32"/>
      <c r="Q56" s="49">
        <v>359.56</v>
      </c>
      <c r="R56" s="85"/>
      <c r="S56" s="71"/>
    </row>
    <row r="57" spans="2:20" ht="24.95" customHeight="1" x14ac:dyDescent="0.2">
      <c r="B57" s="118"/>
      <c r="C57" s="68"/>
      <c r="D57" s="32"/>
      <c r="E57" s="34"/>
      <c r="F57" s="34"/>
      <c r="G57" s="34"/>
      <c r="H57" s="68"/>
      <c r="I57" s="32"/>
      <c r="J57" s="34"/>
      <c r="K57" s="68"/>
      <c r="L57" s="34"/>
      <c r="M57" s="34"/>
      <c r="N57" s="68"/>
      <c r="O57" s="32"/>
      <c r="P57" s="32"/>
      <c r="Q57" s="34"/>
      <c r="R57" s="85"/>
      <c r="S57" s="71"/>
    </row>
    <row r="58" spans="2:20" ht="24.95" customHeight="1" x14ac:dyDescent="0.2">
      <c r="B58" s="118"/>
      <c r="C58" s="68"/>
      <c r="D58" s="32"/>
      <c r="E58" s="34"/>
      <c r="F58" s="34"/>
      <c r="G58" s="34"/>
      <c r="H58" s="68"/>
      <c r="I58" s="32"/>
      <c r="J58" s="34"/>
      <c r="K58" s="68"/>
      <c r="L58" s="34"/>
      <c r="M58" s="34"/>
      <c r="N58" s="68"/>
      <c r="O58" s="32"/>
      <c r="P58" s="32"/>
      <c r="Q58" s="34"/>
      <c r="R58" s="85"/>
      <c r="S58" s="71"/>
    </row>
    <row r="59" spans="2:20" ht="24.95" customHeight="1" x14ac:dyDescent="0.2">
      <c r="B59" s="120" t="s">
        <v>105</v>
      </c>
      <c r="C59" s="69">
        <f t="shared" ref="C59:L59" si="1">SUM(C60:C71)</f>
        <v>3644.9</v>
      </c>
      <c r="D59" s="33">
        <f t="shared" si="1"/>
        <v>1.7</v>
      </c>
      <c r="E59" s="49">
        <f t="shared" si="1"/>
        <v>1.4000000000000001</v>
      </c>
      <c r="F59" s="49">
        <f t="shared" si="1"/>
        <v>5.0999999999999996</v>
      </c>
      <c r="G59" s="49">
        <f t="shared" si="1"/>
        <v>50</v>
      </c>
      <c r="H59" s="69">
        <f t="shared" si="1"/>
        <v>58.2</v>
      </c>
      <c r="I59" s="33">
        <f t="shared" si="1"/>
        <v>154.1</v>
      </c>
      <c r="J59" s="49">
        <f t="shared" si="1"/>
        <v>153.18</v>
      </c>
      <c r="K59" s="69">
        <f t="shared" si="1"/>
        <v>307.2</v>
      </c>
      <c r="L59" s="49">
        <f t="shared" si="1"/>
        <v>29.479999999999997</v>
      </c>
      <c r="M59" s="34"/>
      <c r="N59" s="69">
        <f>SUM(N60:N71)</f>
        <v>336.67999999999995</v>
      </c>
      <c r="O59" s="33">
        <f>SUM(O60:O71)</f>
        <v>984.69999999999993</v>
      </c>
      <c r="P59" s="32"/>
      <c r="Q59" s="38">
        <f>O59+N59+H59+C59+0.6</f>
        <v>5025.08</v>
      </c>
      <c r="R59" s="85"/>
      <c r="S59" s="71"/>
    </row>
    <row r="60" spans="2:20" ht="24.95" customHeight="1" x14ac:dyDescent="0.2">
      <c r="B60" s="121" t="s">
        <v>50</v>
      </c>
      <c r="C60" s="35">
        <v>280.10000000000002</v>
      </c>
      <c r="D60" s="31">
        <v>0.3</v>
      </c>
      <c r="E60" s="38">
        <v>1</v>
      </c>
      <c r="F60" s="38">
        <v>0</v>
      </c>
      <c r="G60" s="38">
        <v>5</v>
      </c>
      <c r="H60" s="35">
        <v>6.3</v>
      </c>
      <c r="I60" s="31">
        <v>9.9</v>
      </c>
      <c r="J60" s="38">
        <v>12.04</v>
      </c>
      <c r="K60" s="35">
        <v>21.9</v>
      </c>
      <c r="L60" s="38">
        <v>2.74</v>
      </c>
      <c r="M60" s="34"/>
      <c r="N60" s="35">
        <f t="shared" ref="N60:N71" si="2">L60+K60</f>
        <v>24.64</v>
      </c>
      <c r="O60" s="31">
        <v>119</v>
      </c>
      <c r="P60" s="32"/>
      <c r="Q60" s="38">
        <f t="shared" ref="Q60:Q71" si="3">O60+N60+H60+C60</f>
        <v>430.04</v>
      </c>
      <c r="R60" s="85"/>
      <c r="S60" s="71"/>
    </row>
    <row r="61" spans="2:20" ht="24.95" customHeight="1" x14ac:dyDescent="0.2">
      <c r="B61" s="121" t="s">
        <v>51</v>
      </c>
      <c r="C61" s="35">
        <v>256.5</v>
      </c>
      <c r="D61" s="31">
        <v>0</v>
      </c>
      <c r="E61" s="38">
        <v>0.1</v>
      </c>
      <c r="F61" s="38">
        <v>0</v>
      </c>
      <c r="G61" s="38">
        <v>4.3</v>
      </c>
      <c r="H61" s="35">
        <v>4.4000000000000004</v>
      </c>
      <c r="I61" s="31">
        <v>12</v>
      </c>
      <c r="J61" s="38">
        <v>7.64</v>
      </c>
      <c r="K61" s="35">
        <v>19.600000000000001</v>
      </c>
      <c r="L61" s="38">
        <v>1.84</v>
      </c>
      <c r="M61" s="34"/>
      <c r="N61" s="35">
        <f t="shared" si="2"/>
        <v>21.44</v>
      </c>
      <c r="O61" s="31">
        <f>83.3+0.2</f>
        <v>83.5</v>
      </c>
      <c r="P61" s="32"/>
      <c r="Q61" s="38">
        <f t="shared" si="3"/>
        <v>365.84000000000003</v>
      </c>
      <c r="R61" s="85"/>
      <c r="S61" s="71"/>
      <c r="T61" s="6" t="s">
        <v>39</v>
      </c>
    </row>
    <row r="62" spans="2:20" ht="24.95" customHeight="1" x14ac:dyDescent="0.2">
      <c r="B62" s="121" t="s">
        <v>52</v>
      </c>
      <c r="C62" s="35">
        <v>254.1</v>
      </c>
      <c r="D62" s="31">
        <v>0</v>
      </c>
      <c r="E62" s="38">
        <v>0.2</v>
      </c>
      <c r="F62" s="38">
        <v>1.6</v>
      </c>
      <c r="G62" s="38">
        <v>5.6</v>
      </c>
      <c r="H62" s="35">
        <f t="shared" ref="H62:H71" si="4">D62+E62+F62+G62</f>
        <v>7.3999999999999995</v>
      </c>
      <c r="I62" s="31">
        <v>17.100000000000001</v>
      </c>
      <c r="J62" s="38">
        <v>27.7</v>
      </c>
      <c r="K62" s="35">
        <v>44.8</v>
      </c>
      <c r="L62" s="38">
        <v>3.44</v>
      </c>
      <c r="M62" s="34"/>
      <c r="N62" s="35">
        <f t="shared" si="2"/>
        <v>48.239999999999995</v>
      </c>
      <c r="O62" s="31">
        <v>109.7</v>
      </c>
      <c r="P62" s="32"/>
      <c r="Q62" s="38">
        <f t="shared" si="3"/>
        <v>419.44</v>
      </c>
      <c r="R62" s="85"/>
      <c r="S62" s="71"/>
    </row>
    <row r="63" spans="2:20" ht="24.95" customHeight="1" x14ac:dyDescent="0.2">
      <c r="B63" s="121" t="s">
        <v>53</v>
      </c>
      <c r="C63" s="35">
        <v>295.10000000000002</v>
      </c>
      <c r="D63" s="31">
        <v>0.3</v>
      </c>
      <c r="E63" s="34"/>
      <c r="F63" s="34"/>
      <c r="G63" s="38">
        <v>3.7</v>
      </c>
      <c r="H63" s="35">
        <f t="shared" si="4"/>
        <v>4</v>
      </c>
      <c r="I63" s="31">
        <v>12.5</v>
      </c>
      <c r="J63" s="38">
        <v>7.7</v>
      </c>
      <c r="K63" s="35">
        <f t="shared" ref="K63:K71" si="5">I63+J63</f>
        <v>20.2</v>
      </c>
      <c r="L63" s="38">
        <v>2.74</v>
      </c>
      <c r="M63" s="34"/>
      <c r="N63" s="35">
        <f t="shared" si="2"/>
        <v>22.939999999999998</v>
      </c>
      <c r="O63" s="31">
        <f>61.9+0.5+18.6+15.1+3.1</f>
        <v>99.199999999999989</v>
      </c>
      <c r="P63" s="32"/>
      <c r="Q63" s="38">
        <f t="shared" si="3"/>
        <v>421.24</v>
      </c>
      <c r="R63" s="85"/>
      <c r="S63" s="71"/>
    </row>
    <row r="64" spans="2:20" ht="24.95" customHeight="1" x14ac:dyDescent="0.2">
      <c r="B64" s="121" t="s">
        <v>54</v>
      </c>
      <c r="C64" s="35">
        <v>299.10000000000002</v>
      </c>
      <c r="D64" s="31">
        <v>0.3</v>
      </c>
      <c r="E64" s="34"/>
      <c r="F64" s="34"/>
      <c r="G64" s="38">
        <v>2.4</v>
      </c>
      <c r="H64" s="35">
        <f t="shared" si="4"/>
        <v>2.6999999999999997</v>
      </c>
      <c r="I64" s="31">
        <v>11.7</v>
      </c>
      <c r="J64" s="38">
        <v>9.6</v>
      </c>
      <c r="K64" s="35">
        <f t="shared" si="5"/>
        <v>21.299999999999997</v>
      </c>
      <c r="L64" s="38">
        <v>2.64</v>
      </c>
      <c r="M64" s="34"/>
      <c r="N64" s="35">
        <f t="shared" si="2"/>
        <v>23.939999999999998</v>
      </c>
      <c r="O64" s="31">
        <f>20.1+0.5+15.1+2.5+0.1</f>
        <v>38.300000000000004</v>
      </c>
      <c r="P64" s="32"/>
      <c r="Q64" s="38">
        <f t="shared" si="3"/>
        <v>364.04</v>
      </c>
      <c r="R64" s="85"/>
      <c r="S64" s="71"/>
      <c r="T64" s="6" t="s">
        <v>39</v>
      </c>
    </row>
    <row r="65" spans="1:20" ht="24.95" customHeight="1" x14ac:dyDescent="0.2">
      <c r="B65" s="121" t="s">
        <v>55</v>
      </c>
      <c r="C65" s="35">
        <v>294.10000000000002</v>
      </c>
      <c r="D65" s="31">
        <v>0.3</v>
      </c>
      <c r="E65" s="38">
        <v>0.1</v>
      </c>
      <c r="F65" s="34"/>
      <c r="G65" s="38">
        <v>5.2</v>
      </c>
      <c r="H65" s="35">
        <f t="shared" si="4"/>
        <v>5.6000000000000005</v>
      </c>
      <c r="I65" s="31">
        <v>21.6</v>
      </c>
      <c r="J65" s="38">
        <v>14.7</v>
      </c>
      <c r="K65" s="35">
        <f t="shared" si="5"/>
        <v>36.299999999999997</v>
      </c>
      <c r="L65" s="38">
        <v>1.94</v>
      </c>
      <c r="M65" s="34"/>
      <c r="N65" s="35">
        <f t="shared" si="2"/>
        <v>38.239999999999995</v>
      </c>
      <c r="O65" s="31">
        <f>49.4+9+10+2+3.9+0.2</f>
        <v>74.500000000000014</v>
      </c>
      <c r="P65" s="32"/>
      <c r="Q65" s="38">
        <f t="shared" si="3"/>
        <v>412.44000000000005</v>
      </c>
      <c r="R65" s="85"/>
      <c r="S65" s="71"/>
      <c r="T65" s="6" t="s">
        <v>39</v>
      </c>
    </row>
    <row r="66" spans="1:20" ht="24.95" customHeight="1" x14ac:dyDescent="0.2">
      <c r="A66" s="6"/>
      <c r="B66" s="121" t="s">
        <v>56</v>
      </c>
      <c r="C66" s="35">
        <v>287.10000000000002</v>
      </c>
      <c r="D66" s="31">
        <v>0.2</v>
      </c>
      <c r="E66" s="38">
        <v>0</v>
      </c>
      <c r="F66" s="38">
        <v>0.3</v>
      </c>
      <c r="G66" s="38">
        <v>3.3</v>
      </c>
      <c r="H66" s="35">
        <f t="shared" si="4"/>
        <v>3.8</v>
      </c>
      <c r="I66" s="31">
        <v>7.7</v>
      </c>
      <c r="J66" s="38">
        <v>4.5999999999999996</v>
      </c>
      <c r="K66" s="35">
        <f t="shared" si="5"/>
        <v>12.3</v>
      </c>
      <c r="L66" s="38">
        <f>4.84</f>
        <v>4.84</v>
      </c>
      <c r="M66" s="34"/>
      <c r="N66" s="35">
        <f t="shared" si="2"/>
        <v>17.14</v>
      </c>
      <c r="O66" s="31">
        <f>83.6+0.1+13.4+7.2+0.3+2.8</f>
        <v>107.39999999999999</v>
      </c>
      <c r="P66" s="32"/>
      <c r="Q66" s="38">
        <f t="shared" si="3"/>
        <v>415.44000000000005</v>
      </c>
      <c r="R66" s="85"/>
      <c r="S66" s="71"/>
    </row>
    <row r="67" spans="1:20" ht="24.95" customHeight="1" x14ac:dyDescent="0.2">
      <c r="B67" s="121" t="s">
        <v>57</v>
      </c>
      <c r="C67" s="35">
        <v>324.7</v>
      </c>
      <c r="D67" s="31">
        <v>0</v>
      </c>
      <c r="E67" s="38">
        <v>0</v>
      </c>
      <c r="F67" s="38">
        <v>0</v>
      </c>
      <c r="G67" s="38">
        <v>5.0999999999999996</v>
      </c>
      <c r="H67" s="35">
        <f t="shared" si="4"/>
        <v>5.0999999999999996</v>
      </c>
      <c r="I67" s="31">
        <v>13.2</v>
      </c>
      <c r="J67" s="38">
        <v>8.1</v>
      </c>
      <c r="K67" s="35">
        <f t="shared" si="5"/>
        <v>21.299999999999997</v>
      </c>
      <c r="L67" s="38">
        <v>1.84</v>
      </c>
      <c r="M67" s="34"/>
      <c r="N67" s="35">
        <f t="shared" si="2"/>
        <v>23.139999999999997</v>
      </c>
      <c r="O67" s="31">
        <f>52.9+1+4.4+5.9+3.2</f>
        <v>67.400000000000006</v>
      </c>
      <c r="P67" s="32"/>
      <c r="Q67" s="38">
        <f t="shared" si="3"/>
        <v>420.34</v>
      </c>
      <c r="R67" s="85"/>
      <c r="S67" s="71"/>
    </row>
    <row r="68" spans="1:20" ht="24.95" customHeight="1" x14ac:dyDescent="0.2">
      <c r="B68" s="121" t="s">
        <v>58</v>
      </c>
      <c r="C68" s="35">
        <v>289.3</v>
      </c>
      <c r="D68" s="31">
        <v>0</v>
      </c>
      <c r="E68" s="38">
        <v>0</v>
      </c>
      <c r="F68" s="38">
        <v>0.2</v>
      </c>
      <c r="G68" s="38">
        <v>4.5</v>
      </c>
      <c r="H68" s="35">
        <f t="shared" si="4"/>
        <v>4.7</v>
      </c>
      <c r="I68" s="31">
        <v>25.1</v>
      </c>
      <c r="J68" s="38">
        <v>18.2</v>
      </c>
      <c r="K68" s="35">
        <f t="shared" si="5"/>
        <v>43.3</v>
      </c>
      <c r="L68" s="38">
        <v>2.04</v>
      </c>
      <c r="M68" s="34"/>
      <c r="N68" s="35">
        <f t="shared" si="2"/>
        <v>45.339999999999996</v>
      </c>
      <c r="O68" s="31">
        <f>50.6+14+8.1+3.2</f>
        <v>75.899999999999991</v>
      </c>
      <c r="P68" s="32"/>
      <c r="Q68" s="38">
        <f t="shared" si="3"/>
        <v>415.24</v>
      </c>
      <c r="R68" s="85"/>
      <c r="S68" s="71"/>
    </row>
    <row r="69" spans="1:20" ht="24.95" customHeight="1" x14ac:dyDescent="0.2">
      <c r="B69" s="121" t="s">
        <v>59</v>
      </c>
      <c r="C69" s="35">
        <v>366.8</v>
      </c>
      <c r="D69" s="31">
        <v>0</v>
      </c>
      <c r="E69" s="38">
        <v>0</v>
      </c>
      <c r="F69" s="38">
        <v>0.6</v>
      </c>
      <c r="G69" s="38">
        <v>5.4</v>
      </c>
      <c r="H69" s="35">
        <f t="shared" si="4"/>
        <v>6</v>
      </c>
      <c r="I69" s="31">
        <v>9.1</v>
      </c>
      <c r="J69" s="38">
        <v>7.5</v>
      </c>
      <c r="K69" s="35">
        <f t="shared" si="5"/>
        <v>16.600000000000001</v>
      </c>
      <c r="L69" s="38">
        <v>2.2400000000000002</v>
      </c>
      <c r="M69" s="34"/>
      <c r="N69" s="35">
        <f t="shared" si="2"/>
        <v>18.840000000000003</v>
      </c>
      <c r="O69" s="31">
        <f>46.4+9.2+1.3+3.2</f>
        <v>60.099999999999994</v>
      </c>
      <c r="P69" s="32"/>
      <c r="Q69" s="38">
        <f t="shared" si="3"/>
        <v>451.74</v>
      </c>
      <c r="R69" s="85"/>
      <c r="S69" s="71"/>
    </row>
    <row r="70" spans="1:20" ht="24.95" customHeight="1" x14ac:dyDescent="0.2">
      <c r="B70" s="121" t="s">
        <v>60</v>
      </c>
      <c r="C70" s="35">
        <v>314.5</v>
      </c>
      <c r="D70" s="31">
        <v>0</v>
      </c>
      <c r="E70" s="38">
        <v>0</v>
      </c>
      <c r="F70" s="38">
        <v>1.4</v>
      </c>
      <c r="G70" s="38">
        <v>2.2999999999999998</v>
      </c>
      <c r="H70" s="35">
        <f t="shared" si="4"/>
        <v>3.6999999999999997</v>
      </c>
      <c r="I70" s="31">
        <v>10.6</v>
      </c>
      <c r="J70" s="38">
        <v>11.1</v>
      </c>
      <c r="K70" s="35">
        <f t="shared" si="5"/>
        <v>21.7</v>
      </c>
      <c r="L70" s="38">
        <f>1.64</f>
        <v>1.64</v>
      </c>
      <c r="M70" s="34"/>
      <c r="N70" s="35">
        <f t="shared" si="2"/>
        <v>23.34</v>
      </c>
      <c r="O70" s="31">
        <f>29.3+10.3+3.2</f>
        <v>42.800000000000004</v>
      </c>
      <c r="P70" s="32"/>
      <c r="Q70" s="38">
        <f t="shared" si="3"/>
        <v>384.34000000000003</v>
      </c>
      <c r="R70" s="85"/>
      <c r="S70" s="71"/>
    </row>
    <row r="71" spans="1:20" ht="24.95" customHeight="1" x14ac:dyDescent="0.2">
      <c r="B71" s="122" t="s">
        <v>63</v>
      </c>
      <c r="C71" s="35">
        <v>383.5</v>
      </c>
      <c r="D71" s="31">
        <v>0.3</v>
      </c>
      <c r="E71" s="38">
        <v>0</v>
      </c>
      <c r="F71" s="38">
        <v>1</v>
      </c>
      <c r="G71" s="38">
        <v>3.2</v>
      </c>
      <c r="H71" s="35">
        <f t="shared" si="4"/>
        <v>4.5</v>
      </c>
      <c r="I71" s="31">
        <v>3.6</v>
      </c>
      <c r="J71" s="38">
        <v>24.3</v>
      </c>
      <c r="K71" s="35">
        <f t="shared" si="5"/>
        <v>27.900000000000002</v>
      </c>
      <c r="L71" s="38">
        <v>1.54</v>
      </c>
      <c r="M71" s="34"/>
      <c r="N71" s="35">
        <f t="shared" si="2"/>
        <v>29.44</v>
      </c>
      <c r="O71" s="31">
        <f>76.2+14.8+8.9+7</f>
        <v>106.9</v>
      </c>
      <c r="P71" s="32"/>
      <c r="Q71" s="38">
        <f t="shared" si="3"/>
        <v>524.34</v>
      </c>
      <c r="R71" s="85"/>
      <c r="S71" s="71"/>
    </row>
    <row r="72" spans="1:20" ht="16.5" customHeight="1" x14ac:dyDescent="0.2">
      <c r="B72" s="115"/>
      <c r="C72" s="35"/>
      <c r="D72" s="31"/>
      <c r="E72" s="38"/>
      <c r="F72" s="38"/>
      <c r="G72" s="38"/>
      <c r="H72" s="35"/>
      <c r="I72" s="31"/>
      <c r="J72" s="38"/>
      <c r="K72" s="35"/>
      <c r="L72" s="38"/>
      <c r="M72" s="34"/>
      <c r="N72" s="35"/>
      <c r="O72" s="31"/>
      <c r="P72" s="32"/>
      <c r="Q72" s="38"/>
      <c r="R72" s="85"/>
      <c r="S72" s="71"/>
    </row>
    <row r="73" spans="1:20" ht="24.95" customHeight="1" x14ac:dyDescent="0.2">
      <c r="B73" s="120" t="s">
        <v>72</v>
      </c>
      <c r="C73" s="35">
        <f t="shared" ref="C73:P73" si="6">SUM(C74:C85)</f>
        <v>2514.1999999999998</v>
      </c>
      <c r="D73" s="31">
        <f t="shared" si="6"/>
        <v>0.2</v>
      </c>
      <c r="E73" s="34">
        <f t="shared" si="6"/>
        <v>0.04</v>
      </c>
      <c r="F73" s="38">
        <f t="shared" si="6"/>
        <v>2.6800000000000006</v>
      </c>
      <c r="G73" s="38">
        <f t="shared" si="6"/>
        <v>47.810000000000009</v>
      </c>
      <c r="H73" s="35">
        <f t="shared" si="6"/>
        <v>50.72999999999999</v>
      </c>
      <c r="I73" s="31">
        <f t="shared" si="6"/>
        <v>216.12</v>
      </c>
      <c r="J73" s="38">
        <f t="shared" si="6"/>
        <v>129.16999999999999</v>
      </c>
      <c r="K73" s="35">
        <f t="shared" si="6"/>
        <v>345.28999999999996</v>
      </c>
      <c r="L73" s="38">
        <f t="shared" si="6"/>
        <v>31.58</v>
      </c>
      <c r="M73" s="34">
        <f t="shared" si="6"/>
        <v>0</v>
      </c>
      <c r="N73" s="35">
        <f t="shared" si="6"/>
        <v>376.87</v>
      </c>
      <c r="O73" s="31">
        <f t="shared" si="6"/>
        <v>518.06000000000006</v>
      </c>
      <c r="P73" s="32">
        <f t="shared" si="6"/>
        <v>0</v>
      </c>
      <c r="Q73" s="38">
        <f>SUM(Q74:Q85)+0.1</f>
        <v>3459.72</v>
      </c>
      <c r="R73" s="85" t="e">
        <f>SUM(R74:R92)</f>
        <v>#REF!</v>
      </c>
      <c r="S73" s="71"/>
    </row>
    <row r="74" spans="1:20" ht="24.95" customHeight="1" x14ac:dyDescent="0.2">
      <c r="B74" s="121" t="s">
        <v>50</v>
      </c>
      <c r="C74" s="35">
        <v>360.8</v>
      </c>
      <c r="D74" s="31">
        <v>0</v>
      </c>
      <c r="E74" s="34"/>
      <c r="F74" s="38">
        <v>0.2</v>
      </c>
      <c r="G74" s="38">
        <v>3.24</v>
      </c>
      <c r="H74" s="35">
        <f t="shared" ref="H74:H85" si="7">D74+E74+F74+G74</f>
        <v>3.4400000000000004</v>
      </c>
      <c r="I74" s="31">
        <f>37.8+3</f>
        <v>40.799999999999997</v>
      </c>
      <c r="J74" s="38">
        <v>18.8</v>
      </c>
      <c r="K74" s="35">
        <f t="shared" ref="K74:K85" si="8">I74+J74</f>
        <v>59.599999999999994</v>
      </c>
      <c r="L74" s="38">
        <v>2</v>
      </c>
      <c r="M74" s="34"/>
      <c r="N74" s="35">
        <f t="shared" ref="N74:N85" si="9">L74+K74</f>
        <v>61.599999999999994</v>
      </c>
      <c r="O74" s="31">
        <f>3+66.2+5.1</f>
        <v>74.3</v>
      </c>
      <c r="P74" s="32"/>
      <c r="Q74" s="38">
        <f>O74+N74+H74+C74</f>
        <v>500.14</v>
      </c>
      <c r="R74" s="85"/>
      <c r="S74" s="71"/>
    </row>
    <row r="75" spans="1:20" ht="24.95" customHeight="1" x14ac:dyDescent="0.2">
      <c r="B75" s="121" t="s">
        <v>51</v>
      </c>
      <c r="C75" s="35">
        <v>366.05</v>
      </c>
      <c r="D75" s="32"/>
      <c r="E75" s="34"/>
      <c r="F75" s="38">
        <v>1.5</v>
      </c>
      <c r="G75" s="38">
        <v>2.15</v>
      </c>
      <c r="H75" s="35">
        <f t="shared" si="7"/>
        <v>3.65</v>
      </c>
      <c r="I75" s="31">
        <f>7.5+3.1</f>
        <v>10.6</v>
      </c>
      <c r="J75" s="38">
        <v>6.05</v>
      </c>
      <c r="K75" s="35">
        <f t="shared" si="8"/>
        <v>16.649999999999999</v>
      </c>
      <c r="L75" s="38">
        <v>2.1</v>
      </c>
      <c r="M75" s="34"/>
      <c r="N75" s="35">
        <f t="shared" si="9"/>
        <v>18.75</v>
      </c>
      <c r="O75" s="31">
        <f>25.6+2.6+2.5</f>
        <v>30.700000000000003</v>
      </c>
      <c r="P75" s="32"/>
      <c r="Q75" s="38">
        <f>O75+N75+H75+C75-0.04</f>
        <v>419.11</v>
      </c>
      <c r="R75" s="85"/>
      <c r="S75" s="71"/>
    </row>
    <row r="76" spans="1:20" ht="24.95" customHeight="1" x14ac:dyDescent="0.2">
      <c r="B76" s="121" t="s">
        <v>52</v>
      </c>
      <c r="C76" s="35">
        <v>438.9</v>
      </c>
      <c r="D76" s="31">
        <v>0</v>
      </c>
      <c r="E76" s="38">
        <v>0</v>
      </c>
      <c r="F76" s="38">
        <v>0.4</v>
      </c>
      <c r="G76" s="38">
        <v>5.5</v>
      </c>
      <c r="H76" s="35">
        <f t="shared" si="7"/>
        <v>5.9</v>
      </c>
      <c r="I76" s="31">
        <f>26.7+4.9</f>
        <v>31.6</v>
      </c>
      <c r="J76" s="38">
        <v>17</v>
      </c>
      <c r="K76" s="35">
        <f t="shared" si="8"/>
        <v>48.6</v>
      </c>
      <c r="L76" s="38">
        <v>1.9</v>
      </c>
      <c r="M76" s="34"/>
      <c r="N76" s="35">
        <f t="shared" si="9"/>
        <v>50.5</v>
      </c>
      <c r="O76" s="31">
        <f>47.8+2.85-0.04</f>
        <v>50.61</v>
      </c>
      <c r="P76" s="32"/>
      <c r="Q76" s="38">
        <f>O76+N76+H76+C76-0.04</f>
        <v>545.87</v>
      </c>
      <c r="R76" s="85"/>
      <c r="S76" s="71"/>
    </row>
    <row r="77" spans="1:20" ht="24.95" customHeight="1" x14ac:dyDescent="0.2">
      <c r="B77" s="121" t="s">
        <v>53</v>
      </c>
      <c r="C77" s="35">
        <f>277.1</f>
        <v>277.10000000000002</v>
      </c>
      <c r="D77" s="32">
        <v>0.2</v>
      </c>
      <c r="E77" s="36"/>
      <c r="F77" s="36"/>
      <c r="G77" s="37">
        <v>4.6399999999999997</v>
      </c>
      <c r="H77" s="35">
        <f t="shared" si="7"/>
        <v>4.84</v>
      </c>
      <c r="I77" s="31">
        <f>11.7+3</f>
        <v>14.7</v>
      </c>
      <c r="J77" s="37">
        <v>6.3</v>
      </c>
      <c r="K77" s="35">
        <f t="shared" si="8"/>
        <v>21</v>
      </c>
      <c r="L77" s="38">
        <v>2.7</v>
      </c>
      <c r="M77" s="36"/>
      <c r="N77" s="35">
        <f t="shared" si="9"/>
        <v>23.7</v>
      </c>
      <c r="O77" s="31">
        <f>36.1+13.7+7.3-0.04</f>
        <v>57.059999999999995</v>
      </c>
      <c r="P77" s="32"/>
      <c r="Q77" s="38">
        <f>O77+N77+H77+C77-0.04</f>
        <v>362.66</v>
      </c>
      <c r="R77" s="85"/>
      <c r="S77" s="71"/>
    </row>
    <row r="78" spans="1:20" ht="24.95" customHeight="1" x14ac:dyDescent="0.2">
      <c r="B78" s="121" t="s">
        <v>54</v>
      </c>
      <c r="C78" s="35">
        <v>279.75</v>
      </c>
      <c r="D78" s="32"/>
      <c r="E78" s="36"/>
      <c r="F78" s="37">
        <v>0.1</v>
      </c>
      <c r="G78" s="37">
        <v>3.3</v>
      </c>
      <c r="H78" s="35">
        <f t="shared" si="7"/>
        <v>3.4</v>
      </c>
      <c r="I78" s="31">
        <v>13.14</v>
      </c>
      <c r="J78" s="37">
        <v>9.4600000000000009</v>
      </c>
      <c r="K78" s="35">
        <f t="shared" si="8"/>
        <v>22.6</v>
      </c>
      <c r="L78" s="38">
        <v>1.9</v>
      </c>
      <c r="M78" s="36"/>
      <c r="N78" s="35">
        <f t="shared" si="9"/>
        <v>24.5</v>
      </c>
      <c r="O78" s="31">
        <f>7.8+4.1-0.04</f>
        <v>11.86</v>
      </c>
      <c r="P78" s="32"/>
      <c r="Q78" s="38">
        <f>O78+N78+H78+C78-0.04</f>
        <v>319.46999999999997</v>
      </c>
      <c r="R78" s="85"/>
      <c r="S78" s="71"/>
    </row>
    <row r="79" spans="1:20" ht="24.95" customHeight="1" x14ac:dyDescent="0.2">
      <c r="B79" s="121" t="s">
        <v>55</v>
      </c>
      <c r="C79" s="35">
        <f>94.9</f>
        <v>94.9</v>
      </c>
      <c r="D79" s="34"/>
      <c r="E79" s="36"/>
      <c r="F79" s="36"/>
      <c r="G79" s="37">
        <v>3.3</v>
      </c>
      <c r="H79" s="35">
        <f t="shared" si="7"/>
        <v>3.3</v>
      </c>
      <c r="I79" s="31">
        <f>11.5+5.5</f>
        <v>17</v>
      </c>
      <c r="J79" s="37">
        <v>8.8000000000000007</v>
      </c>
      <c r="K79" s="35">
        <f t="shared" si="8"/>
        <v>25.8</v>
      </c>
      <c r="L79" s="38">
        <v>2.36</v>
      </c>
      <c r="M79" s="36"/>
      <c r="N79" s="35">
        <f t="shared" si="9"/>
        <v>28.16</v>
      </c>
      <c r="O79" s="31">
        <f>27.9+8.4+11.8-0.04</f>
        <v>48.059999999999995</v>
      </c>
      <c r="P79" s="32"/>
      <c r="Q79" s="38">
        <f>O79+N79+H79+C79</f>
        <v>174.42000000000002</v>
      </c>
      <c r="R79" s="85"/>
      <c r="S79" s="71"/>
    </row>
    <row r="80" spans="1:20" ht="24.95" customHeight="1" x14ac:dyDescent="0.2">
      <c r="B80" s="121" t="s">
        <v>56</v>
      </c>
      <c r="C80" s="35">
        <f>182.6</f>
        <v>182.6</v>
      </c>
      <c r="D80" s="34"/>
      <c r="E80" s="36"/>
      <c r="F80" s="36"/>
      <c r="G80" s="37">
        <v>6.04</v>
      </c>
      <c r="H80" s="35">
        <f t="shared" si="7"/>
        <v>6.04</v>
      </c>
      <c r="I80" s="31">
        <v>8.84</v>
      </c>
      <c r="J80" s="37">
        <v>12.14</v>
      </c>
      <c r="K80" s="35">
        <f t="shared" si="8"/>
        <v>20.98</v>
      </c>
      <c r="L80" s="38">
        <f>4.84</f>
        <v>4.84</v>
      </c>
      <c r="M80" s="36"/>
      <c r="N80" s="35">
        <f t="shared" si="9"/>
        <v>25.82</v>
      </c>
      <c r="O80" s="35">
        <f>10+7.9+1.2-0.04</f>
        <v>19.059999999999999</v>
      </c>
      <c r="P80" s="34"/>
      <c r="Q80" s="38">
        <f>O80+N80+H80+C80-0.04</f>
        <v>233.48</v>
      </c>
      <c r="R80" s="85"/>
      <c r="S80" s="71"/>
    </row>
    <row r="81" spans="2:20" ht="24.95" customHeight="1" x14ac:dyDescent="0.2">
      <c r="B81" s="121" t="s">
        <v>57</v>
      </c>
      <c r="C81" s="35">
        <v>82.3</v>
      </c>
      <c r="D81" s="34"/>
      <c r="E81" s="36">
        <v>0.04</v>
      </c>
      <c r="F81" s="36">
        <v>0.04</v>
      </c>
      <c r="G81" s="37">
        <v>3.3</v>
      </c>
      <c r="H81" s="35">
        <f t="shared" si="7"/>
        <v>3.38</v>
      </c>
      <c r="I81" s="31">
        <f>5.9+3</f>
        <v>8.9</v>
      </c>
      <c r="J81" s="37">
        <v>6.3</v>
      </c>
      <c r="K81" s="35">
        <f t="shared" si="8"/>
        <v>15.2</v>
      </c>
      <c r="L81" s="38">
        <v>2.64</v>
      </c>
      <c r="M81" s="36"/>
      <c r="N81" s="35">
        <f t="shared" si="9"/>
        <v>17.84</v>
      </c>
      <c r="O81" s="35">
        <f>14+3-0.04</f>
        <v>16.96</v>
      </c>
      <c r="P81" s="34"/>
      <c r="Q81" s="38">
        <f>O81+N81+H81+C81</f>
        <v>120.47999999999999</v>
      </c>
      <c r="R81" s="85"/>
      <c r="S81" s="71"/>
    </row>
    <row r="82" spans="2:20" ht="24.95" customHeight="1" x14ac:dyDescent="0.2">
      <c r="B82" s="121" t="s">
        <v>58</v>
      </c>
      <c r="C82" s="35">
        <v>126.5</v>
      </c>
      <c r="D82" s="34"/>
      <c r="E82" s="36"/>
      <c r="F82" s="36">
        <v>0.04</v>
      </c>
      <c r="G82" s="37">
        <v>4.9000000000000004</v>
      </c>
      <c r="H82" s="35">
        <f t="shared" si="7"/>
        <v>4.9400000000000004</v>
      </c>
      <c r="I82" s="31">
        <f>29.9</f>
        <v>29.9</v>
      </c>
      <c r="J82" s="37">
        <v>17.3</v>
      </c>
      <c r="K82" s="35">
        <f t="shared" si="8"/>
        <v>47.2</v>
      </c>
      <c r="L82" s="38">
        <v>2.82</v>
      </c>
      <c r="M82" s="36"/>
      <c r="N82" s="35">
        <f t="shared" si="9"/>
        <v>50.02</v>
      </c>
      <c r="O82" s="35">
        <f>24.2+0.1+17.3+5.4-3.4</f>
        <v>43.6</v>
      </c>
      <c r="P82" s="34"/>
      <c r="Q82" s="38">
        <f>O82+N82+H82+C82</f>
        <v>225.06</v>
      </c>
      <c r="R82" s="85"/>
      <c r="S82" s="71"/>
    </row>
    <row r="83" spans="2:20" ht="24.95" customHeight="1" x14ac:dyDescent="0.2">
      <c r="B83" s="121" t="s">
        <v>59</v>
      </c>
      <c r="C83" s="35">
        <v>119.6</v>
      </c>
      <c r="D83" s="34"/>
      <c r="E83" s="36"/>
      <c r="F83" s="36"/>
      <c r="G83" s="50">
        <v>4.74</v>
      </c>
      <c r="H83" s="35">
        <f t="shared" si="7"/>
        <v>4.74</v>
      </c>
      <c r="I83" s="31">
        <f>11.6+3.24</f>
        <v>14.84</v>
      </c>
      <c r="J83" s="37">
        <v>5.84</v>
      </c>
      <c r="K83" s="35">
        <f t="shared" si="8"/>
        <v>20.68</v>
      </c>
      <c r="L83" s="38">
        <v>2.2400000000000002</v>
      </c>
      <c r="M83" s="36"/>
      <c r="N83" s="35">
        <f t="shared" si="9"/>
        <v>22.92</v>
      </c>
      <c r="O83" s="35">
        <f>49.3+19.6+1.34</f>
        <v>70.240000000000009</v>
      </c>
      <c r="P83" s="34"/>
      <c r="Q83" s="38">
        <f>O83+N83+H83+C83-0.04</f>
        <v>217.46</v>
      </c>
      <c r="R83" s="85"/>
      <c r="S83" s="71"/>
    </row>
    <row r="84" spans="2:20" ht="24.95" customHeight="1" x14ac:dyDescent="0.2">
      <c r="B84" s="121" t="s">
        <v>60</v>
      </c>
      <c r="C84" s="35">
        <v>96.1</v>
      </c>
      <c r="D84" s="34"/>
      <c r="E84" s="36"/>
      <c r="F84" s="36">
        <v>0.2</v>
      </c>
      <c r="G84" s="37">
        <v>3.6</v>
      </c>
      <c r="H84" s="35">
        <f t="shared" si="7"/>
        <v>3.8000000000000003</v>
      </c>
      <c r="I84" s="31">
        <v>9.6999999999999993</v>
      </c>
      <c r="J84" s="37">
        <v>10.44</v>
      </c>
      <c r="K84" s="35">
        <f t="shared" si="8"/>
        <v>20.14</v>
      </c>
      <c r="L84" s="38">
        <v>2.04</v>
      </c>
      <c r="M84" s="36"/>
      <c r="N84" s="35">
        <f t="shared" si="9"/>
        <v>22.18</v>
      </c>
      <c r="O84" s="35">
        <f>12.4+10.25-0.04</f>
        <v>22.61</v>
      </c>
      <c r="P84" s="34"/>
      <c r="Q84" s="38">
        <f>O84+N84+H84+C84</f>
        <v>144.69</v>
      </c>
      <c r="R84" s="85"/>
      <c r="S84" s="71"/>
    </row>
    <row r="85" spans="2:20" ht="24.95" customHeight="1" x14ac:dyDescent="0.2">
      <c r="B85" s="121" t="s">
        <v>61</v>
      </c>
      <c r="C85" s="35">
        <v>89.6</v>
      </c>
      <c r="D85" s="34"/>
      <c r="E85" s="36"/>
      <c r="F85" s="36">
        <v>0.2</v>
      </c>
      <c r="G85" s="37">
        <v>3.1</v>
      </c>
      <c r="H85" s="35">
        <f t="shared" si="7"/>
        <v>3.3000000000000003</v>
      </c>
      <c r="I85" s="31">
        <f>9.8+6.3</f>
        <v>16.100000000000001</v>
      </c>
      <c r="J85" s="37">
        <v>10.74</v>
      </c>
      <c r="K85" s="35">
        <f t="shared" si="8"/>
        <v>26.840000000000003</v>
      </c>
      <c r="L85" s="38">
        <v>4.04</v>
      </c>
      <c r="M85" s="36"/>
      <c r="N85" s="35">
        <f t="shared" si="9"/>
        <v>30.880000000000003</v>
      </c>
      <c r="O85" s="35">
        <f>52+10.8+10.2</f>
        <v>73</v>
      </c>
      <c r="P85" s="34"/>
      <c r="Q85" s="38">
        <f>O85+N85+H85+C85</f>
        <v>196.77999999999997</v>
      </c>
      <c r="R85" s="85"/>
      <c r="S85" s="71"/>
    </row>
    <row r="86" spans="2:20" ht="15.75" customHeight="1" x14ac:dyDescent="0.2">
      <c r="B86" s="123"/>
      <c r="C86" s="35"/>
      <c r="D86" s="34"/>
      <c r="E86" s="36"/>
      <c r="F86" s="36"/>
      <c r="G86" s="37"/>
      <c r="H86" s="35"/>
      <c r="I86" s="31"/>
      <c r="J86" s="37"/>
      <c r="K86" s="35"/>
      <c r="L86" s="38"/>
      <c r="M86" s="36"/>
      <c r="N86" s="35"/>
      <c r="O86" s="35"/>
      <c r="P86" s="34"/>
      <c r="Q86" s="38"/>
      <c r="R86" s="85"/>
      <c r="S86" s="71"/>
    </row>
    <row r="87" spans="2:20" ht="24.95" customHeight="1" x14ac:dyDescent="0.2">
      <c r="B87" s="120" t="s">
        <v>73</v>
      </c>
      <c r="C87" s="35">
        <f t="shared" ref="C87:Q87" si="10">SUM(C88:C99)</f>
        <v>921.15770767999993</v>
      </c>
      <c r="D87" s="31">
        <f t="shared" si="10"/>
        <v>0</v>
      </c>
      <c r="E87" s="34">
        <f t="shared" si="10"/>
        <v>0</v>
      </c>
      <c r="F87" s="38">
        <f t="shared" si="10"/>
        <v>2.5</v>
      </c>
      <c r="G87" s="38">
        <f t="shared" si="10"/>
        <v>54.540000000000006</v>
      </c>
      <c r="H87" s="35">
        <f t="shared" si="10"/>
        <v>57.040000000000006</v>
      </c>
      <c r="I87" s="31">
        <f t="shared" si="10"/>
        <v>147.28794575000001</v>
      </c>
      <c r="J87" s="38">
        <f t="shared" si="10"/>
        <v>73.789225540000004</v>
      </c>
      <c r="K87" s="35">
        <f t="shared" si="10"/>
        <v>221.07717128999997</v>
      </c>
      <c r="L87" s="38">
        <f t="shared" si="10"/>
        <v>25.78</v>
      </c>
      <c r="M87" s="34">
        <f t="shared" si="10"/>
        <v>0</v>
      </c>
      <c r="N87" s="35">
        <f t="shared" si="10"/>
        <v>246.85717129</v>
      </c>
      <c r="O87" s="31">
        <f t="shared" si="10"/>
        <v>636.01612071</v>
      </c>
      <c r="P87" s="32">
        <f t="shared" si="10"/>
        <v>0</v>
      </c>
      <c r="Q87" s="38">
        <f t="shared" si="10"/>
        <v>1861.0709996800001</v>
      </c>
      <c r="R87" s="85" t="e">
        <f>SUM(R88:R119)</f>
        <v>#REF!</v>
      </c>
      <c r="S87" s="71"/>
    </row>
    <row r="88" spans="2:20" ht="24.95" customHeight="1" x14ac:dyDescent="0.2">
      <c r="B88" s="121" t="s">
        <v>50</v>
      </c>
      <c r="C88" s="35">
        <v>64.599999999999994</v>
      </c>
      <c r="D88" s="34"/>
      <c r="E88" s="36"/>
      <c r="F88" s="36">
        <v>0.4</v>
      </c>
      <c r="G88" s="37">
        <v>3.8</v>
      </c>
      <c r="H88" s="35">
        <f t="shared" ref="H88:H99" si="11">D88+E88+F88+G88</f>
        <v>4.2</v>
      </c>
      <c r="I88" s="31">
        <f>7.1+3.2</f>
        <v>10.3</v>
      </c>
      <c r="J88" s="37">
        <v>7.34</v>
      </c>
      <c r="K88" s="35">
        <f t="shared" ref="K88:K99" si="12">I88+J88</f>
        <v>17.64</v>
      </c>
      <c r="L88" s="38">
        <v>3.14</v>
      </c>
      <c r="M88" s="36"/>
      <c r="N88" s="35">
        <f t="shared" ref="N88:N99" si="13">L88+K88</f>
        <v>20.78</v>
      </c>
      <c r="O88" s="35">
        <f>49.3+4.6+14.45</f>
        <v>68.349999999999994</v>
      </c>
      <c r="P88" s="34"/>
      <c r="Q88" s="38">
        <f t="shared" ref="Q88:Q99" si="14">O88+N88+H88+C88</f>
        <v>157.93</v>
      </c>
      <c r="R88" s="85"/>
      <c r="S88" s="71"/>
    </row>
    <row r="89" spans="2:20" ht="24.95" customHeight="1" x14ac:dyDescent="0.2">
      <c r="B89" s="121" t="s">
        <v>51</v>
      </c>
      <c r="C89" s="35">
        <v>86.2</v>
      </c>
      <c r="D89" s="34"/>
      <c r="E89" s="36"/>
      <c r="F89" s="36"/>
      <c r="G89" s="37">
        <v>4.7</v>
      </c>
      <c r="H89" s="35">
        <f t="shared" si="11"/>
        <v>4.7</v>
      </c>
      <c r="I89" s="31">
        <v>7.3</v>
      </c>
      <c r="J89" s="37">
        <v>5.4</v>
      </c>
      <c r="K89" s="35">
        <f t="shared" si="12"/>
        <v>12.7</v>
      </c>
      <c r="L89" s="38">
        <v>1.9</v>
      </c>
      <c r="M89" s="36"/>
      <c r="N89" s="35">
        <f t="shared" si="13"/>
        <v>14.6</v>
      </c>
      <c r="O89" s="35">
        <f>0.2+11.9+26.2</f>
        <v>38.299999999999997</v>
      </c>
      <c r="P89" s="34"/>
      <c r="Q89" s="38">
        <f t="shared" si="14"/>
        <v>143.80000000000001</v>
      </c>
      <c r="R89" s="85"/>
      <c r="S89" s="71"/>
    </row>
    <row r="90" spans="2:20" ht="24.95" customHeight="1" x14ac:dyDescent="0.2">
      <c r="B90" s="121" t="s">
        <v>52</v>
      </c>
      <c r="C90" s="35">
        <v>87.7</v>
      </c>
      <c r="D90" s="34"/>
      <c r="E90" s="36"/>
      <c r="F90" s="36">
        <v>0.4</v>
      </c>
      <c r="G90" s="37">
        <v>4.9000000000000004</v>
      </c>
      <c r="H90" s="35">
        <f t="shared" si="11"/>
        <v>5.3000000000000007</v>
      </c>
      <c r="I90" s="31">
        <f>25.3+1.3+2.1</f>
        <v>28.700000000000003</v>
      </c>
      <c r="J90" s="37">
        <v>9.34</v>
      </c>
      <c r="K90" s="35">
        <f t="shared" si="12"/>
        <v>38.040000000000006</v>
      </c>
      <c r="L90" s="38">
        <v>1.94</v>
      </c>
      <c r="M90" s="36"/>
      <c r="N90" s="35">
        <f t="shared" si="13"/>
        <v>39.980000000000004</v>
      </c>
      <c r="O90" s="35">
        <f>33.5+6.9+2.6</f>
        <v>43</v>
      </c>
      <c r="P90" s="34"/>
      <c r="Q90" s="38">
        <f t="shared" si="14"/>
        <v>175.98000000000002</v>
      </c>
      <c r="R90" s="85"/>
      <c r="S90" s="71"/>
    </row>
    <row r="91" spans="2:20" ht="24.95" customHeight="1" x14ac:dyDescent="0.2">
      <c r="B91" s="121" t="s">
        <v>53</v>
      </c>
      <c r="C91" s="35">
        <v>87.3</v>
      </c>
      <c r="D91" s="34"/>
      <c r="E91" s="36"/>
      <c r="F91" s="36"/>
      <c r="G91" s="37">
        <v>6.3</v>
      </c>
      <c r="H91" s="35">
        <f t="shared" si="11"/>
        <v>6.3</v>
      </c>
      <c r="I91" s="31">
        <f>10.4+1.3+0.84</f>
        <v>12.540000000000001</v>
      </c>
      <c r="J91" s="37">
        <v>4.4400000000000004</v>
      </c>
      <c r="K91" s="35">
        <f t="shared" si="12"/>
        <v>16.98</v>
      </c>
      <c r="L91" s="38">
        <v>2.34</v>
      </c>
      <c r="M91" s="36"/>
      <c r="N91" s="35">
        <f t="shared" si="13"/>
        <v>19.32</v>
      </c>
      <c r="O91" s="35">
        <f>21.6+2.8+6.84</f>
        <v>31.240000000000002</v>
      </c>
      <c r="P91" s="34"/>
      <c r="Q91" s="38">
        <f t="shared" si="14"/>
        <v>144.16</v>
      </c>
      <c r="R91" s="85"/>
      <c r="S91" s="71"/>
    </row>
    <row r="92" spans="2:20" ht="24.95" customHeight="1" x14ac:dyDescent="0.2">
      <c r="B92" s="121" t="s">
        <v>54</v>
      </c>
      <c r="C92" s="35">
        <v>118.3</v>
      </c>
      <c r="D92" s="34"/>
      <c r="E92" s="36"/>
      <c r="F92" s="36"/>
      <c r="G92" s="37">
        <v>4.5</v>
      </c>
      <c r="H92" s="35">
        <f t="shared" si="11"/>
        <v>4.5</v>
      </c>
      <c r="I92" s="31">
        <v>11</v>
      </c>
      <c r="J92" s="37">
        <v>7.5</v>
      </c>
      <c r="K92" s="35">
        <f t="shared" si="12"/>
        <v>18.5</v>
      </c>
      <c r="L92" s="38">
        <v>2.14</v>
      </c>
      <c r="M92" s="36"/>
      <c r="N92" s="35">
        <f t="shared" si="13"/>
        <v>20.64</v>
      </c>
      <c r="O92" s="35">
        <f>4.8+2.6</f>
        <v>7.4</v>
      </c>
      <c r="P92" s="34"/>
      <c r="Q92" s="38">
        <f t="shared" si="14"/>
        <v>150.84</v>
      </c>
      <c r="R92" s="85"/>
      <c r="S92" s="71"/>
    </row>
    <row r="93" spans="2:20" ht="24.95" customHeight="1" x14ac:dyDescent="0.2">
      <c r="B93" s="121" t="s">
        <v>55</v>
      </c>
      <c r="C93" s="35">
        <v>95</v>
      </c>
      <c r="D93" s="34"/>
      <c r="E93" s="36"/>
      <c r="F93" s="36">
        <v>0.5</v>
      </c>
      <c r="G93" s="37">
        <v>3.8</v>
      </c>
      <c r="H93" s="35">
        <f t="shared" si="11"/>
        <v>4.3</v>
      </c>
      <c r="I93" s="31">
        <f>3.6+4.84</f>
        <v>8.44</v>
      </c>
      <c r="J93" s="37">
        <v>2.34</v>
      </c>
      <c r="K93" s="35">
        <f t="shared" si="12"/>
        <v>10.78</v>
      </c>
      <c r="L93" s="38">
        <v>2.44</v>
      </c>
      <c r="M93" s="36"/>
      <c r="N93" s="35">
        <f t="shared" si="13"/>
        <v>13.219999999999999</v>
      </c>
      <c r="O93" s="35">
        <f>61.9+11.14</f>
        <v>73.039999999999992</v>
      </c>
      <c r="P93" s="34"/>
      <c r="Q93" s="38">
        <f t="shared" si="14"/>
        <v>185.56</v>
      </c>
      <c r="R93" s="85"/>
      <c r="S93" s="71"/>
    </row>
    <row r="94" spans="2:20" ht="24.95" customHeight="1" x14ac:dyDescent="0.2">
      <c r="B94" s="121" t="s">
        <v>56</v>
      </c>
      <c r="C94" s="35">
        <v>92.4</v>
      </c>
      <c r="D94" s="34">
        <v>0</v>
      </c>
      <c r="E94" s="36"/>
      <c r="F94" s="36"/>
      <c r="G94" s="37">
        <v>3.3</v>
      </c>
      <c r="H94" s="35">
        <f t="shared" si="11"/>
        <v>3.3</v>
      </c>
      <c r="I94" s="31">
        <v>10.4</v>
      </c>
      <c r="J94" s="37">
        <v>9.44</v>
      </c>
      <c r="K94" s="35">
        <f t="shared" si="12"/>
        <v>19.84</v>
      </c>
      <c r="L94" s="38">
        <v>2.14</v>
      </c>
      <c r="M94" s="36"/>
      <c r="N94" s="35">
        <f t="shared" si="13"/>
        <v>21.98</v>
      </c>
      <c r="O94" s="35">
        <f>24.4+41+3.7+2.1</f>
        <v>71.2</v>
      </c>
      <c r="P94" s="34"/>
      <c r="Q94" s="38">
        <f t="shared" si="14"/>
        <v>188.88</v>
      </c>
      <c r="R94" s="85"/>
      <c r="S94" s="71"/>
    </row>
    <row r="95" spans="2:20" ht="24.95" customHeight="1" x14ac:dyDescent="0.2">
      <c r="B95" s="121" t="s">
        <v>57</v>
      </c>
      <c r="C95" s="35">
        <v>63.8</v>
      </c>
      <c r="D95" s="34">
        <v>0</v>
      </c>
      <c r="E95" s="36"/>
      <c r="F95" s="36"/>
      <c r="G95" s="37">
        <v>3.4</v>
      </c>
      <c r="H95" s="35">
        <f t="shared" si="11"/>
        <v>3.4</v>
      </c>
      <c r="I95" s="31">
        <v>9.6999999999999993</v>
      </c>
      <c r="J95" s="37">
        <v>3</v>
      </c>
      <c r="K95" s="35">
        <f t="shared" si="12"/>
        <v>12.7</v>
      </c>
      <c r="L95" s="38">
        <v>2.2000000000000002</v>
      </c>
      <c r="M95" s="36"/>
      <c r="N95" s="35">
        <f t="shared" si="13"/>
        <v>14.899999999999999</v>
      </c>
      <c r="O95" s="35">
        <f>19.3+1.9</f>
        <v>21.2</v>
      </c>
      <c r="P95" s="34"/>
      <c r="Q95" s="38">
        <f t="shared" si="14"/>
        <v>103.29999999999998</v>
      </c>
      <c r="R95" s="85"/>
      <c r="S95" s="71"/>
    </row>
    <row r="96" spans="2:20" ht="24.95" customHeight="1" x14ac:dyDescent="0.2">
      <c r="B96" s="121" t="s">
        <v>58</v>
      </c>
      <c r="C96" s="35">
        <v>40.5</v>
      </c>
      <c r="D96" s="34">
        <v>0</v>
      </c>
      <c r="E96" s="36"/>
      <c r="F96" s="36"/>
      <c r="G96" s="37">
        <v>6.7</v>
      </c>
      <c r="H96" s="35">
        <f t="shared" si="11"/>
        <v>6.7</v>
      </c>
      <c r="I96" s="31">
        <v>24.6</v>
      </c>
      <c r="J96" s="37">
        <v>7.54</v>
      </c>
      <c r="K96" s="35">
        <f t="shared" si="12"/>
        <v>32.14</v>
      </c>
      <c r="L96" s="38">
        <v>3.94</v>
      </c>
      <c r="M96" s="36"/>
      <c r="N96" s="35">
        <f t="shared" si="13"/>
        <v>36.08</v>
      </c>
      <c r="O96" s="35">
        <f>23.5+17.1+1.3</f>
        <v>41.9</v>
      </c>
      <c r="P96" s="34"/>
      <c r="Q96" s="38">
        <f t="shared" si="14"/>
        <v>125.17999999999999</v>
      </c>
      <c r="R96" s="85"/>
      <c r="S96" s="71"/>
      <c r="T96" s="63"/>
    </row>
    <row r="97" spans="2:20" ht="24.95" customHeight="1" x14ac:dyDescent="0.2">
      <c r="B97" s="121" t="s">
        <v>59</v>
      </c>
      <c r="C97" s="35">
        <v>63.574707679999996</v>
      </c>
      <c r="D97" s="34">
        <v>0</v>
      </c>
      <c r="E97" s="36"/>
      <c r="F97" s="36"/>
      <c r="G97" s="37">
        <v>5</v>
      </c>
      <c r="H97" s="35">
        <f t="shared" si="11"/>
        <v>5</v>
      </c>
      <c r="I97" s="31">
        <v>9</v>
      </c>
      <c r="J97" s="37">
        <v>3.7</v>
      </c>
      <c r="K97" s="35">
        <f t="shared" si="12"/>
        <v>12.7</v>
      </c>
      <c r="L97" s="38">
        <v>0.5</v>
      </c>
      <c r="M97" s="36"/>
      <c r="N97" s="35">
        <f t="shared" si="13"/>
        <v>13.2</v>
      </c>
      <c r="O97" s="35">
        <f>22.79+20.6+2.165292+36.31</f>
        <v>81.865292000000011</v>
      </c>
      <c r="P97" s="34"/>
      <c r="Q97" s="49">
        <f t="shared" si="14"/>
        <v>163.63999968000002</v>
      </c>
      <c r="R97" s="85"/>
      <c r="S97" s="71"/>
      <c r="T97" s="62"/>
    </row>
    <row r="98" spans="2:20" ht="24.95" customHeight="1" x14ac:dyDescent="0.2">
      <c r="B98" s="121" t="s">
        <v>60</v>
      </c>
      <c r="C98" s="35">
        <v>57.573</v>
      </c>
      <c r="D98" s="34">
        <v>0</v>
      </c>
      <c r="E98" s="36"/>
      <c r="F98" s="36"/>
      <c r="G98" s="37">
        <v>4.1399999999999997</v>
      </c>
      <c r="H98" s="35">
        <f t="shared" si="11"/>
        <v>4.1399999999999997</v>
      </c>
      <c r="I98" s="31">
        <v>11.7</v>
      </c>
      <c r="J98" s="37">
        <v>9.3000000000000007</v>
      </c>
      <c r="K98" s="35">
        <f t="shared" si="12"/>
        <v>21</v>
      </c>
      <c r="L98" s="38">
        <v>1.3</v>
      </c>
      <c r="M98" s="36"/>
      <c r="N98" s="35">
        <f t="shared" si="13"/>
        <v>22.3</v>
      </c>
      <c r="O98" s="35">
        <f>7.588+21.4</f>
        <v>28.988</v>
      </c>
      <c r="P98" s="34"/>
      <c r="Q98" s="49">
        <f t="shared" si="14"/>
        <v>113.001</v>
      </c>
      <c r="R98" s="85"/>
      <c r="S98" s="71"/>
    </row>
    <row r="99" spans="2:20" ht="24.95" customHeight="1" x14ac:dyDescent="0.2">
      <c r="B99" s="121" t="s">
        <v>61</v>
      </c>
      <c r="C99" s="35">
        <v>64.209999999999994</v>
      </c>
      <c r="D99" s="34">
        <v>0</v>
      </c>
      <c r="E99" s="36"/>
      <c r="F99" s="36">
        <v>1.2</v>
      </c>
      <c r="G99" s="37">
        <v>4</v>
      </c>
      <c r="H99" s="35">
        <f t="shared" si="11"/>
        <v>5.2</v>
      </c>
      <c r="I99" s="31">
        <v>3.6079457500000003</v>
      </c>
      <c r="J99" s="37">
        <v>4.4492255399999996</v>
      </c>
      <c r="K99" s="35">
        <f t="shared" si="12"/>
        <v>8.0571712899999994</v>
      </c>
      <c r="L99" s="38">
        <v>1.8</v>
      </c>
      <c r="M99" s="36"/>
      <c r="N99" s="35">
        <f t="shared" si="13"/>
        <v>9.8571712900000001</v>
      </c>
      <c r="O99" s="35">
        <f>123.69282871+5.84</f>
        <v>129.53282870999999</v>
      </c>
      <c r="P99" s="34"/>
      <c r="Q99" s="38">
        <f t="shared" si="14"/>
        <v>208.79999999999995</v>
      </c>
      <c r="R99" s="85"/>
      <c r="S99" s="71"/>
    </row>
    <row r="100" spans="2:20" ht="19.5" customHeight="1" x14ac:dyDescent="0.2">
      <c r="B100" s="121"/>
      <c r="C100" s="35"/>
      <c r="D100" s="34"/>
      <c r="E100" s="36"/>
      <c r="F100" s="36"/>
      <c r="G100" s="37"/>
      <c r="H100" s="35"/>
      <c r="I100" s="31"/>
      <c r="J100" s="37"/>
      <c r="K100" s="35"/>
      <c r="L100" s="38"/>
      <c r="M100" s="36"/>
      <c r="N100" s="35"/>
      <c r="O100" s="35"/>
      <c r="P100" s="34"/>
      <c r="Q100" s="38"/>
      <c r="R100" s="85"/>
      <c r="S100" s="71"/>
    </row>
    <row r="101" spans="2:20" ht="24.95" customHeight="1" x14ac:dyDescent="0.2">
      <c r="B101" s="124">
        <v>2000</v>
      </c>
      <c r="C101" s="35">
        <f t="shared" ref="C101:Q101" si="15">SUM(C102:C113)</f>
        <v>861.20760000000007</v>
      </c>
      <c r="D101" s="34">
        <f t="shared" si="15"/>
        <v>0</v>
      </c>
      <c r="E101" s="36">
        <f t="shared" si="15"/>
        <v>0</v>
      </c>
      <c r="F101" s="36">
        <f t="shared" si="15"/>
        <v>2.6103000000000001</v>
      </c>
      <c r="G101" s="37">
        <f t="shared" si="15"/>
        <v>55.1494</v>
      </c>
      <c r="H101" s="35">
        <f t="shared" si="15"/>
        <v>57.759699999999995</v>
      </c>
      <c r="I101" s="31">
        <f t="shared" si="15"/>
        <v>146.96460000000002</v>
      </c>
      <c r="J101" s="37">
        <f t="shared" si="15"/>
        <v>75.127199999999988</v>
      </c>
      <c r="K101" s="35">
        <f t="shared" si="15"/>
        <v>222.09180000000001</v>
      </c>
      <c r="L101" s="38">
        <f t="shared" si="15"/>
        <v>45.197800000000001</v>
      </c>
      <c r="M101" s="36">
        <f t="shared" si="15"/>
        <v>0</v>
      </c>
      <c r="N101" s="35">
        <f t="shared" si="15"/>
        <v>267.28960000000001</v>
      </c>
      <c r="O101" s="35">
        <f t="shared" si="15"/>
        <v>544.06709999999998</v>
      </c>
      <c r="P101" s="34">
        <f t="shared" si="15"/>
        <v>0</v>
      </c>
      <c r="Q101" s="38">
        <f t="shared" si="15"/>
        <v>1730.3239999999998</v>
      </c>
      <c r="R101" s="85" t="e">
        <f>SUM(R102:R130)</f>
        <v>#REF!</v>
      </c>
      <c r="S101" s="71"/>
      <c r="T101" s="62"/>
    </row>
    <row r="102" spans="2:20" ht="24.95" customHeight="1" x14ac:dyDescent="0.2">
      <c r="B102" s="125" t="s">
        <v>81</v>
      </c>
      <c r="C102" s="35">
        <v>133.899</v>
      </c>
      <c r="D102" s="34"/>
      <c r="E102" s="36"/>
      <c r="F102" s="36">
        <v>0.124</v>
      </c>
      <c r="G102" s="37">
        <v>2.9319999999999999</v>
      </c>
      <c r="H102" s="35">
        <f t="shared" ref="H102:H113" si="16">D102+E102+F102+G102</f>
        <v>3.056</v>
      </c>
      <c r="I102" s="31">
        <v>3.8260000000000001</v>
      </c>
      <c r="J102" s="37">
        <v>2.948</v>
      </c>
      <c r="K102" s="35">
        <f t="shared" ref="K102:K113" si="17">I102+J102</f>
        <v>6.774</v>
      </c>
      <c r="L102" s="38">
        <v>2.0939999999999999</v>
      </c>
      <c r="M102" s="36"/>
      <c r="N102" s="35">
        <f t="shared" ref="N102:N113" si="18">L102+K102</f>
        <v>8.8680000000000003</v>
      </c>
      <c r="O102" s="35">
        <v>90.703999999999994</v>
      </c>
      <c r="P102" s="34"/>
      <c r="Q102" s="38">
        <f t="shared" ref="Q102:Q113" si="19">O102+N102+H102+C102</f>
        <v>236.52699999999999</v>
      </c>
      <c r="R102" s="85"/>
      <c r="S102" s="71"/>
      <c r="T102" s="62">
        <f>236.527-Q102</f>
        <v>0</v>
      </c>
    </row>
    <row r="103" spans="2:20" ht="24.95" customHeight="1" x14ac:dyDescent="0.2">
      <c r="B103" s="125" t="s">
        <v>82</v>
      </c>
      <c r="C103" s="35">
        <v>131.89500000000001</v>
      </c>
      <c r="D103" s="34"/>
      <c r="E103" s="36"/>
      <c r="F103" s="36">
        <v>1.76</v>
      </c>
      <c r="G103" s="37">
        <v>4.2510000000000003</v>
      </c>
      <c r="H103" s="35">
        <f t="shared" si="16"/>
        <v>6.0110000000000001</v>
      </c>
      <c r="I103" s="31">
        <v>11.676</v>
      </c>
      <c r="J103" s="37">
        <v>6.7380000000000004</v>
      </c>
      <c r="K103" s="35">
        <f t="shared" si="17"/>
        <v>18.414000000000001</v>
      </c>
      <c r="L103" s="38">
        <v>8.407</v>
      </c>
      <c r="M103" s="36"/>
      <c r="N103" s="35">
        <f t="shared" si="18"/>
        <v>26.821000000000002</v>
      </c>
      <c r="O103" s="35">
        <v>29.666</v>
      </c>
      <c r="P103" s="34"/>
      <c r="Q103" s="38">
        <f t="shared" si="19"/>
        <v>194.39300000000003</v>
      </c>
      <c r="R103" s="85"/>
      <c r="S103" s="71"/>
      <c r="T103" s="66">
        <f>194.393-Q103</f>
        <v>0</v>
      </c>
    </row>
    <row r="104" spans="2:20" ht="24.95" customHeight="1" x14ac:dyDescent="0.2">
      <c r="B104" s="125" t="s">
        <v>83</v>
      </c>
      <c r="C104" s="35">
        <v>97.042000000000002</v>
      </c>
      <c r="D104" s="34"/>
      <c r="E104" s="36"/>
      <c r="F104" s="36"/>
      <c r="G104" s="37">
        <v>6.9740000000000002</v>
      </c>
      <c r="H104" s="35">
        <f t="shared" si="16"/>
        <v>6.9740000000000002</v>
      </c>
      <c r="I104" s="31">
        <v>25.547999999999998</v>
      </c>
      <c r="J104" s="37">
        <v>7.9770000000000003</v>
      </c>
      <c r="K104" s="35">
        <f t="shared" si="17"/>
        <v>33.524999999999999</v>
      </c>
      <c r="L104" s="38">
        <v>6.8120000000000003</v>
      </c>
      <c r="M104" s="36"/>
      <c r="N104" s="35">
        <f t="shared" si="18"/>
        <v>40.336999999999996</v>
      </c>
      <c r="O104" s="35">
        <v>35.488999999999997</v>
      </c>
      <c r="P104" s="34"/>
      <c r="Q104" s="38">
        <f t="shared" si="19"/>
        <v>179.84199999999998</v>
      </c>
      <c r="R104" s="85"/>
      <c r="S104" s="71"/>
      <c r="T104" s="62">
        <f>179.842-Q104</f>
        <v>0</v>
      </c>
    </row>
    <row r="105" spans="2:20" ht="24.95" customHeight="1" x14ac:dyDescent="0.2">
      <c r="B105" s="125" t="s">
        <v>84</v>
      </c>
      <c r="C105" s="35">
        <v>41.319000000000003</v>
      </c>
      <c r="D105" s="34"/>
      <c r="E105" s="36"/>
      <c r="F105" s="36"/>
      <c r="G105" s="37">
        <v>4.0570000000000004</v>
      </c>
      <c r="H105" s="35">
        <f t="shared" si="16"/>
        <v>4.0570000000000004</v>
      </c>
      <c r="I105" s="31">
        <v>8.2449999999999992</v>
      </c>
      <c r="J105" s="37">
        <v>3.718</v>
      </c>
      <c r="K105" s="35">
        <f t="shared" si="17"/>
        <v>11.962999999999999</v>
      </c>
      <c r="L105" s="38">
        <v>2.3620000000000001</v>
      </c>
      <c r="M105" s="36"/>
      <c r="N105" s="35">
        <f t="shared" si="18"/>
        <v>14.324999999999999</v>
      </c>
      <c r="O105" s="35">
        <v>54.795999999999999</v>
      </c>
      <c r="P105" s="34"/>
      <c r="Q105" s="38">
        <f t="shared" si="19"/>
        <v>114.497</v>
      </c>
      <c r="R105" s="85"/>
      <c r="S105" s="71"/>
      <c r="T105" s="62">
        <f>114.497-Q105</f>
        <v>0</v>
      </c>
    </row>
    <row r="106" spans="2:20" ht="24.95" customHeight="1" x14ac:dyDescent="0.2">
      <c r="B106" s="125" t="s">
        <v>85</v>
      </c>
      <c r="C106" s="35">
        <v>58.119</v>
      </c>
      <c r="D106" s="34"/>
      <c r="E106" s="36"/>
      <c r="F106" s="36">
        <v>0.34499999999999997</v>
      </c>
      <c r="G106" s="37">
        <v>4.923</v>
      </c>
      <c r="H106" s="35">
        <f t="shared" si="16"/>
        <v>5.2679999999999998</v>
      </c>
      <c r="I106" s="31">
        <v>12.974</v>
      </c>
      <c r="J106" s="37">
        <v>7.27</v>
      </c>
      <c r="K106" s="35">
        <f t="shared" si="17"/>
        <v>20.244</v>
      </c>
      <c r="L106" s="38">
        <v>3.4750000000000001</v>
      </c>
      <c r="M106" s="36"/>
      <c r="N106" s="35">
        <f t="shared" si="18"/>
        <v>23.719000000000001</v>
      </c>
      <c r="O106" s="35">
        <v>22.936</v>
      </c>
      <c r="P106" s="34"/>
      <c r="Q106" s="49">
        <f t="shared" si="19"/>
        <v>110.042</v>
      </c>
      <c r="R106" s="85"/>
      <c r="S106" s="71"/>
      <c r="T106" s="66">
        <f>110.042-Q106</f>
        <v>0</v>
      </c>
    </row>
    <row r="107" spans="2:20" ht="24.95" customHeight="1" x14ac:dyDescent="0.2">
      <c r="B107" s="125" t="s">
        <v>86</v>
      </c>
      <c r="C107" s="35">
        <v>70.39</v>
      </c>
      <c r="D107" s="34"/>
      <c r="E107" s="36"/>
      <c r="F107" s="36">
        <v>0.34300000000000003</v>
      </c>
      <c r="G107" s="37">
        <v>3.964</v>
      </c>
      <c r="H107" s="35">
        <f t="shared" si="16"/>
        <v>4.3070000000000004</v>
      </c>
      <c r="I107" s="31">
        <v>10.082000000000001</v>
      </c>
      <c r="J107" s="37">
        <v>5.03</v>
      </c>
      <c r="K107" s="35">
        <f t="shared" si="17"/>
        <v>15.112000000000002</v>
      </c>
      <c r="L107" s="38">
        <v>1.847</v>
      </c>
      <c r="M107" s="36"/>
      <c r="N107" s="35">
        <f t="shared" si="18"/>
        <v>16.959000000000003</v>
      </c>
      <c r="O107" s="35">
        <v>33.072000000000003</v>
      </c>
      <c r="P107" s="34"/>
      <c r="Q107" s="38">
        <f t="shared" si="19"/>
        <v>124.72800000000001</v>
      </c>
      <c r="R107" s="85"/>
      <c r="S107" s="71"/>
      <c r="T107" s="66"/>
    </row>
    <row r="108" spans="2:20" ht="24.95" customHeight="1" x14ac:dyDescent="0.2">
      <c r="B108" s="125" t="s">
        <v>87</v>
      </c>
      <c r="C108" s="35">
        <v>66.486800000000002</v>
      </c>
      <c r="D108" s="34"/>
      <c r="E108" s="36"/>
      <c r="F108" s="36"/>
      <c r="G108" s="37">
        <v>2.7067999999999999</v>
      </c>
      <c r="H108" s="35">
        <f t="shared" si="16"/>
        <v>2.7067999999999999</v>
      </c>
      <c r="I108" s="31">
        <v>9.7761999999999993</v>
      </c>
      <c r="J108" s="37">
        <v>3.0886</v>
      </c>
      <c r="K108" s="69">
        <f t="shared" si="17"/>
        <v>12.864799999999999</v>
      </c>
      <c r="L108" s="38">
        <v>3.5280999999999998</v>
      </c>
      <c r="M108" s="36"/>
      <c r="N108" s="35">
        <f t="shared" si="18"/>
        <v>16.392899999999997</v>
      </c>
      <c r="O108" s="35">
        <v>54.828200000000002</v>
      </c>
      <c r="P108" s="34"/>
      <c r="Q108" s="49">
        <f t="shared" si="19"/>
        <v>140.41470000000001</v>
      </c>
      <c r="R108" s="85"/>
      <c r="S108" s="71"/>
      <c r="T108" s="63">
        <f>140.4147-Q108</f>
        <v>0</v>
      </c>
    </row>
    <row r="109" spans="2:20" ht="24.95" customHeight="1" x14ac:dyDescent="0.2">
      <c r="B109" s="125" t="s">
        <v>88</v>
      </c>
      <c r="C109" s="35">
        <v>53.730600000000003</v>
      </c>
      <c r="D109" s="34"/>
      <c r="E109" s="36"/>
      <c r="F109" s="36">
        <v>3.8300000000000001E-2</v>
      </c>
      <c r="G109" s="37">
        <v>5.1669999999999998</v>
      </c>
      <c r="H109" s="35">
        <f t="shared" si="16"/>
        <v>5.2052999999999994</v>
      </c>
      <c r="I109" s="31">
        <v>11.1556</v>
      </c>
      <c r="J109" s="37">
        <v>6.0015000000000001</v>
      </c>
      <c r="K109" s="69">
        <f t="shared" si="17"/>
        <v>17.1571</v>
      </c>
      <c r="L109" s="38">
        <v>3.1156000000000001</v>
      </c>
      <c r="M109" s="36"/>
      <c r="N109" s="35">
        <f t="shared" si="18"/>
        <v>20.2727</v>
      </c>
      <c r="O109" s="35">
        <f>+ROUND(58.65,1)</f>
        <v>58.7</v>
      </c>
      <c r="P109" s="34"/>
      <c r="Q109" s="49">
        <f t="shared" si="19"/>
        <v>137.90860000000001</v>
      </c>
      <c r="R109" s="85"/>
      <c r="S109" s="71"/>
      <c r="T109" s="63"/>
    </row>
    <row r="110" spans="2:20" ht="24.95" customHeight="1" x14ac:dyDescent="0.2">
      <c r="B110" s="125" t="s">
        <v>89</v>
      </c>
      <c r="C110" s="35">
        <v>66.026200000000003</v>
      </c>
      <c r="D110" s="34"/>
      <c r="E110" s="36"/>
      <c r="F110" s="36"/>
      <c r="G110" s="37">
        <v>6.5746000000000002</v>
      </c>
      <c r="H110" s="35">
        <f t="shared" si="16"/>
        <v>6.5746000000000002</v>
      </c>
      <c r="I110" s="31">
        <v>21.181799999999999</v>
      </c>
      <c r="J110" s="37">
        <v>8.3560999999999996</v>
      </c>
      <c r="K110" s="69">
        <f t="shared" si="17"/>
        <v>29.5379</v>
      </c>
      <c r="L110" s="38">
        <v>2.2570999999999999</v>
      </c>
      <c r="M110" s="36"/>
      <c r="N110" s="35">
        <f t="shared" si="18"/>
        <v>31.795000000000002</v>
      </c>
      <c r="O110" s="35">
        <v>30.7759</v>
      </c>
      <c r="P110" s="34"/>
      <c r="Q110" s="49">
        <f t="shared" si="19"/>
        <v>135.17169999999999</v>
      </c>
      <c r="R110" s="85"/>
      <c r="S110" s="71"/>
      <c r="T110" s="62">
        <f>135.1717-Q110</f>
        <v>0</v>
      </c>
    </row>
    <row r="111" spans="2:20" ht="24.95" customHeight="1" x14ac:dyDescent="0.2">
      <c r="B111" s="125" t="s">
        <v>90</v>
      </c>
      <c r="C111" s="35">
        <v>55.4</v>
      </c>
      <c r="D111" s="34"/>
      <c r="E111" s="36"/>
      <c r="F111" s="36"/>
      <c r="G111" s="37">
        <v>4.8</v>
      </c>
      <c r="H111" s="35">
        <f t="shared" si="16"/>
        <v>4.8</v>
      </c>
      <c r="I111" s="31">
        <v>12.7</v>
      </c>
      <c r="J111" s="37">
        <v>4.8</v>
      </c>
      <c r="K111" s="35">
        <f t="shared" si="17"/>
        <v>17.5</v>
      </c>
      <c r="L111" s="38">
        <v>4.0999999999999996</v>
      </c>
      <c r="M111" s="36"/>
      <c r="N111" s="35">
        <f t="shared" si="18"/>
        <v>21.6</v>
      </c>
      <c r="O111" s="35">
        <v>39.700000000000003</v>
      </c>
      <c r="P111" s="34"/>
      <c r="Q111" s="49">
        <f t="shared" si="19"/>
        <v>121.5</v>
      </c>
      <c r="R111" s="85"/>
      <c r="S111" s="71"/>
    </row>
    <row r="112" spans="2:20" ht="24.95" customHeight="1" x14ac:dyDescent="0.2">
      <c r="B112" s="125" t="s">
        <v>91</v>
      </c>
      <c r="C112" s="35">
        <v>42.2</v>
      </c>
      <c r="D112" s="34"/>
      <c r="E112" s="36"/>
      <c r="F112" s="36"/>
      <c r="G112" s="37">
        <v>3.8</v>
      </c>
      <c r="H112" s="35">
        <f t="shared" si="16"/>
        <v>3.8</v>
      </c>
      <c r="I112" s="31">
        <v>12.8</v>
      </c>
      <c r="J112" s="37">
        <v>12.6</v>
      </c>
      <c r="K112" s="35">
        <f t="shared" si="17"/>
        <v>25.4</v>
      </c>
      <c r="L112" s="38">
        <v>3.6</v>
      </c>
      <c r="M112" s="36"/>
      <c r="N112" s="35">
        <f t="shared" si="18"/>
        <v>29</v>
      </c>
      <c r="O112" s="35">
        <v>34.6</v>
      </c>
      <c r="P112" s="34"/>
      <c r="Q112" s="49">
        <f t="shared" si="19"/>
        <v>109.60000000000001</v>
      </c>
      <c r="R112" s="85"/>
      <c r="S112" s="71"/>
    </row>
    <row r="113" spans="2:26" ht="24.95" customHeight="1" x14ac:dyDescent="0.2">
      <c r="B113" s="125" t="s">
        <v>63</v>
      </c>
      <c r="C113" s="35">
        <v>44.7</v>
      </c>
      <c r="D113" s="34"/>
      <c r="E113" s="36"/>
      <c r="F113" s="36"/>
      <c r="G113" s="37">
        <v>5</v>
      </c>
      <c r="H113" s="35">
        <f t="shared" si="16"/>
        <v>5</v>
      </c>
      <c r="I113" s="31">
        <v>7</v>
      </c>
      <c r="J113" s="37">
        <v>6.6</v>
      </c>
      <c r="K113" s="35">
        <f t="shared" si="17"/>
        <v>13.6</v>
      </c>
      <c r="L113" s="38">
        <v>3.6</v>
      </c>
      <c r="M113" s="36"/>
      <c r="N113" s="35">
        <f t="shared" si="18"/>
        <v>17.2</v>
      </c>
      <c r="O113" s="35">
        <v>58.8</v>
      </c>
      <c r="P113" s="34"/>
      <c r="Q113" s="49">
        <f t="shared" si="19"/>
        <v>125.7</v>
      </c>
      <c r="R113" s="85"/>
      <c r="S113" s="71"/>
    </row>
    <row r="114" spans="2:26" ht="6.75" customHeight="1" thickBot="1" x14ac:dyDescent="0.25">
      <c r="B114" s="126"/>
      <c r="C114" s="127"/>
      <c r="D114" s="127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  <c r="O114" s="127"/>
      <c r="P114" s="127"/>
      <c r="Q114" s="127"/>
      <c r="R114" s="128"/>
      <c r="Z114" s="90"/>
    </row>
    <row r="115" spans="2:26" ht="17.100000000000001" customHeight="1" x14ac:dyDescent="0.2">
      <c r="B115" s="7" t="s">
        <v>48</v>
      </c>
      <c r="C115" s="5" t="s">
        <v>92</v>
      </c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 spans="2:26" ht="17.100000000000001" customHeight="1" x14ac:dyDescent="0.2">
      <c r="B116" s="7" t="s">
        <v>74</v>
      </c>
      <c r="C116" s="5" t="s">
        <v>93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 spans="2:26" ht="17.100000000000001" customHeight="1" x14ac:dyDescent="0.2">
      <c r="B117" s="7" t="s">
        <v>49</v>
      </c>
      <c r="C117" s="5" t="s">
        <v>97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 spans="2:26" ht="17.100000000000001" customHeight="1" x14ac:dyDescent="0.2">
      <c r="C118" s="5" t="s">
        <v>99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 spans="2:26" s="129" customFormat="1" ht="17.100000000000001" customHeight="1" x14ac:dyDescent="0.2">
      <c r="C119" s="5" t="s">
        <v>98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 spans="2:26" ht="15" x14ac:dyDescent="0.2">
      <c r="G120" s="61"/>
      <c r="H120" s="61"/>
      <c r="I120" s="61"/>
      <c r="R120" s="7" t="e">
        <f>SUM(#REF!)</f>
        <v>#REF!</v>
      </c>
    </row>
  </sheetData>
  <mergeCells count="8">
    <mergeCell ref="B6:B12"/>
    <mergeCell ref="I9:N9"/>
    <mergeCell ref="D11:D12"/>
    <mergeCell ref="F11:F12"/>
    <mergeCell ref="L11:M12"/>
    <mergeCell ref="N11:N12"/>
    <mergeCell ref="I11:K11"/>
    <mergeCell ref="H11:H12"/>
  </mergeCells>
  <phoneticPr fontId="0" type="noConversion"/>
  <printOptions horizontalCentered="1" verticalCentered="1"/>
  <pageMargins left="0.75" right="0.75" top="1" bottom="1" header="0.51181102362204722" footer="0.51181102362204722"/>
  <pageSetup scale="40" fitToHeight="2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08-06</vt:lpstr>
      <vt:lpstr>Histórico</vt:lpstr>
      <vt:lpstr>'08-06'!A_impresión_IM</vt:lpstr>
      <vt:lpstr>Histórico!A_impresión_IM</vt:lpstr>
      <vt:lpstr>'08-06'!Área_de_impresión</vt:lpstr>
      <vt:lpstr>Histórico!Área_de_impresión</vt:lpstr>
      <vt:lpstr>Histórico!Títulos_a_imprimir</vt:lpstr>
    </vt:vector>
  </TitlesOfParts>
  <Company>Banco Central de Bolivia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G. Oropeza Grágeda</dc:creator>
  <cp:lastModifiedBy>Valued Acer Customer</cp:lastModifiedBy>
  <cp:lastPrinted>2016-05-13T13:50:43Z</cp:lastPrinted>
  <dcterms:created xsi:type="dcterms:W3CDTF">1998-08-31T17:27:36Z</dcterms:created>
  <dcterms:modified xsi:type="dcterms:W3CDTF">2016-05-20T21:54:05Z</dcterms:modified>
</cp:coreProperties>
</file>