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410" yWindow="885" windowWidth="11325" windowHeight="9600"/>
  </bookViews>
  <sheets>
    <sheet name="10-08" sheetId="1" r:id="rId1"/>
  </sheets>
  <definedNames>
    <definedName name="_Regression_Int" localSheetId="0" hidden="1">1</definedName>
    <definedName name="A_impresión_IM" localSheetId="0">'10-08'!$A$1:$O$315</definedName>
    <definedName name="_xlnm.Print_Area" localSheetId="0">'10-08'!$B$1:$N$316</definedName>
  </definedNames>
  <calcPr calcId="145621"/>
</workbook>
</file>

<file path=xl/calcChain.xml><?xml version="1.0" encoding="utf-8"?>
<calcChain xmlns="http://schemas.openxmlformats.org/spreadsheetml/2006/main">
  <c r="M136" i="1" l="1"/>
  <c r="L136" i="1"/>
  <c r="J136" i="1"/>
  <c r="I136" i="1"/>
  <c r="G136" i="1"/>
  <c r="F136" i="1"/>
  <c r="C136" i="1"/>
  <c r="C9" i="1"/>
  <c r="D9" i="1"/>
  <c r="E9" i="1"/>
  <c r="F9" i="1"/>
  <c r="G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L28" i="1"/>
  <c r="M28" i="1"/>
  <c r="C29" i="1"/>
  <c r="D29" i="1"/>
  <c r="E29" i="1"/>
  <c r="F29" i="1"/>
  <c r="G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2" i="1"/>
  <c r="D32" i="1"/>
  <c r="E32" i="1"/>
  <c r="F32" i="1"/>
  <c r="G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L41" i="1"/>
  <c r="M41" i="1"/>
  <c r="C42" i="1"/>
  <c r="D42" i="1"/>
  <c r="E42" i="1"/>
  <c r="F42" i="1"/>
  <c r="G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50" i="1"/>
  <c r="D50" i="1"/>
  <c r="E50" i="1"/>
  <c r="F50" i="1"/>
  <c r="G50" i="1"/>
  <c r="I50" i="1"/>
  <c r="J50" i="1"/>
  <c r="K50" i="1"/>
  <c r="L50" i="1"/>
  <c r="M50" i="1"/>
  <c r="C51" i="1"/>
  <c r="D51" i="1"/>
  <c r="E51" i="1"/>
  <c r="F51" i="1"/>
  <c r="G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L54" i="1"/>
  <c r="M54" i="1"/>
  <c r="C55" i="1"/>
  <c r="D55" i="1"/>
  <c r="E55" i="1"/>
  <c r="F55" i="1"/>
  <c r="G55" i="1"/>
  <c r="I55" i="1"/>
  <c r="J55" i="1"/>
  <c r="K55" i="1"/>
  <c r="L55" i="1"/>
  <c r="M55" i="1"/>
  <c r="C56" i="1"/>
  <c r="D56" i="1"/>
  <c r="E56" i="1"/>
  <c r="F56" i="1"/>
  <c r="G56" i="1"/>
  <c r="I56" i="1"/>
  <c r="J56" i="1"/>
  <c r="K56" i="1"/>
  <c r="L56" i="1"/>
  <c r="M56" i="1"/>
  <c r="C57" i="1"/>
  <c r="D57" i="1"/>
  <c r="E57" i="1"/>
  <c r="F57" i="1"/>
  <c r="G57" i="1"/>
  <c r="I57" i="1"/>
  <c r="J57" i="1"/>
  <c r="K57" i="1"/>
  <c r="L57" i="1"/>
  <c r="M57" i="1"/>
  <c r="C58" i="1"/>
  <c r="D58" i="1"/>
  <c r="E58" i="1"/>
  <c r="F58" i="1"/>
  <c r="G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L61" i="1"/>
  <c r="M61" i="1"/>
  <c r="C64" i="1"/>
  <c r="D64" i="1"/>
  <c r="E64" i="1"/>
  <c r="F64" i="1"/>
  <c r="G64" i="1"/>
  <c r="H64" i="1"/>
  <c r="I64" i="1"/>
  <c r="J64" i="1"/>
  <c r="L64" i="1"/>
  <c r="M64" i="1"/>
  <c r="C65" i="1"/>
  <c r="D65" i="1"/>
  <c r="E65" i="1"/>
  <c r="F65" i="1"/>
  <c r="G65" i="1"/>
  <c r="H65" i="1"/>
  <c r="I65" i="1"/>
  <c r="J65" i="1"/>
  <c r="L65" i="1"/>
  <c r="M65" i="1"/>
  <c r="C66" i="1"/>
  <c r="D66" i="1"/>
  <c r="E66" i="1"/>
  <c r="F66" i="1"/>
  <c r="G66" i="1"/>
  <c r="I66" i="1"/>
  <c r="J66" i="1"/>
  <c r="L66" i="1"/>
  <c r="M66" i="1"/>
  <c r="C67" i="1"/>
  <c r="D67" i="1"/>
  <c r="E67" i="1"/>
  <c r="F67" i="1"/>
  <c r="G67" i="1"/>
  <c r="H67" i="1"/>
  <c r="I67" i="1"/>
  <c r="J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I84" i="1"/>
  <c r="J84" i="1"/>
  <c r="K84" i="1"/>
  <c r="L84" i="1"/>
  <c r="M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I93" i="1"/>
  <c r="J93" i="1"/>
  <c r="K93" i="1"/>
  <c r="L93" i="1"/>
  <c r="M93" i="1"/>
  <c r="C94" i="1"/>
  <c r="D94" i="1"/>
  <c r="E94" i="1"/>
  <c r="F94" i="1"/>
  <c r="G94" i="1"/>
  <c r="I94" i="1"/>
  <c r="J94" i="1"/>
  <c r="K94" i="1"/>
  <c r="L94" i="1"/>
  <c r="M94" i="1"/>
  <c r="C95" i="1"/>
  <c r="D95" i="1"/>
  <c r="E95" i="1"/>
  <c r="F95" i="1"/>
  <c r="G95" i="1"/>
  <c r="I95" i="1"/>
  <c r="J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I97" i="1"/>
  <c r="J97" i="1"/>
  <c r="K97" i="1"/>
  <c r="L97" i="1"/>
  <c r="M97" i="1"/>
  <c r="C98" i="1"/>
  <c r="D98" i="1"/>
  <c r="E98" i="1"/>
  <c r="F98" i="1"/>
  <c r="G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I100" i="1"/>
  <c r="J100" i="1"/>
  <c r="K100" i="1"/>
  <c r="L100" i="1"/>
  <c r="M100" i="1"/>
  <c r="C101" i="1"/>
  <c r="D101" i="1"/>
  <c r="E101" i="1"/>
  <c r="F101" i="1"/>
  <c r="G101" i="1"/>
  <c r="I101" i="1"/>
  <c r="J101" i="1"/>
  <c r="K101" i="1"/>
  <c r="L101" i="1"/>
  <c r="M101" i="1"/>
  <c r="C102" i="1"/>
  <c r="D102" i="1"/>
  <c r="E102" i="1"/>
  <c r="F102" i="1"/>
  <c r="G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0" i="1"/>
  <c r="D110" i="1"/>
  <c r="E110" i="1"/>
  <c r="F110" i="1"/>
  <c r="G110" i="1"/>
  <c r="H110" i="1"/>
  <c r="I110" i="1"/>
  <c r="J110" i="1"/>
  <c r="K110" i="1"/>
  <c r="L110" i="1"/>
  <c r="M110" i="1"/>
  <c r="C111" i="1"/>
  <c r="D111" i="1"/>
  <c r="E111" i="1"/>
  <c r="F111" i="1"/>
  <c r="G111" i="1"/>
  <c r="H111" i="1"/>
  <c r="I111" i="1"/>
  <c r="J111" i="1"/>
  <c r="K111" i="1"/>
  <c r="L111" i="1"/>
  <c r="M111" i="1"/>
  <c r="C112" i="1"/>
  <c r="D112" i="1"/>
  <c r="E112" i="1"/>
  <c r="F112" i="1"/>
  <c r="G112" i="1"/>
  <c r="H112" i="1"/>
  <c r="I112" i="1"/>
  <c r="J112" i="1"/>
  <c r="K112" i="1"/>
  <c r="L112" i="1"/>
  <c r="M112" i="1"/>
  <c r="C113" i="1"/>
  <c r="D113" i="1"/>
  <c r="E113" i="1"/>
  <c r="F113" i="1"/>
  <c r="G113" i="1"/>
  <c r="H113" i="1"/>
  <c r="I113" i="1"/>
  <c r="J113" i="1"/>
  <c r="K113" i="1"/>
  <c r="L113" i="1"/>
  <c r="M113" i="1"/>
  <c r="C114" i="1"/>
  <c r="D114" i="1"/>
  <c r="E114" i="1"/>
  <c r="F114" i="1"/>
  <c r="G114" i="1"/>
  <c r="H114" i="1"/>
  <c r="I114" i="1"/>
  <c r="J114" i="1"/>
  <c r="K114" i="1"/>
  <c r="L114" i="1"/>
  <c r="M114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19" i="1"/>
  <c r="D119" i="1"/>
  <c r="E119" i="1"/>
  <c r="F119" i="1"/>
  <c r="G119" i="1"/>
  <c r="H119" i="1"/>
  <c r="I119" i="1"/>
  <c r="J119" i="1"/>
  <c r="K119" i="1"/>
  <c r="L119" i="1"/>
  <c r="M119" i="1"/>
  <c r="C120" i="1"/>
  <c r="D120" i="1"/>
  <c r="E120" i="1"/>
  <c r="F120" i="1"/>
  <c r="G120" i="1"/>
  <c r="H120" i="1"/>
  <c r="I120" i="1"/>
  <c r="J120" i="1"/>
  <c r="K120" i="1"/>
  <c r="L120" i="1"/>
  <c r="M120" i="1"/>
  <c r="C122" i="1"/>
  <c r="D122" i="1"/>
  <c r="E122" i="1"/>
  <c r="F122" i="1"/>
  <c r="G122" i="1"/>
  <c r="H122" i="1"/>
  <c r="I122" i="1"/>
  <c r="J122" i="1"/>
  <c r="K122" i="1"/>
  <c r="L122" i="1"/>
  <c r="M122" i="1"/>
  <c r="C123" i="1"/>
  <c r="D123" i="1"/>
  <c r="E123" i="1"/>
  <c r="F123" i="1"/>
  <c r="G123" i="1"/>
  <c r="H123" i="1"/>
  <c r="I123" i="1"/>
  <c r="J123" i="1"/>
  <c r="K123" i="1"/>
  <c r="L123" i="1"/>
  <c r="M123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8" i="1"/>
  <c r="D128" i="1"/>
  <c r="E128" i="1"/>
  <c r="F128" i="1"/>
  <c r="G128" i="1"/>
  <c r="H128" i="1"/>
  <c r="I128" i="1"/>
  <c r="J128" i="1"/>
  <c r="K128" i="1"/>
  <c r="L128" i="1"/>
  <c r="M128" i="1"/>
  <c r="C129" i="1"/>
  <c r="D129" i="1"/>
  <c r="E129" i="1"/>
  <c r="F129" i="1"/>
  <c r="G129" i="1"/>
  <c r="H129" i="1"/>
  <c r="I129" i="1"/>
  <c r="J129" i="1"/>
  <c r="K129" i="1"/>
  <c r="L129" i="1"/>
  <c r="M129" i="1"/>
  <c r="C130" i="1"/>
  <c r="D130" i="1"/>
  <c r="E130" i="1"/>
  <c r="F130" i="1"/>
  <c r="G130" i="1"/>
  <c r="H130" i="1"/>
  <c r="I130" i="1"/>
  <c r="J130" i="1"/>
  <c r="K130" i="1"/>
  <c r="L130" i="1"/>
  <c r="M130" i="1"/>
  <c r="C131" i="1"/>
  <c r="D131" i="1"/>
  <c r="E131" i="1"/>
  <c r="F131" i="1"/>
  <c r="G131" i="1"/>
  <c r="H131" i="1"/>
  <c r="I131" i="1"/>
  <c r="J131" i="1"/>
  <c r="K131" i="1"/>
  <c r="L131" i="1"/>
  <c r="M131" i="1"/>
  <c r="C132" i="1"/>
  <c r="D132" i="1"/>
  <c r="E132" i="1"/>
  <c r="F132" i="1"/>
  <c r="G132" i="1"/>
  <c r="H132" i="1"/>
  <c r="I132" i="1"/>
  <c r="J132" i="1"/>
  <c r="K132" i="1"/>
  <c r="L132" i="1"/>
  <c r="M132" i="1"/>
  <c r="C133" i="1"/>
  <c r="D133" i="1"/>
  <c r="E133" i="1"/>
  <c r="F133" i="1"/>
  <c r="G133" i="1"/>
  <c r="H133" i="1"/>
  <c r="I133" i="1"/>
  <c r="J133" i="1"/>
  <c r="K133" i="1"/>
  <c r="L133" i="1"/>
  <c r="M133" i="1"/>
  <c r="C134" i="1"/>
  <c r="D134" i="1"/>
  <c r="E134" i="1"/>
  <c r="F134" i="1"/>
  <c r="G134" i="1"/>
  <c r="H134" i="1"/>
  <c r="I134" i="1"/>
  <c r="J134" i="1"/>
  <c r="K134" i="1"/>
  <c r="L134" i="1"/>
  <c r="M134" i="1"/>
  <c r="C106" i="1"/>
  <c r="D106" i="1"/>
  <c r="E106" i="1"/>
  <c r="F106" i="1"/>
  <c r="G106" i="1"/>
  <c r="H106" i="1"/>
  <c r="I106" i="1"/>
  <c r="J106" i="1"/>
  <c r="K106" i="1"/>
  <c r="L106" i="1"/>
  <c r="M106" i="1"/>
  <c r="C135" i="1"/>
  <c r="D135" i="1"/>
  <c r="E135" i="1"/>
  <c r="F135" i="1"/>
  <c r="G135" i="1"/>
  <c r="H135" i="1"/>
  <c r="I135" i="1"/>
  <c r="J135" i="1"/>
  <c r="K135" i="1"/>
  <c r="L135" i="1"/>
  <c r="M135" i="1"/>
  <c r="D136" i="1"/>
  <c r="E136" i="1"/>
  <c r="H136" i="1"/>
  <c r="K136" i="1"/>
</calcChain>
</file>

<file path=xl/sharedStrings.xml><?xml version="1.0" encoding="utf-8"?>
<sst xmlns="http://schemas.openxmlformats.org/spreadsheetml/2006/main" count="276" uniqueCount="88">
  <si>
    <t>Estaño</t>
  </si>
  <si>
    <t>Antimonio</t>
  </si>
  <si>
    <t>Plomo</t>
  </si>
  <si>
    <t>Zinc</t>
  </si>
  <si>
    <t>Cobre</t>
  </si>
  <si>
    <t>Plata</t>
  </si>
  <si>
    <t>Oro</t>
  </si>
  <si>
    <t>Aleaciones</t>
  </si>
  <si>
    <t>TOTAL</t>
  </si>
  <si>
    <t xml:space="preserve"> 1990</t>
  </si>
  <si>
    <t xml:space="preserve"> 1991</t>
  </si>
  <si>
    <t xml:space="preserve"> 1992</t>
  </si>
  <si>
    <t>ENE96(p)</t>
  </si>
  <si>
    <t>FEB96(p)</t>
  </si>
  <si>
    <t>MAR96(p)</t>
  </si>
  <si>
    <t>ABR96(p)</t>
  </si>
  <si>
    <t>MAY96(p)</t>
  </si>
  <si>
    <t>JUN96(p)</t>
  </si>
  <si>
    <t>JUL96(p)</t>
  </si>
  <si>
    <t>AGO96(p)</t>
  </si>
  <si>
    <t>SEP96(p)</t>
  </si>
  <si>
    <t>OCT96(p)</t>
  </si>
  <si>
    <t>NOV96(p)</t>
  </si>
  <si>
    <t>DIC96(p)</t>
  </si>
  <si>
    <t xml:space="preserve">ENE </t>
  </si>
  <si>
    <t xml:space="preserve">FEB </t>
  </si>
  <si>
    <t xml:space="preserve">MAR </t>
  </si>
  <si>
    <t>ABR</t>
  </si>
  <si>
    <t xml:space="preserve">MAY </t>
  </si>
  <si>
    <t xml:space="preserve">JUN </t>
  </si>
  <si>
    <t xml:space="preserve">JUL </t>
  </si>
  <si>
    <t xml:space="preserve">AGO </t>
  </si>
  <si>
    <t xml:space="preserve">SEP </t>
  </si>
  <si>
    <t xml:space="preserve">OCT </t>
  </si>
  <si>
    <t xml:space="preserve">NOV </t>
  </si>
  <si>
    <t xml:space="preserve">DIC </t>
  </si>
  <si>
    <t>EXPORTACIÓN DE MINERALES</t>
  </si>
  <si>
    <t xml:space="preserve">           ENE</t>
  </si>
  <si>
    <t xml:space="preserve">           FEB</t>
  </si>
  <si>
    <t xml:space="preserve">           MAR</t>
  </si>
  <si>
    <t xml:space="preserve">           ABR</t>
  </si>
  <si>
    <t xml:space="preserve">           MAY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</si>
  <si>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</si>
  <si>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</si>
  <si>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</si>
  <si>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</si>
  <si>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</si>
  <si>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</si>
  <si>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DIC</t>
  </si>
  <si>
    <t>PERÍODO</t>
  </si>
  <si>
    <r>
      <t>1998</t>
    </r>
    <r>
      <rPr>
        <vertAlign val="superscript"/>
        <sz val="12"/>
        <color indexed="8"/>
        <rFont val="Arial"/>
        <family val="2"/>
      </rPr>
      <t>(p)</t>
    </r>
  </si>
  <si>
    <r>
      <t xml:space="preserve"> Otros</t>
    </r>
    <r>
      <rPr>
        <b/>
        <vertAlign val="superscript"/>
        <sz val="12"/>
        <color indexed="8"/>
        <rFont val="Arial"/>
        <family val="2"/>
      </rPr>
      <t xml:space="preserve"> (1)</t>
    </r>
  </si>
  <si>
    <r>
      <t>2000</t>
    </r>
    <r>
      <rPr>
        <vertAlign val="superscript"/>
        <sz val="12"/>
        <color indexed="8"/>
        <rFont val="Arial"/>
        <family val="2"/>
      </rPr>
      <t>(p)</t>
    </r>
  </si>
  <si>
    <t>ÍNDICE DE QUÁNTUM</t>
  </si>
  <si>
    <t>Wólfram</t>
  </si>
  <si>
    <r>
      <t>2001</t>
    </r>
    <r>
      <rPr>
        <vertAlign val="superscript"/>
        <sz val="12"/>
        <color indexed="8"/>
        <rFont val="Arial"/>
        <family val="2"/>
      </rPr>
      <t>(p)</t>
    </r>
  </si>
  <si>
    <t xml:space="preserve">            (Base 2000 = 100)</t>
  </si>
  <si>
    <t>FUENTE:</t>
  </si>
  <si>
    <t>ELABORACIÓN:</t>
  </si>
  <si>
    <t>NOTAS:</t>
  </si>
  <si>
    <t>BANCO CENTRAL DE BOLIVIA - ASESORÍA DE POLÍTICA ECONÓMICA - SECTOR EXTERNO.</t>
  </si>
  <si>
    <t>2007</t>
  </si>
  <si>
    <t>2008</t>
  </si>
  <si>
    <t xml:space="preserve">           JUL</t>
  </si>
  <si>
    <t xml:space="preserve">           AGO</t>
  </si>
  <si>
    <t xml:space="preserve">           SEP</t>
  </si>
  <si>
    <r>
      <t>2014</t>
    </r>
    <r>
      <rPr>
        <vertAlign val="superscript"/>
        <sz val="12"/>
        <color indexed="8"/>
        <rFont val="Arial"/>
        <family val="2"/>
      </rPr>
      <t>(p)</t>
    </r>
  </si>
  <si>
    <t>2012</t>
  </si>
  <si>
    <t xml:space="preserve">           OCT</t>
  </si>
  <si>
    <t xml:space="preserve">           NOV</t>
  </si>
  <si>
    <t xml:space="preserve">           DIC</t>
  </si>
  <si>
    <t>ENE</t>
  </si>
  <si>
    <t>FEB</t>
  </si>
  <si>
    <t>MAR</t>
  </si>
  <si>
    <t>MAY</t>
  </si>
  <si>
    <t>JUN</t>
  </si>
  <si>
    <t>JUL</t>
  </si>
  <si>
    <t>AGO</t>
  </si>
  <si>
    <t>SEP</t>
  </si>
  <si>
    <t>INSTITUTO NACIONAL DE ESTADISTICA.</t>
  </si>
  <si>
    <t>OCT</t>
  </si>
  <si>
    <t>NOV</t>
  </si>
  <si>
    <t>DIC</t>
  </si>
  <si>
    <r>
      <t xml:space="preserve">2014 </t>
    </r>
    <r>
      <rPr>
        <vertAlign val="superscript"/>
        <sz val="12"/>
        <color indexed="8"/>
        <rFont val="Arial"/>
        <family val="2"/>
      </rPr>
      <t>p</t>
    </r>
  </si>
  <si>
    <r>
      <t xml:space="preserve">2015 </t>
    </r>
    <r>
      <rPr>
        <vertAlign val="superscript"/>
        <sz val="12"/>
        <color indexed="8"/>
        <rFont val="Arial"/>
        <family val="2"/>
      </rPr>
      <t>p (2)</t>
    </r>
  </si>
  <si>
    <t>(2) Datos para 2015 actualizados al mes de febrero de 2016</t>
  </si>
  <si>
    <t xml:space="preserve">(1) Incluye sal, yeso, cadmio, hierro, ulexita, calcita, manganeso, baritina, tantalita y otros minerales no tradicionales   </t>
  </si>
  <si>
    <t>(p) Cifras preliminares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</si>
</sst>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"/>
    <numFmt numFmtId="165" formatCode="#,##0.000_);\(#,##0.000\)"/>
    <numFmt numFmtId="166" formatCode="0_);\(0\)"/>
    <numFmt numFmtId="167" formatCode="#,##0.00000\ _B_s;\-#,##0.00000\ _B_s"/>
    <numFmt numFmtId="168" formatCode="#,##0.000000\ _B_s;\-#,##0.000000\ _B_s"/>
    <numFmt numFmtId="169" formatCode="#,##0.0000000\ _B_s;\-#,##0.0000000\ _B_s"/>
    <numFmt numFmtId="170" formatCode="#,##0.00000"/>
    <numFmt numFmtId="171" formatCode="#,##0.0_);\(#,##0.0\)"/>
  </numFmts>
  <fonts count="28" x14ac:knownFonts="1">
    <font>
      <sz val="12"/>
      <name val="Courier"/>
    </font>
    <font>
      <sz val="1"/>
      <color indexed="8"/>
      <name val="Courier"/>
      <family val="3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vertAlign val="superscript"/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4"/>
      <name val="Times New Roman"/>
      <family val="1"/>
    </font>
    <font>
      <sz val="20"/>
      <name val="Times New Roman"/>
      <family val="1"/>
    </font>
    <font>
      <b/>
      <sz val="18"/>
      <name val="Times New Roman"/>
      <family val="1"/>
    </font>
    <font>
      <sz val="15"/>
      <name val="Times New Roman"/>
      <family val="1"/>
    </font>
    <font>
      <b/>
      <sz val="15"/>
      <color indexed="8"/>
      <name val="Arial"/>
      <family val="2"/>
    </font>
    <font>
      <sz val="15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20"/>
      <color indexed="8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18"/>
      <color indexed="8"/>
      <name val="Arial"/>
      <family val="2"/>
    </font>
    <font>
      <b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37" fontId="0" fillId="0" borderId="0"/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</cellStyleXfs>
  <cellXfs count="118">
    <xf numFmtId="37" fontId="0" fillId="0" borderId="0" xfId="0"/>
    <xf numFmtId="37" fontId="3" fillId="0" borderId="0" xfId="0" applyFont="1" applyFill="1"/>
    <xf numFmtId="37" fontId="4" fillId="0" borderId="0" xfId="0" applyFont="1"/>
    <xf numFmtId="37" fontId="3" fillId="0" borderId="0" xfId="0" applyFont="1" applyFill="1" applyAlignment="1">
      <alignment vertical="center"/>
    </xf>
    <xf numFmtId="37" fontId="4" fillId="0" borderId="0" xfId="0" applyFont="1" applyAlignment="1">
      <alignment vertical="center"/>
    </xf>
    <xf numFmtId="37" fontId="6" fillId="0" borderId="0" xfId="0" applyNumberFormat="1" applyFont="1" applyFill="1" applyProtection="1"/>
    <xf numFmtId="37" fontId="7" fillId="0" borderId="0" xfId="0" applyFont="1"/>
    <xf numFmtId="37" fontId="6" fillId="0" borderId="1" xfId="0" applyNumberFormat="1" applyFont="1" applyFill="1" applyBorder="1" applyAlignment="1" applyProtection="1">
      <alignment vertical="center"/>
    </xf>
    <xf numFmtId="37" fontId="6" fillId="0" borderId="0" xfId="0" applyFont="1" applyFill="1"/>
    <xf numFmtId="37" fontId="6" fillId="0" borderId="2" xfId="0" applyFont="1" applyFill="1" applyBorder="1" applyAlignment="1" applyProtection="1">
      <alignment vertical="center"/>
    </xf>
    <xf numFmtId="37" fontId="9" fillId="0" borderId="0" xfId="0" applyFont="1"/>
    <xf numFmtId="37" fontId="8" fillId="0" borderId="0" xfId="0" applyFont="1" applyFill="1" applyAlignment="1" applyProtection="1"/>
    <xf numFmtId="37" fontId="2" fillId="0" borderId="0" xfId="0" applyFont="1" applyFill="1" applyAlignment="1">
      <alignment vertical="center"/>
    </xf>
    <xf numFmtId="37" fontId="5" fillId="0" borderId="1" xfId="0" applyFont="1" applyFill="1" applyBorder="1" applyAlignment="1" applyProtection="1">
      <alignment vertical="center"/>
    </xf>
    <xf numFmtId="37" fontId="5" fillId="0" borderId="3" xfId="0" applyFont="1" applyFill="1" applyBorder="1" applyAlignment="1">
      <alignment horizontal="center" vertical="center"/>
    </xf>
    <xf numFmtId="37" fontId="5" fillId="0" borderId="4" xfId="0" applyFont="1" applyFill="1" applyBorder="1" applyAlignment="1" applyProtection="1">
      <alignment vertical="center"/>
    </xf>
    <xf numFmtId="37" fontId="5" fillId="0" borderId="5" xfId="0" applyFont="1" applyFill="1" applyBorder="1" applyAlignment="1" applyProtection="1">
      <alignment horizontal="center" vertical="center"/>
    </xf>
    <xf numFmtId="37" fontId="5" fillId="0" borderId="6" xfId="0" applyFont="1" applyFill="1" applyBorder="1" applyAlignment="1">
      <alignment horizontal="center" vertical="center"/>
    </xf>
    <xf numFmtId="37" fontId="6" fillId="0" borderId="4" xfId="0" applyFont="1" applyFill="1" applyBorder="1" applyAlignment="1" applyProtection="1">
      <alignment horizontal="center" vertical="center"/>
    </xf>
    <xf numFmtId="37" fontId="6" fillId="0" borderId="5" xfId="0" applyFont="1" applyFill="1" applyBorder="1" applyAlignment="1" applyProtection="1">
      <alignment horizontal="center" vertical="center"/>
    </xf>
    <xf numFmtId="166" fontId="6" fillId="0" borderId="5" xfId="0" applyNumberFormat="1" applyFont="1" applyFill="1" applyBorder="1" applyAlignment="1" applyProtection="1">
      <alignment horizontal="left" vertical="center"/>
    </xf>
    <xf numFmtId="37" fontId="6" fillId="0" borderId="7" xfId="0" applyNumberFormat="1" applyFont="1" applyFill="1" applyBorder="1" applyAlignment="1" applyProtection="1">
      <alignment vertical="center"/>
    </xf>
    <xf numFmtId="37" fontId="6" fillId="0" borderId="2" xfId="0" applyNumberFormat="1" applyFont="1" applyFill="1" applyBorder="1" applyAlignment="1" applyProtection="1">
      <alignment vertical="center"/>
    </xf>
    <xf numFmtId="37" fontId="3" fillId="0" borderId="0" xfId="0" applyFont="1" applyFill="1" applyBorder="1" applyAlignment="1">
      <alignment vertical="center"/>
    </xf>
    <xf numFmtId="37" fontId="8" fillId="0" borderId="0" xfId="0" applyFont="1" applyFill="1" applyBorder="1" applyAlignment="1" applyProtection="1"/>
    <xf numFmtId="37" fontId="6" fillId="0" borderId="0" xfId="0" applyFont="1" applyFill="1" applyBorder="1"/>
    <xf numFmtId="37" fontId="6" fillId="0" borderId="0" xfId="0" applyNumberFormat="1" applyFont="1" applyFill="1" applyBorder="1" applyProtection="1"/>
    <xf numFmtId="37" fontId="3" fillId="0" borderId="0" xfId="0" applyFont="1" applyFill="1" applyBorder="1"/>
    <xf numFmtId="37" fontId="6" fillId="0" borderId="0" xfId="0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1" fontId="12" fillId="0" borderId="5" xfId="0" applyNumberFormat="1" applyFont="1" applyFill="1" applyBorder="1" applyAlignment="1" applyProtection="1">
      <alignment horizontal="left" vertical="center"/>
    </xf>
    <xf numFmtId="37" fontId="12" fillId="0" borderId="0" xfId="0" applyFont="1" applyFill="1" applyBorder="1" applyAlignment="1" applyProtection="1">
      <alignment vertical="center"/>
    </xf>
    <xf numFmtId="37" fontId="12" fillId="0" borderId="5" xfId="0" applyFont="1" applyFill="1" applyBorder="1" applyAlignment="1" applyProtection="1">
      <alignment horizontal="left" vertical="center"/>
    </xf>
    <xf numFmtId="37" fontId="12" fillId="0" borderId="0" xfId="0" applyNumberFormat="1" applyFont="1" applyFill="1" applyBorder="1" applyAlignment="1" applyProtection="1">
      <alignment vertical="center"/>
    </xf>
    <xf numFmtId="37" fontId="12" fillId="0" borderId="0" xfId="0" applyFont="1" applyFill="1" applyBorder="1" applyAlignment="1">
      <alignment vertical="center"/>
    </xf>
    <xf numFmtId="1" fontId="13" fillId="0" borderId="5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 applyProtection="1">
      <alignment vertical="center"/>
    </xf>
    <xf numFmtId="37" fontId="12" fillId="0" borderId="0" xfId="0" applyFont="1" applyFill="1" applyBorder="1" applyProtection="1"/>
    <xf numFmtId="37" fontId="12" fillId="0" borderId="0" xfId="0" applyNumberFormat="1" applyFont="1" applyFill="1" applyBorder="1" applyProtection="1"/>
    <xf numFmtId="37" fontId="12" fillId="0" borderId="2" xfId="0" applyFont="1" applyFill="1" applyBorder="1" applyProtection="1"/>
    <xf numFmtId="37" fontId="12" fillId="0" borderId="5" xfId="0" applyFont="1" applyFill="1" applyBorder="1" applyAlignment="1">
      <alignment vertical="center"/>
    </xf>
    <xf numFmtId="37" fontId="14" fillId="0" borderId="0" xfId="0" applyFont="1" applyBorder="1" applyProtection="1"/>
    <xf numFmtId="37" fontId="14" fillId="0" borderId="0" xfId="0" applyFont="1" applyBorder="1"/>
    <xf numFmtId="37" fontId="14" fillId="0" borderId="0" xfId="0" applyNumberFormat="1" applyFont="1" applyBorder="1" applyProtection="1"/>
    <xf numFmtId="37" fontId="12" fillId="0" borderId="0" xfId="0" applyNumberFormat="1" applyFont="1" applyFill="1" applyBorder="1" applyAlignment="1" applyProtection="1">
      <alignment horizontal="center" vertical="center"/>
    </xf>
    <xf numFmtId="37" fontId="12" fillId="0" borderId="5" xfId="0" applyFont="1" applyFill="1" applyBorder="1" applyAlignment="1" applyProtection="1">
      <alignment vertical="center"/>
    </xf>
    <xf numFmtId="37" fontId="12" fillId="0" borderId="2" xfId="0" applyNumberFormat="1" applyFont="1" applyFill="1" applyBorder="1" applyProtection="1"/>
    <xf numFmtId="37" fontId="12" fillId="0" borderId="2" xfId="0" applyFont="1" applyFill="1" applyBorder="1" applyAlignment="1" applyProtection="1">
      <alignment vertical="center"/>
    </xf>
    <xf numFmtId="37" fontId="12" fillId="0" borderId="2" xfId="0" applyFont="1" applyFill="1" applyBorder="1" applyAlignment="1">
      <alignment vertical="center"/>
    </xf>
    <xf numFmtId="37" fontId="15" fillId="0" borderId="0" xfId="0" applyFont="1"/>
    <xf numFmtId="37" fontId="16" fillId="0" borderId="0" xfId="0" applyFont="1"/>
    <xf numFmtId="37" fontId="17" fillId="0" borderId="0" xfId="0" applyFont="1"/>
    <xf numFmtId="49" fontId="12" fillId="0" borderId="5" xfId="0" applyNumberFormat="1" applyFont="1" applyFill="1" applyBorder="1" applyAlignment="1" applyProtection="1">
      <alignment horizontal="left" vertical="center"/>
    </xf>
    <xf numFmtId="166" fontId="12" fillId="0" borderId="5" xfId="0" applyNumberFormat="1" applyFont="1" applyFill="1" applyBorder="1" applyAlignment="1" applyProtection="1">
      <alignment horizontal="left" vertical="center"/>
    </xf>
    <xf numFmtId="37" fontId="14" fillId="0" borderId="0" xfId="0" applyNumberFormat="1" applyFont="1" applyFill="1" applyBorder="1" applyProtection="1"/>
    <xf numFmtId="37" fontId="18" fillId="0" borderId="0" xfId="0" applyFont="1"/>
    <xf numFmtId="167" fontId="4" fillId="0" borderId="0" xfId="0" applyNumberFormat="1" applyFont="1" applyAlignment="1">
      <alignment vertical="center"/>
    </xf>
    <xf numFmtId="168" fontId="7" fillId="0" borderId="0" xfId="0" applyNumberFormat="1" applyFont="1"/>
    <xf numFmtId="169" fontId="6" fillId="0" borderId="0" xfId="0" applyNumberFormat="1" applyFont="1" applyFill="1"/>
    <xf numFmtId="169" fontId="7" fillId="0" borderId="0" xfId="0" applyNumberFormat="1" applyFont="1"/>
    <xf numFmtId="169" fontId="4" fillId="0" borderId="0" xfId="0" applyNumberFormat="1" applyFont="1"/>
    <xf numFmtId="37" fontId="14" fillId="0" borderId="0" xfId="0" applyFont="1" applyFill="1" applyBorder="1" applyProtection="1"/>
    <xf numFmtId="37" fontId="14" fillId="2" borderId="0" xfId="0" applyNumberFormat="1" applyFont="1" applyFill="1" applyBorder="1" applyProtection="1"/>
    <xf numFmtId="37" fontId="12" fillId="2" borderId="0" xfId="0" applyFont="1" applyFill="1" applyBorder="1" applyProtection="1"/>
    <xf numFmtId="37" fontId="14" fillId="2" borderId="0" xfId="0" applyFont="1" applyFill="1" applyBorder="1" applyProtection="1"/>
    <xf numFmtId="37" fontId="14" fillId="2" borderId="0" xfId="0" applyFont="1" applyFill="1" applyBorder="1"/>
    <xf numFmtId="170" fontId="7" fillId="0" borderId="0" xfId="0" applyNumberFormat="1" applyFont="1" applyBorder="1" applyAlignment="1" applyProtection="1">
      <alignment horizontal="right"/>
    </xf>
    <xf numFmtId="170" fontId="7" fillId="0" borderId="0" xfId="0" applyNumberFormat="1" applyFont="1" applyBorder="1" applyAlignment="1" applyProtection="1">
      <alignment horizontal="right" vertical="center"/>
    </xf>
    <xf numFmtId="37" fontId="12" fillId="2" borderId="5" xfId="0" applyFont="1" applyFill="1" applyBorder="1" applyAlignment="1" applyProtection="1">
      <alignment vertical="center"/>
    </xf>
    <xf numFmtId="37" fontId="4" fillId="2" borderId="0" xfId="0" applyFont="1" applyFill="1" applyAlignment="1">
      <alignment vertical="center"/>
    </xf>
    <xf numFmtId="37" fontId="14" fillId="0" borderId="0" xfId="0" applyFont="1" applyFill="1" applyBorder="1"/>
    <xf numFmtId="170" fontId="7" fillId="0" borderId="0" xfId="0" applyNumberFormat="1" applyFont="1" applyFill="1" applyBorder="1" applyAlignment="1" applyProtection="1">
      <alignment horizontal="right" vertical="center"/>
    </xf>
    <xf numFmtId="37" fontId="4" fillId="0" borderId="0" xfId="0" applyFont="1" applyFill="1" applyAlignment="1">
      <alignment vertical="center"/>
    </xf>
    <xf numFmtId="37" fontId="12" fillId="0" borderId="5" xfId="0" applyFont="1" applyFill="1" applyBorder="1" applyAlignment="1" applyProtection="1">
      <alignment horizontal="right" vertical="center"/>
    </xf>
    <xf numFmtId="39" fontId="4" fillId="0" borderId="0" xfId="0" applyNumberFormat="1" applyFont="1"/>
    <xf numFmtId="37" fontId="4" fillId="0" borderId="2" xfId="0" applyFont="1" applyBorder="1" applyAlignment="1">
      <alignment vertical="center"/>
    </xf>
    <xf numFmtId="171" fontId="8" fillId="0" borderId="0" xfId="0" applyNumberFormat="1" applyFont="1" applyFill="1" applyAlignment="1" applyProtection="1"/>
    <xf numFmtId="37" fontId="4" fillId="0" borderId="0" xfId="0" applyFont="1" applyBorder="1" applyAlignment="1">
      <alignment vertical="center"/>
    </xf>
    <xf numFmtId="37" fontId="19" fillId="0" borderId="0" xfId="0" applyFont="1" applyFill="1" applyAlignment="1" applyProtection="1"/>
    <xf numFmtId="37" fontId="20" fillId="0" borderId="0" xfId="0" applyFont="1"/>
    <xf numFmtId="37" fontId="19" fillId="0" borderId="0" xfId="0" applyFont="1" applyFill="1"/>
    <xf numFmtId="37" fontId="21" fillId="0" borderId="0" xfId="0" applyFont="1" applyFill="1" applyAlignment="1" applyProtection="1"/>
    <xf numFmtId="37" fontId="22" fillId="0" borderId="0" xfId="0" applyFont="1"/>
    <xf numFmtId="37" fontId="21" fillId="0" borderId="0" xfId="0" applyFont="1" applyFill="1"/>
    <xf numFmtId="37" fontId="23" fillId="0" borderId="0" xfId="0" applyFont="1" applyFill="1" applyAlignment="1" applyProtection="1">
      <alignment horizontal="centerContinuous"/>
    </xf>
    <xf numFmtId="37" fontId="24" fillId="0" borderId="0" xfId="0" applyFont="1" applyAlignment="1">
      <alignment horizontal="centerContinuous"/>
    </xf>
    <xf numFmtId="37" fontId="23" fillId="0" borderId="0" xfId="0" applyFont="1" applyFill="1" applyAlignment="1">
      <alignment horizontal="centerContinuous"/>
    </xf>
    <xf numFmtId="37" fontId="25" fillId="0" borderId="0" xfId="0" applyFont="1"/>
    <xf numFmtId="37" fontId="25" fillId="0" borderId="0" xfId="0" applyFont="1" applyAlignment="1">
      <alignment horizontal="centerContinuous"/>
    </xf>
    <xf numFmtId="37" fontId="26" fillId="0" borderId="0" xfId="0" applyFont="1" applyFill="1" applyAlignment="1">
      <alignment horizontal="centerContinuous"/>
    </xf>
    <xf numFmtId="165" fontId="25" fillId="0" borderId="0" xfId="0" applyNumberFormat="1" applyFont="1" applyAlignment="1" applyProtection="1">
      <alignment horizontal="centerContinuous"/>
    </xf>
    <xf numFmtId="37" fontId="27" fillId="0" borderId="0" xfId="0" applyFont="1" applyAlignment="1" applyProtection="1">
      <alignment horizontal="left"/>
    </xf>
    <xf numFmtId="37" fontId="5" fillId="0" borderId="0" xfId="0" applyFont="1" applyFill="1" applyBorder="1" applyAlignment="1" applyProtection="1">
      <alignment horizontal="center" vertical="center"/>
    </xf>
    <xf numFmtId="37" fontId="2" fillId="0" borderId="9" xfId="0" applyFont="1" applyFill="1" applyBorder="1" applyAlignment="1">
      <alignment horizontal="centerContinuous" vertical="center"/>
    </xf>
    <xf numFmtId="37" fontId="2" fillId="0" borderId="10" xfId="0" applyFont="1" applyFill="1" applyBorder="1" applyAlignment="1">
      <alignment horizontal="center" vertical="center"/>
    </xf>
    <xf numFmtId="37" fontId="2" fillId="0" borderId="11" xfId="0" applyFont="1" applyFill="1" applyBorder="1" applyAlignment="1">
      <alignment horizontal="center" vertical="center"/>
    </xf>
    <xf numFmtId="37" fontId="3" fillId="0" borderId="9" xfId="0" applyFont="1" applyFill="1" applyBorder="1" applyAlignment="1">
      <alignment vertical="center"/>
    </xf>
    <xf numFmtId="37" fontId="3" fillId="0" borderId="10" xfId="0" applyFont="1" applyFill="1" applyBorder="1" applyAlignment="1">
      <alignment vertical="center"/>
    </xf>
    <xf numFmtId="37" fontId="3" fillId="0" borderId="10" xfId="0" applyFont="1" applyFill="1" applyBorder="1" applyAlignment="1" applyProtection="1">
      <alignment vertical="center"/>
    </xf>
    <xf numFmtId="37" fontId="4" fillId="0" borderId="10" xfId="0" applyFont="1" applyBorder="1" applyAlignment="1">
      <alignment vertical="center"/>
    </xf>
    <xf numFmtId="37" fontId="4" fillId="0" borderId="10" xfId="0" applyFont="1" applyFill="1" applyBorder="1" applyAlignment="1">
      <alignment vertical="center"/>
    </xf>
    <xf numFmtId="37" fontId="12" fillId="0" borderId="12" xfId="0" applyFont="1" applyFill="1" applyBorder="1" applyAlignment="1" applyProtection="1">
      <alignment vertical="center"/>
    </xf>
    <xf numFmtId="37" fontId="12" fillId="0" borderId="13" xfId="0" applyFont="1" applyFill="1" applyBorder="1" applyProtection="1"/>
    <xf numFmtId="37" fontId="14" fillId="0" borderId="13" xfId="0" applyFont="1" applyBorder="1" applyProtection="1"/>
    <xf numFmtId="37" fontId="14" fillId="0" borderId="13" xfId="0" applyFont="1" applyBorder="1"/>
    <xf numFmtId="37" fontId="14" fillId="0" borderId="13" xfId="0" applyNumberFormat="1" applyFont="1" applyBorder="1" applyProtection="1"/>
    <xf numFmtId="37" fontId="12" fillId="0" borderId="14" xfId="0" applyFont="1" applyFill="1" applyBorder="1" applyProtection="1"/>
    <xf numFmtId="37" fontId="4" fillId="0" borderId="15" xfId="0" applyFont="1" applyBorder="1" applyAlignment="1">
      <alignment vertical="center"/>
    </xf>
    <xf numFmtId="37" fontId="5" fillId="0" borderId="1" xfId="0" applyFont="1" applyFill="1" applyBorder="1" applyAlignment="1" applyProtection="1">
      <alignment horizontal="center" vertical="center"/>
    </xf>
    <xf numFmtId="37" fontId="5" fillId="0" borderId="0" xfId="0" applyFont="1" applyFill="1" applyBorder="1" applyAlignment="1" applyProtection="1">
      <alignment horizontal="center" vertical="center"/>
    </xf>
    <xf numFmtId="37" fontId="5" fillId="0" borderId="3" xfId="0" applyFont="1" applyFill="1" applyBorder="1" applyAlignment="1" applyProtection="1">
      <alignment horizontal="center" vertical="center"/>
    </xf>
    <xf numFmtId="37" fontId="5" fillId="0" borderId="7" xfId="0" applyFont="1" applyFill="1" applyBorder="1" applyAlignment="1" applyProtection="1">
      <alignment horizontal="center" vertical="center"/>
    </xf>
    <xf numFmtId="37" fontId="5" fillId="0" borderId="2" xfId="0" applyFont="1" applyFill="1" applyBorder="1" applyAlignment="1" applyProtection="1">
      <alignment horizontal="center" vertical="center"/>
    </xf>
    <xf numFmtId="37" fontId="5" fillId="0" borderId="8" xfId="0" applyFont="1" applyFill="1" applyBorder="1" applyAlignment="1" applyProtection="1">
      <alignment horizontal="center" vertical="center"/>
    </xf>
    <xf numFmtId="37" fontId="19" fillId="0" borderId="3" xfId="0" applyFont="1" applyFill="1" applyBorder="1" applyAlignment="1" applyProtection="1">
      <alignment horizontal="right"/>
    </xf>
    <xf numFmtId="165" fontId="5" fillId="0" borderId="1" xfId="0" applyNumberFormat="1" applyFont="1" applyFill="1" applyBorder="1" applyAlignment="1" applyProtection="1">
      <alignment horizontal="center" vertical="center"/>
    </xf>
    <xf numFmtId="165" fontId="5" fillId="0" borderId="0" xfId="0" applyNumberFormat="1" applyFont="1" applyFill="1" applyBorder="1" applyAlignment="1" applyProtection="1">
      <alignment horizontal="center" vertical="center"/>
    </xf>
    <xf numFmtId="165" fontId="5" fillId="0" borderId="3" xfId="0" applyNumberFormat="1" applyFont="1" applyFill="1" applyBorder="1" applyAlignment="1" applyProtection="1">
      <alignment horizontal="center" vertical="center"/>
    </xf>
  </cellXfs>
  <cellStyles count="8"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Z326"/>
  <sheetViews>
    <sheetView showGridLines="0" tabSelected="1" view="pageBreakPreview" zoomScale="70" zoomScaleNormal="85" zoomScaleSheetLayoutView="70" workbookViewId="0">
      <selection activeCell="B1" sqref="B1"/>
    </sheetView>
  </sheetViews>
  <sheetFormatPr baseColWidth="10" defaultColWidth="10.77734375" defaultRowHeight="12.75" outlineLevelRow="1" x14ac:dyDescent="0.2"/>
  <cols>
    <col min="1" max="1" width="1.77734375" style="2" customWidth="1"/>
    <col min="2" max="2" width="11.33203125" style="2" customWidth="1"/>
    <col min="3" max="3" width="12.21875" style="2" customWidth="1"/>
    <col min="4" max="4" width="10.5546875" style="2" customWidth="1"/>
    <col min="5" max="5" width="9.88671875" style="2" customWidth="1"/>
    <col min="6" max="6" width="9.44140625" style="2" customWidth="1"/>
    <col min="7" max="7" width="10.5546875" style="2" customWidth="1"/>
    <col min="8" max="8" width="11.109375" style="2" customWidth="1"/>
    <col min="9" max="9" width="10.21875" style="2" customWidth="1"/>
    <col min="10" max="10" width="10.77734375" style="2" customWidth="1"/>
    <col min="11" max="11" width="10.33203125" style="2" customWidth="1"/>
    <col min="12" max="12" width="9.77734375" style="2" customWidth="1"/>
    <col min="13" max="13" width="9.6640625" style="2" customWidth="1"/>
    <col min="14" max="14" width="1.33203125" style="2" customWidth="1"/>
    <col min="15" max="15" width="2.77734375" style="2" customWidth="1"/>
    <col min="16" max="16" width="13.21875" style="2" bestFit="1" customWidth="1"/>
    <col min="17" max="16384" width="10.77734375" style="2"/>
  </cols>
  <sheetData>
    <row r="1" spans="1:15" s="55" customFormat="1" ht="27" customHeight="1" x14ac:dyDescent="0.3">
      <c r="B1" s="78"/>
      <c r="C1" s="79"/>
      <c r="D1" s="79"/>
      <c r="E1" s="79"/>
      <c r="F1" s="79"/>
      <c r="G1" s="79"/>
      <c r="H1" s="79"/>
      <c r="I1" s="80"/>
      <c r="J1" s="79"/>
      <c r="K1" s="79"/>
      <c r="L1" s="79"/>
      <c r="M1" s="79"/>
      <c r="N1" s="79"/>
    </row>
    <row r="2" spans="1:15" s="49" customFormat="1" ht="21" customHeight="1" x14ac:dyDescent="0.3">
      <c r="B2" s="81"/>
      <c r="C2" s="82"/>
      <c r="D2" s="82"/>
      <c r="E2" s="82"/>
      <c r="F2" s="82"/>
      <c r="G2" s="82"/>
      <c r="H2" s="82"/>
      <c r="I2" s="83"/>
      <c r="J2" s="82"/>
      <c r="K2" s="82"/>
      <c r="L2" s="82"/>
      <c r="M2" s="82"/>
      <c r="N2" s="82"/>
    </row>
    <row r="3" spans="1:15" s="50" customFormat="1" ht="29.25" customHeight="1" x14ac:dyDescent="0.4">
      <c r="B3" s="84" t="s">
        <v>36</v>
      </c>
      <c r="C3" s="85"/>
      <c r="D3" s="85"/>
      <c r="E3" s="85"/>
      <c r="F3" s="85"/>
      <c r="G3" s="86"/>
      <c r="H3" s="86"/>
      <c r="I3" s="86"/>
      <c r="J3" s="85"/>
      <c r="K3" s="85"/>
      <c r="L3" s="85"/>
      <c r="M3" s="85"/>
      <c r="N3" s="85"/>
    </row>
    <row r="4" spans="1:15" s="51" customFormat="1" ht="26.25" customHeight="1" x14ac:dyDescent="0.35">
      <c r="B4" s="87"/>
      <c r="C4" s="88"/>
      <c r="D4" s="88"/>
      <c r="E4" s="88"/>
      <c r="F4" s="88"/>
      <c r="G4" s="88"/>
      <c r="H4" s="89"/>
      <c r="I4" s="89"/>
      <c r="J4" s="90"/>
      <c r="K4" s="88"/>
      <c r="L4" s="88"/>
      <c r="M4" s="88"/>
      <c r="N4" s="88"/>
    </row>
    <row r="5" spans="1:15" s="55" customFormat="1" ht="23.25" customHeight="1" x14ac:dyDescent="0.3">
      <c r="B5" s="91" t="s">
        <v>53</v>
      </c>
      <c r="C5" s="79"/>
      <c r="D5" s="79"/>
      <c r="E5" s="79"/>
      <c r="F5" s="79"/>
      <c r="G5" s="79"/>
      <c r="H5" s="79"/>
      <c r="I5" s="79"/>
      <c r="J5" s="79"/>
      <c r="K5" s="79"/>
      <c r="L5" s="114" t="s">
        <v>56</v>
      </c>
      <c r="M5" s="114"/>
      <c r="N5" s="114"/>
    </row>
    <row r="6" spans="1:15" s="4" customFormat="1" ht="15" customHeight="1" x14ac:dyDescent="0.2">
      <c r="A6" s="12"/>
      <c r="B6" s="15"/>
      <c r="C6" s="108" t="s">
        <v>0</v>
      </c>
      <c r="D6" s="13"/>
      <c r="E6" s="108" t="s">
        <v>1</v>
      </c>
      <c r="F6" s="108" t="s">
        <v>2</v>
      </c>
      <c r="G6" s="108" t="s">
        <v>3</v>
      </c>
      <c r="H6" s="108" t="s">
        <v>4</v>
      </c>
      <c r="I6" s="108" t="s">
        <v>5</v>
      </c>
      <c r="J6" s="115" t="s">
        <v>6</v>
      </c>
      <c r="K6" s="108" t="s">
        <v>7</v>
      </c>
      <c r="L6" s="108" t="s">
        <v>51</v>
      </c>
      <c r="M6" s="111" t="s">
        <v>8</v>
      </c>
      <c r="N6" s="93"/>
      <c r="O6" s="23"/>
    </row>
    <row r="7" spans="1:15" s="4" customFormat="1" ht="15" customHeight="1" x14ac:dyDescent="0.2">
      <c r="A7" s="12"/>
      <c r="B7" s="16" t="s">
        <v>49</v>
      </c>
      <c r="C7" s="109"/>
      <c r="D7" s="92" t="s">
        <v>54</v>
      </c>
      <c r="E7" s="109"/>
      <c r="F7" s="109"/>
      <c r="G7" s="109"/>
      <c r="H7" s="109"/>
      <c r="I7" s="109"/>
      <c r="J7" s="116"/>
      <c r="K7" s="109"/>
      <c r="L7" s="109"/>
      <c r="M7" s="112"/>
      <c r="N7" s="94"/>
      <c r="O7" s="23"/>
    </row>
    <row r="8" spans="1:15" s="4" customFormat="1" ht="15.75" customHeight="1" x14ac:dyDescent="0.2">
      <c r="A8" s="12"/>
      <c r="B8" s="17"/>
      <c r="C8" s="110"/>
      <c r="D8" s="14"/>
      <c r="E8" s="110"/>
      <c r="F8" s="110"/>
      <c r="G8" s="110"/>
      <c r="H8" s="110"/>
      <c r="I8" s="110"/>
      <c r="J8" s="117"/>
      <c r="K8" s="110"/>
      <c r="L8" s="110"/>
      <c r="M8" s="113"/>
      <c r="N8" s="95"/>
      <c r="O8" s="23"/>
    </row>
    <row r="9" spans="1:15" s="4" customFormat="1" ht="14.1" hidden="1" customHeight="1" x14ac:dyDescent="0.2">
      <c r="B9" s="18" t="s">
        <v>9</v>
      </c>
      <c r="C9" s="7">
        <f>16953*100/16953</f>
        <v>100</v>
      </c>
      <c r="D9" s="7">
        <f>1255*100/1255</f>
        <v>100</v>
      </c>
      <c r="E9" s="7">
        <f>8387*100/8387</f>
        <v>100</v>
      </c>
      <c r="F9" s="7">
        <f>19226*100/19226</f>
        <v>100</v>
      </c>
      <c r="G9" s="7">
        <f>98697*100/98697</f>
        <v>100</v>
      </c>
      <c r="H9" s="7">
        <v>529</v>
      </c>
      <c r="I9" s="7">
        <f>354*100/354</f>
        <v>100</v>
      </c>
      <c r="J9" s="7">
        <f>5.157*100/5.157</f>
        <v>100.00000000000001</v>
      </c>
      <c r="K9" s="7">
        <f>340*100/340</f>
        <v>100</v>
      </c>
      <c r="L9" s="7">
        <f>47206*100/47206</f>
        <v>100</v>
      </c>
      <c r="M9" s="21">
        <f>194832.157*100/194832</f>
        <v>100.00008058224522</v>
      </c>
      <c r="N9" s="96"/>
      <c r="O9" s="23"/>
    </row>
    <row r="10" spans="1:15" s="4" customFormat="1" ht="14.1" hidden="1" customHeight="1" x14ac:dyDescent="0.2">
      <c r="B10" s="19" t="s">
        <v>10</v>
      </c>
      <c r="C10" s="28">
        <f>17854*100/16953</f>
        <v>105.31469356456084</v>
      </c>
      <c r="D10" s="28">
        <f>1512*100/1255</f>
        <v>120.4780876494024</v>
      </c>
      <c r="E10" s="28">
        <f>7478*100/8387</f>
        <v>89.161798020746389</v>
      </c>
      <c r="F10" s="28">
        <f>19471*100/19226</f>
        <v>101.27431603037553</v>
      </c>
      <c r="G10" s="28">
        <f>127694*100/98697</f>
        <v>129.37981904211881</v>
      </c>
      <c r="H10" s="28">
        <f>23.8*100/529</f>
        <v>4.4990548204158793</v>
      </c>
      <c r="I10" s="28">
        <f>336*100/354</f>
        <v>94.915254237288138</v>
      </c>
      <c r="J10" s="29">
        <f>3.2983*100/5</f>
        <v>65.965999999999994</v>
      </c>
      <c r="K10" s="28">
        <f>302*100/340</f>
        <v>88.82352941176471</v>
      </c>
      <c r="L10" s="28">
        <f>64175*100/47206</f>
        <v>135.94670169046307</v>
      </c>
      <c r="M10" s="22">
        <f>238849.0983*100/194832</f>
        <v>122.59233508869181</v>
      </c>
      <c r="N10" s="97"/>
      <c r="O10" s="23"/>
    </row>
    <row r="11" spans="1:15" s="4" customFormat="1" ht="14.1" hidden="1" customHeight="1" x14ac:dyDescent="0.2">
      <c r="B11" s="19" t="s">
        <v>11</v>
      </c>
      <c r="C11" s="28">
        <f>17643*100/16953</f>
        <v>104.07007609272695</v>
      </c>
      <c r="D11" s="28">
        <f>1077*100/1255</f>
        <v>85.816733067729089</v>
      </c>
      <c r="E11" s="28">
        <f>6649*100/8387</f>
        <v>79.277453201383096</v>
      </c>
      <c r="F11" s="28">
        <f>20347*100/19226</f>
        <v>105.83064600020805</v>
      </c>
      <c r="G11" s="28">
        <f>142314*100/98697</f>
        <v>144.19283260889389</v>
      </c>
      <c r="H11" s="28">
        <f>101.8*100/529</f>
        <v>19.243856332703213</v>
      </c>
      <c r="I11" s="28">
        <f>361.5*100/354</f>
        <v>102.11864406779661</v>
      </c>
      <c r="J11" s="29">
        <f>1.9604*100/5</f>
        <v>39.207999999999998</v>
      </c>
      <c r="K11" s="28">
        <f>173*100/340</f>
        <v>50.882352941176471</v>
      </c>
      <c r="L11" s="28">
        <f>63677*100/47206</f>
        <v>134.89175104859552</v>
      </c>
      <c r="M11" s="9">
        <f>252345.2604*100/194832</f>
        <v>129.51941180093618</v>
      </c>
      <c r="N11" s="97"/>
      <c r="O11" s="23"/>
    </row>
    <row r="12" spans="1:15" s="4" customFormat="1" ht="18.95" hidden="1" customHeight="1" x14ac:dyDescent="0.2">
      <c r="B12" s="20">
        <v>1993</v>
      </c>
      <c r="C12" s="28">
        <f>16009*100/16953</f>
        <v>94.431664012269209</v>
      </c>
      <c r="D12" s="28">
        <f>480*100/1255</f>
        <v>38.247011952191237</v>
      </c>
      <c r="E12" s="28">
        <f>5543*100/8387</f>
        <v>66.090377965899606</v>
      </c>
      <c r="F12" s="28">
        <f>24172*100/19226</f>
        <v>125.72557994382606</v>
      </c>
      <c r="G12" s="28">
        <f>123793*100/98697</f>
        <v>125.42731795292663</v>
      </c>
      <c r="H12" s="28">
        <f>144.2*100/529</f>
        <v>27.258979206049148</v>
      </c>
      <c r="I12" s="28">
        <f>413.5*100/354</f>
        <v>116.80790960451978</v>
      </c>
      <c r="J12" s="29">
        <f>6.5752*100/5.157</f>
        <v>127.50048477797168</v>
      </c>
      <c r="K12" s="28">
        <f>340.3*100/340</f>
        <v>100.08823529411765</v>
      </c>
      <c r="L12" s="28">
        <f>63063.8*100/47206</f>
        <v>133.59276363174172</v>
      </c>
      <c r="M12" s="9">
        <f>233978.2002*100/192952</f>
        <v>121.26238660392222</v>
      </c>
      <c r="N12" s="97"/>
      <c r="O12" s="23"/>
    </row>
    <row r="13" spans="1:15" s="4" customFormat="1" ht="18.95" hidden="1" customHeight="1" x14ac:dyDescent="0.2">
      <c r="B13" s="20">
        <v>1994</v>
      </c>
      <c r="C13" s="28">
        <f>16864.2*100/16953</f>
        <v>99.476198902849049</v>
      </c>
      <c r="D13" s="28">
        <f>595*100/1255</f>
        <v>47.410358565737049</v>
      </c>
      <c r="E13" s="28">
        <f>7741.6*100/8387</f>
        <v>92.304757362584951</v>
      </c>
      <c r="F13" s="28">
        <f>22323.6*100/19226</f>
        <v>116.11151565588266</v>
      </c>
      <c r="G13" s="28">
        <f>107228.2*100/98697</f>
        <v>108.64382909308287</v>
      </c>
      <c r="H13" s="28">
        <f>79*100/529</f>
        <v>14.933837429111531</v>
      </c>
      <c r="I13" s="28">
        <f>366.6*100/354</f>
        <v>103.55932203389831</v>
      </c>
      <c r="J13" s="29">
        <f>9.6333*100/5.157</f>
        <v>186.80046538685284</v>
      </c>
      <c r="K13" s="28">
        <f>313.6*100/340</f>
        <v>92.235294117647072</v>
      </c>
      <c r="L13" s="28">
        <f>32012.84*100/47206</f>
        <v>67.815192983942723</v>
      </c>
      <c r="M13" s="9">
        <f>187534.2733*100/192952</f>
        <v>97.192189404618759</v>
      </c>
      <c r="N13" s="97"/>
      <c r="O13" s="23"/>
    </row>
    <row r="14" spans="1:15" s="4" customFormat="1" ht="18.75" hidden="1" customHeight="1" x14ac:dyDescent="0.2">
      <c r="B14" s="20">
        <v>1995</v>
      </c>
      <c r="C14" s="29">
        <f>14236*100/16953</f>
        <v>83.973338052262136</v>
      </c>
      <c r="D14" s="29">
        <f>839*100/1255</f>
        <v>66.852589641434264</v>
      </c>
      <c r="E14" s="29">
        <f>6540*100/8387</f>
        <v>77.977822821032547</v>
      </c>
      <c r="F14" s="29">
        <f>20251*100/19226</f>
        <v>105.33132216789764</v>
      </c>
      <c r="G14" s="29">
        <f>146624*100/98697</f>
        <v>148.55973332522771</v>
      </c>
      <c r="H14" s="29">
        <f>112*10/529</f>
        <v>2.1172022684310017</v>
      </c>
      <c r="I14" s="29">
        <f>424*100/354</f>
        <v>119.77401129943503</v>
      </c>
      <c r="J14" s="29">
        <f>10.5936*100/5.157</f>
        <v>205.42175683536942</v>
      </c>
      <c r="K14" s="29">
        <f>482*100/340</f>
        <v>141.76470588235293</v>
      </c>
      <c r="L14" s="28">
        <f>34086.4064*100/47206</f>
        <v>72.207783756302163</v>
      </c>
      <c r="M14" s="22">
        <f>223605*100/192952</f>
        <v>115.88633442514201</v>
      </c>
      <c r="N14" s="97"/>
      <c r="O14" s="23"/>
    </row>
    <row r="15" spans="1:15" s="4" customFormat="1" ht="18" hidden="1" customHeight="1" x14ac:dyDescent="0.2">
      <c r="B15" s="20">
        <v>1996</v>
      </c>
      <c r="C15" s="29">
        <f>13669*100/16953</f>
        <v>80.628797263021298</v>
      </c>
      <c r="D15" s="29">
        <f>714*100/1255</f>
        <v>56.892430278884461</v>
      </c>
      <c r="E15" s="29">
        <f>5794*100/8387</f>
        <v>69.083104805055441</v>
      </c>
      <c r="F15" s="29">
        <f>14432*100/19226</f>
        <v>75.065016123998745</v>
      </c>
      <c r="G15" s="29">
        <f>151499*100/98697</f>
        <v>153.49909318419</v>
      </c>
      <c r="H15" s="29">
        <f>92.472527472527*100/529</f>
        <v>17.480629011819847</v>
      </c>
      <c r="I15" s="29">
        <f>386*100/354</f>
        <v>109.03954802259886</v>
      </c>
      <c r="J15" s="29">
        <f>9.5707*100/5.157</f>
        <v>185.58658134574367</v>
      </c>
      <c r="K15" s="29">
        <f>521*100/340</f>
        <v>153.23529411764707</v>
      </c>
      <c r="L15" s="29">
        <f>19184.974072527*100/47206</f>
        <v>40.64096528519044</v>
      </c>
      <c r="M15" s="22">
        <f>206302*100/192952</f>
        <v>106.91881918819188</v>
      </c>
      <c r="N15" s="97"/>
      <c r="O15" s="23"/>
    </row>
    <row r="16" spans="1:15" s="4" customFormat="1" ht="18" hidden="1" customHeight="1" x14ac:dyDescent="0.2">
      <c r="B16" s="20">
        <v>1997</v>
      </c>
      <c r="C16" s="28">
        <f>14378*100/16953</f>
        <v>84.810947914823331</v>
      </c>
      <c r="D16" s="28">
        <f>646*100/1255</f>
        <v>51.474103585657367</v>
      </c>
      <c r="E16" s="28">
        <f>5835*100/8387</f>
        <v>69.571956599499231</v>
      </c>
      <c r="F16" s="28">
        <f>18152*100/19226</f>
        <v>94.413814626027261</v>
      </c>
      <c r="G16" s="28">
        <f>153847*100/98697</f>
        <v>155.87809153267071</v>
      </c>
      <c r="H16" s="28">
        <f>162*100/529</f>
        <v>30.623818525519848</v>
      </c>
      <c r="I16" s="28">
        <f>384*100/354</f>
        <v>108.47457627118644</v>
      </c>
      <c r="J16" s="28">
        <f>10.2987*100/5.157</f>
        <v>199.70331588132638</v>
      </c>
      <c r="K16" s="28">
        <f>266*100/340</f>
        <v>78.235294117647058</v>
      </c>
      <c r="L16" s="28">
        <f>18945*100/47206</f>
        <v>40.13261026140745</v>
      </c>
      <c r="M16" s="9">
        <f>212625.2989*100/192952</f>
        <v>110.1959549007007</v>
      </c>
      <c r="N16" s="97"/>
      <c r="O16" s="23"/>
    </row>
    <row r="17" spans="2:17" s="4" customFormat="1" ht="18" hidden="1" customHeight="1" x14ac:dyDescent="0.2">
      <c r="B17" s="53">
        <v>1998</v>
      </c>
      <c r="C17" s="28">
        <f>11417*100/16953</f>
        <v>67.345012682121165</v>
      </c>
      <c r="D17" s="28">
        <f>629*100/1255</f>
        <v>50.119521912350599</v>
      </c>
      <c r="E17" s="28">
        <f>4461*100/8387</f>
        <v>53.189459878383211</v>
      </c>
      <c r="F17" s="28">
        <f>16361*100/19226</f>
        <v>85.098304379486109</v>
      </c>
      <c r="G17" s="28">
        <f>153055*100/98697</f>
        <v>155.07563553096853</v>
      </c>
      <c r="H17" s="31">
        <f>65*100/(386/12)/12</f>
        <v>16.839378238341968</v>
      </c>
      <c r="I17" s="28">
        <f>427*100/354</f>
        <v>120.62146892655367</v>
      </c>
      <c r="J17" s="28">
        <f>11.9714*100/5.157</f>
        <v>232.13884041109171</v>
      </c>
      <c r="K17" s="28">
        <f>178*100/340</f>
        <v>52.352941176470587</v>
      </c>
      <c r="L17" s="28">
        <f>35567*100/47206</f>
        <v>75.344235902215814</v>
      </c>
      <c r="M17" s="9">
        <f>222155*100/192952</f>
        <v>115.13485219121854</v>
      </c>
      <c r="N17" s="98"/>
      <c r="O17" s="23"/>
    </row>
    <row r="18" spans="2:17" s="4" customFormat="1" ht="18" hidden="1" customHeight="1" x14ac:dyDescent="0.2">
      <c r="B18" s="30">
        <v>1999</v>
      </c>
      <c r="C18" s="31">
        <f>12865*100/13946</f>
        <v>92.248673454754055</v>
      </c>
      <c r="D18" s="31">
        <f>446*100/496</f>
        <v>89.91935483870968</v>
      </c>
      <c r="E18" s="31">
        <f>2981*100/2172</f>
        <v>137.24677716390423</v>
      </c>
      <c r="F18" s="31">
        <f>9396*100/(9810/12)/12</f>
        <v>95.779816513761475</v>
      </c>
      <c r="G18" s="31">
        <f>144874*100/150629</f>
        <v>96.179354573156559</v>
      </c>
      <c r="H18" s="31">
        <f>440*100/(386/12)/12</f>
        <v>113.98963730569949</v>
      </c>
      <c r="I18" s="31">
        <f>432*100/462</f>
        <v>93.506493506493513</v>
      </c>
      <c r="J18" s="31">
        <f>9.9485*100/10</f>
        <v>99.484999999999985</v>
      </c>
      <c r="K18" s="31">
        <f>102*100/88</f>
        <v>115.90909090909091</v>
      </c>
      <c r="L18" s="31">
        <f>37752*100/57656</f>
        <v>65.47800749271542</v>
      </c>
      <c r="M18" s="47">
        <f>209110*100/235353</f>
        <v>88.849515408768951</v>
      </c>
      <c r="N18" s="97"/>
      <c r="O18" s="23"/>
    </row>
    <row r="19" spans="2:17" s="4" customFormat="1" ht="18.95" hidden="1" customHeight="1" x14ac:dyDescent="0.2">
      <c r="B19" s="32" t="s">
        <v>12</v>
      </c>
      <c r="C19" s="33">
        <f>725*100/(16953/12)</f>
        <v>51.318350734383294</v>
      </c>
      <c r="D19" s="31">
        <f>51*100/(1255/12)</f>
        <v>48.764940239043824</v>
      </c>
      <c r="E19" s="31">
        <f>531*100/(8387/12)</f>
        <v>75.974722785262912</v>
      </c>
      <c r="F19" s="31">
        <f>1330*100/(19226/12)</f>
        <v>83.01258712160616</v>
      </c>
      <c r="G19" s="31">
        <f>10862*100/(98697/12)</f>
        <v>132.06480440134959</v>
      </c>
      <c r="H19" s="31">
        <f>26*100/(529/12)</f>
        <v>58.979206049149333</v>
      </c>
      <c r="I19" s="31">
        <f>32*100/(354/12)</f>
        <v>108.47457627118644</v>
      </c>
      <c r="J19" s="33">
        <f>0.9804*100/(5/12)</f>
        <v>235.29599999999999</v>
      </c>
      <c r="K19" s="31">
        <f>56*100/(340/12)</f>
        <v>197.64705882352942</v>
      </c>
      <c r="L19" s="31">
        <f>1166.0196*100/(47206/12)</f>
        <v>29.640798203618186</v>
      </c>
      <c r="M19" s="47">
        <f>14780*100/(194832/12)</f>
        <v>91.032273959103222</v>
      </c>
      <c r="N19" s="97"/>
      <c r="O19" s="23"/>
    </row>
    <row r="20" spans="2:17" s="4" customFormat="1" ht="18.95" hidden="1" customHeight="1" x14ac:dyDescent="0.2">
      <c r="B20" s="32" t="s">
        <v>13</v>
      </c>
      <c r="C20" s="33">
        <f>990*100/(16953/12)</f>
        <v>70.076092726950975</v>
      </c>
      <c r="D20" s="31">
        <f>43*100/(1255/12)</f>
        <v>41.115537848605577</v>
      </c>
      <c r="E20" s="31">
        <f>398*100/(8387/12)</f>
        <v>56.945272445451295</v>
      </c>
      <c r="F20" s="31">
        <f>367*100/(19226/12)</f>
        <v>22.906480807240193</v>
      </c>
      <c r="G20" s="31">
        <f>7274*100/(98697/12)</f>
        <v>88.440378126994744</v>
      </c>
      <c r="H20" s="31">
        <f>9*100/(529/12)</f>
        <v>20.415879017013232</v>
      </c>
      <c r="I20" s="31">
        <f>25*100/(354/12)</f>
        <v>84.745762711864401</v>
      </c>
      <c r="J20" s="33">
        <f>0.6362*100/(5/12)</f>
        <v>152.68799999999999</v>
      </c>
      <c r="K20" s="31">
        <f>70*100/(340/12)</f>
        <v>247.05882352941177</v>
      </c>
      <c r="L20" s="31">
        <f>856.3638*100/(47206/12)</f>
        <v>21.769193746557637</v>
      </c>
      <c r="M20" s="47">
        <f>10033*100/(194832/12)</f>
        <v>61.794777038679477</v>
      </c>
      <c r="N20" s="97"/>
      <c r="O20" s="23"/>
    </row>
    <row r="21" spans="2:17" s="4" customFormat="1" ht="18.95" hidden="1" customHeight="1" x14ac:dyDescent="0.2">
      <c r="B21" s="32" t="s">
        <v>14</v>
      </c>
      <c r="C21" s="33">
        <f>1035*100/(16953/12)</f>
        <v>73.261369669085113</v>
      </c>
      <c r="D21" s="31">
        <f>83*100/(1255/12)</f>
        <v>79.362549800796813</v>
      </c>
      <c r="E21" s="31">
        <f>611*100/(8387/12)</f>
        <v>87.421008703946583</v>
      </c>
      <c r="F21" s="31">
        <f>2317*100/(19226/12)</f>
        <v>144.61666493290335</v>
      </c>
      <c r="G21" s="31">
        <f>11999*100/(98697/12)</f>
        <v>145.88893279430985</v>
      </c>
      <c r="H21" s="31">
        <f>9*100/(529/12)</f>
        <v>20.415879017013232</v>
      </c>
      <c r="I21" s="31">
        <f>44*100/(354/12)</f>
        <v>149.15254237288136</v>
      </c>
      <c r="J21" s="33">
        <f>0.6595*100/(5/12)</f>
        <v>158.28</v>
      </c>
      <c r="K21" s="31">
        <f>20*100/(340/12)</f>
        <v>70.588235294117652</v>
      </c>
      <c r="L21" s="31">
        <f>1350.3405*100/(47206/12)</f>
        <v>34.326327161801458</v>
      </c>
      <c r="M21" s="47">
        <f>17469*100/(194832/12)</f>
        <v>107.59423503325942</v>
      </c>
      <c r="N21" s="97"/>
      <c r="O21" s="23"/>
    </row>
    <row r="22" spans="2:17" s="4" customFormat="1" ht="18.95" hidden="1" customHeight="1" x14ac:dyDescent="0.2">
      <c r="B22" s="32" t="s">
        <v>15</v>
      </c>
      <c r="C22" s="33">
        <f>1063*100/(16953/12)</f>
        <v>75.243319766413023</v>
      </c>
      <c r="D22" s="31">
        <f>45*100/(1255/12)</f>
        <v>43.027888446215144</v>
      </c>
      <c r="E22" s="31">
        <f>490*100/(8387/12)</f>
        <v>70.108501251937525</v>
      </c>
      <c r="F22" s="31">
        <f>272*100/(19226/12)</f>
        <v>16.977010298554042</v>
      </c>
      <c r="G22" s="31">
        <f>13575*100/(98697/12)</f>
        <v>165.05060944101643</v>
      </c>
      <c r="H22" s="31">
        <f>8*100/(529/12)</f>
        <v>18.147448015122873</v>
      </c>
      <c r="I22" s="31">
        <f>28*100/(354/12)</f>
        <v>94.915254237288138</v>
      </c>
      <c r="J22" s="33">
        <f>1.0293*100/(5/12)</f>
        <v>247.03200000000001</v>
      </c>
      <c r="K22" s="31">
        <f>33*100/(340/12)</f>
        <v>116.47058823529412</v>
      </c>
      <c r="L22" s="31">
        <f>708.9707*100/(47206/12)</f>
        <v>18.022387832055244</v>
      </c>
      <c r="M22" s="47">
        <f>16224*100/(194832/12)</f>
        <v>99.926090169992605</v>
      </c>
      <c r="N22" s="97"/>
      <c r="O22" s="23"/>
    </row>
    <row r="23" spans="2:17" s="4" customFormat="1" ht="18.95" hidden="1" customHeight="1" x14ac:dyDescent="0.2">
      <c r="B23" s="32" t="s">
        <v>16</v>
      </c>
      <c r="C23" s="33">
        <f>1182*100/(16953/12)</f>
        <v>83.666607680056629</v>
      </c>
      <c r="D23" s="31">
        <f>90*100/(1255/12)</f>
        <v>86.055776892430288</v>
      </c>
      <c r="E23" s="31">
        <f>486*100/(8387/12)</f>
        <v>69.536186956003348</v>
      </c>
      <c r="F23" s="31">
        <f>844*100/(19226/12)</f>
        <v>52.678664308748566</v>
      </c>
      <c r="G23" s="31">
        <f>13115*100/(98697/12)</f>
        <v>159.45773427763763</v>
      </c>
      <c r="H23" s="31">
        <v>0</v>
      </c>
      <c r="I23" s="31">
        <f>31*100/(354/12)</f>
        <v>105.08474576271186</v>
      </c>
      <c r="J23" s="33">
        <f>0.7514*100/(5/12)</f>
        <v>180.33599999999998</v>
      </c>
      <c r="K23" s="31">
        <f>12*100/(340/12)</f>
        <v>42.352941176470587</v>
      </c>
      <c r="L23" s="31">
        <f>1076.2486*100/(47206/12)</f>
        <v>27.358774732025584</v>
      </c>
      <c r="M23" s="47">
        <f>16837*100/(194832/12)</f>
        <v>103.70165065287017</v>
      </c>
      <c r="N23" s="97"/>
      <c r="O23" s="23"/>
    </row>
    <row r="24" spans="2:17" s="4" customFormat="1" ht="18.95" hidden="1" customHeight="1" x14ac:dyDescent="0.2">
      <c r="B24" s="32" t="s">
        <v>17</v>
      </c>
      <c r="C24" s="33">
        <f>905*100/(16953/12)</f>
        <v>64.059458502919838</v>
      </c>
      <c r="D24" s="31">
        <f>42*100/(1255/12)</f>
        <v>40.159362549800797</v>
      </c>
      <c r="E24" s="31">
        <f>345*100/(8387/12)</f>
        <v>49.362108024323362</v>
      </c>
      <c r="F24" s="31">
        <f>1241*100/(19226/12)</f>
        <v>77.457609487152808</v>
      </c>
      <c r="G24" s="31">
        <f>10919*100/(98697/12)</f>
        <v>132.75783458463783</v>
      </c>
      <c r="H24" s="31">
        <f>21*100/(529/12)</f>
        <v>47.637051039697539</v>
      </c>
      <c r="I24" s="31">
        <f>29*100/(354/12)</f>
        <v>98.305084745762713</v>
      </c>
      <c r="J24" s="33">
        <f>0.7455*100/(5/12)</f>
        <v>178.92000000000002</v>
      </c>
      <c r="K24" s="31">
        <f>60*100/(340/12)</f>
        <v>211.76470588235296</v>
      </c>
      <c r="L24" s="31">
        <f>958.8931*100/(47206/12)</f>
        <v>24.375539550057194</v>
      </c>
      <c r="M24" s="47">
        <f>14522*100/(194832/12)</f>
        <v>89.443212613944326</v>
      </c>
      <c r="N24" s="97"/>
      <c r="O24" s="23"/>
    </row>
    <row r="25" spans="2:17" s="4" customFormat="1" ht="18.95" hidden="1" customHeight="1" x14ac:dyDescent="0.2">
      <c r="B25" s="32" t="s">
        <v>18</v>
      </c>
      <c r="C25" s="33">
        <f>1148*100/(16953/12)</f>
        <v>81.259953990444174</v>
      </c>
      <c r="D25" s="31">
        <f>78*100/(1255/12)</f>
        <v>74.581673306772913</v>
      </c>
      <c r="E25" s="31">
        <f>508*100/(8387/12)</f>
        <v>72.683915583641351</v>
      </c>
      <c r="F25" s="31">
        <f>555*100/(19226/12)</f>
        <v>34.6405908665349</v>
      </c>
      <c r="G25" s="31">
        <f>16317*100/(98697/12)</f>
        <v>198.38900878446154</v>
      </c>
      <c r="H25" s="31">
        <v>0</v>
      </c>
      <c r="I25" s="31">
        <f>33*100/(354/12)</f>
        <v>111.86440677966101</v>
      </c>
      <c r="J25" s="33">
        <f>1.1069*100/(5/12)</f>
        <v>265.65600000000001</v>
      </c>
      <c r="K25" s="31">
        <f>42*100/(340/12)</f>
        <v>148.23529411764707</v>
      </c>
      <c r="L25" s="31">
        <f>1168.1638*100/(47206/12)</f>
        <v>29.695304834131253</v>
      </c>
      <c r="M25" s="47">
        <f>19850*100/(194832/12)</f>
        <v>122.25917713722592</v>
      </c>
      <c r="N25" s="97"/>
      <c r="O25" s="23"/>
    </row>
    <row r="26" spans="2:17" s="4" customFormat="1" ht="18.95" hidden="1" customHeight="1" x14ac:dyDescent="0.2">
      <c r="B26" s="32" t="s">
        <v>19</v>
      </c>
      <c r="C26" s="33">
        <f>1311*100/(16953/12)</f>
        <v>92.797734914174484</v>
      </c>
      <c r="D26" s="31">
        <f>62*100/(1255/12)</f>
        <v>59.282868525896419</v>
      </c>
      <c r="E26" s="31">
        <f>347*100/(8387/12)</f>
        <v>49.648265172290451</v>
      </c>
      <c r="F26" s="31">
        <f>2268*100/(19226/12)</f>
        <v>141.55830646000209</v>
      </c>
      <c r="G26" s="31">
        <f>15743*100/(98697/12)</f>
        <v>191.41007325450622</v>
      </c>
      <c r="H26" s="31">
        <f>5*100/(529/12)</f>
        <v>11.342155009451796</v>
      </c>
      <c r="I26" s="31">
        <f>37*100/(354/12)</f>
        <v>125.42372881355932</v>
      </c>
      <c r="J26" s="33">
        <f>0.8362*100/(5/12)</f>
        <v>200.68799999999999</v>
      </c>
      <c r="K26" s="31">
        <f>24*100/(340/12)</f>
        <v>84.705882352941174</v>
      </c>
      <c r="L26" s="31">
        <f>1446.9649*100/(47206/12)</f>
        <v>36.782567470236827</v>
      </c>
      <c r="M26" s="47">
        <f>21245*100/(194832/12)</f>
        <v>130.85119487558512</v>
      </c>
      <c r="N26" s="97"/>
      <c r="O26" s="23"/>
    </row>
    <row r="27" spans="2:17" s="4" customFormat="1" ht="18.95" hidden="1" customHeight="1" x14ac:dyDescent="0.2">
      <c r="B27" s="32" t="s">
        <v>20</v>
      </c>
      <c r="C27" s="33">
        <f>1218*100/(16953/12)</f>
        <v>86.214829233763936</v>
      </c>
      <c r="D27" s="31">
        <f>42*100/(1255/12)</f>
        <v>40.159362549800797</v>
      </c>
      <c r="E27" s="31">
        <f>494*100/(8387/12)</f>
        <v>70.680815547871717</v>
      </c>
      <c r="F27" s="31">
        <f>1517*100/(19226/12)</f>
        <v>94.684281701862062</v>
      </c>
      <c r="G27" s="31">
        <f>11700*100/(98697/12)</f>
        <v>142.25356393811361</v>
      </c>
      <c r="H27" s="31">
        <f>1.47*100/(529/12)</f>
        <v>3.3345935727788278</v>
      </c>
      <c r="I27" s="31">
        <f>27*100/(354/12)</f>
        <v>91.525423728813564</v>
      </c>
      <c r="J27" s="33">
        <f>1.0351*100/(5/12)</f>
        <v>248.42399999999998</v>
      </c>
      <c r="K27" s="31">
        <f>28*100/(340/12)</f>
        <v>98.82352941176471</v>
      </c>
      <c r="L27" s="31">
        <f>2357.6360725275*100/(47206/12)</f>
        <v>59.932281638626442</v>
      </c>
      <c r="M27" s="47">
        <f>17386*100/(194832/12)</f>
        <v>107.0830253757083</v>
      </c>
      <c r="N27" s="97"/>
      <c r="O27" s="23"/>
    </row>
    <row r="28" spans="2:17" s="4" customFormat="1" ht="18.95" hidden="1" customHeight="1" x14ac:dyDescent="0.2">
      <c r="B28" s="32" t="s">
        <v>21</v>
      </c>
      <c r="C28" s="33">
        <f>1790*100/(16953/12)</f>
        <v>126.70323836489116</v>
      </c>
      <c r="D28" s="31">
        <f>56*100/(1255/12)</f>
        <v>53.545816733067731</v>
      </c>
      <c r="E28" s="31">
        <f>639*100/(8387/12)</f>
        <v>91.42720877548588</v>
      </c>
      <c r="F28" s="31">
        <f>1570*100/(19226/12)</f>
        <v>97.992302090918542</v>
      </c>
      <c r="G28" s="31">
        <f>13306*100/(98697/12)</f>
        <v>161.77999331286665</v>
      </c>
      <c r="H28" s="31">
        <f>2*100/(529/12)</f>
        <v>4.5368620037807181</v>
      </c>
      <c r="I28" s="31">
        <f>37*100/(354/12)</f>
        <v>125.42372881355932</v>
      </c>
      <c r="J28" s="33">
        <f>0.8914*100/(5/12)</f>
        <v>213.93599999999998</v>
      </c>
      <c r="K28" s="31">
        <v>0</v>
      </c>
      <c r="L28" s="31">
        <f>3850.1794*100/(47206/12)</f>
        <v>97.873475405668771</v>
      </c>
      <c r="M28" s="47">
        <f>21251*100/(194832/12)</f>
        <v>130.88814979058881</v>
      </c>
      <c r="N28" s="97"/>
      <c r="O28" s="23"/>
    </row>
    <row r="29" spans="2:17" s="4" customFormat="1" ht="18.95" hidden="1" customHeight="1" x14ac:dyDescent="0.2">
      <c r="B29" s="32" t="s">
        <v>22</v>
      </c>
      <c r="C29" s="33">
        <f>1226*100/(16953/12)</f>
        <v>86.781100690143333</v>
      </c>
      <c r="D29" s="31">
        <f>55*100/(1255/12)</f>
        <v>52.589641434262951</v>
      </c>
      <c r="E29" s="31">
        <f>396*100/(8387/12)</f>
        <v>56.659115297484206</v>
      </c>
      <c r="F29" s="31">
        <f>1267*100/(19226/12)</f>
        <v>79.080411942161646</v>
      </c>
      <c r="G29" s="31">
        <f>12493*100/(98697/12)</f>
        <v>151.895194382808</v>
      </c>
      <c r="H29" s="34"/>
      <c r="I29" s="31">
        <f>33*100/(354/12)</f>
        <v>111.86440677966101</v>
      </c>
      <c r="J29" s="33">
        <f>0.8206*100/(5/12)</f>
        <v>196.94399999999999</v>
      </c>
      <c r="K29" s="31">
        <f>16*100/(340/12)</f>
        <v>56.470588235294123</v>
      </c>
      <c r="L29" s="31">
        <f>2884.1936*100/(47206/12)</f>
        <v>73.31763589374232</v>
      </c>
      <c r="M29" s="47">
        <f>18371*100/(194832/12)</f>
        <v>113.14979058881498</v>
      </c>
      <c r="N29" s="97"/>
      <c r="O29" s="23"/>
    </row>
    <row r="30" spans="2:17" s="4" customFormat="1" ht="18.95" hidden="1" customHeight="1" x14ac:dyDescent="0.2">
      <c r="B30" s="32" t="s">
        <v>23</v>
      </c>
      <c r="C30" s="33">
        <f>1076*100/(16953/12)</f>
        <v>76.163510883029559</v>
      </c>
      <c r="D30" s="31">
        <f>67*100/(1255/12)</f>
        <v>64.063745019920319</v>
      </c>
      <c r="E30" s="31">
        <f>549*100/(8387/12)</f>
        <v>78.550137116966738</v>
      </c>
      <c r="F30" s="31">
        <f>884*100/(19226/12)</f>
        <v>55.175283470300634</v>
      </c>
      <c r="G30" s="31">
        <f>14196*100/(98697/12)</f>
        <v>172.60099091157787</v>
      </c>
      <c r="H30" s="31">
        <f>11*100/(529/12)</f>
        <v>24.952741020793951</v>
      </c>
      <c r="I30" s="31">
        <f>30*100/(354/12)</f>
        <v>101.69491525423729</v>
      </c>
      <c r="J30" s="33">
        <f>0.8064*100/(5/12)</f>
        <v>193.536</v>
      </c>
      <c r="K30" s="31">
        <f>160*100/(340/12)</f>
        <v>564.70588235294122</v>
      </c>
      <c r="L30" s="31">
        <f>1361*100/(47206/12)</f>
        <v>34.597296953777061</v>
      </c>
      <c r="M30" s="47">
        <f>18334*100/(194832/12)</f>
        <v>112.92190194629219</v>
      </c>
      <c r="N30" s="97"/>
      <c r="O30" s="23"/>
    </row>
    <row r="31" spans="2:17" s="4" customFormat="1" ht="18.95" hidden="1" customHeight="1" x14ac:dyDescent="0.2">
      <c r="B31" s="35">
        <v>1997</v>
      </c>
      <c r="C31" s="34"/>
      <c r="D31" s="34"/>
      <c r="E31" s="34"/>
      <c r="F31" s="34"/>
      <c r="G31" s="34"/>
      <c r="H31" s="34"/>
      <c r="I31" s="34"/>
      <c r="J31" s="36"/>
      <c r="K31" s="34"/>
      <c r="L31" s="34"/>
      <c r="M31" s="48"/>
      <c r="N31" s="97"/>
      <c r="O31" s="23"/>
    </row>
    <row r="32" spans="2:17" s="4" customFormat="1" ht="18.95" hidden="1" customHeight="1" x14ac:dyDescent="0.2">
      <c r="B32" s="32" t="s">
        <v>24</v>
      </c>
      <c r="C32" s="37">
        <f>1175*100/(16953/12)</f>
        <v>83.171120155724651</v>
      </c>
      <c r="D32" s="37">
        <f>41*100/(1255/12)</f>
        <v>39.203187250996017</v>
      </c>
      <c r="E32" s="37">
        <f>557*100/(8387/12)</f>
        <v>79.694765708835106</v>
      </c>
      <c r="F32" s="37">
        <f>1941*100/(19226/12)</f>
        <v>121.14844481431395</v>
      </c>
      <c r="G32" s="37">
        <f>14966*100/(98697/12)</f>
        <v>181.96297759810329</v>
      </c>
      <c r="H32" s="37">
        <v>0</v>
      </c>
      <c r="I32" s="37">
        <f>34*100/(354/12)</f>
        <v>115.2542372881356</v>
      </c>
      <c r="J32" s="38">
        <f>0.98*100/(5/12)</f>
        <v>235.2</v>
      </c>
      <c r="K32" s="37">
        <f>9*100/(340/12)</f>
        <v>31.764705882352942</v>
      </c>
      <c r="L32" s="37">
        <f>1644*100/(47206/12)</f>
        <v>41.791297716391981</v>
      </c>
      <c r="M32" s="39">
        <f>20367.98*100/(194832/12)</f>
        <v>125.44949494949495</v>
      </c>
      <c r="N32" s="97"/>
      <c r="O32" s="23"/>
      <c r="Q32" s="3"/>
    </row>
    <row r="33" spans="2:17" s="4" customFormat="1" ht="18.95" hidden="1" customHeight="1" x14ac:dyDescent="0.2">
      <c r="B33" s="32" t="s">
        <v>25</v>
      </c>
      <c r="C33" s="37">
        <f>888*100/(16953/12)</f>
        <v>62.856131658113611</v>
      </c>
      <c r="D33" s="37">
        <f>29*100/(1255/12)</f>
        <v>27.729083665338646</v>
      </c>
      <c r="E33" s="37">
        <f>450*100/(8387/12)</f>
        <v>64.385358292595683</v>
      </c>
      <c r="F33" s="37">
        <f>589*100/(19226/12)</f>
        <v>36.762717153854155</v>
      </c>
      <c r="G33" s="37">
        <f>13573*100/(98697/12)</f>
        <v>165.02629259248002</v>
      </c>
      <c r="H33" s="37">
        <f>8*100/(529/12)</f>
        <v>18.147448015122873</v>
      </c>
      <c r="I33" s="37">
        <f>28*100/(354/12)</f>
        <v>94.915254237288138</v>
      </c>
      <c r="J33" s="38">
        <f>0.636*100/(5/12)</f>
        <v>152.63999999999999</v>
      </c>
      <c r="K33" s="37">
        <f>11*100/(340/12)</f>
        <v>38.82352941176471</v>
      </c>
      <c r="L33" s="37">
        <f>897*100/(47206/12)</f>
        <v>22.802186162775918</v>
      </c>
      <c r="M33" s="39">
        <f>16473.636*100/(194832/12)</f>
        <v>101.46363636363635</v>
      </c>
      <c r="N33" s="97"/>
      <c r="O33" s="23"/>
      <c r="Q33" s="3"/>
    </row>
    <row r="34" spans="2:17" s="4" customFormat="1" ht="18.95" hidden="1" customHeight="1" x14ac:dyDescent="0.2">
      <c r="B34" s="32" t="s">
        <v>26</v>
      </c>
      <c r="C34" s="37">
        <f>1078*100/(16953/12)</f>
        <v>76.305078747124398</v>
      </c>
      <c r="D34" s="37">
        <f>56*100/(1255/12)</f>
        <v>53.545816733067731</v>
      </c>
      <c r="E34" s="37">
        <f>339*100/(8387/12)</f>
        <v>48.503636580422082</v>
      </c>
      <c r="F34" s="37">
        <f>480*100/(19226/12)</f>
        <v>29.959429938624776</v>
      </c>
      <c r="G34" s="37">
        <f>13113*100/(98697/12)</f>
        <v>159.43341742910118</v>
      </c>
      <c r="H34" s="37">
        <f>38*100/(529/12)</f>
        <v>86.20037807183364</v>
      </c>
      <c r="I34" s="37">
        <f>29*100/(354/12)</f>
        <v>98.305084745762713</v>
      </c>
      <c r="J34" s="38">
        <f>0.66*100/(5/12)</f>
        <v>158.4</v>
      </c>
      <c r="K34" s="37">
        <f>31*100/(340/12)</f>
        <v>109.41176470588236</v>
      </c>
      <c r="L34" s="37">
        <f>1026*100/(47206/12)</f>
        <v>26.08143032665339</v>
      </c>
      <c r="M34" s="39">
        <f>16190.66*100/(194832/12)</f>
        <v>99.720744025622068</v>
      </c>
      <c r="N34" s="97"/>
      <c r="O34" s="23"/>
      <c r="Q34" s="3"/>
    </row>
    <row r="35" spans="2:17" s="4" customFormat="1" ht="18.95" hidden="1" customHeight="1" x14ac:dyDescent="0.2">
      <c r="B35" s="32" t="s">
        <v>27</v>
      </c>
      <c r="C35" s="37">
        <f>1374*100/(16953/12)</f>
        <v>97.257122633162268</v>
      </c>
      <c r="D35" s="37">
        <f>26*100/(1255/12)</f>
        <v>24.860557768924306</v>
      </c>
      <c r="E35" s="37">
        <f>436*100/(8387/12)</f>
        <v>62.382258256826042</v>
      </c>
      <c r="F35" s="37">
        <f>1159*100/(19226/12)</f>
        <v>72.339540205971076</v>
      </c>
      <c r="G35" s="37">
        <f>12035*100/(98697/12)</f>
        <v>146.32663606796558</v>
      </c>
      <c r="H35" s="37">
        <f>11*100/(529/12)</f>
        <v>24.952741020793951</v>
      </c>
      <c r="I35" s="37">
        <f>27*100/(354/12)</f>
        <v>91.525423728813564</v>
      </c>
      <c r="J35" s="38">
        <f>1.0293*100/(5/12)</f>
        <v>247.03200000000001</v>
      </c>
      <c r="K35" s="37">
        <f>40*100/(340/12)</f>
        <v>141.1764705882353</v>
      </c>
      <c r="L35" s="37">
        <f>2401*100/(47206/12)</f>
        <v>61.034614243952035</v>
      </c>
      <c r="M35" s="39">
        <f>17510.0293*100/(194832/12)</f>
        <v>107.84694074895295</v>
      </c>
      <c r="N35" s="97"/>
      <c r="O35" s="23"/>
      <c r="Q35" s="3"/>
    </row>
    <row r="36" spans="2:17" s="4" customFormat="1" ht="18.95" hidden="1" customHeight="1" x14ac:dyDescent="0.2">
      <c r="B36" s="32" t="s">
        <v>28</v>
      </c>
      <c r="C36" s="37">
        <f>1247*100/(16953/12)</f>
        <v>88.267563263139266</v>
      </c>
      <c r="D36" s="37">
        <f>69*100/(1255/12)</f>
        <v>65.976095617529879</v>
      </c>
      <c r="E36" s="37">
        <f>556*100/(8387/12)</f>
        <v>79.551687134851562</v>
      </c>
      <c r="F36" s="37">
        <f>1508*100/(19226/12)</f>
        <v>94.122542390512848</v>
      </c>
      <c r="G36" s="37">
        <f>13742*100/(98697/12)</f>
        <v>167.08106629380833</v>
      </c>
      <c r="H36" s="37">
        <f>19*100/(529/12)</f>
        <v>43.10018903591682</v>
      </c>
      <c r="I36" s="37">
        <f>35*100/(354/12)</f>
        <v>118.64406779661017</v>
      </c>
      <c r="J36" s="38">
        <f>0.7514*100/(5/12)</f>
        <v>180.33599999999998</v>
      </c>
      <c r="K36" s="37">
        <f>29*100/(340/12)</f>
        <v>102.35294117647059</v>
      </c>
      <c r="L36" s="37">
        <f>1255*100/(47206/12)</f>
        <v>31.902724229970765</v>
      </c>
      <c r="M36" s="39">
        <f>18460.7514*100/(194832/12)</f>
        <v>113.70258314855877</v>
      </c>
      <c r="N36" s="97"/>
      <c r="O36" s="23"/>
      <c r="Q36" s="3"/>
    </row>
    <row r="37" spans="2:17" s="4" customFormat="1" ht="18.95" hidden="1" customHeight="1" x14ac:dyDescent="0.2">
      <c r="B37" s="32" t="s">
        <v>29</v>
      </c>
      <c r="C37" s="37">
        <f>1144*100/(16953/12)</f>
        <v>80.976818262254469</v>
      </c>
      <c r="D37" s="37">
        <f>81*100/(1255/12)</f>
        <v>77.450199203187253</v>
      </c>
      <c r="E37" s="37">
        <f>439*100/(8387/12)</f>
        <v>62.811493978776682</v>
      </c>
      <c r="F37" s="37">
        <f>2791*100/(19226/12)</f>
        <v>174.20160199729531</v>
      </c>
      <c r="G37" s="37">
        <f>14594*100/(98697/12)</f>
        <v>177.44004377032738</v>
      </c>
      <c r="H37" s="37">
        <f>24*100/(529/12)</f>
        <v>54.442344045368614</v>
      </c>
      <c r="I37" s="37">
        <f>33*100/(354/12)</f>
        <v>111.86440677966101</v>
      </c>
      <c r="J37" s="38">
        <f>0.7455*100/(5/12)</f>
        <v>178.92000000000002</v>
      </c>
      <c r="K37" s="37">
        <f>26*100/(340/12)</f>
        <v>91.764705882352942</v>
      </c>
      <c r="L37" s="37">
        <f>831*100/(47206/12)</f>
        <v>21.124433334745582</v>
      </c>
      <c r="M37" s="39">
        <f>19963.7455*100/(194832/12)</f>
        <v>122.95975301798472</v>
      </c>
      <c r="N37" s="97"/>
      <c r="O37" s="23"/>
      <c r="Q37" s="3"/>
    </row>
    <row r="38" spans="2:17" s="4" customFormat="1" ht="18.95" hidden="1" customHeight="1" x14ac:dyDescent="0.2">
      <c r="B38" s="32" t="s">
        <v>30</v>
      </c>
      <c r="C38" s="37">
        <f>1635*100/(16953/12)</f>
        <v>115.73172889754026</v>
      </c>
      <c r="D38" s="37">
        <f>55*100/(1255/12)</f>
        <v>52.589641434262951</v>
      </c>
      <c r="E38" s="37">
        <f>610*100/(8387/12)</f>
        <v>87.277930129963039</v>
      </c>
      <c r="F38" s="37">
        <f>2207*100/(19226/12)</f>
        <v>137.75096223863517</v>
      </c>
      <c r="G38" s="37">
        <f>14640*100/(98697/12)</f>
        <v>177.99933128666524</v>
      </c>
      <c r="H38" s="37">
        <f>26*100/(529/12)</f>
        <v>58.979206049149333</v>
      </c>
      <c r="I38" s="37">
        <f>35*100/(354/12)</f>
        <v>118.64406779661017</v>
      </c>
      <c r="J38" s="38">
        <f>1.107*100/(5/12)</f>
        <v>265.68</v>
      </c>
      <c r="K38" s="37">
        <f>40*100/(340/12)</f>
        <v>141.1764705882353</v>
      </c>
      <c r="L38" s="37">
        <f>2084*100/(47206/12)</f>
        <v>52.976316569927548</v>
      </c>
      <c r="M38" s="39">
        <f>21333.107*100/(194832/12)</f>
        <v>131.39385932495691</v>
      </c>
      <c r="N38" s="97"/>
      <c r="O38" s="23"/>
      <c r="Q38" s="3"/>
    </row>
    <row r="39" spans="2:17" s="4" customFormat="1" ht="18.95" hidden="1" customHeight="1" x14ac:dyDescent="0.2">
      <c r="B39" s="32" t="s">
        <v>31</v>
      </c>
      <c r="C39" s="37">
        <f>1242*100/(16953/12)</f>
        <v>87.913643602902141</v>
      </c>
      <c r="D39" s="37">
        <f>42*100/(1255/12)</f>
        <v>40.159362549800797</v>
      </c>
      <c r="E39" s="37">
        <f>169*100/(8387/12)</f>
        <v>24.180279003219269</v>
      </c>
      <c r="F39" s="37">
        <f>2712*100/(19226/12)</f>
        <v>169.27077915323</v>
      </c>
      <c r="G39" s="37">
        <f>10423*100/(98697/12)</f>
        <v>126.72725614760327</v>
      </c>
      <c r="H39" s="37">
        <f>13*100/(529/12)</f>
        <v>29.489603024574667</v>
      </c>
      <c r="I39" s="37">
        <f>30*100/(354/12)</f>
        <v>101.69491525423729</v>
      </c>
      <c r="J39" s="38">
        <f>0.8362*100/(5/12)</f>
        <v>200.68799999999999</v>
      </c>
      <c r="K39" s="37">
        <f>6*100/(340/12)</f>
        <v>21.176470588235293</v>
      </c>
      <c r="L39" s="37">
        <f>892*100/(47206/12)</f>
        <v>22.675083675803922</v>
      </c>
      <c r="M39" s="39">
        <f>15529.8362*100/(194832/12)</f>
        <v>95.650629465385549</v>
      </c>
      <c r="N39" s="97"/>
      <c r="O39" s="23"/>
      <c r="Q39" s="3"/>
    </row>
    <row r="40" spans="2:17" s="4" customFormat="1" ht="18.95" hidden="1" customHeight="1" x14ac:dyDescent="0.2">
      <c r="B40" s="32" t="s">
        <v>32</v>
      </c>
      <c r="C40" s="37">
        <f>1141*100/(16953/12)</f>
        <v>80.764466466112196</v>
      </c>
      <c r="D40" s="37">
        <f>94*100/(1255/12)</f>
        <v>89.880478087649408</v>
      </c>
      <c r="E40" s="37">
        <f>708*100/(8387/12)</f>
        <v>101.29963038035055</v>
      </c>
      <c r="F40" s="37">
        <f>1165*100/(19226/12)</f>
        <v>72.71403308020389</v>
      </c>
      <c r="G40" s="37">
        <f>10771*100/(98697/12)</f>
        <v>130.95838779294203</v>
      </c>
      <c r="H40" s="37">
        <f>5*100/(529/12)</f>
        <v>11.342155009451796</v>
      </c>
      <c r="I40" s="37">
        <f>31*100/(354/12)</f>
        <v>105.08474576271186</v>
      </c>
      <c r="J40" s="38">
        <f>1.0351*100/(5/12)</f>
        <v>248.42399999999998</v>
      </c>
      <c r="K40" s="37">
        <f>12*100/(340/12)</f>
        <v>42.352941176470587</v>
      </c>
      <c r="L40" s="37">
        <f>3026*100/(47206/12)</f>
        <v>76.922425115451418</v>
      </c>
      <c r="M40" s="39">
        <f>16954.0351*100/(194832/12)</f>
        <v>104.422487681695</v>
      </c>
      <c r="N40" s="97"/>
      <c r="O40" s="23"/>
      <c r="Q40" s="3"/>
    </row>
    <row r="41" spans="2:17" s="4" customFormat="1" ht="18.95" hidden="1" customHeight="1" x14ac:dyDescent="0.2">
      <c r="B41" s="32" t="s">
        <v>33</v>
      </c>
      <c r="C41" s="37">
        <f>1363*100/(16953/12)</f>
        <v>96.478499380640599</v>
      </c>
      <c r="D41" s="37">
        <f>43*100/(1255/12)</f>
        <v>41.115537848605577</v>
      </c>
      <c r="E41" s="37">
        <f>452*100/(8387/12)</f>
        <v>64.671515440562786</v>
      </c>
      <c r="F41" s="37">
        <f>1871*100/(19226/12)</f>
        <v>116.77936128159783</v>
      </c>
      <c r="G41" s="37">
        <f>13367*100/(98697/12)</f>
        <v>162.52165719322775</v>
      </c>
      <c r="H41" s="37">
        <f>11*100/(529/12)</f>
        <v>24.952741020793951</v>
      </c>
      <c r="I41" s="37">
        <f>38*100/(354/12)</f>
        <v>128.81355932203391</v>
      </c>
      <c r="J41" s="38">
        <f>0.8914*100/(5/12)</f>
        <v>213.93599999999998</v>
      </c>
      <c r="K41" s="37">
        <v>0</v>
      </c>
      <c r="L41" s="37">
        <f>2343*100/(47206/12)</f>
        <v>59.560225395076891</v>
      </c>
      <c r="M41" s="39">
        <f>19488.8914*100/(194832/12)</f>
        <v>120.03505420054201</v>
      </c>
      <c r="N41" s="97"/>
      <c r="O41" s="23"/>
      <c r="Q41" s="3"/>
    </row>
    <row r="42" spans="2:17" s="4" customFormat="1" ht="18.95" hidden="1" customHeight="1" x14ac:dyDescent="0.2">
      <c r="B42" s="32" t="s">
        <v>34</v>
      </c>
      <c r="C42" s="37">
        <f>1155*100/(16953/12)</f>
        <v>81.755441514776152</v>
      </c>
      <c r="D42" s="37">
        <f>54*100/(1255/12)</f>
        <v>51.633466135458171</v>
      </c>
      <c r="E42" s="37">
        <f>516*100/(8387/12)</f>
        <v>73.82854417550972</v>
      </c>
      <c r="F42" s="37">
        <f>827*100/(19226/12)</f>
        <v>51.617601165088942</v>
      </c>
      <c r="G42" s="37">
        <f>10540*100/(98697/12)</f>
        <v>128.14979178698439</v>
      </c>
      <c r="H42" s="37">
        <v>0</v>
      </c>
      <c r="I42" s="37">
        <f>32*100/(354/12)</f>
        <v>108.47457627118644</v>
      </c>
      <c r="J42" s="38">
        <f>0.8206*100/(5/12)</f>
        <v>196.94399999999999</v>
      </c>
      <c r="K42" s="37">
        <f>38*100/(340/12)</f>
        <v>134.11764705882354</v>
      </c>
      <c r="L42" s="37">
        <f>1264*100/(47206/12)</f>
        <v>32.131508706520357</v>
      </c>
      <c r="M42" s="39">
        <f>14426.8206*100/(194832/12)</f>
        <v>88.856988174427187</v>
      </c>
      <c r="N42" s="97"/>
      <c r="O42" s="23"/>
      <c r="Q42" s="3"/>
    </row>
    <row r="43" spans="2:17" s="4" customFormat="1" ht="18.95" hidden="1" customHeight="1" x14ac:dyDescent="0.2">
      <c r="B43" s="32" t="s">
        <v>35</v>
      </c>
      <c r="C43" s="37">
        <f>936*100/(16953/12)</f>
        <v>66.253760396390021</v>
      </c>
      <c r="D43" s="37">
        <f>56*100/(1255/12)</f>
        <v>53.545816733067731</v>
      </c>
      <c r="E43" s="37">
        <f>603*100/(8387/12)</f>
        <v>86.276380112078215</v>
      </c>
      <c r="F43" s="37">
        <f>902*100/(19226/12)</f>
        <v>56.298762092999063</v>
      </c>
      <c r="G43" s="37">
        <f>12083*100/(98697/12)</f>
        <v>146.91024043283991</v>
      </c>
      <c r="H43" s="37">
        <f>7*100/(529/12)</f>
        <v>15.879017013232513</v>
      </c>
      <c r="I43" s="37">
        <f>32*100/(354/12)</f>
        <v>108.47457627118644</v>
      </c>
      <c r="J43" s="38">
        <f>0.8064*100/(5/12)</f>
        <v>193.536</v>
      </c>
      <c r="K43" s="37">
        <f>24*100/(340/12)</f>
        <v>84.705882352941174</v>
      </c>
      <c r="L43" s="37">
        <f>1282*100/(47206/12)</f>
        <v>32.589077659619541</v>
      </c>
      <c r="M43" s="39">
        <f>15925.8064*100/(194832/12)</f>
        <v>98.089470312884941</v>
      </c>
      <c r="N43" s="97"/>
      <c r="O43" s="23"/>
      <c r="Q43" s="3"/>
    </row>
    <row r="44" spans="2:17" s="4" customFormat="1" ht="18.95" hidden="1" customHeight="1" x14ac:dyDescent="0.2">
      <c r="B44" s="40"/>
      <c r="C44" s="34"/>
      <c r="D44" s="34"/>
      <c r="E44" s="34"/>
      <c r="F44" s="34"/>
      <c r="G44" s="34"/>
      <c r="H44" s="34"/>
      <c r="I44" s="34"/>
      <c r="J44" s="36"/>
      <c r="K44" s="34"/>
      <c r="L44" s="34"/>
      <c r="M44" s="48"/>
      <c r="N44" s="98"/>
      <c r="O44" s="23"/>
    </row>
    <row r="45" spans="2:17" s="4" customFormat="1" ht="18.95" hidden="1" customHeight="1" x14ac:dyDescent="0.2">
      <c r="B45" s="52">
        <v>2000</v>
      </c>
      <c r="C45" s="31">
        <f>13946*100/13946</f>
        <v>100</v>
      </c>
      <c r="D45" s="31">
        <f>496*100/496</f>
        <v>100</v>
      </c>
      <c r="E45" s="31">
        <f>2172*100/2172</f>
        <v>100</v>
      </c>
      <c r="F45" s="31">
        <f>9810*100/9810</f>
        <v>100</v>
      </c>
      <c r="G45" s="31">
        <f>150629*100/150629</f>
        <v>100</v>
      </c>
      <c r="H45" s="31">
        <f>386*100/(386/12)/12</f>
        <v>100</v>
      </c>
      <c r="I45" s="31">
        <f>462*100/462</f>
        <v>100</v>
      </c>
      <c r="J45" s="31">
        <f>10*100/10</f>
        <v>100</v>
      </c>
      <c r="K45" s="31">
        <f>88*100/88</f>
        <v>100</v>
      </c>
      <c r="L45" s="31">
        <f>57656*100/57656</f>
        <v>100</v>
      </c>
      <c r="M45" s="47">
        <f>235353*100/235353</f>
        <v>100</v>
      </c>
      <c r="N45" s="98"/>
      <c r="O45" s="23"/>
    </row>
    <row r="46" spans="2:17" s="4" customFormat="1" ht="18.95" hidden="1" customHeight="1" x14ac:dyDescent="0.2">
      <c r="B46" s="52">
        <v>2001</v>
      </c>
      <c r="C46" s="37">
        <f>(10999)*100/(13946/12)/12</f>
        <v>78.868492757780004</v>
      </c>
      <c r="D46" s="41">
        <f>676*100/(496/12)/12</f>
        <v>136.29032258064515</v>
      </c>
      <c r="E46" s="41">
        <f>(2618)*100/(2172/12)/12</f>
        <v>120.5340699815838</v>
      </c>
      <c r="F46" s="41">
        <f>8009*100/(9810/12)/12</f>
        <v>81.641182466870546</v>
      </c>
      <c r="G46" s="41">
        <f>131286*100/(150629/12)/12</f>
        <v>87.15851529253996</v>
      </c>
      <c r="H46" s="42">
        <f>117*100/(386/12)/12</f>
        <v>30.310880829015545</v>
      </c>
      <c r="I46" s="41">
        <f>362*100/(462/12)/12</f>
        <v>78.354978354978357</v>
      </c>
      <c r="J46" s="43">
        <f>9.8*100/(10/12)/12</f>
        <v>98</v>
      </c>
      <c r="K46" s="41">
        <f>56*100/(88/12)/12</f>
        <v>63.636363636363633</v>
      </c>
      <c r="L46" s="41">
        <f>51974*100/(57656/12)/12</f>
        <v>90.144997918690152</v>
      </c>
      <c r="M46" s="39">
        <f>206011*100/(235353/12)/12</f>
        <v>87.532769924326431</v>
      </c>
      <c r="N46" s="98"/>
      <c r="O46" s="23"/>
    </row>
    <row r="47" spans="2:17" s="4" customFormat="1" ht="18.95" hidden="1" customHeight="1" x14ac:dyDescent="0.2">
      <c r="B47" s="52">
        <v>2002</v>
      </c>
      <c r="C47" s="37">
        <f>(14121)*100/(13946/12)/12</f>
        <v>101.25484009751899</v>
      </c>
      <c r="D47" s="41">
        <f>503*100/(496/12)/12</f>
        <v>101.41129032258063</v>
      </c>
      <c r="E47" s="41">
        <f>(2247)*100/(2172/12)/12</f>
        <v>103.45303867403315</v>
      </c>
      <c r="F47" s="41">
        <f>9656*100/(9810/12)/12</f>
        <v>98.430173292558607</v>
      </c>
      <c r="G47" s="41">
        <f>143399*100/(150629/12)/12</f>
        <v>95.200127465494688</v>
      </c>
      <c r="H47" s="42">
        <f>132*100/(386/12)/12</f>
        <v>34.196891191709845</v>
      </c>
      <c r="I47" s="41">
        <f>464*100/(462/12)/12</f>
        <v>100.43290043290044</v>
      </c>
      <c r="J47" s="43">
        <f>9.4*100/(10/12)/12</f>
        <v>94</v>
      </c>
      <c r="K47" s="41">
        <f>203*100/(88/12)/12</f>
        <v>230.68181818181822</v>
      </c>
      <c r="L47" s="41">
        <f>52030*100/(57656/12)/12</f>
        <v>90.242125711114184</v>
      </c>
      <c r="M47" s="39">
        <f>222760*100/(235353/12)/12</f>
        <v>94.649314009169203</v>
      </c>
      <c r="N47" s="98"/>
      <c r="O47" s="23"/>
    </row>
    <row r="48" spans="2:17" s="4" customFormat="1" ht="12" hidden="1" customHeight="1" x14ac:dyDescent="0.2">
      <c r="B48" s="40"/>
      <c r="C48" s="34"/>
      <c r="D48" s="34"/>
      <c r="E48" s="34"/>
      <c r="F48" s="34"/>
      <c r="G48" s="34"/>
      <c r="H48" s="34"/>
      <c r="I48" s="34"/>
      <c r="J48" s="36"/>
      <c r="K48" s="34"/>
      <c r="L48" s="34"/>
      <c r="M48" s="48"/>
      <c r="N48" s="98"/>
      <c r="O48" s="23"/>
    </row>
    <row r="49" spans="2:15" s="4" customFormat="1" ht="18" hidden="1" customHeight="1" x14ac:dyDescent="0.2">
      <c r="B49" s="32" t="s">
        <v>50</v>
      </c>
      <c r="C49" s="34">
        <v>67.345012682121165</v>
      </c>
      <c r="D49" s="34">
        <v>50.119521912350599</v>
      </c>
      <c r="E49" s="34">
        <v>53.189459878383211</v>
      </c>
      <c r="F49" s="34">
        <v>85.098304379486109</v>
      </c>
      <c r="G49" s="34">
        <v>155.07563553096853</v>
      </c>
      <c r="H49" s="34">
        <v>12.287334593572778</v>
      </c>
      <c r="I49" s="34">
        <v>120.62146892655367</v>
      </c>
      <c r="J49" s="44">
        <v>232.13884041109171</v>
      </c>
      <c r="K49" s="34">
        <v>52.352941176470587</v>
      </c>
      <c r="L49" s="34">
        <v>75.310341905689953</v>
      </c>
      <c r="M49" s="48">
        <v>115.13485219121854</v>
      </c>
      <c r="N49" s="98"/>
      <c r="O49" s="23"/>
    </row>
    <row r="50" spans="2:15" s="4" customFormat="1" ht="18" hidden="1" customHeight="1" x14ac:dyDescent="0.2">
      <c r="B50" s="45" t="s">
        <v>37</v>
      </c>
      <c r="C50" s="37">
        <f>958*100/(16953/12)</f>
        <v>67.811006901433373</v>
      </c>
      <c r="D50" s="37">
        <f>56*100/(1255/12)</f>
        <v>53.545816733067731</v>
      </c>
      <c r="E50" s="37">
        <f>106*100/(8387/12)</f>
        <v>15.166328842255872</v>
      </c>
      <c r="F50" s="37">
        <f>210*100/(19226/12)</f>
        <v>13.10725059814834</v>
      </c>
      <c r="G50" s="37">
        <f>17028*100/(98697/12)</f>
        <v>207.03364843916228</v>
      </c>
      <c r="H50" s="37"/>
      <c r="I50" s="37">
        <f>32*100/(354/12)</f>
        <v>108.47457627118644</v>
      </c>
      <c r="J50" s="38">
        <f>1.23*100/(5.157/12)</f>
        <v>286.21291448516575</v>
      </c>
      <c r="K50" s="37">
        <f>6*100/(340/12)</f>
        <v>21.176470588235293</v>
      </c>
      <c r="L50" s="37">
        <f>1114*100/(47206/12)</f>
        <v>28.318434097360505</v>
      </c>
      <c r="M50" s="39">
        <f>19511.23*100/(192952/12)</f>
        <v>121.34352585098884</v>
      </c>
      <c r="N50" s="97"/>
      <c r="O50" s="23"/>
    </row>
    <row r="51" spans="2:15" s="4" customFormat="1" ht="18" hidden="1" customHeight="1" x14ac:dyDescent="0.2">
      <c r="B51" s="45" t="s">
        <v>38</v>
      </c>
      <c r="C51" s="37">
        <f>761*100/(16953/12)</f>
        <v>53.866572288090602</v>
      </c>
      <c r="D51" s="37">
        <f>42*100/(1255/12)</f>
        <v>40.159362549800797</v>
      </c>
      <c r="E51" s="37">
        <f>449*100/(8387/12)</f>
        <v>64.242279718612139</v>
      </c>
      <c r="F51" s="37">
        <f>1235*100/(19226/12)</f>
        <v>77.083116612919994</v>
      </c>
      <c r="G51" s="37">
        <f>11964*100/(98697/12)</f>
        <v>145.46338794492235</v>
      </c>
      <c r="H51" s="37"/>
      <c r="I51" s="37">
        <f>28*100/(354/12)</f>
        <v>94.915254237288138</v>
      </c>
      <c r="J51" s="38">
        <f>0.906*100/(5.157/12)</f>
        <v>210.82024432809774</v>
      </c>
      <c r="K51" s="37">
        <f>4*100/(340/12)</f>
        <v>14.117647058823531</v>
      </c>
      <c r="L51" s="37">
        <f>1237*100/(47206/12)</f>
        <v>31.445155276871581</v>
      </c>
      <c r="M51" s="39">
        <f>15720.906*100/(192952/12)</f>
        <v>97.770881877358107</v>
      </c>
      <c r="N51" s="97"/>
      <c r="O51" s="23"/>
    </row>
    <row r="52" spans="2:15" s="4" customFormat="1" ht="18" hidden="1" customHeight="1" x14ac:dyDescent="0.2">
      <c r="B52" s="45" t="s">
        <v>39</v>
      </c>
      <c r="C52" s="37">
        <f>991*100/(16953/12)</f>
        <v>70.146876658998409</v>
      </c>
      <c r="D52" s="37">
        <f>57*100/(1255/12)</f>
        <v>54.501992031872511</v>
      </c>
      <c r="E52" s="37">
        <f>389*100/(8387/12)</f>
        <v>55.657565279599382</v>
      </c>
      <c r="F52" s="37">
        <f>966*100/(19226/12)</f>
        <v>60.293352751482367</v>
      </c>
      <c r="G52" s="37">
        <f>12563*100/(98697/12)</f>
        <v>152.74628408158301</v>
      </c>
      <c r="H52" s="37">
        <f>7*100/(529/12)</f>
        <v>15.879017013232513</v>
      </c>
      <c r="I52" s="37">
        <f>33*100/(354/12)</f>
        <v>111.86440677966101</v>
      </c>
      <c r="J52" s="38">
        <f>1.137*100/(5.157/12)</f>
        <v>264.57242582897032</v>
      </c>
      <c r="K52" s="37">
        <f>36*100/(340/12)</f>
        <v>127.05882352941177</v>
      </c>
      <c r="L52" s="37">
        <f>4159*100/(47206/12)</f>
        <v>105.7238486633055</v>
      </c>
      <c r="M52" s="39">
        <f>19202.137*100/(192952/12)</f>
        <v>119.42122600439487</v>
      </c>
      <c r="N52" s="97"/>
      <c r="O52" s="23"/>
    </row>
    <row r="53" spans="2:15" s="4" customFormat="1" ht="18" hidden="1" customHeight="1" x14ac:dyDescent="0.2">
      <c r="B53" s="45" t="s">
        <v>40</v>
      </c>
      <c r="C53" s="37">
        <f>1085*100/(16953/12)</f>
        <v>76.800566271456375</v>
      </c>
      <c r="D53" s="41">
        <f>56*100/(1255/12)</f>
        <v>53.545816733067731</v>
      </c>
      <c r="E53" s="41">
        <f>389*100/(8387/12)</f>
        <v>55.657565279599382</v>
      </c>
      <c r="F53" s="41">
        <f>285*100/(19226/12)</f>
        <v>17.788411526058461</v>
      </c>
      <c r="G53" s="41">
        <f>12524*100/(98697/12)</f>
        <v>152.27210553512265</v>
      </c>
      <c r="H53" s="42"/>
      <c r="I53" s="41">
        <f>35*100/(354/12)</f>
        <v>118.64406779661017</v>
      </c>
      <c r="J53" s="43">
        <f>1*100/(5.157/12)</f>
        <v>232.69342641070389</v>
      </c>
      <c r="K53" s="41">
        <f>43*100/(340/12)</f>
        <v>151.76470588235296</v>
      </c>
      <c r="L53" s="41">
        <f>3606*100/(47206/12)</f>
        <v>91.666313604202855</v>
      </c>
      <c r="M53" s="39">
        <f>18024*100/(192952/12)</f>
        <v>112.09419959368132</v>
      </c>
      <c r="N53" s="97"/>
      <c r="O53" s="23"/>
    </row>
    <row r="54" spans="2:15" s="4" customFormat="1" ht="18" hidden="1" customHeight="1" x14ac:dyDescent="0.2">
      <c r="B54" s="45" t="s">
        <v>41</v>
      </c>
      <c r="C54" s="37">
        <f>923.7*100/(16953/12)</f>
        <v>65.383118032206696</v>
      </c>
      <c r="D54" s="41">
        <f>59*100/(1255/12)</f>
        <v>56.414342629482071</v>
      </c>
      <c r="E54" s="41">
        <f>422*100/(8387/12)</f>
        <v>60.3791582210564</v>
      </c>
      <c r="F54" s="41">
        <f>4785*100/(19226/12)</f>
        <v>298.65806720066576</v>
      </c>
      <c r="G54" s="41">
        <f>9660*100/(98697/12)</f>
        <v>117.45037843095535</v>
      </c>
      <c r="H54" s="41">
        <f>4*100/(529/12)</f>
        <v>9.0737240075614363</v>
      </c>
      <c r="I54" s="41">
        <f>47*100/(354/12)</f>
        <v>159.32203389830508</v>
      </c>
      <c r="J54" s="43">
        <f>1.006*100/(5.157/12)</f>
        <v>234.0895869691681</v>
      </c>
      <c r="K54" s="42"/>
      <c r="L54" s="41">
        <f>3168*100/(47206/12)</f>
        <v>80.532135745456088</v>
      </c>
      <c r="M54" s="39">
        <f>19069.706*100/(192952/12)</f>
        <v>118.59761598739581</v>
      </c>
      <c r="N54" s="97"/>
      <c r="O54" s="23"/>
    </row>
    <row r="55" spans="2:15" s="4" customFormat="1" ht="18" hidden="1" customHeight="1" x14ac:dyDescent="0.2">
      <c r="B55" s="45" t="s">
        <v>42</v>
      </c>
      <c r="C55" s="37">
        <f>921.7*100/(16953/12)</f>
        <v>65.241550168111843</v>
      </c>
      <c r="D55" s="41">
        <f>35*100/(1255/12)</f>
        <v>33.466135458167329</v>
      </c>
      <c r="E55" s="41">
        <f>342*100/(8387/12)</f>
        <v>48.932872302372722</v>
      </c>
      <c r="F55" s="41">
        <f>1949*100/(19226/12)</f>
        <v>121.64776864662436</v>
      </c>
      <c r="G55" s="41">
        <f>9783*100/(98697/12)</f>
        <v>118.94586461594578</v>
      </c>
      <c r="H55" s="42"/>
      <c r="I55" s="41">
        <f>32*100/(354/12)</f>
        <v>108.47457627118644</v>
      </c>
      <c r="J55" s="43">
        <f>0.927*100/(5.157/12)</f>
        <v>215.70680628272251</v>
      </c>
      <c r="K55" s="41">
        <f>10*100/(340/12)</f>
        <v>35.294117647058826</v>
      </c>
      <c r="L55" s="41">
        <f>4036*100/(47206/12)</f>
        <v>102.59712748379442</v>
      </c>
      <c r="M55" s="39">
        <f>17109.627*100/(192952/12)</f>
        <v>106.40756457564575</v>
      </c>
      <c r="N55" s="97"/>
      <c r="O55" s="23"/>
    </row>
    <row r="56" spans="2:15" s="4" customFormat="1" ht="18" hidden="1" customHeight="1" x14ac:dyDescent="0.2">
      <c r="B56" s="45" t="s">
        <v>43</v>
      </c>
      <c r="C56" s="37">
        <f>1375*100/(16953/12)</f>
        <v>97.327906565209702</v>
      </c>
      <c r="D56" s="41">
        <f>99*100/(1255/12)</f>
        <v>94.661354581673308</v>
      </c>
      <c r="E56" s="41">
        <f>337*100/(8387/12)</f>
        <v>48.217479432454994</v>
      </c>
      <c r="F56" s="41">
        <f>1932*100/(19226/12)</f>
        <v>120.58670550296473</v>
      </c>
      <c r="G56" s="41">
        <f>15323*100/(98697/12)</f>
        <v>186.303535061856</v>
      </c>
      <c r="H56" s="42"/>
      <c r="I56" s="41">
        <f>42*100/(354/12)</f>
        <v>142.37288135593221</v>
      </c>
      <c r="J56" s="43">
        <f>0.943*100/(5.157/12)</f>
        <v>219.42990110529377</v>
      </c>
      <c r="K56" s="41">
        <f>25*100/(340/12)</f>
        <v>88.235294117647058</v>
      </c>
      <c r="L56" s="41">
        <f>2288*100/(47206/12)</f>
        <v>58.162098038384947</v>
      </c>
      <c r="M56" s="39">
        <f>21422*100/(192952/12)</f>
        <v>133.22691653882831</v>
      </c>
      <c r="N56" s="97"/>
      <c r="O56" s="23"/>
    </row>
    <row r="57" spans="2:15" s="4" customFormat="1" ht="18" hidden="1" customHeight="1" x14ac:dyDescent="0.2">
      <c r="B57" s="45" t="s">
        <v>44</v>
      </c>
      <c r="C57" s="37">
        <f>961*100/(16953/12)</f>
        <v>68.023358697575645</v>
      </c>
      <c r="D57" s="41">
        <f>61*100/(1255/12)</f>
        <v>58.326693227091639</v>
      </c>
      <c r="E57" s="41">
        <f>314*100/(8387/12)</f>
        <v>44.926672230833432</v>
      </c>
      <c r="F57" s="41">
        <f>956*100/(19226/12)</f>
        <v>59.669197961094348</v>
      </c>
      <c r="G57" s="41">
        <f>13204*100/(98697/12)</f>
        <v>160.53983403750874</v>
      </c>
      <c r="H57" s="42"/>
      <c r="I57" s="41">
        <f>26*100/(354/12)</f>
        <v>88.13559322033899</v>
      </c>
      <c r="J57" s="43">
        <f>0.945*100/(5.157/12)</f>
        <v>219.89528795811518</v>
      </c>
      <c r="K57" s="41">
        <f>8*100/(340/12)</f>
        <v>28.235294117647062</v>
      </c>
      <c r="L57" s="41">
        <f>4049*100/(47206/12)</f>
        <v>102.92759394992162</v>
      </c>
      <c r="M57" s="39">
        <f>19580*100/(192952/12)</f>
        <v>121.77121771217712</v>
      </c>
      <c r="N57" s="97"/>
      <c r="O57" s="23"/>
    </row>
    <row r="58" spans="2:15" s="4" customFormat="1" ht="18" hidden="1" customHeight="1" x14ac:dyDescent="0.2">
      <c r="B58" s="45" t="s">
        <v>45</v>
      </c>
      <c r="C58" s="37">
        <f>936*100/(16953/12)</f>
        <v>66.253760396390021</v>
      </c>
      <c r="D58" s="41">
        <f>15*100/(1255/12)</f>
        <v>14.342629482071715</v>
      </c>
      <c r="E58" s="41">
        <f>406*100/(8387/12)</f>
        <v>58.089901037319663</v>
      </c>
      <c r="F58" s="41">
        <f>1117*100/(19226/12)</f>
        <v>69.718090086341405</v>
      </c>
      <c r="G58" s="41">
        <f>14433*100/(98697/12)</f>
        <v>175.48253746314478</v>
      </c>
      <c r="H58" s="42"/>
      <c r="I58" s="41">
        <f>45*100/(354/12)</f>
        <v>152.54237288135593</v>
      </c>
      <c r="J58" s="43">
        <f>0.935*100/(5.157/12)</f>
        <v>217.56835369400812</v>
      </c>
      <c r="K58" s="41">
        <f>3*100/(340/12)</f>
        <v>10.588235294117647</v>
      </c>
      <c r="L58" s="41">
        <f>3781*100/(47206/12)</f>
        <v>96.114900648222687</v>
      </c>
      <c r="M58" s="39">
        <f>20737*100/(192952/12)</f>
        <v>128.96678966789668</v>
      </c>
      <c r="N58" s="97"/>
      <c r="O58" s="23"/>
    </row>
    <row r="59" spans="2:15" s="4" customFormat="1" ht="18" hidden="1" customHeight="1" x14ac:dyDescent="0.2">
      <c r="B59" s="45" t="s">
        <v>46</v>
      </c>
      <c r="C59" s="37">
        <f>933*100/(16953/12)</f>
        <v>66.041408600247749</v>
      </c>
      <c r="D59" s="41">
        <f>55*100/(1255/12)</f>
        <v>52.589641434262951</v>
      </c>
      <c r="E59" s="41">
        <f>517*100/(8387/12)</f>
        <v>73.971622749493264</v>
      </c>
      <c r="F59" s="41">
        <f>1029*100/(19226/12)</f>
        <v>64.225527930926873</v>
      </c>
      <c r="G59" s="41">
        <f>13133*100/(98697/12)</f>
        <v>159.67658591446548</v>
      </c>
      <c r="H59" s="41">
        <f>12*100/(529/12)</f>
        <v>27.221172022684307</v>
      </c>
      <c r="I59" s="41">
        <f>36*100/(354/12)</f>
        <v>122.03389830508475</v>
      </c>
      <c r="J59" s="43">
        <f>0.872*100/(5.157/12)</f>
        <v>202.90866783013379</v>
      </c>
      <c r="K59" s="41">
        <f>23*100/(340/12)</f>
        <v>81.176470588235304</v>
      </c>
      <c r="L59" s="41">
        <f>3032*100/(47206/12)</f>
        <v>77.074948099817817</v>
      </c>
      <c r="M59" s="39">
        <f>18771*100/(192952/12)</f>
        <v>116.73991459015713</v>
      </c>
      <c r="N59" s="99"/>
      <c r="O59" s="23"/>
    </row>
    <row r="60" spans="2:15" s="4" customFormat="1" ht="18" hidden="1" customHeight="1" x14ac:dyDescent="0.2">
      <c r="B60" s="45" t="s">
        <v>47</v>
      </c>
      <c r="C60" s="37">
        <f>712*100/(16953/12)</f>
        <v>50.398159617766765</v>
      </c>
      <c r="D60" s="41">
        <f>80*100/(1255/12)</f>
        <v>76.494023904382473</v>
      </c>
      <c r="E60" s="41">
        <f>346*100/(8387/12)</f>
        <v>49.505186598306906</v>
      </c>
      <c r="F60" s="41">
        <f>793*100/(19226/12)</f>
        <v>49.495474877769688</v>
      </c>
      <c r="G60" s="41">
        <f>11426*100/(98697/12)</f>
        <v>138.92215568862275</v>
      </c>
      <c r="H60" s="42"/>
      <c r="I60" s="41">
        <f>34*100/(354/12)</f>
        <v>115.2542372881356</v>
      </c>
      <c r="J60" s="43">
        <f>0.839*100/(5.157/12)</f>
        <v>195.22978475858054</v>
      </c>
      <c r="K60" s="41">
        <f>20*100/(340/12)</f>
        <v>70.588235294117652</v>
      </c>
      <c r="L60" s="41">
        <f>2228*100/(47206/12)</f>
        <v>56.636868194721011</v>
      </c>
      <c r="M60" s="39">
        <f>15640*100/(192952/12)</f>
        <v>97.267714250176212</v>
      </c>
      <c r="N60" s="99"/>
      <c r="O60" s="23"/>
    </row>
    <row r="61" spans="2:15" s="4" customFormat="1" ht="18" hidden="1" customHeight="1" x14ac:dyDescent="0.2">
      <c r="B61" s="45" t="s">
        <v>48</v>
      </c>
      <c r="C61" s="37">
        <f>860*100/(16953/12)</f>
        <v>60.874181560785701</v>
      </c>
      <c r="D61" s="41">
        <f>14*100/(1255/12)</f>
        <v>13.386454183266933</v>
      </c>
      <c r="E61" s="41">
        <f>443*100/(8387/12)</f>
        <v>63.383808274710866</v>
      </c>
      <c r="F61" s="41">
        <f>1105*100/(19226/12)</f>
        <v>68.969104337875791</v>
      </c>
      <c r="G61" s="41">
        <f>12012*100/(98697/12)</f>
        <v>146.04699230979665</v>
      </c>
      <c r="H61" s="41">
        <f>42*100/(529/12)</f>
        <v>95.274102079395078</v>
      </c>
      <c r="I61" s="41">
        <f>35*100/(354/12)</f>
        <v>118.64406779661017</v>
      </c>
      <c r="J61" s="43">
        <f>1.231*100/(5.157/12)</f>
        <v>286.44560791157653</v>
      </c>
      <c r="K61" s="42"/>
      <c r="L61" s="41">
        <f>2856*100/(47206/12)</f>
        <v>72.600940558403593</v>
      </c>
      <c r="M61" s="39">
        <f>17368*100/(192952/12)</f>
        <v>108.01442845889133</v>
      </c>
      <c r="N61" s="99"/>
      <c r="O61" s="23"/>
    </row>
    <row r="62" spans="2:15" s="4" customFormat="1" ht="9.75" hidden="1" customHeight="1" x14ac:dyDescent="0.2">
      <c r="B62" s="45"/>
      <c r="C62" s="37"/>
      <c r="D62" s="41"/>
      <c r="E62" s="41"/>
      <c r="F62" s="41"/>
      <c r="G62" s="41"/>
      <c r="H62" s="42"/>
      <c r="I62" s="41"/>
      <c r="J62" s="43"/>
      <c r="K62" s="42"/>
      <c r="L62" s="41"/>
      <c r="M62" s="39"/>
      <c r="N62" s="99"/>
      <c r="O62" s="23"/>
    </row>
    <row r="63" spans="2:15" s="4" customFormat="1" ht="18" hidden="1" customHeight="1" x14ac:dyDescent="0.2">
      <c r="B63" s="30">
        <v>1999</v>
      </c>
      <c r="C63" s="37">
        <v>75.886273815843808</v>
      </c>
      <c r="D63" s="41">
        <v>35.537848605577686</v>
      </c>
      <c r="E63" s="41">
        <v>35.543102420412545</v>
      </c>
      <c r="F63" s="41">
        <v>48.871320087381669</v>
      </c>
      <c r="G63" s="41">
        <v>146.78662978611305</v>
      </c>
      <c r="H63" s="42">
        <v>83.175803402646508</v>
      </c>
      <c r="I63" s="41">
        <v>122.03389830508475</v>
      </c>
      <c r="J63" s="43">
        <v>192.91254605390728</v>
      </c>
      <c r="K63" s="41">
        <v>30</v>
      </c>
      <c r="L63" s="41">
        <v>79.57463034360039</v>
      </c>
      <c r="M63" s="39">
        <v>108.37410340395539</v>
      </c>
      <c r="N63" s="99"/>
      <c r="O63" s="23"/>
    </row>
    <row r="64" spans="2:15" s="4" customFormat="1" ht="18" hidden="1" customHeight="1" x14ac:dyDescent="0.2">
      <c r="B64" s="45" t="s">
        <v>37</v>
      </c>
      <c r="C64" s="37">
        <f>1297*100/(16953/12)</f>
        <v>91.806759865510529</v>
      </c>
      <c r="D64" s="41">
        <f>43*100/(1205/12)</f>
        <v>42.821576763485474</v>
      </c>
      <c r="E64" s="41">
        <f>285*100/(8387/12)</f>
        <v>40.777393585310605</v>
      </c>
      <c r="F64" s="41">
        <f>593*100/(19226/12)</f>
        <v>37.012379070009359</v>
      </c>
      <c r="G64" s="41">
        <f>10125*100/(98697/12)</f>
        <v>123.10404571567526</v>
      </c>
      <c r="H64" s="42">
        <f>25*100/(529/12)</f>
        <v>56.710775047258977</v>
      </c>
      <c r="I64" s="41">
        <f>36*100/(354/12)</f>
        <v>122.03389830508475</v>
      </c>
      <c r="J64" s="43">
        <f>0.798*100/(5.157/12)</f>
        <v>185.68935427574172</v>
      </c>
      <c r="K64" s="41"/>
      <c r="L64" s="41">
        <f>1498*100/(47206/12)</f>
        <v>38.079905096809725</v>
      </c>
      <c r="M64" s="39">
        <f>13903*100/(192952/12)</f>
        <v>86.465027571624034</v>
      </c>
      <c r="N64" s="99"/>
      <c r="O64" s="23"/>
    </row>
    <row r="65" spans="2:15" s="4" customFormat="1" ht="18" hidden="1" customHeight="1" x14ac:dyDescent="0.2">
      <c r="B65" s="45" t="s">
        <v>38</v>
      </c>
      <c r="C65" s="37">
        <f>781*100/(16953/12)</f>
        <v>55.282250929039108</v>
      </c>
      <c r="D65" s="41">
        <f>14*100/(1205/12)</f>
        <v>13.941908713692946</v>
      </c>
      <c r="E65" s="41">
        <f>308*100/(8387/12)</f>
        <v>44.068200786932159</v>
      </c>
      <c r="F65" s="41">
        <f>776*100/(19226/12)</f>
        <v>48.434411734110057</v>
      </c>
      <c r="G65" s="41">
        <f>9935*100/(98697/12)</f>
        <v>120.79394510471442</v>
      </c>
      <c r="H65" s="42">
        <f>26*100/(529/12)</f>
        <v>58.979206049149333</v>
      </c>
      <c r="I65" s="41">
        <f>29*100/(354/12)</f>
        <v>98.305084745762713</v>
      </c>
      <c r="J65" s="43">
        <f>0.696*100/(5.157/12)</f>
        <v>161.9546247818499</v>
      </c>
      <c r="K65" s="41"/>
      <c r="L65" s="41">
        <f>1426*100/(47206/12)</f>
        <v>36.249629284412997</v>
      </c>
      <c r="M65" s="39">
        <f>13294*100/(192952/12)</f>
        <v>82.677557112649779</v>
      </c>
      <c r="N65" s="99"/>
      <c r="O65" s="23"/>
    </row>
    <row r="66" spans="2:15" s="4" customFormat="1" ht="18" hidden="1" customHeight="1" x14ac:dyDescent="0.2">
      <c r="B66" s="45" t="s">
        <v>39</v>
      </c>
      <c r="C66" s="37">
        <f>1317*100/(16953/12)</f>
        <v>93.222438506459028</v>
      </c>
      <c r="D66" s="41">
        <f>42*100/(1205/12)</f>
        <v>41.825726141078839</v>
      </c>
      <c r="E66" s="41">
        <f>184*100/(8387/12)</f>
        <v>26.326457612972458</v>
      </c>
      <c r="F66" s="41">
        <f>1259*100/(19226/12)</f>
        <v>78.581088109851237</v>
      </c>
      <c r="G66" s="41">
        <f>16027*100/(98697/12)</f>
        <v>194.86306574667924</v>
      </c>
      <c r="H66" s="42"/>
      <c r="I66" s="41">
        <f>45*100/(354/12)</f>
        <v>152.54237288135593</v>
      </c>
      <c r="J66" s="43">
        <f>0.938*100/(5.157/12)</f>
        <v>218.26643397324023</v>
      </c>
      <c r="K66" s="41"/>
      <c r="L66" s="41">
        <f>1929*100/(47206/12)</f>
        <v>49.0361394737957</v>
      </c>
      <c r="M66" s="39">
        <f>20803*100/(192952/12)</f>
        <v>129.37725444670176</v>
      </c>
      <c r="N66" s="99"/>
      <c r="O66" s="23"/>
    </row>
    <row r="67" spans="2:15" s="4" customFormat="1" ht="18" hidden="1" customHeight="1" x14ac:dyDescent="0.2">
      <c r="B67" s="45" t="s">
        <v>40</v>
      </c>
      <c r="C67" s="37">
        <f>697*100/(16953/12)</f>
        <v>49.336400637055391</v>
      </c>
      <c r="D67" s="41">
        <f>48*100/(1205/12)</f>
        <v>47.800829875518673</v>
      </c>
      <c r="E67" s="41">
        <f>351*100/(8387/12)</f>
        <v>50.220579468224635</v>
      </c>
      <c r="F67" s="41">
        <f>585*100/(19226/12)</f>
        <v>36.51305523769895</v>
      </c>
      <c r="G67" s="41">
        <f>7241*100/(98697/12)</f>
        <v>88.039150126143653</v>
      </c>
      <c r="H67" s="42">
        <f>50*100/(529/12)</f>
        <v>113.42155009451795</v>
      </c>
      <c r="I67" s="41">
        <f>34*100/(354/12)</f>
        <v>115.2542372881356</v>
      </c>
      <c r="J67" s="43">
        <f>0.638*100/(5.157/12)</f>
        <v>148.45840605002908</v>
      </c>
      <c r="K67" s="41"/>
      <c r="L67" s="41">
        <f>2791*100/(47206/12)</f>
        <v>70.94860822776765</v>
      </c>
      <c r="M67" s="39">
        <f>11797*100/(192952/12)</f>
        <v>73.367469629752478</v>
      </c>
      <c r="N67" s="99"/>
      <c r="O67" s="23"/>
    </row>
    <row r="68" spans="2:15" s="4" customFormat="1" ht="18" hidden="1" customHeight="1" x14ac:dyDescent="0.2">
      <c r="B68" s="45" t="s">
        <v>41</v>
      </c>
      <c r="C68" s="37">
        <f>952*100/(16953/12)</f>
        <v>67.386303309148829</v>
      </c>
      <c r="D68" s="41">
        <f>41*100/(1205/12)</f>
        <v>40.829875518672196</v>
      </c>
      <c r="E68" s="41">
        <f>86*100/(8387/12)</f>
        <v>12.304757362584954</v>
      </c>
      <c r="F68" s="41">
        <f>701*100/(19226/12)</f>
        <v>43.753250806199937</v>
      </c>
      <c r="G68" s="41">
        <f>11705*100/(98697/12)</f>
        <v>142.3143560594547</v>
      </c>
      <c r="H68" s="42">
        <f>46*100/(529/12)</f>
        <v>104.34782608695652</v>
      </c>
      <c r="I68" s="41">
        <f>32*100/(354/12)</f>
        <v>108.47457627118644</v>
      </c>
      <c r="J68" s="43">
        <f>0.629*100/(5.157/12)</f>
        <v>146.36416521233275</v>
      </c>
      <c r="K68" s="41">
        <f>25*100/(340/12)</f>
        <v>88.235294117647058</v>
      </c>
      <c r="L68" s="41">
        <f>2741*100/(47206/12)</f>
        <v>69.677583358047698</v>
      </c>
      <c r="M68" s="39">
        <f>16329*100/(192952/12)</f>
        <v>101.55271777436874</v>
      </c>
      <c r="N68" s="99"/>
      <c r="O68" s="23"/>
    </row>
    <row r="69" spans="2:15" s="4" customFormat="1" ht="18" hidden="1" customHeight="1" x14ac:dyDescent="0.2">
      <c r="B69" s="45" t="s">
        <v>42</v>
      </c>
      <c r="C69" s="37">
        <f>1098*100/(16953/12)</f>
        <v>77.720757388072911</v>
      </c>
      <c r="D69" s="41">
        <f>28*100/(1205/12)</f>
        <v>27.883817427385893</v>
      </c>
      <c r="E69" s="41">
        <f>413*100/(8387/12)</f>
        <v>59.091451055204487</v>
      </c>
      <c r="F69" s="41">
        <f>834*100/(19226/12)</f>
        <v>52.054509518360554</v>
      </c>
      <c r="G69" s="41">
        <f>11203*100/(98697/12)</f>
        <v>136.21082707681086</v>
      </c>
      <c r="H69" s="42">
        <f>33*100/(529/12)</f>
        <v>74.858223062381853</v>
      </c>
      <c r="I69" s="41">
        <f>28*100/(354/12)</f>
        <v>94.915254237288138</v>
      </c>
      <c r="J69" s="43">
        <f>1.069*100/(5.157/12)</f>
        <v>248.74927283304243</v>
      </c>
      <c r="K69" s="41"/>
      <c r="L69" s="41">
        <f>4711*100/(47206/12)</f>
        <v>119.75596322501376</v>
      </c>
      <c r="M69" s="39">
        <f>18348*100/(192952/12)</f>
        <v>114.10920850781541</v>
      </c>
      <c r="N69" s="99"/>
      <c r="O69" s="23"/>
    </row>
    <row r="70" spans="2:15" s="4" customFormat="1" ht="18" hidden="1" customHeight="1" x14ac:dyDescent="0.2">
      <c r="B70" s="45" t="s">
        <v>43</v>
      </c>
      <c r="C70" s="37">
        <f>1008*100/(16953/12)</f>
        <v>71.350203503804636</v>
      </c>
      <c r="D70" s="41">
        <f>34*100/(1205/12)</f>
        <v>33.858921161825727</v>
      </c>
      <c r="E70" s="41">
        <f>253*100/(8387/12)</f>
        <v>36.198879217837131</v>
      </c>
      <c r="F70" s="41">
        <f>785*100/(19226/12)</f>
        <v>48.996151045459271</v>
      </c>
      <c r="G70" s="41">
        <f>16357*100/(98697/12)</f>
        <v>198.87534575519012</v>
      </c>
      <c r="H70" s="42">
        <f>43*100/(529/12)</f>
        <v>97.542533081285441</v>
      </c>
      <c r="I70" s="41">
        <f>37*100/(354/12)</f>
        <v>125.42372881355932</v>
      </c>
      <c r="J70" s="43">
        <f>0.707*100/(5.157/12)</f>
        <v>164.51425247236764</v>
      </c>
      <c r="K70" s="41">
        <f>27*100/(340/12)</f>
        <v>95.294117647058826</v>
      </c>
      <c r="L70" s="41">
        <f>2063*100/(47206/12)</f>
        <v>52.442486124645171</v>
      </c>
      <c r="M70" s="39">
        <f>20608*100/(192952/12)</f>
        <v>128.16451760023219</v>
      </c>
      <c r="N70" s="99"/>
      <c r="O70" s="23"/>
    </row>
    <row r="71" spans="2:15" s="4" customFormat="1" ht="18" hidden="1" customHeight="1" x14ac:dyDescent="0.2">
      <c r="B71" s="45" t="s">
        <v>44</v>
      </c>
      <c r="C71" s="37">
        <f>982*100/(16953/12)</f>
        <v>69.509821270571578</v>
      </c>
      <c r="D71" s="41">
        <f>56*100/(1205/12)</f>
        <v>55.767634854771785</v>
      </c>
      <c r="E71" s="41">
        <f>129*100/(8387/12)</f>
        <v>18.45713604387743</v>
      </c>
      <c r="F71" s="41">
        <f>694*100/(19226/12)</f>
        <v>43.316342452928325</v>
      </c>
      <c r="G71" s="41">
        <f>10969*100/(98697/12)</f>
        <v>133.36575579804858</v>
      </c>
      <c r="H71" s="42">
        <f>21*100/(529/12)</f>
        <v>47.637051039697539</v>
      </c>
      <c r="I71" s="41">
        <f>38*100/(354/12)</f>
        <v>128.81355932203391</v>
      </c>
      <c r="J71" s="43">
        <f>0.684*100/(5.157/12)</f>
        <v>159.16230366492147</v>
      </c>
      <c r="K71" s="41"/>
      <c r="L71" s="41">
        <f>4679*100/(47206/12)</f>
        <v>118.94250730839299</v>
      </c>
      <c r="M71" s="39">
        <f>17569*100/(192952/12)</f>
        <v>109.26448028525229</v>
      </c>
      <c r="N71" s="99"/>
      <c r="O71" s="23"/>
    </row>
    <row r="72" spans="2:15" s="4" customFormat="1" ht="18" hidden="1" customHeight="1" x14ac:dyDescent="0.2">
      <c r="B72" s="45" t="s">
        <v>45</v>
      </c>
      <c r="C72" s="37">
        <f>1089*100/(16953/12)</f>
        <v>77.083701999646081</v>
      </c>
      <c r="D72" s="41">
        <f>34*100/(1205/12)</f>
        <v>33.858921161825727</v>
      </c>
      <c r="E72" s="41">
        <f>205*100/(8387/12)</f>
        <v>29.331107666626924</v>
      </c>
      <c r="F72" s="41">
        <f>932*100/(19226/12)</f>
        <v>58.171226464163112</v>
      </c>
      <c r="G72" s="41">
        <f>13683*100/(98697/12)</f>
        <v>166.36371926198365</v>
      </c>
      <c r="H72" s="42">
        <f>62*100/(529/12)</f>
        <v>140.64272211720225</v>
      </c>
      <c r="I72" s="41">
        <f>48*100/(354/12)</f>
        <v>162.71186440677965</v>
      </c>
      <c r="J72" s="43">
        <f>1.057*100/(5.157/12)</f>
        <v>245.95695171611399</v>
      </c>
      <c r="K72" s="41">
        <f>20*100/(340/12)</f>
        <v>70.588235294117652</v>
      </c>
      <c r="L72" s="41">
        <f>6095*100/(47206/12)</f>
        <v>154.937931618862</v>
      </c>
      <c r="M72" s="39">
        <f>22169*100/(192952/12)</f>
        <v>137.87263153530412</v>
      </c>
      <c r="N72" s="99"/>
      <c r="O72" s="23"/>
    </row>
    <row r="73" spans="2:15" s="4" customFormat="1" ht="18" hidden="1" customHeight="1" x14ac:dyDescent="0.2">
      <c r="B73" s="45" t="s">
        <v>46</v>
      </c>
      <c r="C73" s="37">
        <f>1200*100/(16953/12)</f>
        <v>84.940718456910275</v>
      </c>
      <c r="D73" s="41">
        <f>28*100/(1205/12)</f>
        <v>27.883817427385893</v>
      </c>
      <c r="E73" s="41">
        <f>453*100/(8387/12)</f>
        <v>64.81459401454633</v>
      </c>
      <c r="F73" s="41">
        <f>852*100/(19226/12)</f>
        <v>53.177988141058982</v>
      </c>
      <c r="G73" s="41">
        <f>11181*100/(98697/12)</f>
        <v>135.94334174291012</v>
      </c>
      <c r="H73" s="42">
        <f>22*100/(529/12)</f>
        <v>49.905482041587902</v>
      </c>
      <c r="I73" s="41">
        <f>36*100/(354/12)</f>
        <v>122.03389830508475</v>
      </c>
      <c r="J73" s="43">
        <f>0.793*100/(5.157/12)</f>
        <v>184.52588714368818</v>
      </c>
      <c r="K73" s="41">
        <f>1*100/(340/12)</f>
        <v>3.5294117647058827</v>
      </c>
      <c r="L73" s="41">
        <f>2835*100/(47206/12)</f>
        <v>72.067110113121217</v>
      </c>
      <c r="M73" s="39">
        <f>16609*100/(192952/12)</f>
        <v>103.29408350263277</v>
      </c>
      <c r="N73" s="99"/>
      <c r="O73" s="23"/>
    </row>
    <row r="74" spans="2:15" s="4" customFormat="1" ht="18" hidden="1" customHeight="1" x14ac:dyDescent="0.2">
      <c r="B74" s="45" t="s">
        <v>47</v>
      </c>
      <c r="C74" s="37">
        <f>1266*100/(16953/12)</f>
        <v>89.612457972040346</v>
      </c>
      <c r="D74" s="41">
        <f>63*100/(1205/12)</f>
        <v>62.738589211618255</v>
      </c>
      <c r="E74" s="41">
        <f>63*100/(8387/12)</f>
        <v>9.0139501609633967</v>
      </c>
      <c r="F74" s="41">
        <f>759*100/(19226/12)</f>
        <v>47.373348590450426</v>
      </c>
      <c r="G74" s="41">
        <f>14518*100/(98697/12)</f>
        <v>176.51600352594303</v>
      </c>
      <c r="H74" s="42">
        <f>47*100/(529/12)</f>
        <v>106.61625708884688</v>
      </c>
      <c r="I74" s="41">
        <f>29*100/(354/12)</f>
        <v>98.305084745762713</v>
      </c>
      <c r="J74" s="43">
        <f>0.831*100/(5.157/12)</f>
        <v>193.36823734729492</v>
      </c>
      <c r="K74" s="41">
        <f>13*100/(340/12)</f>
        <v>45.882352941176471</v>
      </c>
      <c r="L74" s="41">
        <f>2682*100/(47206/12)</f>
        <v>68.177774011778155</v>
      </c>
      <c r="M74" s="39">
        <f>19440*100/(192952/12)</f>
        <v>120.90053484804511</v>
      </c>
      <c r="N74" s="99"/>
      <c r="O74" s="23"/>
    </row>
    <row r="75" spans="2:15" s="4" customFormat="1" ht="18" hidden="1" customHeight="1" x14ac:dyDescent="0.2">
      <c r="B75" s="45" t="s">
        <v>48</v>
      </c>
      <c r="C75" s="37">
        <f>1178*100/(16953/12)</f>
        <v>83.383471951866923</v>
      </c>
      <c r="D75" s="41">
        <f>14*100/(1205/12)</f>
        <v>13.941908713692946</v>
      </c>
      <c r="E75" s="41">
        <f>253*100/(8387/12)</f>
        <v>36.198879217837131</v>
      </c>
      <c r="F75" s="41">
        <f>626*100/(19226/12)</f>
        <v>39.072089878289816</v>
      </c>
      <c r="G75" s="41">
        <f>11931*100/(98697/12)</f>
        <v>145.06215994407125</v>
      </c>
      <c r="H75" s="42">
        <f>65*100/(529/12)</f>
        <v>147.44801512287333</v>
      </c>
      <c r="I75" s="41">
        <f>41*100/(354/12)</f>
        <v>138.98305084745763</v>
      </c>
      <c r="J75" s="43">
        <f>1.107*100/(5.157/12)</f>
        <v>257.5916230366492</v>
      </c>
      <c r="K75" s="41">
        <f>17*100/(340/12)</f>
        <v>60</v>
      </c>
      <c r="L75" s="41">
        <f>4116*100/(47206/12)</f>
        <v>104.63076727534634</v>
      </c>
      <c r="M75" s="39">
        <f>18242*100/(192952/12)</f>
        <v>113.44997719640118</v>
      </c>
      <c r="N75" s="99"/>
      <c r="O75" s="23"/>
    </row>
    <row r="76" spans="2:15" s="4" customFormat="1" ht="18" hidden="1" customHeight="1" x14ac:dyDescent="0.2">
      <c r="B76" s="52">
        <v>2003</v>
      </c>
      <c r="C76" s="37">
        <f>(15413)*100/(13946/12)/12</f>
        <v>110.51914527463072</v>
      </c>
      <c r="D76" s="41">
        <f>556*100/(496/12)/12</f>
        <v>112.09677419354837</v>
      </c>
      <c r="E76" s="41">
        <f>(2564)*100/(2172/12)/12</f>
        <v>118.04788213627994</v>
      </c>
      <c r="F76" s="41">
        <f>8729*100/(9810/12)/12</f>
        <v>88.980632008154942</v>
      </c>
      <c r="G76" s="41">
        <f>166961*100/(150629/12)/12</f>
        <v>110.84253364226014</v>
      </c>
      <c r="H76" s="42">
        <f>165*100/(386/12)/12</f>
        <v>42.746113989637308</v>
      </c>
      <c r="I76" s="41">
        <f>495*100/(462/12)/12</f>
        <v>107.14285714285715</v>
      </c>
      <c r="J76" s="54">
        <f>6.28907*100/(10/12)/12</f>
        <v>62.890699999999988</v>
      </c>
      <c r="K76" s="41">
        <f>384*100/(88/12)/12</f>
        <v>436.36363636363643</v>
      </c>
      <c r="L76" s="41">
        <f>79859*100/(57656/12)/12</f>
        <v>138.50943527126404</v>
      </c>
      <c r="M76" s="39">
        <f>275132*100/(235353/12)/12</f>
        <v>116.90184531321036</v>
      </c>
      <c r="N76" s="99"/>
      <c r="O76" s="23"/>
    </row>
    <row r="77" spans="2:15" s="4" customFormat="1" ht="17.25" hidden="1" customHeight="1" x14ac:dyDescent="0.2">
      <c r="B77" s="52">
        <v>2004</v>
      </c>
      <c r="C77" s="37">
        <f>(17637)*100/(13946/12)/12</f>
        <v>126.46637028538647</v>
      </c>
      <c r="D77" s="41">
        <f>508*100/(496/12)/12</f>
        <v>102.41935483870968</v>
      </c>
      <c r="E77" s="41">
        <f>(3162)*100/(2172/12)/12</f>
        <v>145.58011049723757</v>
      </c>
      <c r="F77" s="41">
        <f>10990*100/(9810/12)/12</f>
        <v>112.02854230377166</v>
      </c>
      <c r="G77" s="41">
        <f>146411*100/(150629/12)/12</f>
        <v>97.199742413479484</v>
      </c>
      <c r="H77" s="42">
        <f>123*100/(386/12)/12</f>
        <v>31.865284974093267</v>
      </c>
      <c r="I77" s="41">
        <f>435*100/(462/12)/12</f>
        <v>94.15584415584415</v>
      </c>
      <c r="J77" s="43">
        <f>2.576564*100/(10/12)/12</f>
        <v>25.765639999999994</v>
      </c>
      <c r="K77" s="41">
        <f>435*100/(88/12)/12</f>
        <v>494.31818181818181</v>
      </c>
      <c r="L77" s="41">
        <f>98274*100/(57656/12)/12</f>
        <v>170.44886915498819</v>
      </c>
      <c r="M77" s="39">
        <f>277977*100/(235353/12)/12</f>
        <v>118.11066780538169</v>
      </c>
      <c r="N77" s="99"/>
      <c r="O77" s="23"/>
    </row>
    <row r="78" spans="2:15" s="4" customFormat="1" ht="18" hidden="1" customHeight="1" x14ac:dyDescent="0.2">
      <c r="B78" s="52" t="s">
        <v>52</v>
      </c>
      <c r="C78" s="31">
        <f>13946*100/16953</f>
        <v>82.262726361116023</v>
      </c>
      <c r="D78" s="31">
        <f>496*100/1255</f>
        <v>39.52191235059761</v>
      </c>
      <c r="E78" s="31">
        <f>2172*100/8387</f>
        <v>25.897221891021818</v>
      </c>
      <c r="F78" s="31">
        <f>9810*100/19226</f>
        <v>51.024654114220326</v>
      </c>
      <c r="G78" s="31">
        <f>150629*100/98697</f>
        <v>152.61760742474442</v>
      </c>
      <c r="H78" s="31">
        <f>85*100/529</f>
        <v>16.068052930056712</v>
      </c>
      <c r="I78" s="31">
        <f>462*100/354</f>
        <v>130.5084745762712</v>
      </c>
      <c r="J78" s="31">
        <f>10*100/5.157</f>
        <v>193.91118867558657</v>
      </c>
      <c r="K78" s="31">
        <f>88*100/340</f>
        <v>25.882352941176471</v>
      </c>
      <c r="L78" s="31">
        <f>57656*100/47206</f>
        <v>122.13701648095581</v>
      </c>
      <c r="M78" s="47">
        <f>235353*100/192952</f>
        <v>121.97489531075087</v>
      </c>
      <c r="N78" s="99"/>
      <c r="O78" s="23"/>
    </row>
    <row r="79" spans="2:15" s="4" customFormat="1" ht="18" hidden="1" customHeight="1" x14ac:dyDescent="0.2">
      <c r="B79" s="52" t="s">
        <v>37</v>
      </c>
      <c r="C79" s="37">
        <f>1362*100/(16953/12)</f>
        <v>96.407715448593166</v>
      </c>
      <c r="D79" s="41">
        <f>43*100/(1205/12)</f>
        <v>42.821576763485474</v>
      </c>
      <c r="E79" s="41">
        <f>194*100/(8387/12)</f>
        <v>27.757243352807919</v>
      </c>
      <c r="F79" s="41">
        <f>886*100/(19226/12)</f>
        <v>55.300114428378237</v>
      </c>
      <c r="G79" s="41">
        <f>10345*100/(98697/12)</f>
        <v>125.77889905468251</v>
      </c>
      <c r="H79" s="42">
        <f>11.672*100/(529/12)</f>
        <v>26.477126654064271</v>
      </c>
      <c r="I79" s="41">
        <f>34*100/(354/12)</f>
        <v>115.2542372881356</v>
      </c>
      <c r="J79" s="43">
        <f>0.772*100/(5.157/12)</f>
        <v>179.63932518906341</v>
      </c>
      <c r="K79" s="41">
        <f>1*100/(340/12)</f>
        <v>3.5294117647058827</v>
      </c>
      <c r="L79" s="41">
        <f>5479*100/(47206/12)</f>
        <v>139.2789052239122</v>
      </c>
      <c r="M79" s="39">
        <f>18357*100/(192952/12)</f>
        <v>114.16518097765247</v>
      </c>
      <c r="N79" s="99"/>
      <c r="O79" s="23"/>
    </row>
    <row r="80" spans="2:15" s="4" customFormat="1" ht="18" hidden="1" customHeight="1" x14ac:dyDescent="0.2">
      <c r="B80" s="52" t="s">
        <v>38</v>
      </c>
      <c r="C80" s="37">
        <f>988*100/(16953/12)</f>
        <v>69.934524862856136</v>
      </c>
      <c r="D80" s="41">
        <f>43*100/(1205/12)</f>
        <v>42.821576763485474</v>
      </c>
      <c r="E80" s="41">
        <f>(332)*100/(8387/12)</f>
        <v>47.502086562537265</v>
      </c>
      <c r="F80" s="41">
        <f>487*100/(19226/12)</f>
        <v>30.396338291896388</v>
      </c>
      <c r="G80" s="41">
        <f>9865*100/(98697/12)</f>
        <v>119.94285540593938</v>
      </c>
      <c r="H80" s="42">
        <f>7.182*100/(529/12)</f>
        <v>16.291871455576558</v>
      </c>
      <c r="I80" s="41">
        <f>28*100/(354/12)</f>
        <v>94.915254237288138</v>
      </c>
      <c r="J80" s="43">
        <f>0.821*100/(5.157/12)</f>
        <v>191.04130308318787</v>
      </c>
      <c r="K80" s="41">
        <f>20*100/(340/12)</f>
        <v>70.588235294117652</v>
      </c>
      <c r="L80" s="41">
        <f>3938*100/(47206/12)</f>
        <v>100.10591873914332</v>
      </c>
      <c r="M80" s="39">
        <f>15709*100/(192952/12)</f>
        <v>97.696836518926986</v>
      </c>
      <c r="N80" s="99"/>
      <c r="O80" s="23"/>
    </row>
    <row r="81" spans="2:15" s="4" customFormat="1" ht="18" hidden="1" customHeight="1" x14ac:dyDescent="0.2">
      <c r="B81" s="52" t="s">
        <v>39</v>
      </c>
      <c r="C81" s="37">
        <f>1066*100/(16953/12)</f>
        <v>75.455671562555295</v>
      </c>
      <c r="D81" s="41">
        <f>58*100/(1205/12)</f>
        <v>57.759336099585056</v>
      </c>
      <c r="E81" s="41">
        <f>(41+20)*100/(8387/12)</f>
        <v>8.7277930129963046</v>
      </c>
      <c r="F81" s="41">
        <f>675*100/(19226/12)</f>
        <v>42.130448351191092</v>
      </c>
      <c r="G81" s="41">
        <f>15520*100/(98697/12)</f>
        <v>188.69874464269429</v>
      </c>
      <c r="H81" s="42">
        <f>6.687*100/(529/12)</f>
        <v>15.168998109640832</v>
      </c>
      <c r="I81" s="41">
        <f>56*100/(354/12)</f>
        <v>189.83050847457628</v>
      </c>
      <c r="J81" s="43">
        <f>0.976*100/(5.157/12)</f>
        <v>227.10878417684697</v>
      </c>
      <c r="K81" s="41">
        <f>40*100/(340/12)</f>
        <v>141.1764705882353</v>
      </c>
      <c r="L81" s="41">
        <f>6705*100/(47206/12)</f>
        <v>170.4444350294454</v>
      </c>
      <c r="M81" s="39">
        <f>24189*100/(192952/12)</f>
        <v>150.435341432066</v>
      </c>
      <c r="N81" s="99"/>
      <c r="O81" s="23"/>
    </row>
    <row r="82" spans="2:15" s="4" customFormat="1" ht="18" hidden="1" customHeight="1" x14ac:dyDescent="0.2">
      <c r="B82" s="52" t="s">
        <v>40</v>
      </c>
      <c r="C82" s="37">
        <f>(962)*100/(16953/12)</f>
        <v>68.094142629623079</v>
      </c>
      <c r="D82" s="41">
        <f>14.3*100/(1205/12)</f>
        <v>14.240663900414937</v>
      </c>
      <c r="E82" s="41">
        <f>(132)*100/(8387/12)</f>
        <v>18.88637176582807</v>
      </c>
      <c r="F82" s="41">
        <f>496.2*100/(19226/12)</f>
        <v>30.970560699053365</v>
      </c>
      <c r="G82" s="41">
        <f>12559.5*100/(98697/12)</f>
        <v>152.70372959664428</v>
      </c>
      <c r="H82" s="42">
        <f>9.154*100/(529/12)</f>
        <v>20.765217391304347</v>
      </c>
      <c r="I82" s="41">
        <f>25*100/(354/12)</f>
        <v>84.745762711864401</v>
      </c>
      <c r="J82" s="43">
        <f>0.715*100/(5.157/12)</f>
        <v>166.37579988365329</v>
      </c>
      <c r="K82" s="41">
        <f>2*100/(340/12)</f>
        <v>7.0588235294117654</v>
      </c>
      <c r="L82" s="41">
        <f>6069*100/(47206/12)</f>
        <v>154.27699868660764</v>
      </c>
      <c r="M82" s="39">
        <f>20269*100/(192952/12)</f>
        <v>126.05622123636967</v>
      </c>
      <c r="N82" s="99"/>
      <c r="O82" s="23"/>
    </row>
    <row r="83" spans="2:15" s="4" customFormat="1" ht="18" hidden="1" customHeight="1" x14ac:dyDescent="0.2">
      <c r="B83" s="52" t="s">
        <v>41</v>
      </c>
      <c r="C83" s="37">
        <f>(1362)*100/(16953/12)</f>
        <v>96.407715448593166</v>
      </c>
      <c r="D83" s="41">
        <f>28.5*100/(1205/12)</f>
        <v>28.38174273858921</v>
      </c>
      <c r="E83" s="41">
        <f>(117)*100/(8387/12)</f>
        <v>16.740193156074877</v>
      </c>
      <c r="F83" s="41">
        <f>869*100/(19226/12)</f>
        <v>54.239051284718606</v>
      </c>
      <c r="G83" s="41">
        <f>12388.7*100/(98697/12)</f>
        <v>150.62707073163318</v>
      </c>
      <c r="H83" s="42">
        <f>5.857*100/(529/12)</f>
        <v>13.286200378071834</v>
      </c>
      <c r="I83" s="41">
        <f>43.6*100/(354/12)</f>
        <v>147.79661016949152</v>
      </c>
      <c r="J83" s="43">
        <f>0.63*100/(5.157/12)</f>
        <v>146.59685863874344</v>
      </c>
      <c r="K83" s="41">
        <f>12*100/(340/12)</f>
        <v>42.352941176470587</v>
      </c>
      <c r="L83" s="41">
        <f>4116*100/(47206/12)</f>
        <v>104.63076727534634</v>
      </c>
      <c r="M83" s="39">
        <f>18943*100/(192952/12)</f>
        <v>117.80961068037647</v>
      </c>
      <c r="N83" s="99"/>
      <c r="O83" s="23"/>
    </row>
    <row r="84" spans="2:15" s="4" customFormat="1" ht="18" hidden="1" customHeight="1" x14ac:dyDescent="0.2">
      <c r="B84" s="52" t="s">
        <v>42</v>
      </c>
      <c r="C84" s="37">
        <f>(1236)*100/(16953/12)</f>
        <v>87.488940010617583</v>
      </c>
      <c r="D84" s="41">
        <f>72.7*100/(1205/12)</f>
        <v>72.398340248962654</v>
      </c>
      <c r="E84" s="41">
        <f>(473)*100/(8387/12)</f>
        <v>67.676165494217244</v>
      </c>
      <c r="F84" s="41">
        <f>1493*100/(19226/12)</f>
        <v>93.18631020493082</v>
      </c>
      <c r="G84" s="41">
        <f>11360*100/(98697/12)</f>
        <v>138.11969968692057</v>
      </c>
      <c r="H84" s="42"/>
      <c r="I84" s="41">
        <f>46.7*100/(354/12)</f>
        <v>158.30508474576271</v>
      </c>
      <c r="J84" s="43">
        <f>1.006*100/(5.157/12)</f>
        <v>234.0895869691681</v>
      </c>
      <c r="K84" s="41">
        <f>1*100/(340/12)</f>
        <v>3.5294117647058827</v>
      </c>
      <c r="L84" s="41">
        <f>2990*100/(47206/12)</f>
        <v>76.007287209253064</v>
      </c>
      <c r="M84" s="39">
        <f>17673*100/(192952/12)</f>
        <v>109.91127327003606</v>
      </c>
      <c r="N84" s="99"/>
      <c r="O84" s="23"/>
    </row>
    <row r="85" spans="2:15" s="4" customFormat="1" ht="18" hidden="1" customHeight="1" x14ac:dyDescent="0.2">
      <c r="B85" s="52" t="s">
        <v>43</v>
      </c>
      <c r="C85" s="37">
        <f>(920)*100/(16953/12)</f>
        <v>65.121217483631213</v>
      </c>
      <c r="D85" s="41">
        <f>55*100/(1205/12)</f>
        <v>54.771784232365142</v>
      </c>
      <c r="E85" s="41">
        <f>(54)*100/(8387/12)</f>
        <v>7.7262429951114822</v>
      </c>
      <c r="F85" s="41">
        <f>877.3*100/(19226/12)</f>
        <v>54.757099760740658</v>
      </c>
      <c r="G85" s="41">
        <f>11491.6*100/(98697/12)</f>
        <v>139.71974832061764</v>
      </c>
      <c r="H85" s="42">
        <f>11.284*100/(529/12)</f>
        <v>25.596975425330815</v>
      </c>
      <c r="I85" s="41">
        <f>46.8*100/(354/12)</f>
        <v>158.64406779661016</v>
      </c>
      <c r="J85" s="43">
        <f>0.697*100/(5.157/12)</f>
        <v>162.18731820826059</v>
      </c>
      <c r="K85" s="41">
        <f>4*100/(340/12)</f>
        <v>14.117647058823531</v>
      </c>
      <c r="L85" s="41">
        <f>3670*100/(47206/12)</f>
        <v>93.293225437444391</v>
      </c>
      <c r="M85" s="39">
        <f>17131*100/(192952/12)</f>
        <v>106.54048675318214</v>
      </c>
      <c r="N85" s="99"/>
      <c r="O85" s="23"/>
    </row>
    <row r="86" spans="2:15" s="4" customFormat="1" ht="18" hidden="1" customHeight="1" x14ac:dyDescent="0.2">
      <c r="B86" s="52" t="s">
        <v>44</v>
      </c>
      <c r="C86" s="37">
        <f>(1058)*100/(16953/12)</f>
        <v>74.889400106175898</v>
      </c>
      <c r="D86" s="41">
        <f>43*100/(1205/12)</f>
        <v>42.821576763485474</v>
      </c>
      <c r="E86" s="41">
        <f>(158)*100/(8387/12)</f>
        <v>22.606414689400264</v>
      </c>
      <c r="F86" s="41">
        <f>993*100/(19226/12)</f>
        <v>61.978570685530009</v>
      </c>
      <c r="G86" s="41">
        <f>14796*100/(98697/12)</f>
        <v>179.89604547250676</v>
      </c>
      <c r="H86" s="42">
        <f>5.465*100/(529/12)</f>
        <v>12.396975425330812</v>
      </c>
      <c r="I86" s="41">
        <f>45*100/(354/12)</f>
        <v>152.54237288135593</v>
      </c>
      <c r="J86" s="43">
        <f>1.083*100/(5.157/12)</f>
        <v>252.0069808027923</v>
      </c>
      <c r="K86" s="41">
        <f>0.4*100/(340/12)</f>
        <v>1.411764705882353</v>
      </c>
      <c r="L86" s="41">
        <f>4339*100/(47206/12)</f>
        <v>110.29953819429733</v>
      </c>
      <c r="M86" s="39">
        <f>21438*100/(192952/12)</f>
        <v>133.32642315187195</v>
      </c>
      <c r="N86" s="99"/>
      <c r="O86" s="23"/>
    </row>
    <row r="87" spans="2:15" s="4" customFormat="1" ht="18" hidden="1" customHeight="1" x14ac:dyDescent="0.2">
      <c r="B87" s="52" t="s">
        <v>45</v>
      </c>
      <c r="C87" s="37">
        <f>(1122)*100/(16953/12)</f>
        <v>79.419571757211116</v>
      </c>
      <c r="D87" s="41">
        <f>15*100/(1205/12)</f>
        <v>14.937759336099584</v>
      </c>
      <c r="E87" s="41">
        <f>(122)*100/(8387/12)</f>
        <v>17.455586025992609</v>
      </c>
      <c r="F87" s="41">
        <f>571*100/(19226/12)</f>
        <v>35.639238531155726</v>
      </c>
      <c r="G87" s="41">
        <f>14186*100/(98697/12)</f>
        <v>172.47940666889571</v>
      </c>
      <c r="H87" s="42"/>
      <c r="I87" s="41">
        <f>33*100/(354/12)</f>
        <v>111.86440677966101</v>
      </c>
      <c r="J87" s="43">
        <f>0.733*100/(5.157/12)</f>
        <v>170.56428155904595</v>
      </c>
      <c r="K87" s="41">
        <f>4*100/(340/12)</f>
        <v>14.117647058823531</v>
      </c>
      <c r="L87" s="41">
        <f>3984*100/(47206/12)</f>
        <v>101.27526161928569</v>
      </c>
      <c r="M87" s="39">
        <f>20038*100/(192952/12)</f>
        <v>124.61959451055185</v>
      </c>
      <c r="N87" s="99"/>
      <c r="O87" s="23"/>
    </row>
    <row r="88" spans="2:15" s="4" customFormat="1" ht="18" hidden="1" customHeight="1" x14ac:dyDescent="0.2">
      <c r="B88" s="52" t="s">
        <v>46</v>
      </c>
      <c r="C88" s="37">
        <f>(1204)*100/(16953/12)</f>
        <v>85.223854185099981</v>
      </c>
      <c r="D88" s="41">
        <f>66*100/(1205/12)</f>
        <v>65.726141078838168</v>
      </c>
      <c r="E88" s="41">
        <f>(262)*100/(8387/12)</f>
        <v>37.486586383689044</v>
      </c>
      <c r="F88" s="41">
        <f>691*100/(19226/12)</f>
        <v>43.129096015811918</v>
      </c>
      <c r="G88" s="41">
        <f>12291*100/(98697/12)</f>
        <v>149.43919268062859</v>
      </c>
      <c r="H88" s="42">
        <f>16.29*100/(529/12)</f>
        <v>36.952741020793951</v>
      </c>
      <c r="I88" s="41">
        <f>33*100/(354/12)</f>
        <v>111.86440677966101</v>
      </c>
      <c r="J88" s="43">
        <f>0.806*100/(5.157/12)</f>
        <v>187.55090168702736</v>
      </c>
      <c r="K88" s="41"/>
      <c r="L88" s="41">
        <f>5517*100/(47206/12)</f>
        <v>140.24488412489939</v>
      </c>
      <c r="M88" s="39">
        <f>20081*100/(192952/12)</f>
        <v>124.88701853310667</v>
      </c>
      <c r="N88" s="99"/>
      <c r="O88" s="23"/>
    </row>
    <row r="89" spans="2:15" s="4" customFormat="1" ht="18" hidden="1" customHeight="1" x14ac:dyDescent="0.2">
      <c r="B89" s="52" t="s">
        <v>47</v>
      </c>
      <c r="C89" s="37">
        <f>(1375)*100/(16953/12)</f>
        <v>97.327906565209702</v>
      </c>
      <c r="D89" s="41">
        <f>29*100/(1205/12)</f>
        <v>28.879668049792528</v>
      </c>
      <c r="E89" s="41">
        <f>(172)*100/(8387/12)</f>
        <v>24.609514725169909</v>
      </c>
      <c r="F89" s="41">
        <f>1221*100/(19226/12)</f>
        <v>76.209299906376785</v>
      </c>
      <c r="G89" s="41">
        <f>12209*100/(98697/12)</f>
        <v>148.44220189063498</v>
      </c>
      <c r="H89" s="42">
        <f>5.764*100/(529/12)</f>
        <v>13.07523629489603</v>
      </c>
      <c r="I89" s="41">
        <f>38*100/(354/12)</f>
        <v>128.81355932203391</v>
      </c>
      <c r="J89" s="43">
        <f>0.829*100/(5.157/12)</f>
        <v>192.90285049447351</v>
      </c>
      <c r="K89" s="41">
        <f>1*100/(340/12)</f>
        <v>3.5294117647058827</v>
      </c>
      <c r="L89" s="41">
        <f>5520*100/(47206/12)</f>
        <v>140.32114561708258</v>
      </c>
      <c r="M89" s="39">
        <f>20572*100/(192952/12)</f>
        <v>127.94062772088395</v>
      </c>
      <c r="N89" s="99"/>
      <c r="O89" s="23"/>
    </row>
    <row r="90" spans="2:15" s="4" customFormat="1" ht="2.25" hidden="1" customHeight="1" x14ac:dyDescent="0.2">
      <c r="B90" s="52"/>
      <c r="C90" s="37">
        <f>(1291)*100/(16953/12)</f>
        <v>91.382056273225984</v>
      </c>
      <c r="D90" s="41">
        <f>28*100/(1205/12)</f>
        <v>27.883817427385893</v>
      </c>
      <c r="E90" s="41">
        <f>(96)*100/(8387/12)</f>
        <v>13.735543102420413</v>
      </c>
      <c r="F90" s="41">
        <f>551*100/(19226/12)</f>
        <v>34.390928950379696</v>
      </c>
      <c r="G90" s="41">
        <f>13617*100/(98697/12)</f>
        <v>165.56126326028146</v>
      </c>
      <c r="H90" s="42">
        <f>5.381*100/(529/12)</f>
        <v>12.206427221172023</v>
      </c>
      <c r="I90" s="41">
        <f>32*100/(354/12)</f>
        <v>108.47457627118644</v>
      </c>
      <c r="J90" s="43">
        <f>0.711*100/(5.157/12)</f>
        <v>165.44502617801044</v>
      </c>
      <c r="K90" s="41">
        <f>3*100/(340/12)</f>
        <v>10.588235294117647</v>
      </c>
      <c r="L90" s="41">
        <f>5329*100/(47206/12)</f>
        <v>135.46583061475235</v>
      </c>
      <c r="M90" s="39">
        <f>20953*100/(192952/12)</f>
        <v>130.31012894398606</v>
      </c>
      <c r="N90" s="99"/>
      <c r="O90" s="23"/>
    </row>
    <row r="91" spans="2:15" s="4" customFormat="1" ht="18" hidden="1" customHeight="1" x14ac:dyDescent="0.2">
      <c r="B91" s="52">
        <v>2005</v>
      </c>
      <c r="C91" s="37">
        <f>(16620)*100/((13946/12)*12)</f>
        <v>119.17395669009035</v>
      </c>
      <c r="D91" s="41">
        <f>669*100/((496/12)*12)</f>
        <v>134.87903225806451</v>
      </c>
      <c r="E91" s="41">
        <f>(5268)*100/((2172/12)*12)</f>
        <v>242.54143646408841</v>
      </c>
      <c r="F91" s="41">
        <f>10881*100/((9810/12)*12)</f>
        <v>110.91743119266054</v>
      </c>
      <c r="G91" s="41">
        <f>150775*100/((150629/12)*12)</f>
        <v>100.0969268865889</v>
      </c>
      <c r="H91" s="42">
        <f>35*100/((386/12)*12)</f>
        <v>9.0673575129533681</v>
      </c>
      <c r="I91" s="41">
        <f>400*100/((462/12)*12)</f>
        <v>86.580086580086586</v>
      </c>
      <c r="J91" s="43">
        <f>5.36319*100/((10/12)*12)</f>
        <v>53.631900000000009</v>
      </c>
      <c r="K91" s="41">
        <f>326*100/((88/12)*12)</f>
        <v>370.45454545454544</v>
      </c>
      <c r="L91" s="41">
        <f>85795*100/((57656/12)*12)</f>
        <v>148.80498126821146</v>
      </c>
      <c r="M91" s="39">
        <f>269002*100/((235353/12)*12)</f>
        <v>114.29724711390975</v>
      </c>
      <c r="N91" s="99"/>
      <c r="O91" s="23"/>
    </row>
    <row r="92" spans="2:15" s="4" customFormat="1" ht="18" hidden="1" customHeight="1" x14ac:dyDescent="0.2">
      <c r="B92" s="32" t="s">
        <v>55</v>
      </c>
      <c r="C92" s="37">
        <f>(10999)*100/(13946/12)/12</f>
        <v>78.868492757780004</v>
      </c>
      <c r="D92" s="41">
        <f>676*100/(496/12)/12</f>
        <v>136.29032258064515</v>
      </c>
      <c r="E92" s="41">
        <f>(2618)*100/(2172/12)/12</f>
        <v>120.5340699815838</v>
      </c>
      <c r="F92" s="41">
        <f>8009*100/(9810/12)/12</f>
        <v>81.641182466870546</v>
      </c>
      <c r="G92" s="41">
        <f>131286*100/(150629)</f>
        <v>87.158515292539946</v>
      </c>
      <c r="H92" s="42">
        <f>22*100/(85/12)/12</f>
        <v>25.882352941176475</v>
      </c>
      <c r="I92" s="41">
        <f>362*100/(462/12)/12</f>
        <v>78.354978354978357</v>
      </c>
      <c r="J92" s="43">
        <f>9.8*100/(10/12)/12</f>
        <v>98</v>
      </c>
      <c r="K92" s="41">
        <f>56*100/(88/12)/12</f>
        <v>63.636363636363633</v>
      </c>
      <c r="L92" s="41">
        <f>51974*100/(57656/12)/12</f>
        <v>90.144997918690152</v>
      </c>
      <c r="M92" s="39">
        <f>206011*100/(235353/12)/12</f>
        <v>87.532769924326431</v>
      </c>
      <c r="N92" s="99"/>
      <c r="O92" s="23"/>
    </row>
    <row r="93" spans="2:15" s="4" customFormat="1" ht="18" hidden="1" customHeight="1" x14ac:dyDescent="0.2">
      <c r="B93" s="45" t="s">
        <v>37</v>
      </c>
      <c r="C93" s="37">
        <f>(1143)*100/(13946/12)</f>
        <v>98.350781586117876</v>
      </c>
      <c r="D93" s="41">
        <f>44*100/(496/12)</f>
        <v>106.45161290322579</v>
      </c>
      <c r="E93" s="41">
        <f>(87)*100/(2172/12)</f>
        <v>48.066298342541437</v>
      </c>
      <c r="F93" s="41">
        <f>719*100/(9810/12)</f>
        <v>87.951070336391439</v>
      </c>
      <c r="G93" s="41">
        <f>10073*100/(150629/12)</f>
        <v>80.247495502194141</v>
      </c>
      <c r="H93" s="42"/>
      <c r="I93" s="41">
        <f>33*100/(462/12)</f>
        <v>85.714285714285708</v>
      </c>
      <c r="J93" s="43">
        <f>1*100/(10/12)</f>
        <v>120</v>
      </c>
      <c r="K93" s="41">
        <f>1*100/(88/12)</f>
        <v>13.636363636363637</v>
      </c>
      <c r="L93" s="41">
        <f>3264*100/(57656/12)</f>
        <v>67.933953101151658</v>
      </c>
      <c r="M93" s="39">
        <f>15365*100/(235353/12)</f>
        <v>78.341894940791065</v>
      </c>
      <c r="N93" s="99"/>
      <c r="O93" s="23"/>
    </row>
    <row r="94" spans="2:15" s="4" customFormat="1" ht="18" hidden="1" customHeight="1" x14ac:dyDescent="0.2">
      <c r="B94" s="45" t="s">
        <v>38</v>
      </c>
      <c r="C94" s="37">
        <f>(1045)*100/(13946/12)</f>
        <v>89.918256130790184</v>
      </c>
      <c r="D94" s="41">
        <f>51*100/(496/12)</f>
        <v>123.38709677419354</v>
      </c>
      <c r="E94" s="41">
        <f>(150)*100/(2172/12)</f>
        <v>82.872928176795583</v>
      </c>
      <c r="F94" s="41">
        <f>501*100/(9810/12)</f>
        <v>61.284403669724767</v>
      </c>
      <c r="G94" s="41">
        <f>8583*100/(150629/12)</f>
        <v>68.377271308977697</v>
      </c>
      <c r="H94" s="42"/>
      <c r="I94" s="41">
        <f>22*100/(462/12)</f>
        <v>57.142857142857146</v>
      </c>
      <c r="J94" s="43">
        <f>0.5*100/(10/12)</f>
        <v>60</v>
      </c>
      <c r="K94" s="41">
        <f>6*100/(88/12)</f>
        <v>81.818181818181827</v>
      </c>
      <c r="L94" s="41">
        <f>1550*100/(57656/12)</f>
        <v>32.260302483696407</v>
      </c>
      <c r="M94" s="39">
        <f>11908*100/(235353/12)</f>
        <v>60.715605919618618</v>
      </c>
      <c r="N94" s="99"/>
      <c r="O94" s="23"/>
    </row>
    <row r="95" spans="2:15" s="4" customFormat="1" ht="18" hidden="1" customHeight="1" x14ac:dyDescent="0.2">
      <c r="B95" s="45" t="s">
        <v>39</v>
      </c>
      <c r="C95" s="37">
        <f>(1290)*100/(13946/12)</f>
        <v>110.99956976910941</v>
      </c>
      <c r="D95" s="41">
        <f>43*100/(496/12)</f>
        <v>104.03225806451613</v>
      </c>
      <c r="E95" s="41">
        <f>(224)*100/(2172/12)</f>
        <v>123.75690607734806</v>
      </c>
      <c r="F95" s="41">
        <f>684*100/(9810/12)</f>
        <v>83.669724770642205</v>
      </c>
      <c r="G95" s="41">
        <f>11165*100/(150629/12)</f>
        <v>88.947015514940688</v>
      </c>
      <c r="H95" s="42"/>
      <c r="I95" s="41">
        <f>42*100/(462/12)</f>
        <v>109.09090909090909</v>
      </c>
      <c r="J95" s="43">
        <f>0.83*100/(10/12)</f>
        <v>99.6</v>
      </c>
      <c r="K95" s="41"/>
      <c r="L95" s="41">
        <f>456*100/(57656/12)</f>
        <v>9.4907728597197156</v>
      </c>
      <c r="M95" s="39">
        <f>13906*100/(235353/12)</f>
        <v>70.902856560145821</v>
      </c>
      <c r="N95" s="99"/>
      <c r="O95" s="23"/>
    </row>
    <row r="96" spans="2:15" s="4" customFormat="1" ht="18" hidden="1" customHeight="1" x14ac:dyDescent="0.2">
      <c r="B96" s="45" t="s">
        <v>40</v>
      </c>
      <c r="C96" s="37">
        <f>(1385)*100/(13946/12)</f>
        <v>119.17395669009034</v>
      </c>
      <c r="D96" s="41">
        <f>58*100/(496/12)</f>
        <v>140.32258064516128</v>
      </c>
      <c r="E96" s="41">
        <f>(60)*100/(2172/12)</f>
        <v>33.149171270718234</v>
      </c>
      <c r="F96" s="41">
        <f>214*100/(9810/12)</f>
        <v>26.177370030581042</v>
      </c>
      <c r="G96" s="41">
        <f>9491*100/(150629/12)</f>
        <v>75.61093813276328</v>
      </c>
      <c r="H96" s="42">
        <f>5.755*100/(85/12)</f>
        <v>81.247058823529414</v>
      </c>
      <c r="I96" s="41">
        <f>23*100/(462/12)</f>
        <v>59.740259740259738</v>
      </c>
      <c r="J96" s="43">
        <f>0.744*100/(10/12)</f>
        <v>89.28</v>
      </c>
      <c r="K96" s="41">
        <f>9*100/(88/12)</f>
        <v>122.72727272727273</v>
      </c>
      <c r="L96" s="41">
        <f>2997*100/(57656/12)</f>
        <v>62.376855834605244</v>
      </c>
      <c r="M96" s="39">
        <f>14243*100/(235353/12)</f>
        <v>72.621126563077596</v>
      </c>
      <c r="N96" s="99"/>
      <c r="O96" s="23"/>
    </row>
    <row r="97" spans="2:15" s="4" customFormat="1" ht="18" hidden="1" customHeight="1" x14ac:dyDescent="0.2">
      <c r="B97" s="45" t="s">
        <v>41</v>
      </c>
      <c r="C97" s="37">
        <f>(1137)*100/(13946/12)</f>
        <v>97.83450451742435</v>
      </c>
      <c r="D97" s="41">
        <f>42*100/(496/12)</f>
        <v>101.61290322580645</v>
      </c>
      <c r="E97" s="41">
        <f>(124)*100/(2172/12)</f>
        <v>68.508287292817684</v>
      </c>
      <c r="F97" s="41">
        <f>994*100/(9810/12)</f>
        <v>121.59021406727828</v>
      </c>
      <c r="G97" s="41">
        <f>8190*100/(150629)</f>
        <v>5.4372000079665934</v>
      </c>
      <c r="H97" s="42"/>
      <c r="I97" s="41">
        <f>32*100/(462/12)</f>
        <v>83.116883116883116</v>
      </c>
      <c r="J97" s="43">
        <f>1.016*100/(10/12)</f>
        <v>121.91999999999999</v>
      </c>
      <c r="K97" s="41">
        <f>5*100/(88/12)</f>
        <v>68.181818181818187</v>
      </c>
      <c r="L97" s="41">
        <f>3132*100/(57656/12)</f>
        <v>65.186624115443308</v>
      </c>
      <c r="M97" s="39">
        <f>13658*100/(235353/12)</f>
        <v>69.638372997157461</v>
      </c>
      <c r="N97" s="99"/>
      <c r="O97" s="23"/>
    </row>
    <row r="98" spans="2:15" s="4" customFormat="1" ht="18" hidden="1" customHeight="1" x14ac:dyDescent="0.2">
      <c r="B98" s="45" t="s">
        <v>42</v>
      </c>
      <c r="C98" s="37">
        <f>(793)*100/(13946/12)</f>
        <v>68.234619245661833</v>
      </c>
      <c r="D98" s="41">
        <f>54*100/(496/12)</f>
        <v>130.64516129032256</v>
      </c>
      <c r="E98" s="41">
        <f>(269)*100/(2172/12)</f>
        <v>148.61878453038673</v>
      </c>
      <c r="F98" s="41">
        <f>583*100/(9810/12)</f>
        <v>71.314984709480129</v>
      </c>
      <c r="G98" s="41">
        <f>7982*100/(150629/12)</f>
        <v>63.589348664599783</v>
      </c>
      <c r="H98" s="42"/>
      <c r="I98" s="41">
        <f>20*100/(462/12)</f>
        <v>51.948051948051948</v>
      </c>
      <c r="J98" s="43">
        <f>0.751*100/(10/12)</f>
        <v>90.11999999999999</v>
      </c>
      <c r="K98" s="41">
        <f>2*100/(88/12)</f>
        <v>27.272727272727273</v>
      </c>
      <c r="L98" s="41">
        <f>3045*100/(57656/12)</f>
        <v>63.375884556681001</v>
      </c>
      <c r="M98" s="39">
        <f>12750*100/(235353/12)</f>
        <v>65.008731564925881</v>
      </c>
      <c r="N98" s="99"/>
      <c r="O98" s="23"/>
    </row>
    <row r="99" spans="2:15" s="4" customFormat="1" ht="18" hidden="1" customHeight="1" x14ac:dyDescent="0.2">
      <c r="B99" s="45" t="s">
        <v>43</v>
      </c>
      <c r="C99" s="37">
        <f>(1030)*100/(13946/12)</f>
        <v>88.627563459056361</v>
      </c>
      <c r="D99" s="41">
        <f>40*100/(496/12)</f>
        <v>96.774193548387089</v>
      </c>
      <c r="E99" s="41">
        <f>(218)*100/(2172/12)</f>
        <v>120.44198895027624</v>
      </c>
      <c r="F99" s="41">
        <f>717*100/(9810/12)</f>
        <v>87.706422018348619</v>
      </c>
      <c r="G99" s="41">
        <f>13067*100/(150629/12)</f>
        <v>104.09947619648275</v>
      </c>
      <c r="H99" s="42">
        <f>9.156*100/(85/12)</f>
        <v>129.26117647058825</v>
      </c>
      <c r="I99" s="41">
        <f>27*100/(462/12)</f>
        <v>70.129870129870127</v>
      </c>
      <c r="J99" s="43">
        <f>0.5466*100/(10/12)</f>
        <v>65.591999999999999</v>
      </c>
      <c r="K99" s="41">
        <f>9*100/(88/12)</f>
        <v>122.72727272727273</v>
      </c>
      <c r="L99" s="41">
        <f>5470*100/(57656/12)</f>
        <v>113.84764811988344</v>
      </c>
      <c r="M99" s="39">
        <f>20587*100/(235353/12)</f>
        <v>104.96743190016699</v>
      </c>
      <c r="N99" s="99"/>
      <c r="O99" s="23"/>
    </row>
    <row r="100" spans="2:15" s="4" customFormat="1" ht="18" hidden="1" customHeight="1" x14ac:dyDescent="0.2">
      <c r="B100" s="45" t="s">
        <v>44</v>
      </c>
      <c r="C100" s="37">
        <f>(593)*100/(13946/12)</f>
        <v>51.025383622544098</v>
      </c>
      <c r="D100" s="41">
        <f>71*100/(496/12)</f>
        <v>171.77419354838707</v>
      </c>
      <c r="E100" s="41">
        <f>(134)*100/(2172/12)</f>
        <v>74.033149171270722</v>
      </c>
      <c r="F100" s="41">
        <f>716*100/(9810/12)</f>
        <v>87.584097859327215</v>
      </c>
      <c r="G100" s="41">
        <f>13187*100/(150629/12)</f>
        <v>105.05546740667468</v>
      </c>
      <c r="H100" s="42"/>
      <c r="I100" s="41">
        <f>34*100/(462/12)</f>
        <v>88.311688311688314</v>
      </c>
      <c r="J100" s="43">
        <f>0.6972*100/(10/12)</f>
        <v>83.664000000000001</v>
      </c>
      <c r="K100" s="41">
        <f>4*100/(88/12)</f>
        <v>54.545454545454547</v>
      </c>
      <c r="L100" s="41">
        <f>4091*100/(57656/12)</f>
        <v>85.146385458581932</v>
      </c>
      <c r="M100" s="39">
        <f>18831*100/(235353/12)</f>
        <v>96.014072478362294</v>
      </c>
      <c r="N100" s="99"/>
      <c r="O100" s="23"/>
    </row>
    <row r="101" spans="2:15" s="4" customFormat="1" ht="18" hidden="1" customHeight="1" x14ac:dyDescent="0.2">
      <c r="B101" s="45" t="s">
        <v>45</v>
      </c>
      <c r="C101" s="37">
        <f>(663)*100/(13946/12)</f>
        <v>57.048616090635306</v>
      </c>
      <c r="D101" s="41">
        <f>38*100/(496/12)</f>
        <v>91.935483870967744</v>
      </c>
      <c r="E101" s="41">
        <f>(304)*100/(2172/12)</f>
        <v>167.95580110497238</v>
      </c>
      <c r="F101" s="41">
        <f>916*100/(9810/12)</f>
        <v>112.04892966360856</v>
      </c>
      <c r="G101" s="41">
        <f>16963*100/(150629/12)</f>
        <v>135.13732415404738</v>
      </c>
      <c r="H101" s="42"/>
      <c r="I101" s="41">
        <f>51*100/(462/12)</f>
        <v>132.46753246753246</v>
      </c>
      <c r="J101" s="43">
        <f>0.9796*100/(10/12)</f>
        <v>117.55200000000001</v>
      </c>
      <c r="K101" s="41">
        <f>9*100/(88/12)</f>
        <v>122.72727272727273</v>
      </c>
      <c r="L101" s="41">
        <f>4047*100/(57656/12)</f>
        <v>84.230609130012482</v>
      </c>
      <c r="M101" s="39">
        <f>22992*100/(235353/12)</f>
        <v>117.22986322672752</v>
      </c>
      <c r="N101" s="99"/>
      <c r="O101" s="23"/>
    </row>
    <row r="102" spans="2:15" s="4" customFormat="1" ht="18" hidden="1" customHeight="1" x14ac:dyDescent="0.2">
      <c r="B102" s="45" t="s">
        <v>46</v>
      </c>
      <c r="C102" s="37">
        <f>(656)*100/(13946/12)</f>
        <v>56.446292843826186</v>
      </c>
      <c r="D102" s="41">
        <f>53*100/(496/12)</f>
        <v>128.2258064516129</v>
      </c>
      <c r="E102" s="41">
        <f>(302)*100/(2172/12)</f>
        <v>166.85082872928177</v>
      </c>
      <c r="F102" s="41">
        <f>1078*100/(9810/12)</f>
        <v>131.86544342507645</v>
      </c>
      <c r="G102" s="41">
        <f>9192*100/(150629/12)</f>
        <v>73.228926700701734</v>
      </c>
      <c r="H102" s="42"/>
      <c r="I102" s="41">
        <f>30*100/(462/12)</f>
        <v>77.922077922077918</v>
      </c>
      <c r="J102" s="43">
        <f>0.9507*100/(10/12)</f>
        <v>114.08399999999999</v>
      </c>
      <c r="K102" s="41">
        <f>1*100/(88/12)</f>
        <v>13.636363636363637</v>
      </c>
      <c r="L102" s="41">
        <f>3954*100/(57656/12)</f>
        <v>82.294990980990704</v>
      </c>
      <c r="M102" s="39">
        <f>15267*100/(235353/12)</f>
        <v>77.842219984448889</v>
      </c>
      <c r="N102" s="99"/>
      <c r="O102" s="23"/>
    </row>
    <row r="103" spans="2:15" s="4" customFormat="1" ht="18" hidden="1" customHeight="1" x14ac:dyDescent="0.2">
      <c r="B103" s="45" t="s">
        <v>47</v>
      </c>
      <c r="C103" s="37">
        <f>(694)*100/(13946/12)</f>
        <v>59.716047612218553</v>
      </c>
      <c r="D103" s="41">
        <f>117*100/(496/12)</f>
        <v>283.06451612903226</v>
      </c>
      <c r="E103" s="41">
        <f>(346)*100/(2172/12)</f>
        <v>191.16022099447514</v>
      </c>
      <c r="F103" s="41">
        <f>253*100/(9810/12)</f>
        <v>30.948012232415902</v>
      </c>
      <c r="G103" s="41">
        <f>12539*100/(150629/12)</f>
        <v>99.893114871638275</v>
      </c>
      <c r="H103" s="42">
        <f>3.407*100/(85/12)</f>
        <v>48.098823529411767</v>
      </c>
      <c r="I103" s="41">
        <f>29*100/(462/12)</f>
        <v>75.324675324675326</v>
      </c>
      <c r="J103" s="43">
        <f>1.1774*100/(10/12)</f>
        <v>141.28799999999998</v>
      </c>
      <c r="K103" s="41"/>
      <c r="L103" s="41">
        <f>3708*100/(57656/12)</f>
        <v>77.17496878035243</v>
      </c>
      <c r="M103" s="39">
        <f>17690*100/(235353/12)</f>
        <v>90.196428343806957</v>
      </c>
      <c r="N103" s="99"/>
      <c r="O103" s="23"/>
    </row>
    <row r="104" spans="2:15" s="4" customFormat="1" ht="18" hidden="1" customHeight="1" x14ac:dyDescent="0.2">
      <c r="B104" s="45" t="s">
        <v>48</v>
      </c>
      <c r="C104" s="37">
        <f>(570)*100/(13946/12)</f>
        <v>49.046321525885553</v>
      </c>
      <c r="D104" s="41">
        <f>65*100/(496/12)</f>
        <v>157.25806451612902</v>
      </c>
      <c r="E104" s="41">
        <f>(401)*100/(2172/12)</f>
        <v>221.54696132596686</v>
      </c>
      <c r="F104" s="41">
        <f>634*100/(9810/12)</f>
        <v>77.553516819571868</v>
      </c>
      <c r="G104" s="41">
        <f>10854*100/(150629/12)</f>
        <v>86.469404961859937</v>
      </c>
      <c r="H104" s="42">
        <f>4.111*100/(85/12)</f>
        <v>58.037647058823524</v>
      </c>
      <c r="I104" s="41">
        <f>18*100/(462/12)</f>
        <v>46.753246753246756</v>
      </c>
      <c r="J104" s="43">
        <f>0.6252*100/(10/12)</f>
        <v>75.023999999999987</v>
      </c>
      <c r="K104" s="41">
        <f>10*100/(88/12)</f>
        <v>136.36363636363637</v>
      </c>
      <c r="L104" s="41">
        <f>16260*100/(57656/12)</f>
        <v>338.42097960316357</v>
      </c>
      <c r="M104" s="39">
        <f>28816*100/(235353/12)</f>
        <v>146.92483206077679</v>
      </c>
      <c r="N104" s="99"/>
      <c r="O104" s="23"/>
    </row>
    <row r="105" spans="2:15" s="4" customFormat="1" ht="18" hidden="1" customHeight="1" x14ac:dyDescent="0.2">
      <c r="B105" s="45"/>
      <c r="C105" s="37"/>
      <c r="D105" s="41"/>
      <c r="E105" s="41"/>
      <c r="F105" s="41"/>
      <c r="G105" s="41"/>
      <c r="H105" s="42"/>
      <c r="I105" s="41"/>
      <c r="J105" s="43"/>
      <c r="K105" s="41"/>
      <c r="L105" s="41"/>
      <c r="M105" s="39"/>
      <c r="N105" s="99"/>
      <c r="O105" s="23"/>
    </row>
    <row r="106" spans="2:15" s="4" customFormat="1" ht="18" hidden="1" customHeight="1" x14ac:dyDescent="0.2">
      <c r="B106" s="52">
        <v>2006</v>
      </c>
      <c r="C106" s="37">
        <f>+C172</f>
        <v>119.71612455184284</v>
      </c>
      <c r="D106" s="37">
        <f t="shared" ref="D106:M106" si="0">+D172</f>
        <v>220.56440322580644</v>
      </c>
      <c r="E106" s="37">
        <f t="shared" si="0"/>
        <v>258.5265013812155</v>
      </c>
      <c r="F106" s="37">
        <f t="shared" si="0"/>
        <v>119.3802377166157</v>
      </c>
      <c r="G106" s="37">
        <f t="shared" si="0"/>
        <v>115.13058565747629</v>
      </c>
      <c r="H106" s="37">
        <f t="shared" si="0"/>
        <v>50.133660621761663</v>
      </c>
      <c r="I106" s="37">
        <f t="shared" si="0"/>
        <v>102.56855194805193</v>
      </c>
      <c r="J106" s="37">
        <f t="shared" si="0"/>
        <v>63.6721</v>
      </c>
      <c r="K106" s="37">
        <f t="shared" si="0"/>
        <v>601.80947727272735</v>
      </c>
      <c r="L106" s="37">
        <f t="shared" si="0"/>
        <v>390.36900516858611</v>
      </c>
      <c r="M106" s="39">
        <f t="shared" si="0"/>
        <v>184.74825168151671</v>
      </c>
      <c r="N106" s="99"/>
      <c r="O106" s="23"/>
    </row>
    <row r="107" spans="2:15" s="4" customFormat="1" ht="18" hidden="1" customHeight="1" x14ac:dyDescent="0.2">
      <c r="B107" s="45"/>
      <c r="C107" s="37"/>
      <c r="D107" s="41"/>
      <c r="E107" s="41"/>
      <c r="F107" s="41"/>
      <c r="G107" s="41"/>
      <c r="H107" s="42"/>
      <c r="I107" s="41"/>
      <c r="J107" s="43"/>
      <c r="K107" s="41"/>
      <c r="L107" s="41"/>
      <c r="M107" s="39"/>
      <c r="N107" s="99"/>
      <c r="O107" s="23"/>
    </row>
    <row r="108" spans="2:15" s="4" customFormat="1" ht="18" hidden="1" customHeight="1" x14ac:dyDescent="0.2">
      <c r="B108" s="52">
        <v>2002</v>
      </c>
      <c r="C108" s="37">
        <f>(14121)*100/(13946/12)/12</f>
        <v>101.25484009751899</v>
      </c>
      <c r="D108" s="41">
        <f>503*100/(496/12)/12</f>
        <v>101.41129032258063</v>
      </c>
      <c r="E108" s="41">
        <f>(2247)*100/(2172/12)/12</f>
        <v>103.45303867403315</v>
      </c>
      <c r="F108" s="41">
        <f>9656*100/(9810/12)/12</f>
        <v>98.430173292558607</v>
      </c>
      <c r="G108" s="41">
        <f>143399*100/(150629/12)/12</f>
        <v>95.200127465494688</v>
      </c>
      <c r="H108" s="42">
        <f>132*100/(386/12)/12</f>
        <v>34.196891191709845</v>
      </c>
      <c r="I108" s="41">
        <f>464*100/(462/12)/12</f>
        <v>100.43290043290044</v>
      </c>
      <c r="J108" s="43">
        <f>9.4*100/(10/12)/12</f>
        <v>94</v>
      </c>
      <c r="K108" s="41">
        <f>203*100/(88/12)/12</f>
        <v>230.68181818181822</v>
      </c>
      <c r="L108" s="41">
        <f>52030*100/(57656/12)/12</f>
        <v>90.242125711114184</v>
      </c>
      <c r="M108" s="39">
        <f>222760*100/(235353/12)/12</f>
        <v>94.649314009169203</v>
      </c>
      <c r="N108" s="99"/>
      <c r="O108" s="23"/>
    </row>
    <row r="109" spans="2:15" s="4" customFormat="1" ht="18" hidden="1" customHeight="1" x14ac:dyDescent="0.2">
      <c r="B109" s="45" t="s">
        <v>37</v>
      </c>
      <c r="C109" s="37">
        <f>(1138)*100/(13946/12)</f>
        <v>97.92055069553993</v>
      </c>
      <c r="D109" s="41">
        <f>80*100/(496/12)</f>
        <v>193.54838709677418</v>
      </c>
      <c r="E109" s="41">
        <f>(191)*100/(2172/12)</f>
        <v>105.52486187845304</v>
      </c>
      <c r="F109" s="41">
        <f>927*100/(9810/12)</f>
        <v>113.39449541284404</v>
      </c>
      <c r="G109" s="41">
        <f>11949*100/(150629/12)</f>
        <v>95.192824754861292</v>
      </c>
      <c r="H109" s="42">
        <f>11*100/(386/12)</f>
        <v>34.196891191709845</v>
      </c>
      <c r="I109" s="41">
        <f>43*100/(462/12)</f>
        <v>111.68831168831169</v>
      </c>
      <c r="J109" s="43">
        <f>0.6*100/(10/12)</f>
        <v>72</v>
      </c>
      <c r="K109" s="41">
        <f>14*100/(88/12)</f>
        <v>190.90909090909091</v>
      </c>
      <c r="L109" s="41">
        <f>5407*100/(57656/12)</f>
        <v>112.53642292215901</v>
      </c>
      <c r="M109" s="39">
        <f>19759*100/(235353/12)</f>
        <v>100.74568839148003</v>
      </c>
      <c r="N109" s="99"/>
      <c r="O109" s="23"/>
    </row>
    <row r="110" spans="2:15" s="4" customFormat="1" ht="18" hidden="1" customHeight="1" x14ac:dyDescent="0.2">
      <c r="B110" s="45" t="s">
        <v>38</v>
      </c>
      <c r="C110" s="37">
        <f>(1162)*100/(13946/12)</f>
        <v>99.985658970314063</v>
      </c>
      <c r="D110" s="41">
        <f>28*100/(496/12)</f>
        <v>67.741935483870961</v>
      </c>
      <c r="E110" s="41">
        <f>(171)*100/(2172/12)</f>
        <v>94.475138121546962</v>
      </c>
      <c r="F110" s="41">
        <f>213*100/(9810/12)</f>
        <v>26.055045871559631</v>
      </c>
      <c r="G110" s="41">
        <f>7899*100/(150629/12)</f>
        <v>62.928121410883698</v>
      </c>
      <c r="H110" s="42">
        <f>9*100/(386/12)</f>
        <v>27.979274611398967</v>
      </c>
      <c r="I110" s="41">
        <f>19*100/(462/12)</f>
        <v>49.350649350649348</v>
      </c>
      <c r="J110" s="43">
        <f>0.7*100/(10/12)</f>
        <v>84</v>
      </c>
      <c r="K110" s="41">
        <f>33*100/(88/12)</f>
        <v>450</v>
      </c>
      <c r="L110" s="41">
        <f>5631*100/(57656/12)</f>
        <v>117.19855695851255</v>
      </c>
      <c r="M110" s="39">
        <f>15166*100/(235353/12)</f>
        <v>77.327248855973792</v>
      </c>
      <c r="N110" s="99"/>
      <c r="O110" s="23"/>
    </row>
    <row r="111" spans="2:15" s="4" customFormat="1" ht="18" hidden="1" customHeight="1" x14ac:dyDescent="0.2">
      <c r="B111" s="45" t="s">
        <v>39</v>
      </c>
      <c r="C111" s="37">
        <f>(1247)*100/(13946/12)</f>
        <v>107.29958411013911</v>
      </c>
      <c r="D111" s="41">
        <f>26*100/(496/12)</f>
        <v>62.903225806451609</v>
      </c>
      <c r="E111" s="41">
        <f>(100)*100/(2172/12)</f>
        <v>55.248618784530386</v>
      </c>
      <c r="F111" s="41">
        <f>288*100/(9810/12)</f>
        <v>35.22935779816514</v>
      </c>
      <c r="G111" s="41">
        <f>7111*100/(150629/12)</f>
        <v>56.650445797290033</v>
      </c>
      <c r="H111" s="42">
        <f>5*100/(386/12)</f>
        <v>15.544041450777204</v>
      </c>
      <c r="I111" s="41">
        <f>25*100/(462/12)</f>
        <v>64.935064935064929</v>
      </c>
      <c r="J111" s="43">
        <f>0.9*100/(10/12)</f>
        <v>108</v>
      </c>
      <c r="K111" s="41">
        <f>4*100/(88/12)</f>
        <v>54.545454545454547</v>
      </c>
      <c r="L111" s="41">
        <f>3222*100/(57656/12)</f>
        <v>67.059802969335365</v>
      </c>
      <c r="M111" s="39">
        <f>12028*100/(235353/12)</f>
        <v>61.327452804935568</v>
      </c>
      <c r="N111" s="99"/>
      <c r="O111" s="23"/>
    </row>
    <row r="112" spans="2:15" s="4" customFormat="1" ht="18" hidden="1" customHeight="1" x14ac:dyDescent="0.2">
      <c r="B112" s="45" t="s">
        <v>40</v>
      </c>
      <c r="C112" s="37">
        <f>(1180)*100/(13946/12)</f>
        <v>101.53449017639466</v>
      </c>
      <c r="D112" s="41">
        <f>53*100/(496/12)</f>
        <v>128.2258064516129</v>
      </c>
      <c r="E112" s="41">
        <f>(198)*100/(2172/12)</f>
        <v>109.39226519337016</v>
      </c>
      <c r="F112" s="41">
        <f>1576*100/(9810/12)</f>
        <v>192.78287461773701</v>
      </c>
      <c r="G112" s="41">
        <f>15178*100/(150629/12)</f>
        <v>120.91695490244243</v>
      </c>
      <c r="H112" s="42">
        <f>11*100/(386/12)</f>
        <v>34.196891191709845</v>
      </c>
      <c r="I112" s="41">
        <f>43*100/(462/12)</f>
        <v>111.68831168831169</v>
      </c>
      <c r="J112" s="43">
        <f>0.7*100/(10/12)</f>
        <v>84</v>
      </c>
      <c r="K112" s="41">
        <f>8*100/(88/12)</f>
        <v>109.09090909090909</v>
      </c>
      <c r="L112" s="41">
        <f>4815*100/(57656/12)</f>
        <v>100.21506868322463</v>
      </c>
      <c r="M112" s="39">
        <f>23063*100/(235353/12)</f>
        <v>117.59187263387338</v>
      </c>
      <c r="N112" s="99"/>
      <c r="O112" s="23"/>
    </row>
    <row r="113" spans="2:15" s="4" customFormat="1" ht="18" hidden="1" customHeight="1" x14ac:dyDescent="0.2">
      <c r="B113" s="45" t="s">
        <v>41</v>
      </c>
      <c r="C113" s="37">
        <f>(998)*100/(13946/12)</f>
        <v>85.874085759357513</v>
      </c>
      <c r="D113" s="41">
        <f>66*100/(496/12)</f>
        <v>159.67741935483869</v>
      </c>
      <c r="E113" s="41">
        <f>(216)*100/(2172/12)</f>
        <v>119.33701657458563</v>
      </c>
      <c r="F113" s="41">
        <f>432*100/(9810/12)</f>
        <v>52.844036697247709</v>
      </c>
      <c r="G113" s="41">
        <f>13577*100/(150629/12)</f>
        <v>108.16243883979845</v>
      </c>
      <c r="H113" s="42">
        <f>5*100/(386/12)</f>
        <v>15.544041450777204</v>
      </c>
      <c r="I113" s="41">
        <f>31*100/(462/12)</f>
        <v>80.519480519480524</v>
      </c>
      <c r="J113" s="43">
        <f>0.9*100/(10/12)</f>
        <v>108</v>
      </c>
      <c r="K113" s="41">
        <f>42*100/(88/12)</f>
        <v>572.72727272727275</v>
      </c>
      <c r="L113" s="41">
        <f>3420*100/(57656/12)</f>
        <v>71.180796447897876</v>
      </c>
      <c r="M113" s="39">
        <f>18789*100/(235353/12)</f>
        <v>95.799926068501364</v>
      </c>
      <c r="N113" s="99"/>
      <c r="O113" s="23"/>
    </row>
    <row r="114" spans="2:15" s="4" customFormat="1" ht="18" hidden="1" customHeight="1" x14ac:dyDescent="0.2">
      <c r="B114" s="45" t="s">
        <v>42</v>
      </c>
      <c r="C114" s="37">
        <f>(1060)*100/(13946/12)</f>
        <v>91.20894880252402</v>
      </c>
      <c r="D114" s="41">
        <f>26*100/(496/12)</f>
        <v>62.903225806451609</v>
      </c>
      <c r="E114" s="41">
        <f>(114)*100/(2172/12)</f>
        <v>62.983425414364639</v>
      </c>
      <c r="F114" s="41">
        <f>1080*100/(9810/12)</f>
        <v>132.11009174311926</v>
      </c>
      <c r="G114" s="41">
        <f>14876*100/(150629/12)</f>
        <v>118.51104369012607</v>
      </c>
      <c r="H114" s="42">
        <f>12*100/(386/12)</f>
        <v>37.30569948186529</v>
      </c>
      <c r="I114" s="41">
        <f>48*100/(462/12)</f>
        <v>124.67532467532467</v>
      </c>
      <c r="J114" s="43">
        <f>0.8*100/(10/12)</f>
        <v>96</v>
      </c>
      <c r="K114" s="41">
        <f>11*100/(88/12)</f>
        <v>150</v>
      </c>
      <c r="L114" s="41">
        <f>2671*100/(57656/12)</f>
        <v>55.591785763840704</v>
      </c>
      <c r="M114" s="39">
        <f>19899*100/(235353/12)</f>
        <v>101.45950975768314</v>
      </c>
      <c r="N114" s="99"/>
      <c r="O114" s="23"/>
    </row>
    <row r="115" spans="2:15" s="4" customFormat="1" ht="18" hidden="1" customHeight="1" x14ac:dyDescent="0.2">
      <c r="B115" s="45" t="s">
        <v>43</v>
      </c>
      <c r="C115" s="37">
        <f>(1697)*100/(13946/12)</f>
        <v>146.020364262154</v>
      </c>
      <c r="D115" s="41">
        <f>53*100/(496/12)</f>
        <v>128.2258064516129</v>
      </c>
      <c r="E115" s="41">
        <f>(154)*100/(2172/12)</f>
        <v>85.082872928176798</v>
      </c>
      <c r="F115" s="41">
        <f>597*100/(9810/12)</f>
        <v>73.027522935779814</v>
      </c>
      <c r="G115" s="41">
        <f>8043*100/(150629/12)</f>
        <v>64.075310863114012</v>
      </c>
      <c r="H115" s="42">
        <f>15*100/(386/12)</f>
        <v>46.632124352331608</v>
      </c>
      <c r="I115" s="41">
        <f>26*100/(462/12)</f>
        <v>67.532467532467535</v>
      </c>
      <c r="J115" s="43">
        <f>1*100/(10/12)</f>
        <v>120</v>
      </c>
      <c r="K115" s="41">
        <f>19*100/(88/12)</f>
        <v>259.09090909090912</v>
      </c>
      <c r="L115" s="41">
        <f>2408*100/(57656/12)</f>
        <v>50.117940890800604</v>
      </c>
      <c r="M115" s="39">
        <f>13011*100/(235353/12)</f>
        <v>66.33949854049024</v>
      </c>
      <c r="N115" s="99"/>
      <c r="O115" s="23"/>
    </row>
    <row r="116" spans="2:15" s="4" customFormat="1" ht="18" hidden="1" customHeight="1" x14ac:dyDescent="0.2">
      <c r="B116" s="45" t="s">
        <v>44</v>
      </c>
      <c r="C116" s="37">
        <f>(837)*100/(13946/12)</f>
        <v>72.020651082747733</v>
      </c>
      <c r="D116" s="41">
        <f>14*100/(496/12)</f>
        <v>33.87096774193548</v>
      </c>
      <c r="E116" s="41">
        <f>(84)*100/(2172/12)</f>
        <v>46.408839779005525</v>
      </c>
      <c r="F116" s="41">
        <f>1582*100/(9810/12)</f>
        <v>193.51681957186545</v>
      </c>
      <c r="G116" s="41">
        <f>13823*100/(150629/12)</f>
        <v>110.12222082069191</v>
      </c>
      <c r="H116" s="42">
        <f>11*100/(386/12)</f>
        <v>34.196891191709845</v>
      </c>
      <c r="I116" s="41">
        <f>46*100/(462/12)</f>
        <v>119.48051948051948</v>
      </c>
      <c r="J116" s="43">
        <f>0.9*100/(10/12)</f>
        <v>108</v>
      </c>
      <c r="K116" s="41">
        <f>20*100/(88/12)</f>
        <v>272.72727272727275</v>
      </c>
      <c r="L116" s="41">
        <f>2336*100/(57656/12)</f>
        <v>48.619397807686966</v>
      </c>
      <c r="M116" s="39">
        <f>18753*100/(235353/12)</f>
        <v>95.616372002906274</v>
      </c>
      <c r="N116" s="99"/>
      <c r="O116" s="23"/>
    </row>
    <row r="117" spans="2:15" s="4" customFormat="1" ht="18" hidden="1" customHeight="1" x14ac:dyDescent="0.2">
      <c r="B117" s="45" t="s">
        <v>45</v>
      </c>
      <c r="C117" s="37">
        <f>(1230)*100/(13946/12)</f>
        <v>105.8367990821741</v>
      </c>
      <c r="D117" s="41">
        <f>26*100/(496/12)</f>
        <v>62.903225806451609</v>
      </c>
      <c r="E117" s="41">
        <f>(171)*100/(2172/12)</f>
        <v>94.475138121546962</v>
      </c>
      <c r="F117" s="41">
        <f>1031*100/(9810/12)</f>
        <v>126.11620795107034</v>
      </c>
      <c r="G117" s="41">
        <f>12306*100/(150629/12)</f>
        <v>98.036898605182273</v>
      </c>
      <c r="H117" s="42">
        <f>12*100/(386/12)</f>
        <v>37.30569948186529</v>
      </c>
      <c r="I117" s="41">
        <f>48*100/(462/12)</f>
        <v>124.67532467532467</v>
      </c>
      <c r="J117" s="43">
        <f>0.7*100/(10/12)</f>
        <v>84</v>
      </c>
      <c r="K117" s="41">
        <f>0.2*100/(88/12)</f>
        <v>2.7272727272727275</v>
      </c>
      <c r="L117" s="41">
        <f>5078*100/(57656/12)</f>
        <v>105.68891355626474</v>
      </c>
      <c r="M117" s="39">
        <f>19902*100/(235353/12)</f>
        <v>101.47480592981606</v>
      </c>
      <c r="N117" s="99"/>
      <c r="O117" s="23"/>
    </row>
    <row r="118" spans="2:15" s="4" customFormat="1" ht="18" hidden="1" customHeight="1" x14ac:dyDescent="0.2">
      <c r="B118" s="45" t="s">
        <v>46</v>
      </c>
      <c r="C118" s="37">
        <f>(1389)*100/(13946/12)</f>
        <v>119.5181414025527</v>
      </c>
      <c r="D118" s="41">
        <f>67*100/(496/12)</f>
        <v>162.09677419354838</v>
      </c>
      <c r="E118" s="41">
        <f>(240)*100/(2172/12)</f>
        <v>132.59668508287294</v>
      </c>
      <c r="F118" s="41">
        <f>866*100/(9810/12)</f>
        <v>105.93272171253822</v>
      </c>
      <c r="G118" s="41">
        <f>13181*100/(150629/12)</f>
        <v>105.00766784616509</v>
      </c>
      <c r="H118" s="42">
        <f>15*100/(386/12)</f>
        <v>46.632124352331608</v>
      </c>
      <c r="I118" s="41">
        <f>51*100/(462/12)</f>
        <v>132.46753246753246</v>
      </c>
      <c r="J118" s="43">
        <f>0.7*100/(10/12)</f>
        <v>84</v>
      </c>
      <c r="K118" s="41">
        <f>30*100/(88/12)</f>
        <v>409.09090909090912</v>
      </c>
      <c r="L118" s="41">
        <f>8188*100/(57656/12)</f>
        <v>170.41764950742333</v>
      </c>
      <c r="M118" s="39">
        <f>24027*100/(235353/12)</f>
        <v>122.5070426125862</v>
      </c>
      <c r="N118" s="99"/>
      <c r="O118" s="23"/>
    </row>
    <row r="119" spans="2:15" s="4" customFormat="1" ht="18" hidden="1" customHeight="1" x14ac:dyDescent="0.2">
      <c r="B119" s="45" t="s">
        <v>47</v>
      </c>
      <c r="C119" s="37">
        <f>(890)*100/(13946/12)</f>
        <v>76.581098522873944</v>
      </c>
      <c r="D119" s="41">
        <f>13*100/(496/12)</f>
        <v>31.451612903225804</v>
      </c>
      <c r="E119" s="41">
        <f>(334)*100/(2172/12)</f>
        <v>184.53038674033149</v>
      </c>
      <c r="F119" s="41">
        <f>641*100/(9810/12)</f>
        <v>78.409785932721718</v>
      </c>
      <c r="G119" s="41">
        <f>11650*100/(150629/12)</f>
        <v>92.810813322799731</v>
      </c>
      <c r="H119" s="42">
        <f>17*100/(386/12)</f>
        <v>52.84974093264249</v>
      </c>
      <c r="I119" s="41">
        <f>45*100/(462/12)</f>
        <v>116.88311688311688</v>
      </c>
      <c r="J119" s="43">
        <f>0.7*100/(10/12)</f>
        <v>84</v>
      </c>
      <c r="K119" s="41">
        <f>9*100/(88/12)</f>
        <v>122.72727272727273</v>
      </c>
      <c r="L119" s="41">
        <f>4962*100/(57656/12)</f>
        <v>103.27459414458166</v>
      </c>
      <c r="M119" s="39">
        <f>18562*100/(235353/12)</f>
        <v>94.642515710443462</v>
      </c>
      <c r="N119" s="99"/>
      <c r="O119" s="23"/>
    </row>
    <row r="120" spans="2:15" s="4" customFormat="1" ht="18" hidden="1" customHeight="1" x14ac:dyDescent="0.2">
      <c r="B120" s="45" t="s">
        <v>48</v>
      </c>
      <c r="C120" s="37">
        <f>(1293)*100/(13946/12)</f>
        <v>111.25770830345618</v>
      </c>
      <c r="D120" s="41">
        <f>52*100/(496/12)</f>
        <v>125.80645161290322</v>
      </c>
      <c r="E120" s="41">
        <f>(274)*100/(2172/12)</f>
        <v>151.38121546961327</v>
      </c>
      <c r="F120" s="41">
        <f>424*100/(9810/12)</f>
        <v>51.86544342507645</v>
      </c>
      <c r="G120" s="41">
        <f>13807*100/(150629/12)</f>
        <v>109.99475532599965</v>
      </c>
      <c r="H120" s="42">
        <f>9*100/(386/12)</f>
        <v>27.979274611398967</v>
      </c>
      <c r="I120" s="41">
        <f>39*100/(462/12)</f>
        <v>101.2987012987013</v>
      </c>
      <c r="J120" s="43">
        <f>0.7*100/(10/12)</f>
        <v>84</v>
      </c>
      <c r="K120" s="41">
        <f>14*100/(88/12)</f>
        <v>190.90909090909091</v>
      </c>
      <c r="L120" s="41">
        <f>3892*100/(57656/12)</f>
        <v>81.004578881642843</v>
      </c>
      <c r="M120" s="39">
        <f>19803*100/(235353/12)</f>
        <v>100.97003224942958</v>
      </c>
      <c r="N120" s="99"/>
      <c r="O120" s="23"/>
    </row>
    <row r="121" spans="2:15" s="4" customFormat="1" ht="18" hidden="1" customHeight="1" x14ac:dyDescent="0.2">
      <c r="B121" s="45"/>
      <c r="C121" s="37"/>
      <c r="D121" s="41"/>
      <c r="E121" s="41"/>
      <c r="F121" s="41"/>
      <c r="G121" s="41"/>
      <c r="H121" s="42"/>
      <c r="I121" s="41"/>
      <c r="J121" s="43"/>
      <c r="K121" s="41"/>
      <c r="L121" s="41"/>
      <c r="M121" s="39"/>
      <c r="N121" s="99"/>
      <c r="O121" s="23"/>
    </row>
    <row r="122" spans="2:15" s="4" customFormat="1" ht="18" hidden="1" customHeight="1" x14ac:dyDescent="0.2">
      <c r="B122" s="52">
        <v>2003</v>
      </c>
      <c r="C122" s="37">
        <f>(15413)*100/(13946/12)/12</f>
        <v>110.51914527463072</v>
      </c>
      <c r="D122" s="41">
        <f>556*100/(496/12)/12</f>
        <v>112.09677419354837</v>
      </c>
      <c r="E122" s="41">
        <f>(2564)*100/(2172/12)/12</f>
        <v>118.04788213627994</v>
      </c>
      <c r="F122" s="41">
        <f>8729*100/(9810/12)/12</f>
        <v>88.980632008154942</v>
      </c>
      <c r="G122" s="41">
        <f>166961*100/(150629/12)/12</f>
        <v>110.84253364226014</v>
      </c>
      <c r="H122" s="42">
        <f>165*100/(386/12)/12</f>
        <v>42.746113989637308</v>
      </c>
      <c r="I122" s="41">
        <f>495*100/(462/12)/12</f>
        <v>107.14285714285715</v>
      </c>
      <c r="J122" s="54">
        <f>6.28907*100/(10/12)/12</f>
        <v>62.890699999999988</v>
      </c>
      <c r="K122" s="41">
        <f>384*100/(88/12)/12</f>
        <v>436.36363636363643</v>
      </c>
      <c r="L122" s="41">
        <f>79859*100/(57656/12)/12</f>
        <v>138.50943527126404</v>
      </c>
      <c r="M122" s="39">
        <f>275132*100/(235353/12)/12</f>
        <v>116.90184531321036</v>
      </c>
      <c r="N122" s="99"/>
      <c r="O122" s="23"/>
    </row>
    <row r="123" spans="2:15" s="4" customFormat="1" ht="18" hidden="1" customHeight="1" x14ac:dyDescent="0.2">
      <c r="B123" s="45" t="s">
        <v>37</v>
      </c>
      <c r="C123" s="37">
        <f>(1163)*100/(13946/12)</f>
        <v>100.07170514842966</v>
      </c>
      <c r="D123" s="41">
        <f>55*100/(496/12)</f>
        <v>133.06451612903226</v>
      </c>
      <c r="E123" s="41">
        <f>(150)*100/(2172/12)</f>
        <v>82.872928176795583</v>
      </c>
      <c r="F123" s="41">
        <f>991*100/(9810/12)</f>
        <v>121.22324159021407</v>
      </c>
      <c r="G123" s="41">
        <f>9579*100/(150629/12)</f>
        <v>76.311998353570701</v>
      </c>
      <c r="H123" s="42">
        <f>15*100/(386/12)</f>
        <v>46.632124352331608</v>
      </c>
      <c r="I123" s="41">
        <f>43*100/(462/12)</f>
        <v>111.68831168831169</v>
      </c>
      <c r="J123" s="54">
        <f>0.69683*100/(10/12)</f>
        <v>83.619599999999991</v>
      </c>
      <c r="K123" s="41">
        <f>17*100/(88/12)</f>
        <v>231.81818181818184</v>
      </c>
      <c r="L123" s="41">
        <f>3925*100/(57656/12)</f>
        <v>81.69141112806993</v>
      </c>
      <c r="M123" s="39">
        <f>15939*100/(235353/12)</f>
        <v>81.268562542223805</v>
      </c>
      <c r="N123" s="99"/>
      <c r="O123" s="23"/>
    </row>
    <row r="124" spans="2:15" s="4" customFormat="1" ht="18" hidden="1" customHeight="1" x14ac:dyDescent="0.2">
      <c r="B124" s="45" t="s">
        <v>38</v>
      </c>
      <c r="C124" s="37">
        <f>(1266)*100/(13946/12)</f>
        <v>108.93446149433528</v>
      </c>
      <c r="D124" s="41">
        <f>52*100/(496/12)</f>
        <v>125.80645161290322</v>
      </c>
      <c r="E124" s="41">
        <f>(183)*100/(2172/12)</f>
        <v>101.10497237569061</v>
      </c>
      <c r="F124" s="41">
        <f>1121*100/(9810/12)</f>
        <v>137.12538226299694</v>
      </c>
      <c r="G124" s="41">
        <f>15843*100/(150629/12)</f>
        <v>126.21473952558937</v>
      </c>
      <c r="H124" s="42">
        <f>13*100/(386/12)</f>
        <v>40.414507772020727</v>
      </c>
      <c r="I124" s="41">
        <f>56*100/(462/12)</f>
        <v>145.45454545454547</v>
      </c>
      <c r="J124" s="54">
        <f>0.59221*100/(10/12)</f>
        <v>71.065200000000004</v>
      </c>
      <c r="K124" s="41">
        <f>31*100/(88/12)</f>
        <v>422.72727272727275</v>
      </c>
      <c r="L124" s="41">
        <f>8833*100/(57656/12)</f>
        <v>183.84209796031635</v>
      </c>
      <c r="M124" s="46">
        <f>27398*100/(235353/12)</f>
        <v>139.69484136594818</v>
      </c>
      <c r="N124" s="99"/>
      <c r="O124" s="23"/>
    </row>
    <row r="125" spans="2:15" s="4" customFormat="1" ht="18" hidden="1" customHeight="1" x14ac:dyDescent="0.2">
      <c r="B125" s="45" t="s">
        <v>39</v>
      </c>
      <c r="C125" s="37">
        <f>(1351)*100/(13946/12)</f>
        <v>116.24838663416033</v>
      </c>
      <c r="D125" s="41">
        <f>28*100/(496/12)</f>
        <v>67.741935483870961</v>
      </c>
      <c r="E125" s="41">
        <f>(222)*100/(2172/12)</f>
        <v>122.65193370165746</v>
      </c>
      <c r="F125" s="41">
        <f>396*100/(9810/12)</f>
        <v>48.440366972477065</v>
      </c>
      <c r="G125" s="41">
        <f>6101*100/(150629/12)</f>
        <v>48.604186444841304</v>
      </c>
      <c r="H125" s="42">
        <f>13*100/(386/12)</f>
        <v>40.414507772020727</v>
      </c>
      <c r="I125" s="41">
        <f>27*100/(462/12)</f>
        <v>70.129870129870127</v>
      </c>
      <c r="J125" s="54">
        <f>0.55159*100/(10/12)</f>
        <v>66.19080000000001</v>
      </c>
      <c r="K125" s="41">
        <f>18*100/(88/12)</f>
        <v>245.45454545454547</v>
      </c>
      <c r="L125" s="41">
        <f>1161*100/(57656/12)</f>
        <v>24.164007215207437</v>
      </c>
      <c r="M125" s="39">
        <f>9316*100/(235353/12)</f>
        <v>47.499713196772511</v>
      </c>
      <c r="N125" s="99"/>
      <c r="O125" s="23"/>
    </row>
    <row r="126" spans="2:15" s="4" customFormat="1" ht="18" hidden="1" customHeight="1" x14ac:dyDescent="0.2">
      <c r="B126" s="45" t="s">
        <v>40</v>
      </c>
      <c r="C126" s="37">
        <f>(1526)*100/(13946/12)</f>
        <v>131.30646780438835</v>
      </c>
      <c r="D126" s="41">
        <f>51*100/(496/12)</f>
        <v>123.38709677419354</v>
      </c>
      <c r="E126" s="41">
        <f>(79)*100/(2172/12)</f>
        <v>43.646408839779006</v>
      </c>
      <c r="F126" s="41">
        <f>938*100/(9810/12)</f>
        <v>114.74006116207951</v>
      </c>
      <c r="G126" s="41">
        <f>21422*100/(150629/12)</f>
        <v>170.66036420609578</v>
      </c>
      <c r="H126" s="42">
        <f>11*100/(386/12)</f>
        <v>34.196891191709845</v>
      </c>
      <c r="I126" s="41">
        <f>53*100/(462/12)</f>
        <v>137.66233766233765</v>
      </c>
      <c r="J126" s="43">
        <f>0.59494*100/(10/12)</f>
        <v>71.392799999999994</v>
      </c>
      <c r="K126" s="41">
        <f>11*100/(88/12)</f>
        <v>150</v>
      </c>
      <c r="L126" s="41">
        <f>1320*100/(57656/12)</f>
        <v>27.47328985708339</v>
      </c>
      <c r="M126" s="39">
        <f>25410*100/(235353/12)</f>
        <v>129.55857796586403</v>
      </c>
      <c r="N126" s="99"/>
      <c r="O126" s="23"/>
    </row>
    <row r="127" spans="2:15" s="4" customFormat="1" ht="18" hidden="1" customHeight="1" x14ac:dyDescent="0.2">
      <c r="B127" s="45" t="s">
        <v>41</v>
      </c>
      <c r="C127" s="37">
        <f>(1346)*100/(13946/12)</f>
        <v>115.81815574358238</v>
      </c>
      <c r="D127" s="41">
        <f>52*100/(496/12)</f>
        <v>125.80645161290322</v>
      </c>
      <c r="E127" s="41">
        <f>(317)*100/(2172/12)</f>
        <v>175.13812154696132</v>
      </c>
      <c r="F127" s="41">
        <f>665*100/(9810/12)</f>
        <v>81.345565749235476</v>
      </c>
      <c r="G127" s="41">
        <f>11699*100/(150629/12)</f>
        <v>93.20117640029477</v>
      </c>
      <c r="H127" s="42">
        <f>25*100/(386/12)</f>
        <v>77.720207253886016</v>
      </c>
      <c r="I127" s="41">
        <f>38*100/(462/12)</f>
        <v>98.701298701298697</v>
      </c>
      <c r="J127" s="43">
        <f>0.67797*100/(10/12)</f>
        <v>81.356399999999994</v>
      </c>
      <c r="K127" s="41">
        <f>21*100/(88/12)</f>
        <v>286.36363636363637</v>
      </c>
      <c r="L127" s="41">
        <f>1151*100/(57656/12)</f>
        <v>23.955876231441653</v>
      </c>
      <c r="M127" s="39">
        <f>15316*100/(235353/12)</f>
        <v>78.092057462619977</v>
      </c>
      <c r="N127" s="99"/>
      <c r="O127" s="23"/>
    </row>
    <row r="128" spans="2:15" s="4" customFormat="1" ht="18" hidden="1" customHeight="1" x14ac:dyDescent="0.2">
      <c r="B128" s="45" t="s">
        <v>42</v>
      </c>
      <c r="C128" s="37">
        <f>(1324)*100/(13946/12)</f>
        <v>113.92513982503944</v>
      </c>
      <c r="D128" s="41">
        <f>40*100/(496/12)</f>
        <v>96.774193548387089</v>
      </c>
      <c r="E128" s="41">
        <f>(196)*100/(2172/12)</f>
        <v>108.28729281767956</v>
      </c>
      <c r="F128" s="41">
        <f>1309*100/(9810/12)</f>
        <v>160.12232415902142</v>
      </c>
      <c r="G128" s="41">
        <f>12054*100/(150629/12)</f>
        <v>96.029317063779217</v>
      </c>
      <c r="H128" s="42">
        <f>10*100/(386/12)</f>
        <v>31.088082901554408</v>
      </c>
      <c r="I128" s="41">
        <f>54*100/(462/12)</f>
        <v>140.25974025974025</v>
      </c>
      <c r="J128" s="43">
        <f>0.54675*100/(10/12)</f>
        <v>65.61</v>
      </c>
      <c r="K128" s="41">
        <f>15*100/(88/12)</f>
        <v>204.54545454545456</v>
      </c>
      <c r="L128" s="41">
        <f>2866*100/(57656/12)</f>
        <v>59.65033994727348</v>
      </c>
      <c r="M128" s="39">
        <f>17869*100/(235353/12)</f>
        <v>91.109099947738073</v>
      </c>
      <c r="N128" s="99"/>
      <c r="O128" s="23"/>
    </row>
    <row r="129" spans="2:15" s="4" customFormat="1" ht="18" hidden="1" customHeight="1" x14ac:dyDescent="0.2">
      <c r="B129" s="45" t="s">
        <v>43</v>
      </c>
      <c r="C129" s="37">
        <f>(1315)*100/(13946/12)</f>
        <v>113.15072422199913</v>
      </c>
      <c r="D129" s="41">
        <f>39*100/(496/12)</f>
        <v>94.354838709677409</v>
      </c>
      <c r="E129" s="41">
        <f>(191)*100/(2172/12)</f>
        <v>105.52486187845304</v>
      </c>
      <c r="F129" s="41">
        <f>544*100/(9810/12)</f>
        <v>66.544342507645254</v>
      </c>
      <c r="G129" s="41">
        <f>12536*100/(150629/12)</f>
        <v>99.869215091383467</v>
      </c>
      <c r="H129" s="42">
        <f>13*100/(386/12)</f>
        <v>40.414507772020727</v>
      </c>
      <c r="I129" s="41">
        <f>40*100/(462/12)</f>
        <v>103.8961038961039</v>
      </c>
      <c r="J129" s="43">
        <f>0.62278*100/(10/12)</f>
        <v>74.733599999999996</v>
      </c>
      <c r="K129" s="41">
        <f>37*100/(88/12)</f>
        <v>504.54545454545456</v>
      </c>
      <c r="L129" s="41">
        <f>12433*100/(57656/12)</f>
        <v>258.76925211599831</v>
      </c>
      <c r="M129" s="39">
        <f>27150*100/(235353/12)</f>
        <v>138.4303578029598</v>
      </c>
      <c r="N129" s="99"/>
      <c r="O129" s="23"/>
    </row>
    <row r="130" spans="2:15" s="4" customFormat="1" ht="18" hidden="1" customHeight="1" x14ac:dyDescent="0.2">
      <c r="B130" s="45" t="s">
        <v>44</v>
      </c>
      <c r="C130" s="37">
        <f>(1556)*100/(13946/12)</f>
        <v>133.88785314785602</v>
      </c>
      <c r="D130" s="41">
        <f>65*100/(496/12)</f>
        <v>157.25806451612902</v>
      </c>
      <c r="E130" s="41">
        <f>(299)*100/(2172/12)</f>
        <v>165.19337016574585</v>
      </c>
      <c r="F130" s="41">
        <f>493*100/(9810/12)</f>
        <v>60.305810397553515</v>
      </c>
      <c r="G130" s="41">
        <f>7842*100/(150629/12)</f>
        <v>62.474025586042529</v>
      </c>
      <c r="H130" s="42">
        <f>11*100/(386/12)</f>
        <v>34.196891191709845</v>
      </c>
      <c r="I130" s="41">
        <f>30*100/(462/12)</f>
        <v>77.922077922077918</v>
      </c>
      <c r="J130" s="43">
        <f>0.5428*100/(10/12)</f>
        <v>65.135999999999996</v>
      </c>
      <c r="K130" s="41">
        <f>42*100/(88/12)</f>
        <v>572.72727272727275</v>
      </c>
      <c r="L130" s="41">
        <f>14599*100/(57656/12)</f>
        <v>303.85042319966698</v>
      </c>
      <c r="M130" s="39">
        <f>24939*100/(235353/12)</f>
        <v>127.15707894099502</v>
      </c>
      <c r="N130" s="99"/>
      <c r="O130" s="23"/>
    </row>
    <row r="131" spans="2:15" s="4" customFormat="1" ht="18" hidden="1" customHeight="1" x14ac:dyDescent="0.2">
      <c r="B131" s="45" t="s">
        <v>45</v>
      </c>
      <c r="C131" s="37">
        <f>(1271)*100/(13946/12)</f>
        <v>109.36469238491323</v>
      </c>
      <c r="D131" s="41">
        <f>39*100/(496/12)</f>
        <v>94.354838709677409</v>
      </c>
      <c r="E131" s="41">
        <f>(42)*100/(2172/12)</f>
        <v>23.204419889502763</v>
      </c>
      <c r="F131" s="41">
        <f>248*100/(9810/12)</f>
        <v>30.336391437308869</v>
      </c>
      <c r="G131" s="41">
        <f>7506*100/(150629/12)</f>
        <v>59.797250197505129</v>
      </c>
      <c r="H131" s="42">
        <f>11*100/(386/12)</f>
        <v>34.196891191709845</v>
      </c>
      <c r="I131" s="41">
        <f>25*100/(462/12)</f>
        <v>64.935064935064929</v>
      </c>
      <c r="J131" s="43">
        <f>0.60528*100/(10/12)</f>
        <v>72.633600000000001</v>
      </c>
      <c r="K131" s="41">
        <f>70*100/(88/12)</f>
        <v>954.54545454545462</v>
      </c>
      <c r="L131" s="41">
        <f>8363*100/(57656/12)</f>
        <v>174.05994172332453</v>
      </c>
      <c r="M131" s="39">
        <f>17596*100/(235353/12)</f>
        <v>89.717148283642018</v>
      </c>
      <c r="N131" s="99"/>
      <c r="O131" s="23"/>
    </row>
    <row r="132" spans="2:15" s="4" customFormat="1" ht="18" hidden="1" customHeight="1" x14ac:dyDescent="0.2">
      <c r="B132" s="45" t="s">
        <v>46</v>
      </c>
      <c r="C132" s="37">
        <f>(1211)*100/(13946/12)</f>
        <v>104.20192169797791</v>
      </c>
      <c r="D132" s="41">
        <f>18*100/(496/12)</f>
        <v>43.548387096774192</v>
      </c>
      <c r="E132" s="41">
        <f>(232)*100/(2172/12)</f>
        <v>128.17679558011051</v>
      </c>
      <c r="F132" s="41">
        <f>385*100/(9810/12)</f>
        <v>47.094801223241589</v>
      </c>
      <c r="G132" s="41">
        <f>13821*100/(150629/12)</f>
        <v>110.10628763385537</v>
      </c>
      <c r="H132" s="42">
        <f>15*100/(386/12)</f>
        <v>46.632124352331608</v>
      </c>
      <c r="I132" s="41">
        <f>29*100/(462/12)</f>
        <v>75.324675324675326</v>
      </c>
      <c r="J132" s="43">
        <f>0.42151*100/(10/12)</f>
        <v>50.581199999999995</v>
      </c>
      <c r="K132" s="41">
        <f>42*100/(88/12)</f>
        <v>572.72727272727275</v>
      </c>
      <c r="L132" s="41">
        <f>8183*100/(57656/12)</f>
        <v>170.31358401554044</v>
      </c>
      <c r="M132" s="39">
        <f>23936*100/(235353/12)</f>
        <v>122.04305872455419</v>
      </c>
      <c r="N132" s="99"/>
      <c r="O132" s="23"/>
    </row>
    <row r="133" spans="2:15" s="4" customFormat="1" ht="18" hidden="1" customHeight="1" x14ac:dyDescent="0.2">
      <c r="B133" s="45" t="s">
        <v>47</v>
      </c>
      <c r="C133" s="37">
        <f>(1188)*100/(13946/12)</f>
        <v>102.22285960131937</v>
      </c>
      <c r="D133" s="41">
        <f>66*100/(496/12)</f>
        <v>159.67741935483869</v>
      </c>
      <c r="E133" s="41">
        <f>(351)*100/(2172/12)</f>
        <v>193.92265193370164</v>
      </c>
      <c r="F133" s="41">
        <f>1004*100/(9810/12)</f>
        <v>122.81345565749236</v>
      </c>
      <c r="G133" s="41">
        <f>31757*100/(150629/12)</f>
        <v>252.99510718387563</v>
      </c>
      <c r="H133" s="42">
        <f>17*100/(386/12)</f>
        <v>52.84974093264249</v>
      </c>
      <c r="I133" s="41">
        <f>46*100/(462/12)</f>
        <v>119.48051948051948</v>
      </c>
      <c r="J133" s="43">
        <f>0.20841*100/(10/12)</f>
        <v>25.0092</v>
      </c>
      <c r="K133" s="41">
        <f>58*100/(88/12)</f>
        <v>790.90909090909099</v>
      </c>
      <c r="L133" s="41">
        <f>11392*100/(57656/12)</f>
        <v>237.10281670598027</v>
      </c>
      <c r="M133" s="39">
        <f>45879*100/(235353/12)</f>
        <v>233.92436042880269</v>
      </c>
      <c r="N133" s="99"/>
      <c r="O133" s="23"/>
    </row>
    <row r="134" spans="2:15" s="4" customFormat="1" ht="18" hidden="1" customHeight="1" x14ac:dyDescent="0.2">
      <c r="B134" s="45" t="s">
        <v>48</v>
      </c>
      <c r="C134" s="37">
        <f>(897)*100/(13946/12)</f>
        <v>77.183421769683065</v>
      </c>
      <c r="D134" s="41">
        <f>52*100/(496/12)</f>
        <v>125.80645161290322</v>
      </c>
      <c r="E134" s="41">
        <f>(301)*100/(2172/12)</f>
        <v>166.29834254143645</v>
      </c>
      <c r="F134" s="41">
        <f>635*100/(9810/12)</f>
        <v>77.675840978593271</v>
      </c>
      <c r="G134" s="41">
        <f>16801*100/(150629/12)</f>
        <v>133.84673602028826</v>
      </c>
      <c r="H134" s="42">
        <f>12*100/(386/12)</f>
        <v>37.30569948186529</v>
      </c>
      <c r="I134" s="41">
        <f>53*100/(462/12)</f>
        <v>137.66233766233765</v>
      </c>
      <c r="J134" s="43">
        <f>0.228*100/(10/12)</f>
        <v>27.36</v>
      </c>
      <c r="K134" s="41">
        <f>20*100/(88/12)</f>
        <v>272.72727272727275</v>
      </c>
      <c r="L134" s="41">
        <f>5613*100/(57656/12)</f>
        <v>116.82392118773414</v>
      </c>
      <c r="M134" s="39">
        <f>24365*100/(235353/12)</f>
        <v>124.23041133956228</v>
      </c>
      <c r="N134" s="99"/>
      <c r="O134" s="23"/>
    </row>
    <row r="135" spans="2:15" s="4" customFormat="1" ht="18" hidden="1" customHeight="1" x14ac:dyDescent="0.2">
      <c r="B135" s="52" t="s">
        <v>61</v>
      </c>
      <c r="C135" s="37">
        <f>+C186</f>
        <v>104.35129004732539</v>
      </c>
      <c r="D135" s="37">
        <f t="shared" ref="D135:M135" si="1">+D186</f>
        <v>281.34754233870962</v>
      </c>
      <c r="E135" s="37">
        <f t="shared" si="1"/>
        <v>186.69892357274404</v>
      </c>
      <c r="F135" s="37">
        <f t="shared" si="1"/>
        <v>217.9166607543323</v>
      </c>
      <c r="G135" s="37">
        <f t="shared" si="1"/>
        <v>140.87050740561247</v>
      </c>
      <c r="H135" s="37">
        <f t="shared" si="1"/>
        <v>165.00441968911915</v>
      </c>
      <c r="I135" s="37">
        <f t="shared" si="1"/>
        <v>113.82251948051949</v>
      </c>
      <c r="J135" s="37">
        <f t="shared" si="1"/>
        <v>55.660400000000003</v>
      </c>
      <c r="K135" s="37">
        <f t="shared" si="1"/>
        <v>635.98440909090925</v>
      </c>
      <c r="L135" s="37">
        <f t="shared" si="1"/>
        <v>1302.1940003642292</v>
      </c>
      <c r="M135" s="39">
        <f t="shared" si="1"/>
        <v>427.48291231894217</v>
      </c>
      <c r="N135" s="99"/>
      <c r="O135" s="23"/>
    </row>
    <row r="136" spans="2:15" s="4" customFormat="1" ht="18" hidden="1" customHeight="1" x14ac:dyDescent="0.2">
      <c r="B136" s="52" t="s">
        <v>62</v>
      </c>
      <c r="C136" s="37">
        <f>+C200</f>
        <v>108.9742255126918</v>
      </c>
      <c r="D136" s="37">
        <f t="shared" ref="D136:M136" si="2">+D200</f>
        <v>291.8486491935484</v>
      </c>
      <c r="E136" s="37">
        <f t="shared" si="2"/>
        <v>179.51553959484346</v>
      </c>
      <c r="F136" s="37">
        <f t="shared" si="2"/>
        <v>844.14865300713564</v>
      </c>
      <c r="G136" s="37">
        <f t="shared" si="2"/>
        <v>257.33469612093285</v>
      </c>
      <c r="H136" s="37">
        <f t="shared" si="2"/>
        <v>189.29143264248705</v>
      </c>
      <c r="I136" s="37">
        <f t="shared" si="2"/>
        <v>240.70866883116884</v>
      </c>
      <c r="J136" s="37">
        <f t="shared" si="2"/>
        <v>50.904999999999994</v>
      </c>
      <c r="K136" s="37">
        <f t="shared" si="2"/>
        <v>616.56296590909085</v>
      </c>
      <c r="L136" s="37">
        <f t="shared" si="2"/>
        <v>592.4401429339531</v>
      </c>
      <c r="M136" s="39">
        <f t="shared" si="2"/>
        <v>354.76222877549895</v>
      </c>
      <c r="N136" s="99"/>
      <c r="O136" s="23"/>
    </row>
    <row r="137" spans="2:15" s="4" customFormat="1" ht="18" hidden="1" customHeight="1" x14ac:dyDescent="0.2">
      <c r="B137" s="52">
        <v>2009</v>
      </c>
      <c r="C137" s="37">
        <v>125.40962046464936</v>
      </c>
      <c r="D137" s="37">
        <v>260.17343951612895</v>
      </c>
      <c r="E137" s="37">
        <v>140.16021961325967</v>
      </c>
      <c r="F137" s="37">
        <v>860.74898725790024</v>
      </c>
      <c r="G137" s="37">
        <v>285.07008699520009</v>
      </c>
      <c r="H137" s="37">
        <v>174.08108031088085</v>
      </c>
      <c r="I137" s="37">
        <v>286.97447835497837</v>
      </c>
      <c r="J137" s="37">
        <v>38.811099999999996</v>
      </c>
      <c r="K137" s="37">
        <v>351.4837613636364</v>
      </c>
      <c r="L137" s="37">
        <v>173.05975926182879</v>
      </c>
      <c r="M137" s="39">
        <v>270.97694083780539</v>
      </c>
      <c r="N137" s="99"/>
      <c r="O137" s="23"/>
    </row>
    <row r="138" spans="2:15" s="4" customFormat="1" ht="18" customHeight="1" x14ac:dyDescent="0.2">
      <c r="B138" s="52">
        <v>2010</v>
      </c>
      <c r="C138" s="37">
        <v>127.54244191882975</v>
      </c>
      <c r="D138" s="41">
        <v>305.9620100806452</v>
      </c>
      <c r="E138" s="41">
        <v>233.29453038674032</v>
      </c>
      <c r="F138" s="41">
        <v>747.41009398572885</v>
      </c>
      <c r="G138" s="41">
        <v>274.02970741357905</v>
      </c>
      <c r="H138" s="42">
        <v>360.49609585492232</v>
      </c>
      <c r="I138" s="41">
        <v>276.02058658008656</v>
      </c>
      <c r="J138" s="43">
        <v>24.483800000000002</v>
      </c>
      <c r="K138" s="41">
        <v>420.01235227272736</v>
      </c>
      <c r="L138" s="41">
        <v>222.66912621409739</v>
      </c>
      <c r="M138" s="39">
        <v>272.73152949824305</v>
      </c>
      <c r="N138" s="99"/>
      <c r="O138" s="23"/>
    </row>
    <row r="139" spans="2:15" s="4" customFormat="1" ht="18" customHeight="1" x14ac:dyDescent="0.2">
      <c r="B139" s="52">
        <v>2011</v>
      </c>
      <c r="C139" s="37">
        <v>123.49886856446291</v>
      </c>
      <c r="D139" s="37">
        <v>285.80493548387096</v>
      </c>
      <c r="E139" s="37">
        <v>183.9198908839779</v>
      </c>
      <c r="F139" s="37">
        <v>1018.9901399592253</v>
      </c>
      <c r="G139" s="37">
        <v>283.37783565581663</v>
      </c>
      <c r="H139" s="37">
        <v>331.86186010362695</v>
      </c>
      <c r="I139" s="37">
        <v>265.07625108225113</v>
      </c>
      <c r="J139" s="37">
        <v>64.1858</v>
      </c>
      <c r="K139" s="37">
        <v>671.97884090909088</v>
      </c>
      <c r="L139" s="37">
        <v>335.58493124739834</v>
      </c>
      <c r="M139" s="39">
        <v>316.98591668684912</v>
      </c>
      <c r="N139" s="99"/>
      <c r="O139" s="23"/>
    </row>
    <row r="140" spans="2:15" s="4" customFormat="1" ht="18" hidden="1" customHeight="1" x14ac:dyDescent="0.2">
      <c r="B140" s="52">
        <v>2004</v>
      </c>
      <c r="C140" s="37">
        <v>126.46637028538647</v>
      </c>
      <c r="D140" s="41">
        <v>102.41935483870968</v>
      </c>
      <c r="E140" s="41">
        <v>145.58011049723757</v>
      </c>
      <c r="F140" s="41">
        <v>112.02854230377166</v>
      </c>
      <c r="G140" s="41">
        <v>97.199742413479484</v>
      </c>
      <c r="H140" s="42">
        <v>31.865284974093267</v>
      </c>
      <c r="I140" s="41">
        <v>94.15584415584415</v>
      </c>
      <c r="J140" s="43">
        <v>25.765639999999994</v>
      </c>
      <c r="K140" s="41">
        <v>494.31818181818181</v>
      </c>
      <c r="L140" s="41">
        <v>170.44886915498819</v>
      </c>
      <c r="M140" s="39">
        <v>118.11066780538169</v>
      </c>
      <c r="N140" s="99"/>
      <c r="O140" s="23"/>
    </row>
    <row r="141" spans="2:15" s="4" customFormat="1" ht="18" hidden="1" customHeight="1" x14ac:dyDescent="0.2">
      <c r="B141" s="52" t="s">
        <v>37</v>
      </c>
      <c r="C141" s="37">
        <v>172.60863329987092</v>
      </c>
      <c r="D141" s="41">
        <v>157.25806451612902</v>
      </c>
      <c r="E141" s="41">
        <v>146.96132596685084</v>
      </c>
      <c r="F141" s="41">
        <v>279.87767584097861</v>
      </c>
      <c r="G141" s="41">
        <v>82.812738582875809</v>
      </c>
      <c r="H141" s="42">
        <v>15.544041450777204</v>
      </c>
      <c r="I141" s="41">
        <v>166.23376623376623</v>
      </c>
      <c r="J141" s="43">
        <v>26.433599999999998</v>
      </c>
      <c r="K141" s="41">
        <v>1213.6363636363637</v>
      </c>
      <c r="L141" s="41">
        <v>263.36894685722211</v>
      </c>
      <c r="M141" s="39">
        <v>141.9127863252221</v>
      </c>
      <c r="N141" s="99"/>
      <c r="O141" s="23"/>
    </row>
    <row r="142" spans="2:15" s="4" customFormat="1" ht="18" hidden="1" customHeight="1" x14ac:dyDescent="0.2">
      <c r="B142" s="45" t="s">
        <v>38</v>
      </c>
      <c r="C142" s="37">
        <v>123.04603470529183</v>
      </c>
      <c r="D142" s="41">
        <v>36.29032258064516</v>
      </c>
      <c r="E142" s="41">
        <v>150.82872928176795</v>
      </c>
      <c r="F142" s="41">
        <v>45.62691131498471</v>
      </c>
      <c r="G142" s="41">
        <v>105.07936718692947</v>
      </c>
      <c r="H142" s="42"/>
      <c r="I142" s="41">
        <v>67.532467532467535</v>
      </c>
      <c r="J142" s="43">
        <v>24.8184</v>
      </c>
      <c r="K142" s="41">
        <v>340.90909090909093</v>
      </c>
      <c r="L142" s="41">
        <v>235.06313306507562</v>
      </c>
      <c r="M142" s="46">
        <v>135.75862640374245</v>
      </c>
      <c r="N142" s="99"/>
      <c r="O142" s="23"/>
    </row>
    <row r="143" spans="2:15" s="4" customFormat="1" ht="18" hidden="1" customHeight="1" x14ac:dyDescent="0.2">
      <c r="B143" s="45" t="s">
        <v>39</v>
      </c>
      <c r="C143" s="37">
        <v>183.45045174243509</v>
      </c>
      <c r="D143" s="41">
        <v>159.67741935483869</v>
      </c>
      <c r="E143" s="41">
        <v>153.59116022099448</v>
      </c>
      <c r="F143" s="41">
        <v>69.357798165137609</v>
      </c>
      <c r="G143" s="41">
        <v>103.90827795444437</v>
      </c>
      <c r="H143" s="42">
        <v>18.652849740932645</v>
      </c>
      <c r="I143" s="41">
        <v>90.909090909090907</v>
      </c>
      <c r="J143" s="43">
        <v>25.319999999999997</v>
      </c>
      <c r="K143" s="41">
        <v>531.81818181818187</v>
      </c>
      <c r="L143" s="41">
        <v>61.440266407659216</v>
      </c>
      <c r="M143" s="39">
        <v>97.477406279078664</v>
      </c>
      <c r="N143" s="99"/>
      <c r="O143" s="23"/>
    </row>
    <row r="144" spans="2:15" s="4" customFormat="1" ht="18" hidden="1" customHeight="1" x14ac:dyDescent="0.2">
      <c r="B144" s="45" t="s">
        <v>40</v>
      </c>
      <c r="C144" s="37">
        <v>120.72278789617094</v>
      </c>
      <c r="D144" s="41">
        <v>91.935483870967744</v>
      </c>
      <c r="E144" s="41">
        <v>171.2707182320442</v>
      </c>
      <c r="F144" s="41">
        <v>76.330275229357795</v>
      </c>
      <c r="G144" s="41">
        <v>107.20644762960652</v>
      </c>
      <c r="H144" s="42">
        <v>27.979274611398967</v>
      </c>
      <c r="I144" s="41">
        <v>67.532467532467535</v>
      </c>
      <c r="J144" s="43">
        <v>26.16</v>
      </c>
      <c r="K144" s="41">
        <v>163.63636363636365</v>
      </c>
      <c r="L144" s="41">
        <v>197.55792979048147</v>
      </c>
      <c r="M144" s="39">
        <v>129.35972772813602</v>
      </c>
      <c r="N144" s="99"/>
      <c r="O144" s="23"/>
    </row>
    <row r="145" spans="2:16" s="4" customFormat="1" ht="18" hidden="1" customHeight="1" x14ac:dyDescent="0.2">
      <c r="B145" s="45" t="s">
        <v>41</v>
      </c>
      <c r="C145" s="37">
        <v>123.9925426645633</v>
      </c>
      <c r="D145" s="41">
        <v>128.2258064516129</v>
      </c>
      <c r="E145" s="41">
        <v>124.86187845303867</v>
      </c>
      <c r="F145" s="41">
        <v>222.0183486238532</v>
      </c>
      <c r="G145" s="41">
        <v>78.423145609411208</v>
      </c>
      <c r="H145" s="42">
        <v>52.84974093264249</v>
      </c>
      <c r="I145" s="41">
        <v>150.64935064935065</v>
      </c>
      <c r="J145" s="43">
        <v>28.2</v>
      </c>
      <c r="K145" s="41">
        <v>13.636363636363637</v>
      </c>
      <c r="L145" s="41">
        <v>96.406271680310809</v>
      </c>
      <c r="M145" s="39">
        <v>92.2206217893972</v>
      </c>
      <c r="N145" s="99"/>
      <c r="O145" s="23"/>
    </row>
    <row r="146" spans="2:16" s="4" customFormat="1" ht="18" hidden="1" customHeight="1" x14ac:dyDescent="0.2">
      <c r="B146" s="45" t="s">
        <v>42</v>
      </c>
      <c r="C146" s="37">
        <v>112.20421626272766</v>
      </c>
      <c r="D146" s="41">
        <v>65.322580645161281</v>
      </c>
      <c r="E146" s="41">
        <v>167.40331491712706</v>
      </c>
      <c r="F146" s="41">
        <v>88.562691131498468</v>
      </c>
      <c r="G146" s="41">
        <v>86.126841444874501</v>
      </c>
      <c r="H146" s="42">
        <v>34.196891191709845</v>
      </c>
      <c r="I146" s="41">
        <v>67.532467532467535</v>
      </c>
      <c r="J146" s="43">
        <v>30.36</v>
      </c>
      <c r="K146" s="41">
        <v>586.36363636363637</v>
      </c>
      <c r="L146" s="41">
        <v>290.59247953378656</v>
      </c>
      <c r="M146" s="39">
        <v>138.7413799696626</v>
      </c>
      <c r="N146" s="99"/>
      <c r="O146" s="23"/>
    </row>
    <row r="147" spans="2:16" s="4" customFormat="1" ht="18" hidden="1" customHeight="1" x14ac:dyDescent="0.2">
      <c r="B147" s="45" t="s">
        <v>43</v>
      </c>
      <c r="C147" s="37">
        <v>97.060088914384053</v>
      </c>
      <c r="D147" s="41">
        <v>99.193548387096769</v>
      </c>
      <c r="E147" s="41">
        <v>112.70718232044199</v>
      </c>
      <c r="F147" s="41">
        <v>97.370030581039757</v>
      </c>
      <c r="G147" s="41">
        <v>95.184858161443017</v>
      </c>
      <c r="H147" s="42">
        <v>24.870466321243526</v>
      </c>
      <c r="I147" s="41">
        <v>93.506493506493513</v>
      </c>
      <c r="J147" s="43">
        <v>25.57488</v>
      </c>
      <c r="K147" s="41">
        <v>477.27272727272731</v>
      </c>
      <c r="L147" s="41">
        <v>278.25031219647565</v>
      </c>
      <c r="M147" s="39">
        <v>140.5463282813476</v>
      </c>
      <c r="N147" s="99"/>
      <c r="O147" s="23"/>
    </row>
    <row r="148" spans="2:16" s="4" customFormat="1" ht="18" hidden="1" customHeight="1" x14ac:dyDescent="0.2">
      <c r="B148" s="45" t="s">
        <v>44</v>
      </c>
      <c r="C148" s="37">
        <v>122.18557292413594</v>
      </c>
      <c r="D148" s="41">
        <v>94.354838709677409</v>
      </c>
      <c r="E148" s="41">
        <v>187.292817679558</v>
      </c>
      <c r="F148" s="41">
        <v>85.749235474006113</v>
      </c>
      <c r="G148" s="41">
        <v>101.78119751176733</v>
      </c>
      <c r="H148" s="42">
        <v>18.652849740932645</v>
      </c>
      <c r="I148" s="41">
        <v>75.324675324675326</v>
      </c>
      <c r="J148" s="43">
        <v>27.36</v>
      </c>
      <c r="K148" s="41">
        <v>354.54545454545456</v>
      </c>
      <c r="L148" s="41">
        <v>152.26862772304702</v>
      </c>
      <c r="M148" s="39">
        <v>115.49119832761852</v>
      </c>
      <c r="N148" s="99"/>
      <c r="O148" s="23"/>
    </row>
    <row r="149" spans="2:16" s="4" customFormat="1" ht="18" hidden="1" customHeight="1" x14ac:dyDescent="0.2">
      <c r="B149" s="45" t="s">
        <v>45</v>
      </c>
      <c r="C149" s="37">
        <v>91.20894880252402</v>
      </c>
      <c r="D149" s="41">
        <v>67.741935483870961</v>
      </c>
      <c r="E149" s="41">
        <v>127.07182320441989</v>
      </c>
      <c r="F149" s="41">
        <v>131.25382262996942</v>
      </c>
      <c r="G149" s="41">
        <v>86.150741225129295</v>
      </c>
      <c r="H149" s="42">
        <v>52.84974093264249</v>
      </c>
      <c r="I149" s="41">
        <v>85.714285714285708</v>
      </c>
      <c r="J149" s="43">
        <v>16.423200000000001</v>
      </c>
      <c r="K149" s="41">
        <v>763.63636363636363</v>
      </c>
      <c r="L149" s="41">
        <v>249.81961981406963</v>
      </c>
      <c r="M149" s="39">
        <v>129.06910045761049</v>
      </c>
      <c r="N149" s="99"/>
      <c r="O149" s="23"/>
    </row>
    <row r="150" spans="2:16" s="4" customFormat="1" ht="18" hidden="1" customHeight="1" x14ac:dyDescent="0.2">
      <c r="B150" s="45" t="s">
        <v>46</v>
      </c>
      <c r="C150" s="37">
        <v>116.93675605908504</v>
      </c>
      <c r="D150" s="41">
        <v>128.2258064516129</v>
      </c>
      <c r="E150" s="41">
        <v>82.320441988950279</v>
      </c>
      <c r="F150" s="41">
        <v>44.036697247706421</v>
      </c>
      <c r="G150" s="41">
        <v>77.443254618964474</v>
      </c>
      <c r="H150" s="42">
        <v>37.30569948186529</v>
      </c>
      <c r="I150" s="41">
        <v>64.935064935064929</v>
      </c>
      <c r="J150" s="43">
        <v>26.279999999999998</v>
      </c>
      <c r="K150" s="41">
        <v>313.63636363636363</v>
      </c>
      <c r="L150" s="41">
        <v>75.509920910226171</v>
      </c>
      <c r="M150" s="39">
        <v>78.168538323284594</v>
      </c>
      <c r="N150" s="99"/>
      <c r="O150" s="23"/>
    </row>
    <row r="151" spans="2:16" s="4" customFormat="1" ht="18" hidden="1" customHeight="1" x14ac:dyDescent="0.2">
      <c r="B151" s="45" t="s">
        <v>47</v>
      </c>
      <c r="C151" s="37">
        <v>145.07385630288255</v>
      </c>
      <c r="D151" s="41">
        <v>33.87096774193548</v>
      </c>
      <c r="E151" s="41">
        <v>193.92265193370164</v>
      </c>
      <c r="F151" s="41">
        <v>88.562691131498468</v>
      </c>
      <c r="G151" s="41">
        <v>118.1764467665589</v>
      </c>
      <c r="H151" s="42">
        <v>46.632124352331608</v>
      </c>
      <c r="I151" s="41">
        <v>88.311688311688314</v>
      </c>
      <c r="J151" s="43">
        <v>16.906799999999997</v>
      </c>
      <c r="K151" s="41">
        <v>572.72727272727275</v>
      </c>
      <c r="L151" s="41">
        <v>88.476481198834463</v>
      </c>
      <c r="M151" s="39">
        <v>111.92209149660297</v>
      </c>
      <c r="N151" s="99"/>
      <c r="O151" s="23"/>
    </row>
    <row r="152" spans="2:16" s="4" customFormat="1" ht="18" hidden="1" customHeight="1" x14ac:dyDescent="0.2">
      <c r="B152" s="45" t="s">
        <v>48</v>
      </c>
      <c r="C152" s="37">
        <v>109.10655385056647</v>
      </c>
      <c r="D152" s="41">
        <v>164.51612903225805</v>
      </c>
      <c r="E152" s="41">
        <v>127.62430939226519</v>
      </c>
      <c r="F152" s="41">
        <v>115.84097859327217</v>
      </c>
      <c r="G152" s="41">
        <v>124.11155886316712</v>
      </c>
      <c r="H152" s="42">
        <v>55.958549222797934</v>
      </c>
      <c r="I152" s="41">
        <v>111.68831168831169</v>
      </c>
      <c r="J152" s="43">
        <v>35.3508</v>
      </c>
      <c r="K152" s="41">
        <v>613.63636363636363</v>
      </c>
      <c r="L152" s="41">
        <v>56.611627584293046</v>
      </c>
      <c r="M152" s="39">
        <v>106.66020828287721</v>
      </c>
      <c r="N152" s="99"/>
      <c r="O152" s="23"/>
    </row>
    <row r="153" spans="2:16" s="4" customFormat="1" ht="18" hidden="1" customHeight="1" x14ac:dyDescent="0.2">
      <c r="B153" s="45"/>
      <c r="C153" s="37"/>
      <c r="D153" s="41"/>
      <c r="E153" s="41"/>
      <c r="F153" s="41"/>
      <c r="G153" s="41"/>
      <c r="H153" s="42"/>
      <c r="I153" s="41"/>
      <c r="J153" s="43"/>
      <c r="K153" s="41"/>
      <c r="L153" s="41"/>
      <c r="M153" s="39"/>
      <c r="N153" s="99"/>
      <c r="O153" s="23"/>
    </row>
    <row r="154" spans="2:16" s="4" customFormat="1" ht="18" hidden="1" customHeight="1" x14ac:dyDescent="0.2">
      <c r="B154" s="52">
        <v>2005</v>
      </c>
      <c r="C154" s="37">
        <v>119.17395669009035</v>
      </c>
      <c r="D154" s="41">
        <v>134.87903225806451</v>
      </c>
      <c r="E154" s="41">
        <v>242.54143646408841</v>
      </c>
      <c r="F154" s="41">
        <v>110.91743119266054</v>
      </c>
      <c r="G154" s="41">
        <v>100.0969268865889</v>
      </c>
      <c r="H154" s="42">
        <v>9.0673575129533681</v>
      </c>
      <c r="I154" s="41">
        <v>86.580086580086586</v>
      </c>
      <c r="J154" s="43">
        <v>53.631900000000009</v>
      </c>
      <c r="K154" s="41">
        <v>370.45454545454544</v>
      </c>
      <c r="L154" s="41">
        <v>148.80498126821146</v>
      </c>
      <c r="M154" s="39">
        <v>114.29724711390975</v>
      </c>
      <c r="N154" s="99"/>
      <c r="O154" s="23"/>
      <c r="P154" s="56"/>
    </row>
    <row r="155" spans="2:16" s="4" customFormat="1" ht="18" hidden="1" customHeight="1" x14ac:dyDescent="0.2">
      <c r="B155" s="45" t="s">
        <v>37</v>
      </c>
      <c r="C155" s="37">
        <v>100.76007457335436</v>
      </c>
      <c r="D155" s="41">
        <v>128.2258064516129</v>
      </c>
      <c r="E155" s="41">
        <v>192.26519337016575</v>
      </c>
      <c r="F155" s="41">
        <v>54.434250764525991</v>
      </c>
      <c r="G155" s="41">
        <v>99.78158256378255</v>
      </c>
      <c r="H155" s="42">
        <v>9.3264248704663224</v>
      </c>
      <c r="I155" s="41">
        <v>67.532467532467535</v>
      </c>
      <c r="J155" s="43">
        <v>34.572000000000003</v>
      </c>
      <c r="K155" s="41">
        <v>313.63636363636363</v>
      </c>
      <c r="L155" s="41">
        <v>26.391008741501317</v>
      </c>
      <c r="M155" s="39">
        <v>80.88615823890072</v>
      </c>
      <c r="N155" s="99"/>
      <c r="O155" s="23"/>
      <c r="P155" s="56"/>
    </row>
    <row r="156" spans="2:16" s="4" customFormat="1" ht="18" hidden="1" customHeight="1" x14ac:dyDescent="0.2">
      <c r="B156" s="45" t="s">
        <v>38</v>
      </c>
      <c r="C156" s="37">
        <v>104.11587551986231</v>
      </c>
      <c r="D156" s="41">
        <v>31.451612903225804</v>
      </c>
      <c r="E156" s="41">
        <v>214.91712707182322</v>
      </c>
      <c r="F156" s="41">
        <v>48.929663608562691</v>
      </c>
      <c r="G156" s="41">
        <v>79.10030604996382</v>
      </c>
      <c r="H156" s="42">
        <v>9.3264248704663224</v>
      </c>
      <c r="I156" s="41">
        <v>64.935064935064929</v>
      </c>
      <c r="J156" s="43">
        <v>21.7212</v>
      </c>
      <c r="K156" s="41">
        <v>313.63636363636363</v>
      </c>
      <c r="L156" s="41">
        <v>23.060913001248785</v>
      </c>
      <c r="M156" s="39">
        <v>66.798383704477956</v>
      </c>
      <c r="N156" s="99"/>
      <c r="O156" s="23"/>
      <c r="P156" s="56"/>
    </row>
    <row r="157" spans="2:16" s="4" customFormat="1" ht="18" hidden="1" customHeight="1" x14ac:dyDescent="0.2">
      <c r="B157" s="45" t="s">
        <v>39</v>
      </c>
      <c r="C157" s="37">
        <v>134.66226875089632</v>
      </c>
      <c r="D157" s="41">
        <v>101.61290322580645</v>
      </c>
      <c r="E157" s="41">
        <v>262.43093922651934</v>
      </c>
      <c r="F157" s="41">
        <v>135.16819571865443</v>
      </c>
      <c r="G157" s="41">
        <v>102.86465421665152</v>
      </c>
      <c r="H157" s="42">
        <v>3.1088082901554408</v>
      </c>
      <c r="I157" s="41">
        <v>124.67532467532467</v>
      </c>
      <c r="J157" s="43">
        <v>43.304400000000001</v>
      </c>
      <c r="K157" s="41">
        <v>163.63636363636365</v>
      </c>
      <c r="L157" s="41">
        <v>129.06202303316221</v>
      </c>
      <c r="M157" s="39">
        <v>114.00746963072491</v>
      </c>
      <c r="N157" s="99"/>
      <c r="O157" s="23"/>
      <c r="P157" s="56"/>
    </row>
    <row r="158" spans="2:16" s="4" customFormat="1" ht="18" hidden="1" customHeight="1" x14ac:dyDescent="0.2">
      <c r="B158" s="45" t="s">
        <v>40</v>
      </c>
      <c r="C158" s="37">
        <v>127.34834361107127</v>
      </c>
      <c r="D158" s="41">
        <v>96.774193548387089</v>
      </c>
      <c r="E158" s="41">
        <v>151.38121546961327</v>
      </c>
      <c r="F158" s="41">
        <v>77.308868501529048</v>
      </c>
      <c r="G158" s="41">
        <v>114.38434829946425</v>
      </c>
      <c r="H158" s="42">
        <v>3.1088082901554408</v>
      </c>
      <c r="I158" s="41">
        <v>70.129870129870127</v>
      </c>
      <c r="J158" s="43">
        <v>35.674799999999998</v>
      </c>
      <c r="K158" s="41">
        <v>613.63636363636363</v>
      </c>
      <c r="L158" s="41">
        <v>192.33384209796031</v>
      </c>
      <c r="M158" s="39">
        <v>129.50249200137665</v>
      </c>
      <c r="N158" s="99"/>
      <c r="O158" s="23"/>
      <c r="P158" s="56"/>
    </row>
    <row r="159" spans="2:16" s="4" customFormat="1" ht="18" hidden="1" customHeight="1" x14ac:dyDescent="0.2">
      <c r="B159" s="45" t="s">
        <v>41</v>
      </c>
      <c r="C159" s="37">
        <v>142.14828624695252</v>
      </c>
      <c r="D159" s="41">
        <v>99.193548387096769</v>
      </c>
      <c r="E159" s="41">
        <v>158.5635359116022</v>
      </c>
      <c r="F159" s="41">
        <v>131.37614678899084</v>
      </c>
      <c r="G159" s="41">
        <v>104.50577246081433</v>
      </c>
      <c r="H159" s="42">
        <v>9.3264248704663224</v>
      </c>
      <c r="I159" s="41">
        <v>109.09090909090909</v>
      </c>
      <c r="J159" s="43">
        <v>24.599999999999998</v>
      </c>
      <c r="K159" s="41">
        <v>436.36363636363637</v>
      </c>
      <c r="L159" s="41">
        <v>36.755931733037322</v>
      </c>
      <c r="M159" s="39">
        <v>91.858612382251337</v>
      </c>
      <c r="N159" s="99"/>
      <c r="O159" s="23"/>
      <c r="P159" s="56"/>
    </row>
    <row r="160" spans="2:16" s="4" customFormat="1" ht="18" hidden="1" customHeight="1" x14ac:dyDescent="0.2">
      <c r="B160" s="45" t="s">
        <v>42</v>
      </c>
      <c r="C160" s="37">
        <v>137.67388498494191</v>
      </c>
      <c r="D160" s="41">
        <v>94.354838709677409</v>
      </c>
      <c r="E160" s="41">
        <v>180.11049723756906</v>
      </c>
      <c r="F160" s="41">
        <v>89.174311926605498</v>
      </c>
      <c r="G160" s="41">
        <v>80.924655942746753</v>
      </c>
      <c r="H160" s="42">
        <v>12.435233160621763</v>
      </c>
      <c r="I160" s="41">
        <v>64.935064935064929</v>
      </c>
      <c r="J160" s="43">
        <v>46.640400000000007</v>
      </c>
      <c r="K160" s="41">
        <v>272.72727272727275</v>
      </c>
      <c r="L160" s="41">
        <v>325.7249895934508</v>
      </c>
      <c r="M160" s="39">
        <v>145.80821149507335</v>
      </c>
      <c r="N160" s="99"/>
      <c r="O160" s="23"/>
      <c r="P160" s="56"/>
    </row>
    <row r="161" spans="2:16" s="4" customFormat="1" ht="18" hidden="1" customHeight="1" x14ac:dyDescent="0.2">
      <c r="B161" s="45" t="s">
        <v>43</v>
      </c>
      <c r="C161" s="37">
        <v>127.0902050767245</v>
      </c>
      <c r="D161" s="41">
        <v>130.64516129032256</v>
      </c>
      <c r="E161" s="41">
        <v>211.60220994475139</v>
      </c>
      <c r="F161" s="41">
        <v>172.11009174311926</v>
      </c>
      <c r="G161" s="41">
        <v>109.00689774213465</v>
      </c>
      <c r="H161" s="42">
        <v>3.1088082901554408</v>
      </c>
      <c r="I161" s="41">
        <v>109.09090909090909</v>
      </c>
      <c r="J161" s="43">
        <v>28.112399999999997</v>
      </c>
      <c r="K161" s="41">
        <v>286.36363636363637</v>
      </c>
      <c r="L161" s="41">
        <v>124.39988899680866</v>
      </c>
      <c r="M161" s="39">
        <v>117.49499687703153</v>
      </c>
      <c r="N161" s="99"/>
      <c r="O161" s="23"/>
      <c r="P161" s="56"/>
    </row>
    <row r="162" spans="2:16" s="4" customFormat="1" ht="18" hidden="1" customHeight="1" x14ac:dyDescent="0.2">
      <c r="B162" s="45" t="s">
        <v>44</v>
      </c>
      <c r="C162" s="37">
        <v>122.61580381471389</v>
      </c>
      <c r="D162" s="41">
        <v>227.41935483870967</v>
      </c>
      <c r="E162" s="41">
        <v>290.60773480662982</v>
      </c>
      <c r="F162" s="41">
        <v>90.030581039755347</v>
      </c>
      <c r="G162" s="41">
        <v>107.66851004786595</v>
      </c>
      <c r="H162" s="42">
        <v>3.1088082901554408</v>
      </c>
      <c r="I162" s="41">
        <v>80.519480519480524</v>
      </c>
      <c r="J162" s="43">
        <v>76.125600000000006</v>
      </c>
      <c r="K162" s="41">
        <v>422.72727272727275</v>
      </c>
      <c r="L162" s="41">
        <v>155.45303177466351</v>
      </c>
      <c r="M162" s="39">
        <v>121.25785522173076</v>
      </c>
      <c r="N162" s="99"/>
      <c r="O162" s="23"/>
      <c r="P162" s="56"/>
    </row>
    <row r="163" spans="2:16" s="4" customFormat="1" ht="18" hidden="1" customHeight="1" x14ac:dyDescent="0.2">
      <c r="B163" s="45" t="s">
        <v>45</v>
      </c>
      <c r="C163" s="37">
        <v>113.06467804388355</v>
      </c>
      <c r="D163" s="41">
        <v>174.19354838709677</v>
      </c>
      <c r="E163" s="41">
        <v>411.04972375690608</v>
      </c>
      <c r="F163" s="41">
        <v>153.63914373088684</v>
      </c>
      <c r="G163" s="41">
        <v>113.12562653937822</v>
      </c>
      <c r="H163" s="42">
        <v>18.652849740932645</v>
      </c>
      <c r="I163" s="41">
        <v>101.2987012987013</v>
      </c>
      <c r="J163" s="43">
        <v>77.545199999999994</v>
      </c>
      <c r="K163" s="41">
        <v>368.18181818181819</v>
      </c>
      <c r="L163" s="41">
        <v>296.17038989870957</v>
      </c>
      <c r="M163" s="39">
        <v>162.58811232489069</v>
      </c>
      <c r="N163" s="99"/>
      <c r="O163" s="23"/>
      <c r="P163" s="56"/>
    </row>
    <row r="164" spans="2:16" s="4" customFormat="1" ht="18" hidden="1" customHeight="1" x14ac:dyDescent="0.2">
      <c r="B164" s="45" t="s">
        <v>46</v>
      </c>
      <c r="C164" s="37">
        <v>124.42277355514125</v>
      </c>
      <c r="D164" s="41">
        <v>169.35483870967741</v>
      </c>
      <c r="E164" s="41">
        <v>414.91712707182319</v>
      </c>
      <c r="F164" s="41">
        <v>186.78899082568807</v>
      </c>
      <c r="G164" s="41">
        <v>100.23567838862371</v>
      </c>
      <c r="H164" s="42"/>
      <c r="I164" s="41">
        <v>93.506493506493513</v>
      </c>
      <c r="J164" s="43">
        <v>69.019199999999998</v>
      </c>
      <c r="K164" s="41">
        <v>286.36363636363637</v>
      </c>
      <c r="L164" s="41">
        <v>108.10323296794782</v>
      </c>
      <c r="M164" s="39">
        <v>110.06105722043058</v>
      </c>
      <c r="N164" s="99"/>
      <c r="O164" s="23"/>
      <c r="P164" s="56"/>
    </row>
    <row r="165" spans="2:16" s="4" customFormat="1" ht="18" hidden="1" customHeight="1" x14ac:dyDescent="0.2">
      <c r="B165" s="45" t="s">
        <v>47</v>
      </c>
      <c r="C165" s="37">
        <v>83.636885128352205</v>
      </c>
      <c r="D165" s="41">
        <v>225</v>
      </c>
      <c r="E165" s="41">
        <v>266.85082872928177</v>
      </c>
      <c r="F165" s="41">
        <v>131.74311926605503</v>
      </c>
      <c r="G165" s="41">
        <v>86.716369357826181</v>
      </c>
      <c r="H165" s="42">
        <v>3.1088082901554408</v>
      </c>
      <c r="I165" s="41">
        <v>85.714285714285708</v>
      </c>
      <c r="J165" s="43">
        <v>82.224000000000004</v>
      </c>
      <c r="K165" s="41">
        <v>450</v>
      </c>
      <c r="L165" s="41">
        <v>320.43846260579988</v>
      </c>
      <c r="M165" s="39">
        <v>147.73043045977744</v>
      </c>
      <c r="N165" s="99"/>
      <c r="O165" s="23"/>
      <c r="P165" s="56"/>
    </row>
    <row r="166" spans="2:16" s="4" customFormat="1" ht="18" hidden="1" customHeight="1" x14ac:dyDescent="0.2">
      <c r="B166" s="45" t="s">
        <v>48</v>
      </c>
      <c r="C166" s="37">
        <v>112.6344471533056</v>
      </c>
      <c r="D166" s="41">
        <v>137.90322580645162</v>
      </c>
      <c r="E166" s="41">
        <v>156.35359116022099</v>
      </c>
      <c r="F166" s="41">
        <v>60.305810397553515</v>
      </c>
      <c r="G166" s="41">
        <v>102.84075443639671</v>
      </c>
      <c r="H166" s="42">
        <v>34.196891191709845</v>
      </c>
      <c r="I166" s="41">
        <v>70.129870129870127</v>
      </c>
      <c r="J166" s="43">
        <v>104.0436</v>
      </c>
      <c r="K166" s="41">
        <v>518.18181818181824</v>
      </c>
      <c r="L166" s="41">
        <v>47.766060774247258</v>
      </c>
      <c r="M166" s="39">
        <v>83.568087086206674</v>
      </c>
      <c r="N166" s="99"/>
      <c r="O166" s="23"/>
      <c r="P166" s="56"/>
    </row>
    <row r="167" spans="2:16" s="4" customFormat="1" ht="42.75" hidden="1" customHeight="1" x14ac:dyDescent="0.2">
      <c r="B167" s="45"/>
      <c r="C167" s="37"/>
      <c r="D167" s="41"/>
      <c r="E167" s="41"/>
      <c r="F167" s="41"/>
      <c r="G167" s="41"/>
      <c r="H167" s="42"/>
      <c r="I167" s="41"/>
      <c r="J167" s="43"/>
      <c r="K167" s="41"/>
      <c r="L167" s="41"/>
      <c r="M167" s="39"/>
      <c r="N167" s="99"/>
      <c r="O167" s="23"/>
      <c r="P167" s="56"/>
    </row>
    <row r="168" spans="2:16" s="4" customFormat="1" ht="19.5" customHeight="1" x14ac:dyDescent="0.2">
      <c r="B168" s="52" t="s">
        <v>67</v>
      </c>
      <c r="C168" s="37">
        <v>119.6365432382045</v>
      </c>
      <c r="D168" s="37">
        <v>317.11543548387095</v>
      </c>
      <c r="E168" s="37">
        <v>232.60606952117865</v>
      </c>
      <c r="F168" s="37">
        <v>790.65805321100925</v>
      </c>
      <c r="G168" s="37">
        <v>254.01151262373119</v>
      </c>
      <c r="H168" s="37">
        <v>1301.4362020725389</v>
      </c>
      <c r="I168" s="37">
        <v>259.84560389610397</v>
      </c>
      <c r="J168" s="37">
        <v>267.4153</v>
      </c>
      <c r="K168" s="37">
        <v>651.90805681818188</v>
      </c>
      <c r="L168" s="37">
        <v>322.87925674691274</v>
      </c>
      <c r="M168" s="39">
        <v>287.4286201578056</v>
      </c>
      <c r="N168" s="99"/>
      <c r="O168" s="23"/>
      <c r="P168" s="56"/>
    </row>
    <row r="169" spans="2:16" s="4" customFormat="1" ht="19.5" hidden="1" customHeight="1" x14ac:dyDescent="0.2">
      <c r="B169" s="52">
        <v>2013</v>
      </c>
      <c r="C169" s="37">
        <v>118.59573748745157</v>
      </c>
      <c r="D169" s="37">
        <v>318.6174153225806</v>
      </c>
      <c r="E169" s="37">
        <v>232.62650782688763</v>
      </c>
      <c r="F169" s="37">
        <v>804.90930937818541</v>
      </c>
      <c r="G169" s="37">
        <v>265.02690034455514</v>
      </c>
      <c r="H169" s="37">
        <v>1731.0016813471505</v>
      </c>
      <c r="I169" s="37">
        <v>279.1911558441559</v>
      </c>
      <c r="J169" s="37">
        <v>128.42570000000001</v>
      </c>
      <c r="K169" s="37">
        <v>425.84975000000003</v>
      </c>
      <c r="L169" s="37">
        <v>374.08630900513384</v>
      </c>
      <c r="M169" s="39">
        <v>308.2109201709772</v>
      </c>
      <c r="N169" s="99"/>
      <c r="O169" s="23"/>
      <c r="P169" s="56"/>
    </row>
    <row r="170" spans="2:16" s="4" customFormat="1" ht="19.5" hidden="1" customHeight="1" x14ac:dyDescent="0.2">
      <c r="B170" s="32" t="s">
        <v>66</v>
      </c>
      <c r="C170" s="37">
        <v>227.24171052631576</v>
      </c>
      <c r="D170" s="37">
        <v>600.39690120967737</v>
      </c>
      <c r="E170" s="37">
        <v>369.16408793738492</v>
      </c>
      <c r="F170" s="37">
        <v>1483.3949786952089</v>
      </c>
      <c r="G170" s="37">
        <v>580.92150797655154</v>
      </c>
      <c r="H170" s="37">
        <v>4274.6647046632124</v>
      </c>
      <c r="I170" s="37">
        <v>559.20048484848473</v>
      </c>
      <c r="J170" s="37">
        <v>654.4316</v>
      </c>
      <c r="K170" s="37">
        <v>852.63863636363646</v>
      </c>
      <c r="L170" s="37">
        <v>708.00063762661296</v>
      </c>
      <c r="M170" s="39">
        <v>633.66473850768841</v>
      </c>
      <c r="N170" s="99"/>
      <c r="O170" s="23"/>
      <c r="P170" s="56"/>
    </row>
    <row r="171" spans="2:16" s="4" customFormat="1" ht="17.25" hidden="1" customHeight="1" x14ac:dyDescent="0.2">
      <c r="B171" s="45"/>
      <c r="C171" s="37"/>
      <c r="D171" s="41"/>
      <c r="E171" s="41"/>
      <c r="F171" s="41"/>
      <c r="G171" s="41"/>
      <c r="H171" s="42"/>
      <c r="I171" s="41"/>
      <c r="J171" s="43"/>
      <c r="K171" s="41"/>
      <c r="L171" s="41"/>
      <c r="M171" s="39"/>
      <c r="N171" s="99"/>
      <c r="O171" s="23"/>
      <c r="P171" s="56"/>
    </row>
    <row r="172" spans="2:16" s="4" customFormat="1" ht="18" hidden="1" customHeight="1" outlineLevel="1" x14ac:dyDescent="0.2">
      <c r="B172" s="52">
        <v>2006</v>
      </c>
      <c r="C172" s="37">
        <v>119.71612455184284</v>
      </c>
      <c r="D172" s="41">
        <v>220.56440322580644</v>
      </c>
      <c r="E172" s="41">
        <v>258.5265013812155</v>
      </c>
      <c r="F172" s="41">
        <v>119.3802377166157</v>
      </c>
      <c r="G172" s="41">
        <v>115.13058565747629</v>
      </c>
      <c r="H172" s="42">
        <v>50.133660621761663</v>
      </c>
      <c r="I172" s="41">
        <v>102.56855194805193</v>
      </c>
      <c r="J172" s="43">
        <v>63.6721</v>
      </c>
      <c r="K172" s="41">
        <v>601.80947727272735</v>
      </c>
      <c r="L172" s="41">
        <v>390.36900516858611</v>
      </c>
      <c r="M172" s="39">
        <v>184.74825168151671</v>
      </c>
      <c r="N172" s="99"/>
      <c r="O172" s="23"/>
      <c r="P172" s="56"/>
    </row>
    <row r="173" spans="2:16" s="4" customFormat="1" ht="18" hidden="1" customHeight="1" outlineLevel="1" x14ac:dyDescent="0.2">
      <c r="B173" s="45" t="s">
        <v>37</v>
      </c>
      <c r="C173" s="37">
        <v>138.11722587121758</v>
      </c>
      <c r="D173" s="41">
        <v>204.77491935483872</v>
      </c>
      <c r="E173" s="41">
        <v>346.91554143646408</v>
      </c>
      <c r="F173" s="41">
        <v>139.37450397553516</v>
      </c>
      <c r="G173" s="41">
        <v>102.70947214679778</v>
      </c>
      <c r="H173" s="42">
        <v>16.532176165803111</v>
      </c>
      <c r="I173" s="41">
        <v>114.53722077922077</v>
      </c>
      <c r="J173" s="43">
        <v>85.180800000000005</v>
      </c>
      <c r="K173" s="41">
        <v>644.79545454545462</v>
      </c>
      <c r="L173" s="41">
        <v>119.17988587484389</v>
      </c>
      <c r="M173" s="39">
        <v>113.05514540286295</v>
      </c>
      <c r="N173" s="99"/>
      <c r="O173" s="23"/>
      <c r="P173" s="56"/>
    </row>
    <row r="174" spans="2:16" s="4" customFormat="1" ht="18" hidden="1" customHeight="1" outlineLevel="1" x14ac:dyDescent="0.2">
      <c r="B174" s="45" t="s">
        <v>38</v>
      </c>
      <c r="C174" s="37">
        <v>95.259223289832221</v>
      </c>
      <c r="D174" s="41">
        <v>139.15727419354837</v>
      </c>
      <c r="E174" s="41">
        <v>289.17140331491714</v>
      </c>
      <c r="F174" s="41">
        <v>107.28018593272172</v>
      </c>
      <c r="G174" s="41">
        <v>95.868847804871592</v>
      </c>
      <c r="H174" s="42">
        <v>13.43362694300518</v>
      </c>
      <c r="I174" s="41">
        <v>102.29332467532468</v>
      </c>
      <c r="J174" s="43">
        <v>77.613599999999991</v>
      </c>
      <c r="K174" s="41">
        <v>561.68181818181824</v>
      </c>
      <c r="L174" s="41">
        <v>49.558279797419168</v>
      </c>
      <c r="M174" s="39">
        <v>87.012342889191984</v>
      </c>
      <c r="N174" s="99"/>
      <c r="O174" s="23"/>
      <c r="P174" s="56"/>
    </row>
    <row r="175" spans="2:16" s="4" customFormat="1" ht="18" hidden="1" customHeight="1" outlineLevel="1" x14ac:dyDescent="0.2">
      <c r="B175" s="45" t="s">
        <v>39</v>
      </c>
      <c r="C175" s="37">
        <v>120.65036799082172</v>
      </c>
      <c r="D175" s="41">
        <v>240.76877419354838</v>
      </c>
      <c r="E175" s="41">
        <v>85.625348066298329</v>
      </c>
      <c r="F175" s="41">
        <v>64.182751070336394</v>
      </c>
      <c r="G175" s="41">
        <v>131.04960428602723</v>
      </c>
      <c r="H175" s="42">
        <v>115.13648704663213</v>
      </c>
      <c r="I175" s="41">
        <v>104.68932467532468</v>
      </c>
      <c r="J175" s="43">
        <v>84.191999999999993</v>
      </c>
      <c r="K175" s="41">
        <v>475.81827272727264</v>
      </c>
      <c r="L175" s="41">
        <v>77.443005688913544</v>
      </c>
      <c r="M175" s="39">
        <v>114.54313413468279</v>
      </c>
      <c r="N175" s="99"/>
      <c r="O175" s="23"/>
      <c r="P175" s="56"/>
    </row>
    <row r="176" spans="2:16" s="4" customFormat="1" ht="18" hidden="1" customHeight="1" outlineLevel="1" x14ac:dyDescent="0.2">
      <c r="B176" s="45" t="s">
        <v>40</v>
      </c>
      <c r="C176" s="37">
        <v>124.82014685214399</v>
      </c>
      <c r="D176" s="41">
        <v>310.75296774193549</v>
      </c>
      <c r="E176" s="41">
        <v>295.69809392265194</v>
      </c>
      <c r="F176" s="41">
        <v>100.30709480122324</v>
      </c>
      <c r="G176" s="41">
        <v>138.80436829561373</v>
      </c>
      <c r="H176" s="42">
        <v>83.385388601036283</v>
      </c>
      <c r="I176" s="41">
        <v>121.21825974025975</v>
      </c>
      <c r="J176" s="43">
        <v>72.147599999999997</v>
      </c>
      <c r="K176" s="41">
        <v>608.87045454545455</v>
      </c>
      <c r="L176" s="41">
        <v>64.125304079367282</v>
      </c>
      <c r="M176" s="39">
        <v>120.11237373647245</v>
      </c>
      <c r="N176" s="99"/>
      <c r="O176" s="23"/>
      <c r="P176" s="56"/>
    </row>
    <row r="177" spans="2:16" s="4" customFormat="1" ht="18" hidden="1" customHeight="1" outlineLevel="1" x14ac:dyDescent="0.2">
      <c r="B177" s="45" t="s">
        <v>41</v>
      </c>
      <c r="C177" s="37">
        <v>126.04607514699556</v>
      </c>
      <c r="D177" s="41">
        <v>172.01109677419356</v>
      </c>
      <c r="E177" s="41">
        <v>314.45445303867405</v>
      </c>
      <c r="F177" s="41">
        <v>231.21558287461775</v>
      </c>
      <c r="G177" s="41">
        <v>125.2920289187341</v>
      </c>
      <c r="H177" s="42">
        <v>11.53097409326425</v>
      </c>
      <c r="I177" s="41">
        <v>129.25818181818184</v>
      </c>
      <c r="J177" s="43">
        <v>68.225999999999999</v>
      </c>
      <c r="K177" s="41">
        <v>62.181818181818194</v>
      </c>
      <c r="L177" s="41">
        <v>80.826801304287486</v>
      </c>
      <c r="M177" s="39">
        <v>120.65901681304253</v>
      </c>
      <c r="N177" s="99"/>
      <c r="O177" s="23"/>
      <c r="P177" s="56"/>
    </row>
    <row r="178" spans="2:16" s="4" customFormat="1" ht="18" hidden="1" customHeight="1" outlineLevel="1" x14ac:dyDescent="0.2">
      <c r="B178" s="45" t="s">
        <v>42</v>
      </c>
      <c r="C178" s="37">
        <v>130.2132063674172</v>
      </c>
      <c r="D178" s="41">
        <v>207.80808870967741</v>
      </c>
      <c r="E178" s="41">
        <v>197.36104419889503</v>
      </c>
      <c r="F178" s="41">
        <v>125.38429235474005</v>
      </c>
      <c r="G178" s="41">
        <v>125.04044533257209</v>
      </c>
      <c r="H178" s="42">
        <v>11.528922279792747</v>
      </c>
      <c r="I178" s="41">
        <v>121.53805194805197</v>
      </c>
      <c r="J178" s="43">
        <v>57.4572</v>
      </c>
      <c r="K178" s="41">
        <v>894.68181818181824</v>
      </c>
      <c r="L178" s="41">
        <v>82.821309907034831</v>
      </c>
      <c r="M178" s="39">
        <v>116.11275099106453</v>
      </c>
      <c r="N178" s="99"/>
      <c r="O178" s="23"/>
      <c r="P178" s="56"/>
    </row>
    <row r="179" spans="2:16" s="4" customFormat="1" ht="18" hidden="1" customHeight="1" outlineLevel="1" x14ac:dyDescent="0.2">
      <c r="B179" s="45" t="s">
        <v>43</v>
      </c>
      <c r="C179" s="37">
        <v>123.03628223146423</v>
      </c>
      <c r="D179" s="41">
        <v>206.15070967741937</v>
      </c>
      <c r="E179" s="41">
        <v>438.58944198895028</v>
      </c>
      <c r="F179" s="41">
        <v>165.21144954128442</v>
      </c>
      <c r="G179" s="41">
        <v>112.29206115688214</v>
      </c>
      <c r="H179" s="42">
        <v>26.918113989637309</v>
      </c>
      <c r="I179" s="41">
        <v>121.05187012987014</v>
      </c>
      <c r="J179" s="43">
        <v>61.102800000000002</v>
      </c>
      <c r="K179" s="41">
        <v>280.35000000000002</v>
      </c>
      <c r="L179" s="41">
        <v>111.32378354377688</v>
      </c>
      <c r="M179" s="39">
        <v>118.18833182496083</v>
      </c>
      <c r="N179" s="99"/>
      <c r="O179" s="23"/>
      <c r="P179" s="56"/>
    </row>
    <row r="180" spans="2:16" s="4" customFormat="1" ht="18" hidden="1" customHeight="1" outlineLevel="1" x14ac:dyDescent="0.2">
      <c r="B180" s="45" t="s">
        <v>44</v>
      </c>
      <c r="C180" s="37">
        <v>148.31582073712889</v>
      </c>
      <c r="D180" s="41">
        <v>304.39952419354836</v>
      </c>
      <c r="E180" s="41">
        <v>207.00428729281771</v>
      </c>
      <c r="F180" s="41">
        <v>99.071329663608566</v>
      </c>
      <c r="G180" s="41">
        <v>135.15742984418671</v>
      </c>
      <c r="H180" s="42">
        <v>37.8160103626943</v>
      </c>
      <c r="I180" s="41">
        <v>95.610181818181815</v>
      </c>
      <c r="J180" s="43">
        <v>59.287199999999999</v>
      </c>
      <c r="K180" s="41">
        <v>572.44772727272732</v>
      </c>
      <c r="L180" s="41">
        <v>108.84611072568337</v>
      </c>
      <c r="M180" s="39">
        <v>129.10349420657482</v>
      </c>
      <c r="N180" s="99"/>
      <c r="O180" s="23"/>
      <c r="P180" s="56"/>
    </row>
    <row r="181" spans="2:16" s="4" customFormat="1" ht="18" hidden="1" customHeight="1" outlineLevel="1" x14ac:dyDescent="0.2">
      <c r="B181" s="45" t="s">
        <v>45</v>
      </c>
      <c r="C181" s="37">
        <v>116.52971891581814</v>
      </c>
      <c r="D181" s="41">
        <v>244.57412903225807</v>
      </c>
      <c r="E181" s="41">
        <v>200.08188397790056</v>
      </c>
      <c r="F181" s="41">
        <v>81.963779816513764</v>
      </c>
      <c r="G181" s="41">
        <v>101.70778638907515</v>
      </c>
      <c r="H181" s="42">
        <v>43.077979274611401</v>
      </c>
      <c r="I181" s="41">
        <v>82.465064935064945</v>
      </c>
      <c r="J181" s="43">
        <v>59.081999999999994</v>
      </c>
      <c r="K181" s="41">
        <v>1164.5454545454545</v>
      </c>
      <c r="L181" s="41">
        <v>3677.755119952823</v>
      </c>
      <c r="M181" s="39">
        <v>979.41247356948907</v>
      </c>
      <c r="N181" s="99"/>
      <c r="O181" s="23"/>
      <c r="P181" s="56"/>
    </row>
    <row r="182" spans="2:16" s="4" customFormat="1" ht="18" hidden="1" customHeight="1" outlineLevel="1" x14ac:dyDescent="0.2">
      <c r="B182" s="45" t="s">
        <v>46</v>
      </c>
      <c r="C182" s="37">
        <v>134.42758554424205</v>
      </c>
      <c r="D182" s="41">
        <v>203.1527419354839</v>
      </c>
      <c r="E182" s="41">
        <v>342.71594475138124</v>
      </c>
      <c r="F182" s="41">
        <v>163.03995474006118</v>
      </c>
      <c r="G182" s="41">
        <v>130.03149491797728</v>
      </c>
      <c r="H182" s="42">
        <v>54.009512953367889</v>
      </c>
      <c r="I182" s="41">
        <v>105.52088311688311</v>
      </c>
      <c r="J182" s="43">
        <v>46.562400000000004</v>
      </c>
      <c r="K182" s="41">
        <v>784.15909090909099</v>
      </c>
      <c r="L182" s="41">
        <v>127.66121992507284</v>
      </c>
      <c r="M182" s="39">
        <v>133.43917920740336</v>
      </c>
      <c r="N182" s="99"/>
      <c r="O182" s="23"/>
      <c r="P182" s="56"/>
    </row>
    <row r="183" spans="2:16" s="4" customFormat="1" ht="18" hidden="1" customHeight="1" outlineLevel="1" x14ac:dyDescent="0.2">
      <c r="B183" s="45" t="s">
        <v>47</v>
      </c>
      <c r="C183" s="37">
        <v>110.5815746450595</v>
      </c>
      <c r="D183" s="41">
        <v>202.04225806451612</v>
      </c>
      <c r="E183" s="41">
        <v>160.33854143646408</v>
      </c>
      <c r="F183" s="41">
        <v>66.668935779816522</v>
      </c>
      <c r="G183" s="41">
        <v>102.73648574975603</v>
      </c>
      <c r="H183" s="42">
        <v>119.44140932642489</v>
      </c>
      <c r="I183" s="41">
        <v>80.483480519480523</v>
      </c>
      <c r="J183" s="43">
        <v>62.098799999999997</v>
      </c>
      <c r="K183" s="41">
        <v>594.9545454545455</v>
      </c>
      <c r="L183" s="41">
        <v>121.92832315804078</v>
      </c>
      <c r="M183" s="39">
        <v>107.43827112465105</v>
      </c>
      <c r="N183" s="99"/>
      <c r="O183" s="23"/>
      <c r="P183" s="56"/>
    </row>
    <row r="184" spans="2:16" s="4" customFormat="1" ht="18" hidden="1" customHeight="1" outlineLevel="1" x14ac:dyDescent="0.2">
      <c r="B184" s="45" t="s">
        <v>48</v>
      </c>
      <c r="C184" s="37">
        <v>68.596267029972765</v>
      </c>
      <c r="D184" s="41">
        <v>211.18035483870969</v>
      </c>
      <c r="E184" s="41">
        <v>224.36203314917125</v>
      </c>
      <c r="F184" s="41">
        <v>88.862992048929669</v>
      </c>
      <c r="G184" s="41">
        <v>80.87700304722199</v>
      </c>
      <c r="H184" s="42">
        <v>68.793326424870486</v>
      </c>
      <c r="I184" s="41">
        <v>52.156779220779228</v>
      </c>
      <c r="J184" s="43">
        <v>31.114799999999992</v>
      </c>
      <c r="K184" s="41">
        <v>577.22727272727275</v>
      </c>
      <c r="L184" s="41">
        <v>62.958918065769382</v>
      </c>
      <c r="M184" s="39">
        <v>77.90250627780398</v>
      </c>
      <c r="N184" s="99"/>
      <c r="O184" s="23"/>
      <c r="P184" s="56"/>
    </row>
    <row r="185" spans="2:16" s="4" customFormat="1" ht="18" hidden="1" customHeight="1" outlineLevel="1" x14ac:dyDescent="0.2">
      <c r="B185" s="75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5"/>
      <c r="N185" s="99"/>
      <c r="O185" s="23"/>
      <c r="P185" s="56"/>
    </row>
    <row r="186" spans="2:16" s="4" customFormat="1" ht="18" hidden="1" customHeight="1" outlineLevel="1" x14ac:dyDescent="0.2">
      <c r="B186" s="52" t="s">
        <v>61</v>
      </c>
      <c r="C186" s="37">
        <v>104.35129004732539</v>
      </c>
      <c r="D186" s="41">
        <v>281.34754233870962</v>
      </c>
      <c r="E186" s="41">
        <v>186.69892357274404</v>
      </c>
      <c r="F186" s="61">
        <v>217.9166607543323</v>
      </c>
      <c r="G186" s="41">
        <v>140.87050740561247</v>
      </c>
      <c r="H186" s="42">
        <v>165.00441968911915</v>
      </c>
      <c r="I186" s="41">
        <v>113.82251948051949</v>
      </c>
      <c r="J186" s="43">
        <v>55.660400000000003</v>
      </c>
      <c r="K186" s="41">
        <v>635.98440909090925</v>
      </c>
      <c r="L186" s="41">
        <v>1302.1940003642292</v>
      </c>
      <c r="M186" s="39">
        <v>427.48291231894217</v>
      </c>
      <c r="N186" s="99"/>
      <c r="O186" s="23"/>
      <c r="P186" s="56"/>
    </row>
    <row r="187" spans="2:16" s="4" customFormat="1" ht="18" hidden="1" customHeight="1" outlineLevel="1" x14ac:dyDescent="0.2">
      <c r="B187" s="73" t="s">
        <v>37</v>
      </c>
      <c r="C187" s="37">
        <v>124.71231894450021</v>
      </c>
      <c r="D187" s="41">
        <v>395.52280645161289</v>
      </c>
      <c r="E187" s="41">
        <v>209.70822099447514</v>
      </c>
      <c r="F187" s="61">
        <v>120.24438165137613</v>
      </c>
      <c r="G187" s="41">
        <v>90.134006466218352</v>
      </c>
      <c r="H187" s="42">
        <v>125.78459067357514</v>
      </c>
      <c r="I187" s="41">
        <v>82.738467532467524</v>
      </c>
      <c r="J187" s="43">
        <v>61.748400000000004</v>
      </c>
      <c r="K187" s="41">
        <v>634.81363636363642</v>
      </c>
      <c r="L187" s="41">
        <v>75.868004856389618</v>
      </c>
      <c r="M187" s="39">
        <v>92.052368178863247</v>
      </c>
      <c r="N187" s="99"/>
      <c r="O187" s="23"/>
      <c r="P187" s="56"/>
    </row>
    <row r="188" spans="2:16" s="4" customFormat="1" ht="18" hidden="1" customHeight="1" outlineLevel="1" x14ac:dyDescent="0.2">
      <c r="B188" s="73" t="s">
        <v>38</v>
      </c>
      <c r="C188" s="37">
        <v>69.711727520435957</v>
      </c>
      <c r="D188" s="41">
        <v>408.67787903225803</v>
      </c>
      <c r="E188" s="41">
        <v>129.44084530386741</v>
      </c>
      <c r="F188" s="61">
        <v>122.03731987767583</v>
      </c>
      <c r="G188" s="41">
        <v>106.07263496405074</v>
      </c>
      <c r="H188" s="42">
        <v>87.78158549222799</v>
      </c>
      <c r="I188" s="41">
        <v>98.237376623376633</v>
      </c>
      <c r="J188" s="54">
        <v>60.042000000000009</v>
      </c>
      <c r="K188" s="41">
        <v>346.77272727272731</v>
      </c>
      <c r="L188" s="41">
        <v>3755.4525247675865</v>
      </c>
      <c r="M188" s="39">
        <v>999.62867303157384</v>
      </c>
      <c r="N188" s="99"/>
      <c r="O188" s="23"/>
      <c r="P188" s="56"/>
    </row>
    <row r="189" spans="2:16" s="4" customFormat="1" ht="18" hidden="1" customHeight="1" outlineLevel="1" x14ac:dyDescent="0.2">
      <c r="B189" s="73" t="s">
        <v>39</v>
      </c>
      <c r="C189" s="37">
        <v>26.881001577513263</v>
      </c>
      <c r="D189" s="41">
        <v>242.2243064516129</v>
      </c>
      <c r="E189" s="41">
        <v>143.16098342541437</v>
      </c>
      <c r="F189" s="41">
        <v>149.78215902140673</v>
      </c>
      <c r="G189" s="41">
        <v>93.072872421645229</v>
      </c>
      <c r="H189" s="42">
        <v>82.342507772020738</v>
      </c>
      <c r="I189" s="41">
        <v>89.987194805194818</v>
      </c>
      <c r="J189" s="54">
        <v>61.870799999999996</v>
      </c>
      <c r="K189" s="41">
        <v>270.68181818181824</v>
      </c>
      <c r="L189" s="41">
        <v>259.24886311918965</v>
      </c>
      <c r="M189" s="39">
        <v>133.16107078303656</v>
      </c>
      <c r="N189" s="99"/>
      <c r="O189" s="23"/>
      <c r="P189" s="56"/>
    </row>
    <row r="190" spans="2:16" s="4" customFormat="1" ht="18" hidden="1" customHeight="1" outlineLevel="1" x14ac:dyDescent="0.2">
      <c r="B190" s="73" t="s">
        <v>40</v>
      </c>
      <c r="C190" s="37">
        <v>27.814132797934889</v>
      </c>
      <c r="D190" s="41">
        <v>245.89004032258063</v>
      </c>
      <c r="E190" s="41">
        <v>224.2281933701658</v>
      </c>
      <c r="F190" s="41">
        <v>120.55040122324161</v>
      </c>
      <c r="G190" s="41">
        <v>132.85453210205208</v>
      </c>
      <c r="H190" s="42">
        <v>116.55836269430054</v>
      </c>
      <c r="I190" s="41">
        <v>94.510025974025979</v>
      </c>
      <c r="J190" s="54">
        <v>54.218400000000003</v>
      </c>
      <c r="K190" s="41">
        <v>843</v>
      </c>
      <c r="L190" s="41">
        <v>111.16734521992505</v>
      </c>
      <c r="M190" s="39">
        <v>122.21671932798816</v>
      </c>
      <c r="N190" s="99"/>
      <c r="O190" s="23"/>
      <c r="P190" s="56"/>
    </row>
    <row r="191" spans="2:16" s="4" customFormat="1" ht="18" hidden="1" customHeight="1" outlineLevel="1" x14ac:dyDescent="0.2">
      <c r="B191" s="73" t="s">
        <v>41</v>
      </c>
      <c r="C191" s="37">
        <v>107.56784511687938</v>
      </c>
      <c r="D191" s="41">
        <v>239.38255645161288</v>
      </c>
      <c r="E191" s="41">
        <v>197.85837016574584</v>
      </c>
      <c r="F191" s="41">
        <v>128.89621406727829</v>
      </c>
      <c r="G191" s="41">
        <v>137.11169424214464</v>
      </c>
      <c r="H191" s="42">
        <v>114.05452849740934</v>
      </c>
      <c r="I191" s="41">
        <v>88.81106493506492</v>
      </c>
      <c r="J191" s="54">
        <v>62.611200000000011</v>
      </c>
      <c r="K191" s="41">
        <v>869.25</v>
      </c>
      <c r="L191" s="41">
        <v>4053.5499728042182</v>
      </c>
      <c r="M191" s="39">
        <v>1095.5447589450741</v>
      </c>
      <c r="N191" s="99"/>
      <c r="O191" s="23"/>
      <c r="P191" s="56"/>
    </row>
    <row r="192" spans="2:16" s="4" customFormat="1" ht="18" hidden="1" customHeight="1" outlineLevel="1" x14ac:dyDescent="0.2">
      <c r="B192" s="73" t="s">
        <v>42</v>
      </c>
      <c r="C192" s="37">
        <v>108.14476409006167</v>
      </c>
      <c r="D192" s="41">
        <v>308.76210483870966</v>
      </c>
      <c r="E192" s="41">
        <v>249.16939226519338</v>
      </c>
      <c r="F192" s="41">
        <v>108.94095535168198</v>
      </c>
      <c r="G192" s="61">
        <v>122.23569753500324</v>
      </c>
      <c r="H192" s="42">
        <v>289.27688082901557</v>
      </c>
      <c r="I192" s="41">
        <v>88.317636363636367</v>
      </c>
      <c r="J192" s="54">
        <v>55.807199999999995</v>
      </c>
      <c r="K192" s="41">
        <v>402.9545454545455</v>
      </c>
      <c r="L192" s="41">
        <v>221.09000783960036</v>
      </c>
      <c r="M192" s="39">
        <v>147.09448210985201</v>
      </c>
      <c r="N192" s="99"/>
      <c r="O192" s="23"/>
      <c r="P192" s="56"/>
    </row>
    <row r="193" spans="1:16" s="4" customFormat="1" ht="18" hidden="1" customHeight="1" outlineLevel="1" x14ac:dyDescent="0.2">
      <c r="B193" s="73" t="s">
        <v>43</v>
      </c>
      <c r="C193" s="37">
        <v>72.112373727233603</v>
      </c>
      <c r="D193" s="41">
        <v>230.19016935483873</v>
      </c>
      <c r="E193" s="41">
        <v>139.75976795580112</v>
      </c>
      <c r="F193" s="41">
        <v>95.682480733944956</v>
      </c>
      <c r="G193" s="61">
        <v>118.75927827974692</v>
      </c>
      <c r="H193" s="42">
        <v>199.65572020725389</v>
      </c>
      <c r="I193" s="41">
        <v>78.436701298701308</v>
      </c>
      <c r="J193" s="54">
        <v>56.558400000000006</v>
      </c>
      <c r="K193" s="41">
        <v>1061.659090909091</v>
      </c>
      <c r="L193" s="41">
        <v>2138.3400715970583</v>
      </c>
      <c r="M193" s="39">
        <v>610.76799439140359</v>
      </c>
      <c r="N193" s="99"/>
      <c r="O193" s="23"/>
      <c r="P193" s="56"/>
    </row>
    <row r="194" spans="1:16" s="4" customFormat="1" ht="18" hidden="1" customHeight="1" outlineLevel="1" x14ac:dyDescent="0.2">
      <c r="B194" s="73" t="s">
        <v>44</v>
      </c>
      <c r="C194" s="37">
        <v>73.768795353506377</v>
      </c>
      <c r="D194" s="41">
        <v>352.92524999999995</v>
      </c>
      <c r="E194" s="41">
        <v>282.24111602209945</v>
      </c>
      <c r="F194" s="41">
        <v>219.99979938837922</v>
      </c>
      <c r="G194" s="61">
        <v>134.32757227359937</v>
      </c>
      <c r="H194" s="42">
        <v>154.13853886010367</v>
      </c>
      <c r="I194" s="41">
        <v>106.07646753246752</v>
      </c>
      <c r="J194" s="54">
        <v>49.065600000000003</v>
      </c>
      <c r="K194" s="41">
        <v>1073.5909090909092</v>
      </c>
      <c r="L194" s="41">
        <v>4264.1077249202153</v>
      </c>
      <c r="M194" s="39">
        <v>1148.3327198378606</v>
      </c>
      <c r="N194" s="99"/>
      <c r="O194" s="23"/>
      <c r="P194" s="56"/>
    </row>
    <row r="195" spans="1:16" s="4" customFormat="1" ht="18" hidden="1" customHeight="1" outlineLevel="1" x14ac:dyDescent="0.2">
      <c r="B195" s="73" t="s">
        <v>45</v>
      </c>
      <c r="C195" s="37">
        <v>108.28384827190591</v>
      </c>
      <c r="D195" s="41">
        <v>208.32379838709679</v>
      </c>
      <c r="E195" s="41">
        <v>180.86072928176799</v>
      </c>
      <c r="F195" s="41">
        <v>279.32385688073396</v>
      </c>
      <c r="G195" s="61">
        <v>154.94968344741054</v>
      </c>
      <c r="H195" s="42">
        <v>150.07744041450781</v>
      </c>
      <c r="I195" s="41">
        <v>120.56693506493507</v>
      </c>
      <c r="J195" s="43">
        <v>48.830399999999997</v>
      </c>
      <c r="K195" s="41">
        <v>0</v>
      </c>
      <c r="L195" s="41">
        <v>268.43056021923132</v>
      </c>
      <c r="M195" s="39">
        <v>185.58131853003786</v>
      </c>
      <c r="N195" s="99"/>
      <c r="O195" s="23"/>
      <c r="P195" s="56"/>
    </row>
    <row r="196" spans="1:16" s="4" customFormat="1" ht="18" hidden="1" customHeight="1" outlineLevel="1" x14ac:dyDescent="0.2">
      <c r="B196" s="73" t="s">
        <v>46</v>
      </c>
      <c r="C196" s="37">
        <v>130.3602876810555</v>
      </c>
      <c r="D196" s="41">
        <v>205.30011290322582</v>
      </c>
      <c r="E196" s="41">
        <v>203.28861878453037</v>
      </c>
      <c r="F196" s="41">
        <v>321.14934189602451</v>
      </c>
      <c r="G196" s="61">
        <v>200.9018980143266</v>
      </c>
      <c r="H196" s="42">
        <v>159.46893264248706</v>
      </c>
      <c r="I196" s="41">
        <v>153.89820779220778</v>
      </c>
      <c r="J196" s="43">
        <v>51.662399999999998</v>
      </c>
      <c r="K196" s="41">
        <v>576.84545454545457</v>
      </c>
      <c r="L196" s="41">
        <v>139.8715458581934</v>
      </c>
      <c r="M196" s="39">
        <v>187.04614855132502</v>
      </c>
      <c r="N196" s="99"/>
      <c r="O196" s="23"/>
      <c r="P196" s="56"/>
    </row>
    <row r="197" spans="1:16" s="4" customFormat="1" ht="18" hidden="1" customHeight="1" outlineLevel="1" x14ac:dyDescent="0.2">
      <c r="B197" s="73" t="s">
        <v>47</v>
      </c>
      <c r="C197" s="37">
        <v>201.49360476122186</v>
      </c>
      <c r="D197" s="41">
        <v>194.45504032258063</v>
      </c>
      <c r="E197" s="41">
        <v>155.43901104972375</v>
      </c>
      <c r="F197" s="41">
        <v>408.24954128440368</v>
      </c>
      <c r="G197" s="61">
        <v>189.76072307457395</v>
      </c>
      <c r="H197" s="42">
        <v>351.78478756476687</v>
      </c>
      <c r="I197" s="41">
        <v>180.82225974025971</v>
      </c>
      <c r="J197" s="43">
        <v>53.968800000000002</v>
      </c>
      <c r="K197" s="41">
        <v>923.04545454545462</v>
      </c>
      <c r="L197" s="41">
        <v>139.07116671291797</v>
      </c>
      <c r="M197" s="39">
        <v>187.59851239627281</v>
      </c>
      <c r="N197" s="99"/>
      <c r="O197" s="23"/>
      <c r="P197" s="56"/>
    </row>
    <row r="198" spans="1:16" s="4" customFormat="1" ht="18" hidden="1" customHeight="1" outlineLevel="1" x14ac:dyDescent="0.2">
      <c r="B198" s="73" t="s">
        <v>48</v>
      </c>
      <c r="C198" s="37">
        <v>201.36478072565609</v>
      </c>
      <c r="D198" s="41">
        <v>344.51644354838714</v>
      </c>
      <c r="E198" s="41">
        <v>125.23183425414365</v>
      </c>
      <c r="F198" s="41">
        <v>540.14347767584093</v>
      </c>
      <c r="G198" s="61">
        <v>210.26549604657802</v>
      </c>
      <c r="H198" s="42">
        <v>149.12916062176166</v>
      </c>
      <c r="I198" s="41">
        <v>183.46789610389612</v>
      </c>
      <c r="J198" s="43">
        <v>51.541199999999996</v>
      </c>
      <c r="K198" s="41">
        <v>629.19927272727284</v>
      </c>
      <c r="L198" s="41">
        <v>200.13021645622311</v>
      </c>
      <c r="M198" s="39">
        <v>220.77018174401857</v>
      </c>
      <c r="N198" s="99"/>
      <c r="O198" s="23"/>
      <c r="P198" s="56"/>
    </row>
    <row r="199" spans="1:16" s="4" customFormat="1" ht="15" hidden="1" customHeight="1" outlineLevel="1" x14ac:dyDescent="0.2">
      <c r="A199" s="69"/>
      <c r="B199" s="68"/>
      <c r="C199" s="63"/>
      <c r="D199" s="64"/>
      <c r="E199" s="64"/>
      <c r="F199" s="64"/>
      <c r="G199" s="64"/>
      <c r="H199" s="65"/>
      <c r="I199" s="64"/>
      <c r="J199" s="62"/>
      <c r="K199" s="64"/>
      <c r="L199" s="64"/>
      <c r="M199" s="39"/>
      <c r="N199" s="99"/>
      <c r="O199" s="23"/>
      <c r="P199" s="56"/>
    </row>
    <row r="200" spans="1:16" s="4" customFormat="1" ht="18" hidden="1" customHeight="1" outlineLevel="1" x14ac:dyDescent="0.2">
      <c r="B200" s="52">
        <v>2008</v>
      </c>
      <c r="C200" s="37">
        <v>108.9742255126918</v>
      </c>
      <c r="D200" s="41">
        <v>291.8486491935484</v>
      </c>
      <c r="E200" s="41">
        <v>179.51553959484346</v>
      </c>
      <c r="F200" s="41">
        <v>844.14865300713564</v>
      </c>
      <c r="G200" s="61">
        <v>257.33469612093285</v>
      </c>
      <c r="H200" s="42">
        <v>189.29143264248705</v>
      </c>
      <c r="I200" s="41">
        <v>240.70866883116884</v>
      </c>
      <c r="J200" s="43">
        <v>50.904999999999994</v>
      </c>
      <c r="K200" s="41">
        <v>616.56296590909085</v>
      </c>
      <c r="L200" s="41">
        <v>592.4401429339531</v>
      </c>
      <c r="M200" s="39">
        <v>354.76222877549895</v>
      </c>
      <c r="N200" s="99"/>
      <c r="O200" s="23"/>
      <c r="P200" s="56"/>
    </row>
    <row r="201" spans="1:16" s="4" customFormat="1" ht="18" hidden="1" customHeight="1" outlineLevel="1" x14ac:dyDescent="0.2">
      <c r="B201" s="73" t="s">
        <v>37</v>
      </c>
      <c r="C201" s="37">
        <v>113.95464247812991</v>
      </c>
      <c r="D201" s="41">
        <v>344.29916129032256</v>
      </c>
      <c r="E201" s="41">
        <v>247.47230386740327</v>
      </c>
      <c r="F201" s="41">
        <v>550.16985810397546</v>
      </c>
      <c r="G201" s="61">
        <v>175.0394781615758</v>
      </c>
      <c r="H201" s="42">
        <v>200.89128497409328</v>
      </c>
      <c r="I201" s="41">
        <v>165.21202597402595</v>
      </c>
      <c r="J201" s="43">
        <v>59.630399999999995</v>
      </c>
      <c r="K201" s="41">
        <v>293.72727272727275</v>
      </c>
      <c r="L201" s="41">
        <v>104.61044123768558</v>
      </c>
      <c r="M201" s="39">
        <v>171.11495256911954</v>
      </c>
      <c r="N201" s="99"/>
      <c r="O201" s="23"/>
      <c r="P201" s="56"/>
    </row>
    <row r="202" spans="1:16" s="4" customFormat="1" ht="18" hidden="1" customHeight="1" outlineLevel="1" x14ac:dyDescent="0.2">
      <c r="B202" s="73" t="s">
        <v>38</v>
      </c>
      <c r="C202" s="37">
        <v>89.066765524164637</v>
      </c>
      <c r="D202" s="41">
        <v>235.10375806451611</v>
      </c>
      <c r="E202" s="41">
        <v>207.94357458563539</v>
      </c>
      <c r="F202" s="41">
        <v>498.22257737003059</v>
      </c>
      <c r="G202" s="61">
        <v>209.89143859416185</v>
      </c>
      <c r="H202" s="42">
        <v>129.1423212435233</v>
      </c>
      <c r="I202" s="41">
        <v>170.23254545454543</v>
      </c>
      <c r="J202" s="43">
        <v>46.943999999999996</v>
      </c>
      <c r="K202" s="41">
        <v>248.52272727272731</v>
      </c>
      <c r="L202" s="41">
        <v>4262.5939468572224</v>
      </c>
      <c r="M202" s="39">
        <v>1207.6695152388115</v>
      </c>
      <c r="N202" s="99"/>
      <c r="O202" s="23"/>
      <c r="P202" s="56"/>
    </row>
    <row r="203" spans="1:16" s="4" customFormat="1" ht="18" hidden="1" customHeight="1" outlineLevel="1" x14ac:dyDescent="0.2">
      <c r="B203" s="73" t="s">
        <v>39</v>
      </c>
      <c r="C203" s="37">
        <v>94.87161451312204</v>
      </c>
      <c r="D203" s="41">
        <v>278.21922580645162</v>
      </c>
      <c r="E203" s="41">
        <v>221.91835911602209</v>
      </c>
      <c r="F203" s="41">
        <v>500.57874984709485</v>
      </c>
      <c r="G203" s="61">
        <v>222.90401659706961</v>
      </c>
      <c r="H203" s="42">
        <v>189.19647668393782</v>
      </c>
      <c r="I203" s="41">
        <v>166.64602597402597</v>
      </c>
      <c r="J203" s="43">
        <v>46.1676</v>
      </c>
      <c r="K203" s="41">
        <v>564.40909090909111</v>
      </c>
      <c r="L203" s="41">
        <v>1478.5168405716663</v>
      </c>
      <c r="M203" s="39">
        <v>534.8352752673643</v>
      </c>
      <c r="N203" s="99"/>
      <c r="O203" s="23"/>
      <c r="P203" s="56"/>
    </row>
    <row r="204" spans="1:16" s="4" customFormat="1" ht="18" hidden="1" customHeight="1" outlineLevel="1" x14ac:dyDescent="0.2">
      <c r="B204" s="73" t="s">
        <v>40</v>
      </c>
      <c r="C204" s="37">
        <v>92.260411587551971</v>
      </c>
      <c r="D204" s="41">
        <v>249.09314516129032</v>
      </c>
      <c r="E204" s="41">
        <v>209.95861878453036</v>
      </c>
      <c r="F204" s="41">
        <v>851.48875107033643</v>
      </c>
      <c r="G204" s="61">
        <v>250.52002937017446</v>
      </c>
      <c r="H204" s="42">
        <v>141.52740932642487</v>
      </c>
      <c r="I204" s="41">
        <v>211.17511688311691</v>
      </c>
      <c r="J204" s="43">
        <v>50.712000000000003</v>
      </c>
      <c r="K204" s="41">
        <v>725.7087272727274</v>
      </c>
      <c r="L204" s="41">
        <v>89.022076592202012</v>
      </c>
      <c r="M204" s="39">
        <v>226.4859551057348</v>
      </c>
      <c r="N204" s="99"/>
      <c r="O204" s="23"/>
      <c r="P204" s="56"/>
    </row>
    <row r="205" spans="1:16" s="4" customFormat="1" ht="18" hidden="1" customHeight="1" outlineLevel="1" x14ac:dyDescent="0.2">
      <c r="B205" s="73" t="s">
        <v>41</v>
      </c>
      <c r="C205" s="37">
        <v>82.276389215545677</v>
      </c>
      <c r="D205" s="41">
        <v>241.10661290322579</v>
      </c>
      <c r="E205" s="41">
        <v>175.71048066298343</v>
      </c>
      <c r="F205" s="41">
        <v>682.65039999999988</v>
      </c>
      <c r="G205" s="61">
        <v>266.70782590337848</v>
      </c>
      <c r="H205" s="42">
        <v>187.78753367875649</v>
      </c>
      <c r="I205" s="41">
        <v>215.33924675324675</v>
      </c>
      <c r="J205" s="43">
        <v>51.866400000000006</v>
      </c>
      <c r="K205" s="41">
        <v>825.13636363636363</v>
      </c>
      <c r="L205" s="41">
        <v>138.42486651866241</v>
      </c>
      <c r="M205" s="39">
        <v>241.10812094173437</v>
      </c>
      <c r="N205" s="99"/>
      <c r="O205" s="23"/>
      <c r="P205" s="56"/>
    </row>
    <row r="206" spans="1:16" s="4" customFormat="1" ht="18" hidden="1" customHeight="1" outlineLevel="1" x14ac:dyDescent="0.2">
      <c r="B206" s="73" t="s">
        <v>42</v>
      </c>
      <c r="C206" s="37">
        <v>116.78014513122041</v>
      </c>
      <c r="D206" s="41">
        <v>348.04129838709679</v>
      </c>
      <c r="E206" s="41">
        <v>248.74055801104976</v>
      </c>
      <c r="F206" s="41">
        <v>890.43355840978597</v>
      </c>
      <c r="G206" s="61">
        <v>278.69203579655976</v>
      </c>
      <c r="H206" s="42">
        <v>223.78218652849742</v>
      </c>
      <c r="I206" s="41">
        <v>245.78446753246757</v>
      </c>
      <c r="J206" s="43">
        <v>55.156799999999997</v>
      </c>
      <c r="K206" s="41">
        <v>430.08218181818188</v>
      </c>
      <c r="L206" s="41">
        <v>154.38583620091578</v>
      </c>
      <c r="M206" s="39">
        <v>264.26417197996199</v>
      </c>
      <c r="N206" s="99"/>
      <c r="O206" s="23"/>
      <c r="P206" s="56"/>
    </row>
    <row r="207" spans="1:16" s="4" customFormat="1" ht="18" hidden="1" customHeight="1" outlineLevel="1" x14ac:dyDescent="0.2">
      <c r="B207" s="73" t="s">
        <v>43</v>
      </c>
      <c r="C207" s="37">
        <v>70.411233902194184</v>
      </c>
      <c r="D207" s="41">
        <v>242.80732258064515</v>
      </c>
      <c r="E207" s="41">
        <v>143.84205524861878</v>
      </c>
      <c r="F207" s="41">
        <v>984.28657003058095</v>
      </c>
      <c r="G207" s="61">
        <v>296.20672199908387</v>
      </c>
      <c r="H207" s="42">
        <v>244.77105699481868</v>
      </c>
      <c r="I207" s="41">
        <v>270.70348051948048</v>
      </c>
      <c r="J207" s="43">
        <v>49.645199999999988</v>
      </c>
      <c r="K207" s="41">
        <v>1460.3644090909092</v>
      </c>
      <c r="L207" s="41">
        <v>162.12303683918412</v>
      </c>
      <c r="M207" s="39">
        <v>277.81208224241885</v>
      </c>
      <c r="N207" s="99"/>
      <c r="O207" s="23"/>
      <c r="P207" s="56"/>
    </row>
    <row r="208" spans="1:16" s="4" customFormat="1" ht="18" hidden="1" customHeight="1" outlineLevel="1" x14ac:dyDescent="0.2">
      <c r="B208" s="73" t="s">
        <v>44</v>
      </c>
      <c r="C208" s="37">
        <v>133.4612964290836</v>
      </c>
      <c r="D208" s="41">
        <v>379.42882258064509</v>
      </c>
      <c r="E208" s="41">
        <v>217.4483867403315</v>
      </c>
      <c r="F208" s="41">
        <v>982.11125626911303</v>
      </c>
      <c r="G208" s="61">
        <v>280.99289600276177</v>
      </c>
      <c r="H208" s="42">
        <v>246.27861139896373</v>
      </c>
      <c r="I208" s="41">
        <v>246.86374025974024</v>
      </c>
      <c r="J208" s="43">
        <v>57.385200000000005</v>
      </c>
      <c r="K208" s="41">
        <v>531.18968181818195</v>
      </c>
      <c r="L208" s="41">
        <v>147.50670445400303</v>
      </c>
      <c r="M208" s="39">
        <v>268.71557140125685</v>
      </c>
      <c r="N208" s="99"/>
      <c r="O208" s="23"/>
      <c r="P208" s="56"/>
    </row>
    <row r="209" spans="2:16" s="4" customFormat="1" ht="18" hidden="1" customHeight="1" outlineLevel="1" x14ac:dyDescent="0.2">
      <c r="B209" s="73" t="s">
        <v>45</v>
      </c>
      <c r="C209" s="37">
        <v>136.53540886275636</v>
      </c>
      <c r="D209" s="41">
        <v>279.55398387096773</v>
      </c>
      <c r="E209" s="41">
        <v>233.47586740331485</v>
      </c>
      <c r="F209" s="41">
        <v>1172.3460562691132</v>
      </c>
      <c r="G209" s="61">
        <v>302.58601111339783</v>
      </c>
      <c r="H209" s="42">
        <v>176.78487046632128</v>
      </c>
      <c r="I209" s="41">
        <v>289.18561038961036</v>
      </c>
      <c r="J209" s="43">
        <v>48.063599999999994</v>
      </c>
      <c r="K209" s="41">
        <v>1979.5874999999999</v>
      </c>
      <c r="L209" s="41">
        <v>105.31934848064381</v>
      </c>
      <c r="M209" s="39">
        <v>280.75976790608149</v>
      </c>
      <c r="N209" s="99"/>
      <c r="O209" s="23"/>
      <c r="P209" s="56"/>
    </row>
    <row r="210" spans="2:16" s="4" customFormat="1" ht="18" hidden="1" customHeight="1" outlineLevel="1" x14ac:dyDescent="0.2">
      <c r="B210" s="73" t="s">
        <v>46</v>
      </c>
      <c r="C210" s="37">
        <v>110.08951871504374</v>
      </c>
      <c r="D210" s="41">
        <v>341.72523387096771</v>
      </c>
      <c r="E210" s="41">
        <v>165.4730497237569</v>
      </c>
      <c r="F210" s="41">
        <v>935.63581529051987</v>
      </c>
      <c r="G210" s="61">
        <v>240.79064328914089</v>
      </c>
      <c r="H210" s="42">
        <v>296.55690155440413</v>
      </c>
      <c r="I210" s="41">
        <v>277.98335064935065</v>
      </c>
      <c r="J210" s="43">
        <v>51.456000000000003</v>
      </c>
      <c r="K210" s="41">
        <v>273</v>
      </c>
      <c r="L210" s="41">
        <v>154.17665040932428</v>
      </c>
      <c r="M210" s="39">
        <v>240.78511662056567</v>
      </c>
      <c r="N210" s="99"/>
      <c r="O210" s="23"/>
      <c r="P210" s="56"/>
    </row>
    <row r="211" spans="2:16" s="4" customFormat="1" ht="18" hidden="1" customHeight="1" outlineLevel="1" x14ac:dyDescent="0.2">
      <c r="B211" s="73" t="s">
        <v>47</v>
      </c>
      <c r="C211" s="37">
        <v>142.24782876810553</v>
      </c>
      <c r="D211" s="41">
        <v>243.85555645161293</v>
      </c>
      <c r="E211" s="41">
        <v>48.250348066298351</v>
      </c>
      <c r="F211" s="41">
        <v>1060.9790776758412</v>
      </c>
      <c r="G211" s="61">
        <v>305.75883313306201</v>
      </c>
      <c r="H211" s="42">
        <v>155.55071502590675</v>
      </c>
      <c r="I211" s="41">
        <v>335.65410389610395</v>
      </c>
      <c r="J211" s="43">
        <v>47.52</v>
      </c>
      <c r="K211" s="41">
        <v>0</v>
      </c>
      <c r="L211" s="41">
        <v>141.2581754544193</v>
      </c>
      <c r="M211" s="39">
        <v>284.82264384137869</v>
      </c>
      <c r="N211" s="99"/>
      <c r="O211" s="23"/>
      <c r="P211" s="56"/>
    </row>
    <row r="212" spans="2:16" s="4" customFormat="1" ht="18" hidden="1" customHeight="1" outlineLevel="1" x14ac:dyDescent="0.2">
      <c r="B212" s="73" t="s">
        <v>48</v>
      </c>
      <c r="C212" s="37">
        <v>125.73545102538361</v>
      </c>
      <c r="D212" s="41">
        <v>318.94966935483865</v>
      </c>
      <c r="E212" s="41">
        <v>33.952872928176795</v>
      </c>
      <c r="F212" s="41">
        <v>1020.8811657492356</v>
      </c>
      <c r="G212" s="61">
        <v>257.92642349082848</v>
      </c>
      <c r="H212" s="42">
        <v>79.227823834196911</v>
      </c>
      <c r="I212" s="41">
        <v>293.72431168831167</v>
      </c>
      <c r="J212" s="43">
        <v>46.312800000000003</v>
      </c>
      <c r="K212" s="41">
        <v>67.027636363636375</v>
      </c>
      <c r="L212" s="41">
        <v>171.34379159150825</v>
      </c>
      <c r="M212" s="39">
        <v>258.77357219155903</v>
      </c>
      <c r="N212" s="99"/>
      <c r="O212" s="23"/>
      <c r="P212" s="56"/>
    </row>
    <row r="213" spans="2:16" s="4" customFormat="1" ht="15" hidden="1" customHeight="1" outlineLevel="1" x14ac:dyDescent="0.2">
      <c r="B213" s="45"/>
      <c r="C213" s="37"/>
      <c r="D213" s="41"/>
      <c r="E213" s="41"/>
      <c r="F213" s="41"/>
      <c r="G213" s="61"/>
      <c r="H213" s="42"/>
      <c r="I213" s="41"/>
      <c r="J213" s="43"/>
      <c r="K213" s="41"/>
      <c r="L213" s="41"/>
      <c r="M213" s="39"/>
      <c r="N213" s="99"/>
      <c r="O213" s="23"/>
      <c r="P213" s="56"/>
    </row>
    <row r="214" spans="2:16" s="4" customFormat="1" ht="18" hidden="1" customHeight="1" outlineLevel="1" x14ac:dyDescent="0.2">
      <c r="B214" s="52">
        <v>2009</v>
      </c>
      <c r="C214" s="37">
        <v>125.40962046464936</v>
      </c>
      <c r="D214" s="41">
        <v>260.17343951612895</v>
      </c>
      <c r="E214" s="41">
        <v>140.16021961325967</v>
      </c>
      <c r="F214" s="41">
        <v>860.74898725790024</v>
      </c>
      <c r="G214" s="61">
        <v>285.07008699520009</v>
      </c>
      <c r="H214" s="42">
        <v>174.08108031088085</v>
      </c>
      <c r="I214" s="41">
        <v>286.97447835497837</v>
      </c>
      <c r="J214" s="43">
        <v>38.811099999999996</v>
      </c>
      <c r="K214" s="41">
        <v>351.4837613636364</v>
      </c>
      <c r="L214" s="41">
        <v>173.05975926182879</v>
      </c>
      <c r="M214" s="39">
        <v>270.97694083780539</v>
      </c>
      <c r="N214" s="99"/>
      <c r="O214" s="23"/>
      <c r="P214" s="66"/>
    </row>
    <row r="215" spans="2:16" s="4" customFormat="1" ht="18" hidden="1" customHeight="1" outlineLevel="1" x14ac:dyDescent="0.2">
      <c r="B215" s="73" t="s">
        <v>37</v>
      </c>
      <c r="C215" s="37">
        <v>146.4306100674028</v>
      </c>
      <c r="D215" s="41">
        <v>454.74938709677411</v>
      </c>
      <c r="E215" s="41">
        <v>22.767237569060772</v>
      </c>
      <c r="F215" s="41">
        <v>891.15643547400623</v>
      </c>
      <c r="G215" s="61">
        <v>237.56534834593606</v>
      </c>
      <c r="H215" s="42">
        <v>120.38580310880829</v>
      </c>
      <c r="I215" s="41">
        <v>211.72625974025974</v>
      </c>
      <c r="J215" s="43">
        <v>51.303599999999996</v>
      </c>
      <c r="K215" s="41">
        <v>39.916636363636364</v>
      </c>
      <c r="L215" s="41">
        <v>66.568444637158322</v>
      </c>
      <c r="M215" s="39">
        <v>215.97339021809793</v>
      </c>
      <c r="N215" s="99"/>
      <c r="O215" s="23"/>
      <c r="P215" s="67"/>
    </row>
    <row r="216" spans="2:16" s="4" customFormat="1" ht="18" hidden="1" customHeight="1" outlineLevel="1" x14ac:dyDescent="0.2">
      <c r="B216" s="73" t="s">
        <v>38</v>
      </c>
      <c r="C216" s="37">
        <v>82.869274057077291</v>
      </c>
      <c r="D216" s="41">
        <v>203.09482258064514</v>
      </c>
      <c r="E216" s="41">
        <v>113.02055801104973</v>
      </c>
      <c r="F216" s="41">
        <v>976.10886238532112</v>
      </c>
      <c r="G216" s="61">
        <v>266.89193116863288</v>
      </c>
      <c r="H216" s="42">
        <v>55.912010362694303</v>
      </c>
      <c r="I216" s="41">
        <v>324.37958441558447</v>
      </c>
      <c r="J216" s="43">
        <v>39.979199999999999</v>
      </c>
      <c r="K216" s="41">
        <v>0</v>
      </c>
      <c r="L216" s="41">
        <v>42.324645206049674</v>
      </c>
      <c r="M216" s="39">
        <v>228.98079973486639</v>
      </c>
      <c r="N216" s="99"/>
      <c r="O216" s="23"/>
      <c r="P216" s="67"/>
    </row>
    <row r="217" spans="2:16" s="4" customFormat="1" ht="18" hidden="1" customHeight="1" outlineLevel="1" x14ac:dyDescent="0.2">
      <c r="B217" s="73" t="s">
        <v>39</v>
      </c>
      <c r="C217" s="37">
        <v>144.45039581241932</v>
      </c>
      <c r="D217" s="41">
        <v>216.2667822580645</v>
      </c>
      <c r="E217" s="41">
        <v>90.666944751381223</v>
      </c>
      <c r="F217" s="41">
        <v>794.89181529051984</v>
      </c>
      <c r="G217" s="61">
        <v>265.92088237988702</v>
      </c>
      <c r="H217" s="42">
        <v>70.299979274611417</v>
      </c>
      <c r="I217" s="41">
        <v>257.74911688311687</v>
      </c>
      <c r="J217" s="43">
        <v>40.837199999999996</v>
      </c>
      <c r="K217" s="41">
        <v>322.94822727272731</v>
      </c>
      <c r="L217" s="41">
        <v>102.72080796447898</v>
      </c>
      <c r="M217" s="39">
        <v>239.0855525614715</v>
      </c>
      <c r="N217" s="99"/>
      <c r="O217" s="23"/>
      <c r="P217" s="67"/>
    </row>
    <row r="218" spans="2:16" s="4" customFormat="1" ht="18" hidden="1" customHeight="1" outlineLevel="1" x14ac:dyDescent="0.2">
      <c r="B218" s="73" t="s">
        <v>40</v>
      </c>
      <c r="C218" s="37">
        <v>118.80108504230604</v>
      </c>
      <c r="D218" s="41">
        <v>332.11676612903221</v>
      </c>
      <c r="E218" s="41">
        <v>72.127403314917117</v>
      </c>
      <c r="F218" s="41">
        <v>902.4092501529052</v>
      </c>
      <c r="G218" s="61">
        <v>265.10177238114841</v>
      </c>
      <c r="H218" s="42">
        <v>50.387720207253892</v>
      </c>
      <c r="I218" s="41">
        <v>275.00225974025972</v>
      </c>
      <c r="J218" s="43">
        <v>42.59879999999999</v>
      </c>
      <c r="K218" s="41">
        <v>0</v>
      </c>
      <c r="L218" s="41">
        <v>299.64206216178712</v>
      </c>
      <c r="M218" s="39">
        <v>289.71769899682607</v>
      </c>
      <c r="N218" s="99"/>
      <c r="O218" s="23"/>
      <c r="P218" s="67"/>
    </row>
    <row r="219" spans="2:16" s="4" customFormat="1" ht="18" hidden="1" customHeight="1" outlineLevel="1" x14ac:dyDescent="0.2">
      <c r="B219" s="73" t="s">
        <v>41</v>
      </c>
      <c r="C219" s="37">
        <v>128.36882891151583</v>
      </c>
      <c r="D219" s="41">
        <v>234.74847580645161</v>
      </c>
      <c r="E219" s="41">
        <v>137.34183425414363</v>
      </c>
      <c r="F219" s="41">
        <v>818.10981406727831</v>
      </c>
      <c r="G219" s="61">
        <v>291.94094518319849</v>
      </c>
      <c r="H219" s="42">
        <v>137.06042487046633</v>
      </c>
      <c r="I219" s="41">
        <v>263.38194805194803</v>
      </c>
      <c r="J219" s="43">
        <v>33.67199999999999</v>
      </c>
      <c r="K219" s="41">
        <v>0</v>
      </c>
      <c r="L219" s="41">
        <v>126.92279783543775</v>
      </c>
      <c r="M219" s="39">
        <v>262.15169825751104</v>
      </c>
      <c r="N219" s="99"/>
      <c r="O219" s="23"/>
      <c r="P219" s="67"/>
    </row>
    <row r="220" spans="2:16" s="4" customFormat="1" ht="18" hidden="1" customHeight="1" outlineLevel="1" x14ac:dyDescent="0.2">
      <c r="B220" s="73" t="s">
        <v>42</v>
      </c>
      <c r="C220" s="37">
        <v>122.66731363831921</v>
      </c>
      <c r="D220" s="41">
        <v>84.068104838709672</v>
      </c>
      <c r="E220" s="41">
        <v>220.86206629834254</v>
      </c>
      <c r="F220" s="41">
        <v>778.61093211009177</v>
      </c>
      <c r="G220" s="61">
        <v>254.9355387873517</v>
      </c>
      <c r="H220" s="42">
        <v>183.81519170984456</v>
      </c>
      <c r="I220" s="41">
        <v>303.73802597402596</v>
      </c>
      <c r="J220" s="43">
        <v>37.105200000000004</v>
      </c>
      <c r="K220" s="41">
        <v>1.1331818181818185</v>
      </c>
      <c r="L220" s="41">
        <v>209.97151977244346</v>
      </c>
      <c r="M220" s="39">
        <v>257.43821157155429</v>
      </c>
      <c r="N220" s="99"/>
      <c r="O220" s="23"/>
      <c r="P220" s="67"/>
    </row>
    <row r="221" spans="2:16" s="4" customFormat="1" ht="18" hidden="1" customHeight="1" outlineLevel="1" x14ac:dyDescent="0.2">
      <c r="B221" s="73" t="s">
        <v>43</v>
      </c>
      <c r="C221" s="37">
        <v>113.07162627276637</v>
      </c>
      <c r="D221" s="41">
        <v>272.00380645161289</v>
      </c>
      <c r="E221" s="41">
        <v>176.15688950276243</v>
      </c>
      <c r="F221" s="41">
        <v>1009.7455070336391</v>
      </c>
      <c r="G221" s="61">
        <v>306.38515125241491</v>
      </c>
      <c r="H221" s="42">
        <v>150.33770984455958</v>
      </c>
      <c r="I221" s="41">
        <v>307.84849350649347</v>
      </c>
      <c r="J221" s="43">
        <v>36.041999999999994</v>
      </c>
      <c r="K221" s="41">
        <v>0</v>
      </c>
      <c r="L221" s="41">
        <v>281.9656625502983</v>
      </c>
      <c r="M221" s="39">
        <v>317.00528543931881</v>
      </c>
      <c r="N221" s="99"/>
      <c r="O221" s="23"/>
      <c r="P221" s="67"/>
    </row>
    <row r="222" spans="2:16" s="4" customFormat="1" ht="18" hidden="1" customHeight="1" outlineLevel="1" x14ac:dyDescent="0.2">
      <c r="B222" s="73" t="s">
        <v>44</v>
      </c>
      <c r="C222" s="37">
        <v>112.9895924279363</v>
      </c>
      <c r="D222" s="41">
        <v>250.05996774193548</v>
      </c>
      <c r="E222" s="41">
        <v>138.99569613259666</v>
      </c>
      <c r="F222" s="41">
        <v>830.5071400611622</v>
      </c>
      <c r="G222" s="61">
        <v>314.56426199470224</v>
      </c>
      <c r="H222" s="42">
        <v>211.11777202072543</v>
      </c>
      <c r="I222" s="41">
        <v>303.63527272727276</v>
      </c>
      <c r="J222" s="43">
        <v>30.676799999999993</v>
      </c>
      <c r="K222" s="41">
        <v>1324.3253181818184</v>
      </c>
      <c r="L222" s="41">
        <v>161.93540092965173</v>
      </c>
      <c r="M222" s="39">
        <v>285.55668440172849</v>
      </c>
      <c r="N222" s="99"/>
      <c r="O222" s="23"/>
      <c r="P222" s="67"/>
    </row>
    <row r="223" spans="2:16" s="4" customFormat="1" ht="18" hidden="1" customHeight="1" outlineLevel="1" x14ac:dyDescent="0.2">
      <c r="B223" s="73" t="s">
        <v>45</v>
      </c>
      <c r="C223" s="37">
        <v>124.4493325684784</v>
      </c>
      <c r="D223" s="41">
        <v>214.52482258064515</v>
      </c>
      <c r="E223" s="41">
        <v>140.30725966850832</v>
      </c>
      <c r="F223" s="41">
        <v>924.6188183486239</v>
      </c>
      <c r="G223" s="61">
        <v>315.70794359651859</v>
      </c>
      <c r="H223" s="42">
        <v>165.83953367875648</v>
      </c>
      <c r="I223" s="41">
        <v>331.92257142857142</v>
      </c>
      <c r="J223" s="43">
        <v>40.335599999999999</v>
      </c>
      <c r="K223" s="41">
        <v>273.42272727272729</v>
      </c>
      <c r="L223" s="41">
        <v>206.069679478285</v>
      </c>
      <c r="M223" s="39">
        <v>301.22830301716999</v>
      </c>
      <c r="N223" s="99"/>
      <c r="O223" s="23"/>
      <c r="P223" s="67"/>
    </row>
    <row r="224" spans="2:16" s="4" customFormat="1" ht="18" hidden="1" customHeight="1" outlineLevel="1" x14ac:dyDescent="0.2">
      <c r="B224" s="73" t="s">
        <v>46</v>
      </c>
      <c r="C224" s="37">
        <v>121.65686562455184</v>
      </c>
      <c r="D224" s="41">
        <v>305.26441935483871</v>
      </c>
      <c r="E224" s="41">
        <v>179.50806629834256</v>
      </c>
      <c r="F224" s="41">
        <v>789.36241834862381</v>
      </c>
      <c r="G224" s="61">
        <v>274.21960028945296</v>
      </c>
      <c r="H224" s="42">
        <v>211.78461139896376</v>
      </c>
      <c r="I224" s="41">
        <v>318.03615584415581</v>
      </c>
      <c r="J224" s="43">
        <v>38.390400000000007</v>
      </c>
      <c r="K224" s="41">
        <v>263.02063636363636</v>
      </c>
      <c r="L224" s="41">
        <v>224.14275301789922</v>
      </c>
      <c r="M224" s="39">
        <v>273.89659221679779</v>
      </c>
      <c r="N224" s="99"/>
      <c r="O224" s="23"/>
      <c r="P224" s="67"/>
    </row>
    <row r="225" spans="2:16" s="4" customFormat="1" ht="18" hidden="1" customHeight="1" outlineLevel="1" x14ac:dyDescent="0.2">
      <c r="B225" s="73" t="s">
        <v>47</v>
      </c>
      <c r="C225" s="37">
        <v>160.11546737415745</v>
      </c>
      <c r="D225" s="41">
        <v>284.65708064516127</v>
      </c>
      <c r="E225" s="41">
        <v>147.43389502762432</v>
      </c>
      <c r="F225" s="41">
        <v>867.47987155963312</v>
      </c>
      <c r="G225" s="61">
        <v>316.91331467380115</v>
      </c>
      <c r="H225" s="42">
        <v>367.31751295336795</v>
      </c>
      <c r="I225" s="41">
        <v>275.621974025974</v>
      </c>
      <c r="J225" s="43">
        <v>47.292000000000002</v>
      </c>
      <c r="K225" s="41">
        <v>1027.5620454545456</v>
      </c>
      <c r="L225" s="41">
        <v>177.95401123907311</v>
      </c>
      <c r="M225" s="39">
        <v>295.55959184714021</v>
      </c>
      <c r="N225" s="99"/>
      <c r="O225" s="23"/>
      <c r="P225" s="67"/>
    </row>
    <row r="226" spans="2:16" s="4" customFormat="1" ht="18" hidden="1" customHeight="1" outlineLevel="1" x14ac:dyDescent="0.2">
      <c r="B226" s="73" t="s">
        <v>48</v>
      </c>
      <c r="C226" s="37">
        <v>129.0450537788613</v>
      </c>
      <c r="D226" s="41">
        <v>270.52683870967741</v>
      </c>
      <c r="E226" s="41">
        <v>242.73478453038675</v>
      </c>
      <c r="F226" s="41">
        <v>745.986982262997</v>
      </c>
      <c r="G226" s="61">
        <v>310.69435388935727</v>
      </c>
      <c r="H226" s="42">
        <v>364.71469430051815</v>
      </c>
      <c r="I226" s="41">
        <v>270.65207792207798</v>
      </c>
      <c r="J226" s="43">
        <v>27.500399999999996</v>
      </c>
      <c r="K226" s="41">
        <v>965.47636363636377</v>
      </c>
      <c r="L226" s="41">
        <v>176.49932634938256</v>
      </c>
      <c r="M226" s="39">
        <v>285.12948179118172</v>
      </c>
      <c r="N226" s="99"/>
      <c r="O226" s="23"/>
      <c r="P226" s="67"/>
    </row>
    <row r="227" spans="2:16" s="4" customFormat="1" ht="15" hidden="1" customHeight="1" outlineLevel="1" x14ac:dyDescent="0.2">
      <c r="B227" s="45"/>
      <c r="C227" s="37"/>
      <c r="D227" s="41"/>
      <c r="E227" s="41"/>
      <c r="F227" s="41"/>
      <c r="G227" s="61"/>
      <c r="H227" s="42"/>
      <c r="I227" s="41"/>
      <c r="J227" s="43"/>
      <c r="K227" s="41"/>
      <c r="L227" s="41"/>
      <c r="M227" s="39"/>
      <c r="N227" s="99"/>
      <c r="O227" s="23"/>
      <c r="P227" s="67"/>
    </row>
    <row r="228" spans="2:16" s="72" customFormat="1" ht="18" hidden="1" customHeight="1" outlineLevel="1" x14ac:dyDescent="0.2">
      <c r="B228" s="52">
        <v>2010</v>
      </c>
      <c r="C228" s="37">
        <v>127.54244191882975</v>
      </c>
      <c r="D228" s="61">
        <v>305.9620100806452</v>
      </c>
      <c r="E228" s="61">
        <v>233.29453038674032</v>
      </c>
      <c r="F228" s="61">
        <v>747.41009398572885</v>
      </c>
      <c r="G228" s="61">
        <v>274.02970741357905</v>
      </c>
      <c r="H228" s="70">
        <v>360.49609585492232</v>
      </c>
      <c r="I228" s="61">
        <v>276.02058658008656</v>
      </c>
      <c r="J228" s="54">
        <v>24.483800000000002</v>
      </c>
      <c r="K228" s="61">
        <v>420.01235227272736</v>
      </c>
      <c r="L228" s="61">
        <v>222.66912621409739</v>
      </c>
      <c r="M228" s="39">
        <v>272.73152949824305</v>
      </c>
      <c r="N228" s="100"/>
      <c r="O228" s="23"/>
      <c r="P228" s="71"/>
    </row>
    <row r="229" spans="2:16" s="4" customFormat="1" ht="18" hidden="1" customHeight="1" outlineLevel="1" x14ac:dyDescent="0.2">
      <c r="B229" s="73" t="s">
        <v>37</v>
      </c>
      <c r="C229" s="37">
        <v>151.09368650509106</v>
      </c>
      <c r="D229" s="41">
        <v>185.49055645161289</v>
      </c>
      <c r="E229" s="41">
        <v>141.26714364640887</v>
      </c>
      <c r="F229" s="41">
        <v>690.02177247706425</v>
      </c>
      <c r="G229" s="61">
        <v>271.9610544051942</v>
      </c>
      <c r="H229" s="42">
        <v>266.04301554404145</v>
      </c>
      <c r="I229" s="41">
        <v>244.65189610389606</v>
      </c>
      <c r="J229" s="62">
        <v>28.425600000000003</v>
      </c>
      <c r="K229" s="41">
        <v>266.60454545454547</v>
      </c>
      <c r="L229" s="41">
        <v>72.300313861523506</v>
      </c>
      <c r="M229" s="39">
        <v>232.19732694293248</v>
      </c>
      <c r="N229" s="99"/>
      <c r="O229" s="23"/>
      <c r="P229" s="67"/>
    </row>
    <row r="230" spans="2:16" s="4" customFormat="1" ht="18" hidden="1" customHeight="1" outlineLevel="1" x14ac:dyDescent="0.2">
      <c r="B230" s="73" t="s">
        <v>38</v>
      </c>
      <c r="C230" s="37">
        <v>122.82564807113151</v>
      </c>
      <c r="D230" s="41">
        <v>403.3087258064516</v>
      </c>
      <c r="E230" s="41">
        <v>129.3078453038674</v>
      </c>
      <c r="F230" s="41">
        <v>679.81400978593274</v>
      </c>
      <c r="G230" s="61">
        <v>243.8745393250968</v>
      </c>
      <c r="H230" s="42">
        <v>225.21575129533682</v>
      </c>
      <c r="I230" s="41">
        <v>214.64519480519476</v>
      </c>
      <c r="J230" s="62">
        <v>23.962800000000005</v>
      </c>
      <c r="K230" s="41">
        <v>319.6159090909091</v>
      </c>
      <c r="L230" s="41">
        <v>102.32386887748025</v>
      </c>
      <c r="M230" s="39">
        <v>219.71858377840951</v>
      </c>
      <c r="N230" s="99"/>
      <c r="O230" s="23"/>
      <c r="P230" s="67"/>
    </row>
    <row r="231" spans="2:16" s="4" customFormat="1" ht="18" hidden="1" customHeight="1" outlineLevel="1" x14ac:dyDescent="0.2">
      <c r="B231" s="73" t="s">
        <v>39</v>
      </c>
      <c r="C231" s="37">
        <v>118.96044084325254</v>
      </c>
      <c r="D231" s="41">
        <v>413.33511290322576</v>
      </c>
      <c r="E231" s="41">
        <v>361.52386187845298</v>
      </c>
      <c r="F231" s="41">
        <v>917.3550336391437</v>
      </c>
      <c r="G231" s="61">
        <v>287.70655945402285</v>
      </c>
      <c r="H231" s="42">
        <v>343.62186528497421</v>
      </c>
      <c r="I231" s="41">
        <v>333.84251948051946</v>
      </c>
      <c r="J231" s="62">
        <v>22.5564</v>
      </c>
      <c r="K231" s="41">
        <v>348.92045454545456</v>
      </c>
      <c r="L231" s="41">
        <v>222.09184362425418</v>
      </c>
      <c r="M231" s="39">
        <v>289.387438273572</v>
      </c>
      <c r="N231" s="99"/>
      <c r="O231" s="23"/>
      <c r="P231" s="67"/>
    </row>
    <row r="232" spans="2:16" s="4" customFormat="1" ht="18" hidden="1" customHeight="1" outlineLevel="1" x14ac:dyDescent="0.2">
      <c r="B232" s="73" t="s">
        <v>40</v>
      </c>
      <c r="C232" s="37">
        <v>116.70415689086477</v>
      </c>
      <c r="D232" s="41">
        <v>265.22220967741936</v>
      </c>
      <c r="E232" s="41">
        <v>318.80858563535912</v>
      </c>
      <c r="F232" s="41">
        <v>457.7150727828747</v>
      </c>
      <c r="G232" s="61">
        <v>200.38098844180075</v>
      </c>
      <c r="H232" s="42">
        <v>240.78304663212438</v>
      </c>
      <c r="I232" s="41">
        <v>251.43958441558445</v>
      </c>
      <c r="J232" s="62">
        <v>26.092799999999997</v>
      </c>
      <c r="K232" s="41">
        <v>0</v>
      </c>
      <c r="L232" s="41">
        <v>254.82879811294575</v>
      </c>
      <c r="M232" s="39">
        <v>221.05819285923701</v>
      </c>
      <c r="N232" s="99"/>
      <c r="O232" s="23"/>
      <c r="P232" s="67"/>
    </row>
    <row r="233" spans="2:16" s="4" customFormat="1" ht="18" hidden="1" customHeight="1" outlineLevel="1" x14ac:dyDescent="0.2">
      <c r="B233" s="73" t="s">
        <v>41</v>
      </c>
      <c r="C233" s="37">
        <v>129.94066284239204</v>
      </c>
      <c r="D233" s="41">
        <v>254.28907258064515</v>
      </c>
      <c r="E233" s="41">
        <v>285.72660773480663</v>
      </c>
      <c r="F233" s="41">
        <v>773.35719510703382</v>
      </c>
      <c r="G233" s="61">
        <v>332.59010371176856</v>
      </c>
      <c r="H233" s="42">
        <v>423.6741761658032</v>
      </c>
      <c r="I233" s="41">
        <v>354.27825974025984</v>
      </c>
      <c r="J233" s="62">
        <v>26.1492</v>
      </c>
      <c r="K233" s="41">
        <v>546.62727272727273</v>
      </c>
      <c r="L233" s="41">
        <v>178.43091591508255</v>
      </c>
      <c r="M233" s="39">
        <v>301.27688722897091</v>
      </c>
      <c r="N233" s="99"/>
      <c r="O233" s="23"/>
      <c r="P233" s="67"/>
    </row>
    <row r="234" spans="2:16" s="4" customFormat="1" ht="18" hidden="1" customHeight="1" outlineLevel="1" x14ac:dyDescent="0.2">
      <c r="B234" s="73" t="s">
        <v>42</v>
      </c>
      <c r="C234" s="37">
        <v>114.85823920837517</v>
      </c>
      <c r="D234" s="41">
        <v>334.06901612903221</v>
      </c>
      <c r="E234" s="41">
        <v>362.13182872928178</v>
      </c>
      <c r="F234" s="41">
        <v>837.6812305810397</v>
      </c>
      <c r="G234" s="61">
        <v>284.30348448173993</v>
      </c>
      <c r="H234" s="42">
        <v>320.90148186528501</v>
      </c>
      <c r="I234" s="41">
        <v>315.36046753246757</v>
      </c>
      <c r="J234" s="62">
        <v>26.558399999999995</v>
      </c>
      <c r="K234" s="41">
        <v>0</v>
      </c>
      <c r="L234" s="41">
        <v>149.85744900790897</v>
      </c>
      <c r="M234" s="39">
        <v>265.58435701265762</v>
      </c>
      <c r="N234" s="99"/>
      <c r="O234" s="23"/>
      <c r="P234" s="67"/>
    </row>
    <row r="235" spans="2:16" s="4" customFormat="1" ht="18" hidden="1" customHeight="1" outlineLevel="1" x14ac:dyDescent="0.2">
      <c r="B235" s="73" t="s">
        <v>63</v>
      </c>
      <c r="C235" s="37">
        <v>162.37576279936897</v>
      </c>
      <c r="D235" s="41">
        <v>385.97690322580644</v>
      </c>
      <c r="E235" s="41">
        <v>192.18775138121546</v>
      </c>
      <c r="F235" s="41">
        <v>674.11892477064225</v>
      </c>
      <c r="G235" s="61">
        <v>256.29136822258664</v>
      </c>
      <c r="H235" s="42">
        <v>1017.5972331606218</v>
      </c>
      <c r="I235" s="41">
        <v>279.28761038961039</v>
      </c>
      <c r="J235" s="62">
        <v>29.183999999999997</v>
      </c>
      <c r="K235" s="41">
        <v>811.73318181818183</v>
      </c>
      <c r="L235" s="41">
        <v>185.65620570278892</v>
      </c>
      <c r="M235" s="39">
        <v>252.34065360543519</v>
      </c>
      <c r="N235" s="99"/>
      <c r="O235" s="23"/>
      <c r="P235" s="67"/>
    </row>
    <row r="236" spans="2:16" s="4" customFormat="1" ht="18" hidden="1" customHeight="1" outlineLevel="1" x14ac:dyDescent="0.2">
      <c r="B236" s="73" t="s">
        <v>64</v>
      </c>
      <c r="C236" s="37">
        <v>138.82579205506954</v>
      </c>
      <c r="D236" s="41">
        <v>315.36324193548387</v>
      </c>
      <c r="E236" s="41">
        <v>224.94855801104976</v>
      </c>
      <c r="F236" s="41">
        <v>671.83184587155972</v>
      </c>
      <c r="G236" s="61">
        <v>245.92385928340497</v>
      </c>
      <c r="H236" s="42">
        <v>282.59020725388598</v>
      </c>
      <c r="I236" s="41">
        <v>185.74581818181818</v>
      </c>
      <c r="J236" s="62">
        <v>19.898399999999999</v>
      </c>
      <c r="K236" s="41">
        <v>703.74545454545455</v>
      </c>
      <c r="L236" s="41">
        <v>128.11893991952269</v>
      </c>
      <c r="M236" s="39">
        <v>228.84287394679484</v>
      </c>
      <c r="N236" s="99"/>
      <c r="O236" s="23"/>
      <c r="P236" s="67"/>
    </row>
    <row r="237" spans="2:16" s="4" customFormat="1" ht="18" hidden="1" customHeight="1" outlineLevel="1" x14ac:dyDescent="0.2">
      <c r="B237" s="73" t="s">
        <v>65</v>
      </c>
      <c r="C237" s="37">
        <v>123.85743295568619</v>
      </c>
      <c r="D237" s="41">
        <v>271.16823387096775</v>
      </c>
      <c r="E237" s="41">
        <v>126.61414917127074</v>
      </c>
      <c r="F237" s="41">
        <v>793.59412966360867</v>
      </c>
      <c r="G237" s="61">
        <v>322.03561444343393</v>
      </c>
      <c r="H237" s="42">
        <v>324.04949222797933</v>
      </c>
      <c r="I237" s="41">
        <v>303.38610389610392</v>
      </c>
      <c r="J237" s="62">
        <v>23.744400000000002</v>
      </c>
      <c r="K237" s="41">
        <v>442.83245454545454</v>
      </c>
      <c r="L237" s="41">
        <v>327.23232725128344</v>
      </c>
      <c r="M237" s="39">
        <v>329.72277115651815</v>
      </c>
      <c r="N237" s="99"/>
      <c r="O237" s="23"/>
      <c r="P237" s="67"/>
    </row>
    <row r="238" spans="2:16" s="4" customFormat="1" ht="18" hidden="1" customHeight="1" outlineLevel="1" x14ac:dyDescent="0.2">
      <c r="B238" s="73" t="s">
        <v>46</v>
      </c>
      <c r="C238" s="37">
        <v>116.29874257851715</v>
      </c>
      <c r="D238" s="41">
        <v>241.47249193548387</v>
      </c>
      <c r="E238" s="41">
        <v>207.5248839779006</v>
      </c>
      <c r="F238" s="41">
        <v>934.51719877675851</v>
      </c>
      <c r="G238" s="61">
        <v>289.565446919252</v>
      </c>
      <c r="H238" s="42">
        <v>189.65269430051814</v>
      </c>
      <c r="I238" s="41">
        <v>298.891064935065</v>
      </c>
      <c r="J238" s="62">
        <v>21.560399999999998</v>
      </c>
      <c r="K238" s="41">
        <v>683.20077272727281</v>
      </c>
      <c r="L238" s="41">
        <v>342.8381765644512</v>
      </c>
      <c r="M238" s="39">
        <v>318.73523126537594</v>
      </c>
      <c r="N238" s="99"/>
      <c r="O238" s="23"/>
      <c r="P238" s="67"/>
    </row>
    <row r="239" spans="2:16" s="4" customFormat="1" ht="18" hidden="1" customHeight="1" outlineLevel="1" x14ac:dyDescent="0.2">
      <c r="B239" s="73" t="s">
        <v>47</v>
      </c>
      <c r="C239" s="37">
        <v>128.25706267029972</v>
      </c>
      <c r="D239" s="41">
        <v>302.90644354838713</v>
      </c>
      <c r="E239" s="41">
        <v>214.45741436464084</v>
      </c>
      <c r="F239" s="41">
        <v>507.06814434250765</v>
      </c>
      <c r="G239" s="61">
        <v>259.91237334112293</v>
      </c>
      <c r="H239" s="42">
        <v>245.07037305699487</v>
      </c>
      <c r="I239" s="41">
        <v>241.62475324675324</v>
      </c>
      <c r="J239" s="62">
        <v>23.224799999999998</v>
      </c>
      <c r="K239" s="41">
        <v>576.84545454545457</v>
      </c>
      <c r="L239" s="41">
        <v>364.01420376023316</v>
      </c>
      <c r="M239" s="39">
        <v>287.96837455226836</v>
      </c>
      <c r="N239" s="99"/>
      <c r="O239" s="23"/>
      <c r="P239" s="67"/>
    </row>
    <row r="240" spans="2:16" s="4" customFormat="1" ht="18" hidden="1" customHeight="1" outlineLevel="1" x14ac:dyDescent="0.2">
      <c r="B240" s="73" t="s">
        <v>48</v>
      </c>
      <c r="C240" s="37">
        <v>106.51167560590849</v>
      </c>
      <c r="D240" s="41">
        <v>298.94211290322579</v>
      </c>
      <c r="E240" s="41">
        <v>235.03573480662988</v>
      </c>
      <c r="F240" s="41">
        <v>1031.846570030581</v>
      </c>
      <c r="G240" s="61">
        <v>293.81109693352539</v>
      </c>
      <c r="H240" s="42">
        <v>446.75381347150267</v>
      </c>
      <c r="I240" s="41">
        <v>289.09376623376625</v>
      </c>
      <c r="J240" s="62">
        <v>22.448399999999996</v>
      </c>
      <c r="K240" s="41">
        <v>340.02272727272731</v>
      </c>
      <c r="L240" s="41">
        <v>344.33647197169421</v>
      </c>
      <c r="M240" s="39">
        <v>325.94566335674489</v>
      </c>
      <c r="N240" s="99"/>
      <c r="O240" s="23"/>
      <c r="P240" s="67"/>
    </row>
    <row r="241" spans="2:26" s="4" customFormat="1" ht="15" hidden="1" customHeight="1" outlineLevel="1" x14ac:dyDescent="0.2">
      <c r="B241" s="73"/>
      <c r="C241" s="37"/>
      <c r="D241" s="41"/>
      <c r="E241" s="41"/>
      <c r="F241" s="41"/>
      <c r="G241" s="61"/>
      <c r="H241" s="42"/>
      <c r="I241" s="41"/>
      <c r="J241" s="62"/>
      <c r="K241" s="41"/>
      <c r="L241" s="41"/>
      <c r="M241" s="39"/>
      <c r="N241" s="99"/>
      <c r="O241" s="23"/>
      <c r="P241" s="67"/>
    </row>
    <row r="242" spans="2:26" s="4" customFormat="1" ht="18" hidden="1" customHeight="1" x14ac:dyDescent="0.2">
      <c r="B242" s="52">
        <v>2011</v>
      </c>
      <c r="C242" s="37">
        <v>123.49886856446291</v>
      </c>
      <c r="D242" s="41">
        <v>285.80493548387096</v>
      </c>
      <c r="E242" s="41">
        <v>183.9198908839779</v>
      </c>
      <c r="F242" s="41">
        <v>1018.9901399592253</v>
      </c>
      <c r="G242" s="61">
        <v>283.37783565581663</v>
      </c>
      <c r="H242" s="42">
        <v>331.86186010362695</v>
      </c>
      <c r="I242" s="41">
        <v>265.07625108225113</v>
      </c>
      <c r="J242" s="62">
        <v>64.1858</v>
      </c>
      <c r="K242" s="41">
        <v>671.97884090909088</v>
      </c>
      <c r="L242" s="41">
        <v>335.58493124739834</v>
      </c>
      <c r="M242" s="39">
        <v>316.98591668684912</v>
      </c>
      <c r="N242" s="99"/>
      <c r="O242" s="23"/>
      <c r="P242"/>
      <c r="Q242"/>
      <c r="R242"/>
      <c r="S242"/>
      <c r="T242"/>
      <c r="U242"/>
      <c r="V242"/>
      <c r="W242"/>
      <c r="X242"/>
      <c r="Y242"/>
      <c r="Z242"/>
    </row>
    <row r="243" spans="2:26" s="4" customFormat="1" ht="18" hidden="1" customHeight="1" x14ac:dyDescent="0.2">
      <c r="B243" s="73" t="s">
        <v>37</v>
      </c>
      <c r="C243" s="37">
        <v>132.78272852430806</v>
      </c>
      <c r="D243" s="41">
        <v>293.75366129032255</v>
      </c>
      <c r="E243" s="41">
        <v>193.22912154696135</v>
      </c>
      <c r="F243" s="41">
        <v>991.61775412844031</v>
      </c>
      <c r="G243" s="61">
        <v>328.66510764859368</v>
      </c>
      <c r="H243" s="42">
        <v>3181.3281724899348</v>
      </c>
      <c r="I243" s="41">
        <v>262.38501298701306</v>
      </c>
      <c r="J243" s="62">
        <v>33.398400000000002</v>
      </c>
      <c r="K243" s="41">
        <v>1832.1679090909088</v>
      </c>
      <c r="L243" s="41">
        <v>269.87529582350493</v>
      </c>
      <c r="M243" s="39">
        <v>329.77711407120364</v>
      </c>
      <c r="N243" s="99"/>
      <c r="O243" s="23"/>
      <c r="P243"/>
      <c r="Q243"/>
      <c r="R243"/>
      <c r="S243"/>
      <c r="T243"/>
      <c r="U243"/>
      <c r="V243"/>
      <c r="W243"/>
      <c r="X243"/>
      <c r="Y243"/>
      <c r="Z243"/>
    </row>
    <row r="244" spans="2:26" s="4" customFormat="1" ht="18" hidden="1" customHeight="1" x14ac:dyDescent="0.2">
      <c r="B244" s="73" t="s">
        <v>38</v>
      </c>
      <c r="C244" s="37">
        <v>125.14926832066541</v>
      </c>
      <c r="D244" s="41">
        <v>230.81158064516126</v>
      </c>
      <c r="E244" s="41">
        <v>191.21135911602215</v>
      </c>
      <c r="F244" s="41">
        <v>903.01274495412861</v>
      </c>
      <c r="G244" s="61">
        <v>282.44708570062875</v>
      </c>
      <c r="H244" s="42">
        <v>262.41909338875183</v>
      </c>
      <c r="I244" s="41">
        <v>304.23257142857142</v>
      </c>
      <c r="J244" s="62">
        <v>47.338799999999999</v>
      </c>
      <c r="K244" s="41">
        <v>638.93181818181824</v>
      </c>
      <c r="L244" s="41">
        <v>225.68086221728876</v>
      </c>
      <c r="M244" s="39">
        <v>284.71624020088973</v>
      </c>
      <c r="N244" s="99"/>
      <c r="O244" s="23"/>
      <c r="P244"/>
      <c r="Q244"/>
      <c r="R244"/>
      <c r="S244"/>
      <c r="T244"/>
      <c r="U244"/>
      <c r="V244"/>
      <c r="W244"/>
      <c r="X244"/>
      <c r="Y244"/>
      <c r="Z244"/>
    </row>
    <row r="245" spans="2:26" s="4" customFormat="1" ht="18" hidden="1" customHeight="1" x14ac:dyDescent="0.2">
      <c r="B245" s="73" t="s">
        <v>39</v>
      </c>
      <c r="C245" s="37">
        <v>108.01761881543094</v>
      </c>
      <c r="D245" s="41">
        <v>297.99638709677419</v>
      </c>
      <c r="E245" s="41">
        <v>154.21150828729284</v>
      </c>
      <c r="F245" s="41">
        <v>663.26479266055048</v>
      </c>
      <c r="G245" s="61">
        <v>173.77123608335708</v>
      </c>
      <c r="H245" s="42">
        <v>304.27208728406288</v>
      </c>
      <c r="I245" s="41">
        <v>188.53976623376624</v>
      </c>
      <c r="J245" s="62">
        <v>43.468800000000002</v>
      </c>
      <c r="K245" s="41">
        <v>75.545454545454547</v>
      </c>
      <c r="L245" s="41">
        <v>278.58452893020666</v>
      </c>
      <c r="M245" s="39">
        <v>216.5038128258403</v>
      </c>
      <c r="N245" s="99"/>
      <c r="O245" s="23"/>
      <c r="P245"/>
      <c r="Q245"/>
      <c r="R245"/>
      <c r="S245"/>
      <c r="T245"/>
      <c r="U245"/>
      <c r="V245"/>
      <c r="W245"/>
      <c r="X245"/>
      <c r="Y245"/>
      <c r="Z245"/>
    </row>
    <row r="246" spans="2:26" s="4" customFormat="1" ht="18" hidden="1" customHeight="1" x14ac:dyDescent="0.2">
      <c r="B246" s="73" t="s">
        <v>40</v>
      </c>
      <c r="C246" s="37">
        <v>129.09268291983366</v>
      </c>
      <c r="D246" s="41">
        <v>198.53985483870969</v>
      </c>
      <c r="E246" s="41">
        <v>169.9649005524862</v>
      </c>
      <c r="F246" s="41">
        <v>786.2189871559633</v>
      </c>
      <c r="G246" s="61">
        <v>283.96972022651681</v>
      </c>
      <c r="H246" s="42">
        <v>188.56425509806471</v>
      </c>
      <c r="I246" s="41">
        <v>279.21127272727279</v>
      </c>
      <c r="J246" s="62">
        <v>65.228399999999993</v>
      </c>
      <c r="K246" s="41">
        <v>371.22954545454553</v>
      </c>
      <c r="L246" s="41">
        <v>288.6024037047315</v>
      </c>
      <c r="M246" s="39">
        <v>295.96191722221511</v>
      </c>
      <c r="N246" s="99"/>
      <c r="O246" s="23"/>
      <c r="P246"/>
      <c r="Q246"/>
      <c r="R246"/>
      <c r="S246"/>
      <c r="T246"/>
      <c r="U246"/>
      <c r="V246"/>
      <c r="W246"/>
      <c r="X246"/>
      <c r="Y246"/>
      <c r="Z246"/>
    </row>
    <row r="247" spans="2:26" s="4" customFormat="1" ht="18" hidden="1" customHeight="1" x14ac:dyDescent="0.2">
      <c r="B247" s="73" t="s">
        <v>41</v>
      </c>
      <c r="C247" s="37">
        <v>107.09060978058226</v>
      </c>
      <c r="D247" s="41">
        <v>236.62754032258061</v>
      </c>
      <c r="E247" s="41">
        <v>148.42608839779007</v>
      </c>
      <c r="F247" s="41">
        <v>1028.4782397553518</v>
      </c>
      <c r="G247" s="61">
        <v>319.37015815015707</v>
      </c>
      <c r="H247" s="42">
        <v>279.24753864138205</v>
      </c>
      <c r="I247" s="41">
        <v>273.23366233766234</v>
      </c>
      <c r="J247" s="62">
        <v>61.821600000000004</v>
      </c>
      <c r="K247" s="41">
        <v>709.76140909090907</v>
      </c>
      <c r="L247" s="41">
        <v>281.05721992507284</v>
      </c>
      <c r="M247" s="39">
        <v>325.47194223145664</v>
      </c>
      <c r="N247" s="99"/>
      <c r="O247" s="23"/>
      <c r="P247"/>
      <c r="Q247"/>
      <c r="R247"/>
      <c r="S247"/>
      <c r="T247"/>
      <c r="U247"/>
      <c r="V247"/>
      <c r="W247"/>
      <c r="X247"/>
      <c r="Y247"/>
      <c r="Z247"/>
    </row>
    <row r="248" spans="2:26" s="4" customFormat="1" ht="18" hidden="1" customHeight="1" x14ac:dyDescent="0.2">
      <c r="B248" s="73" t="s">
        <v>42</v>
      </c>
      <c r="C248" s="37">
        <v>120.91500903484868</v>
      </c>
      <c r="D248" s="41">
        <v>233.47981451612901</v>
      </c>
      <c r="E248" s="41">
        <v>197.16125966850831</v>
      </c>
      <c r="F248" s="41">
        <v>1245.8947987767585</v>
      </c>
      <c r="G248" s="61">
        <v>246.0882481859403</v>
      </c>
      <c r="H248" s="42">
        <v>273.26915183790106</v>
      </c>
      <c r="I248" s="41">
        <v>259.22046753246752</v>
      </c>
      <c r="J248" s="62">
        <v>91.214399999999998</v>
      </c>
      <c r="K248" s="41">
        <v>365.36931818181819</v>
      </c>
      <c r="L248" s="41">
        <v>325.87918717913135</v>
      </c>
      <c r="M248" s="39">
        <v>299.65244144752774</v>
      </c>
      <c r="N248" s="99"/>
      <c r="O248" s="23"/>
      <c r="P248"/>
      <c r="Q248"/>
      <c r="R248"/>
      <c r="S248"/>
      <c r="T248"/>
      <c r="U248"/>
      <c r="V248"/>
      <c r="W248"/>
      <c r="X248"/>
      <c r="Y248"/>
      <c r="Z248"/>
    </row>
    <row r="249" spans="2:26" s="4" customFormat="1" ht="18" hidden="1" customHeight="1" x14ac:dyDescent="0.2">
      <c r="B249" s="73" t="s">
        <v>63</v>
      </c>
      <c r="C249" s="37">
        <v>134.76823117739855</v>
      </c>
      <c r="D249" s="41">
        <v>301.19525806451611</v>
      </c>
      <c r="E249" s="41">
        <v>268.89998342541435</v>
      </c>
      <c r="F249" s="41">
        <v>859.72766238532108</v>
      </c>
      <c r="G249" s="61">
        <v>289.53684971685402</v>
      </c>
      <c r="H249" s="42">
        <v>259.25413690089624</v>
      </c>
      <c r="I249" s="41">
        <v>289.29446753246754</v>
      </c>
      <c r="J249" s="62">
        <v>90.800399999999996</v>
      </c>
      <c r="K249" s="41">
        <v>661.2</v>
      </c>
      <c r="L249" s="41">
        <v>386.12393443874004</v>
      </c>
      <c r="M249" s="39">
        <v>328.36398383704477</v>
      </c>
      <c r="N249" s="99"/>
      <c r="O249" s="23"/>
      <c r="P249"/>
      <c r="Q249"/>
      <c r="R249"/>
      <c r="S249"/>
      <c r="T249"/>
      <c r="U249"/>
      <c r="V249"/>
      <c r="W249"/>
      <c r="X249"/>
      <c r="Y249"/>
      <c r="Z249"/>
    </row>
    <row r="250" spans="2:26" s="4" customFormat="1" ht="18" hidden="1" customHeight="1" x14ac:dyDescent="0.2">
      <c r="B250" s="73" t="s">
        <v>64</v>
      </c>
      <c r="C250" s="37">
        <v>135.89974014054209</v>
      </c>
      <c r="D250" s="41">
        <v>375.65837903225804</v>
      </c>
      <c r="E250" s="41">
        <v>103.78962430939228</v>
      </c>
      <c r="F250" s="41">
        <v>1429.3422116207953</v>
      </c>
      <c r="G250" s="61">
        <v>323.84726606430371</v>
      </c>
      <c r="H250" s="42">
        <v>289.33204312248347</v>
      </c>
      <c r="I250" s="41">
        <v>271.14753246753253</v>
      </c>
      <c r="J250" s="62">
        <v>60.838800000000006</v>
      </c>
      <c r="K250" s="41">
        <v>432.57463636363639</v>
      </c>
      <c r="L250" s="41">
        <v>383.64577688358543</v>
      </c>
      <c r="M250" s="39">
        <v>371.8939243604288</v>
      </c>
      <c r="N250" s="99"/>
      <c r="O250" s="23"/>
      <c r="P250"/>
      <c r="Q250"/>
      <c r="R250"/>
      <c r="S250"/>
      <c r="T250"/>
      <c r="U250"/>
      <c r="V250"/>
      <c r="W250"/>
      <c r="X250"/>
      <c r="Y250"/>
      <c r="Z250"/>
    </row>
    <row r="251" spans="2:26" s="4" customFormat="1" ht="18" hidden="1" customHeight="1" x14ac:dyDescent="0.2">
      <c r="B251" s="73" t="s">
        <v>65</v>
      </c>
      <c r="C251" s="37">
        <v>131.66138591710882</v>
      </c>
      <c r="D251" s="41">
        <v>270.65932258064515</v>
      </c>
      <c r="E251" s="41">
        <v>273.33402762430939</v>
      </c>
      <c r="F251" s="41">
        <v>1138.7226850152906</v>
      </c>
      <c r="G251" s="61">
        <v>322.61890778004232</v>
      </c>
      <c r="H251" s="42">
        <v>271.1827510066243</v>
      </c>
      <c r="I251" s="41">
        <v>298.62176623376627</v>
      </c>
      <c r="J251" s="62">
        <v>51.675599999999989</v>
      </c>
      <c r="K251" s="41">
        <v>651.09545454545457</v>
      </c>
      <c r="L251" s="41">
        <v>339.83762938809491</v>
      </c>
      <c r="M251" s="39">
        <v>349.84126116939234</v>
      </c>
      <c r="N251" s="99"/>
      <c r="O251" s="23"/>
      <c r="P251"/>
      <c r="Q251"/>
      <c r="R251"/>
      <c r="S251"/>
      <c r="T251"/>
      <c r="U251"/>
      <c r="V251"/>
      <c r="W251"/>
      <c r="X251"/>
      <c r="Y251"/>
      <c r="Z251"/>
    </row>
    <row r="252" spans="2:26" s="4" customFormat="1" ht="18" hidden="1" customHeight="1" x14ac:dyDescent="0.2">
      <c r="B252" s="73" t="s">
        <v>46</v>
      </c>
      <c r="C252" s="37">
        <v>113.01230689803528</v>
      </c>
      <c r="D252" s="41">
        <v>340.86665322580643</v>
      </c>
      <c r="E252" s="41">
        <v>155.74390607734804</v>
      </c>
      <c r="F252" s="41">
        <v>893.85335902140673</v>
      </c>
      <c r="G252" s="61">
        <v>268.70813410432254</v>
      </c>
      <c r="H252" s="42">
        <v>298.66055331861287</v>
      </c>
      <c r="I252" s="41">
        <v>212.71789610389609</v>
      </c>
      <c r="J252" s="62">
        <v>71.316000000000003</v>
      </c>
      <c r="K252" s="41">
        <v>0</v>
      </c>
      <c r="L252" s="41">
        <v>463.37213056750375</v>
      </c>
      <c r="M252" s="39">
        <v>332.21504577379505</v>
      </c>
      <c r="N252" s="99"/>
      <c r="O252" s="23"/>
      <c r="P252"/>
      <c r="Q252"/>
      <c r="R252"/>
      <c r="S252"/>
      <c r="T252"/>
      <c r="U252"/>
      <c r="V252"/>
      <c r="W252"/>
      <c r="X252"/>
      <c r="Y252"/>
      <c r="Z252"/>
    </row>
    <row r="253" spans="2:26" s="4" customFormat="1" ht="18" hidden="1" customHeight="1" x14ac:dyDescent="0.2">
      <c r="B253" s="73" t="s">
        <v>47</v>
      </c>
      <c r="C253" s="37">
        <v>102.12886533773126</v>
      </c>
      <c r="D253" s="41">
        <v>343.13787096774189</v>
      </c>
      <c r="E253" s="41">
        <v>124.73339226519339</v>
      </c>
      <c r="F253" s="41">
        <v>1041.7090324159021</v>
      </c>
      <c r="G253" s="61">
        <v>263.41939467167686</v>
      </c>
      <c r="H253" s="42">
        <v>212.74552539290818</v>
      </c>
      <c r="I253" s="41">
        <v>240.55761038961046</v>
      </c>
      <c r="J253" s="62">
        <v>85.934400000000011</v>
      </c>
      <c r="K253" s="41">
        <v>1660.4160000000002</v>
      </c>
      <c r="L253" s="41">
        <v>467.92035326765642</v>
      </c>
      <c r="M253" s="39">
        <v>336.2577393277333</v>
      </c>
      <c r="N253" s="99"/>
      <c r="O253" s="23"/>
      <c r="P253"/>
      <c r="Q253"/>
      <c r="R253"/>
      <c r="S253"/>
      <c r="T253"/>
      <c r="U253"/>
      <c r="V253"/>
      <c r="W253"/>
      <c r="X253"/>
      <c r="Y253"/>
      <c r="Z253"/>
    </row>
    <row r="254" spans="2:26" s="4" customFormat="1" ht="18" hidden="1" customHeight="1" x14ac:dyDescent="0.2">
      <c r="B254" s="73" t="s">
        <v>48</v>
      </c>
      <c r="C254" s="37">
        <v>141.46797590707013</v>
      </c>
      <c r="D254" s="41">
        <v>306.9329032258064</v>
      </c>
      <c r="E254" s="41">
        <v>226.33351933701655</v>
      </c>
      <c r="F254" s="41">
        <v>1246.0394116207954</v>
      </c>
      <c r="G254" s="61">
        <v>298.09191953740645</v>
      </c>
      <c r="H254" s="42">
        <v>240.58885569554494</v>
      </c>
      <c r="I254" s="41">
        <v>301.75298701298703</v>
      </c>
      <c r="J254" s="62">
        <v>67.193999999999988</v>
      </c>
      <c r="K254" s="41">
        <v>665.4545454545455</v>
      </c>
      <c r="L254" s="41">
        <v>316.43985264326346</v>
      </c>
      <c r="M254" s="39">
        <v>333.17557777466192</v>
      </c>
      <c r="N254" s="99"/>
      <c r="O254" s="23"/>
      <c r="P254"/>
      <c r="Q254"/>
      <c r="R254"/>
      <c r="S254"/>
      <c r="T254"/>
      <c r="U254"/>
      <c r="V254"/>
      <c r="W254"/>
      <c r="X254"/>
      <c r="Y254"/>
      <c r="Z254"/>
    </row>
    <row r="255" spans="2:26" s="4" customFormat="1" ht="18" hidden="1" customHeight="1" x14ac:dyDescent="0.2">
      <c r="B255" s="73"/>
      <c r="C255" s="37"/>
      <c r="D255" s="41"/>
      <c r="E255" s="41"/>
      <c r="F255" s="41"/>
      <c r="G255" s="61"/>
      <c r="H255" s="42"/>
      <c r="I255" s="41"/>
      <c r="J255" s="62"/>
      <c r="K255" s="41"/>
      <c r="L255" s="41"/>
      <c r="M255" s="39"/>
      <c r="N255" s="99"/>
      <c r="O255" s="23"/>
      <c r="P255"/>
      <c r="Q255"/>
      <c r="R255"/>
      <c r="S255"/>
      <c r="T255"/>
      <c r="U255"/>
      <c r="V255"/>
      <c r="W255"/>
      <c r="X255"/>
      <c r="Y255"/>
      <c r="Z255"/>
    </row>
    <row r="256" spans="2:26" s="4" customFormat="1" ht="18" hidden="1" customHeight="1" x14ac:dyDescent="0.2">
      <c r="B256" s="52" t="s">
        <v>67</v>
      </c>
      <c r="C256" s="37">
        <v>119.6365432382045</v>
      </c>
      <c r="D256" s="41">
        <v>317.11543548387095</v>
      </c>
      <c r="E256" s="41">
        <v>232.60606952117865</v>
      </c>
      <c r="F256" s="41">
        <v>790.65805321100925</v>
      </c>
      <c r="G256" s="61">
        <v>254.01151262373119</v>
      </c>
      <c r="H256" s="42">
        <v>1301.4362020725389</v>
      </c>
      <c r="I256" s="41">
        <v>259.84560389610397</v>
      </c>
      <c r="J256" s="62">
        <v>267.4153</v>
      </c>
      <c r="K256" s="41">
        <v>651.90805681818188</v>
      </c>
      <c r="L256" s="41">
        <v>322.87925674691274</v>
      </c>
      <c r="M256" s="39">
        <v>287.4286201578056</v>
      </c>
      <c r="N256" s="99"/>
      <c r="O256" s="23"/>
      <c r="P256"/>
      <c r="Q256"/>
      <c r="R256"/>
      <c r="S256"/>
      <c r="T256"/>
      <c r="U256"/>
      <c r="V256"/>
      <c r="W256"/>
      <c r="X256"/>
      <c r="Y256"/>
      <c r="Z256"/>
    </row>
    <row r="257" spans="2:26" s="4" customFormat="1" ht="18" hidden="1" customHeight="1" x14ac:dyDescent="0.2">
      <c r="B257" s="73" t="s">
        <v>37</v>
      </c>
      <c r="C257" s="37">
        <v>139.10858540083177</v>
      </c>
      <c r="D257" s="41">
        <v>206.87020161290326</v>
      </c>
      <c r="E257" s="41">
        <v>203.84039779005531</v>
      </c>
      <c r="F257" s="41">
        <v>729.40841590214063</v>
      </c>
      <c r="G257" s="61">
        <v>249.74051007442128</v>
      </c>
      <c r="H257" s="42">
        <v>234.22551295336788</v>
      </c>
      <c r="I257" s="41">
        <v>223.12189610389612</v>
      </c>
      <c r="J257" s="37">
        <v>65.702399999999997</v>
      </c>
      <c r="K257" s="37">
        <v>414.12954545454551</v>
      </c>
      <c r="L257" s="41">
        <v>196.06157062578046</v>
      </c>
      <c r="M257" s="39">
        <v>249.81086645167045</v>
      </c>
      <c r="N257" s="99"/>
      <c r="O257" s="23"/>
      <c r="P257"/>
      <c r="Q257"/>
      <c r="R257"/>
      <c r="S257"/>
      <c r="T257"/>
      <c r="U257"/>
      <c r="V257"/>
      <c r="W257"/>
      <c r="X257"/>
      <c r="Y257"/>
      <c r="Z257"/>
    </row>
    <row r="258" spans="2:26" s="4" customFormat="1" ht="18" hidden="1" customHeight="1" x14ac:dyDescent="0.2">
      <c r="B258" s="73" t="s">
        <v>38</v>
      </c>
      <c r="C258" s="37">
        <v>112.56226817725512</v>
      </c>
      <c r="D258" s="41">
        <v>378.77733870967739</v>
      </c>
      <c r="E258" s="41">
        <v>201.79899447513819</v>
      </c>
      <c r="F258" s="41">
        <v>578.36191314984717</v>
      </c>
      <c r="G258" s="61">
        <v>176.72252052393634</v>
      </c>
      <c r="H258" s="42">
        <v>301.56795854922279</v>
      </c>
      <c r="I258" s="41">
        <v>186.88277922077921</v>
      </c>
      <c r="J258" s="37">
        <v>108.2736</v>
      </c>
      <c r="K258" s="37">
        <v>48.954545454545453</v>
      </c>
      <c r="L258" s="41">
        <v>224.03557617594007</v>
      </c>
      <c r="M258" s="39">
        <v>202.31045396489526</v>
      </c>
      <c r="N258" s="99"/>
      <c r="O258" s="23"/>
      <c r="P258"/>
      <c r="Q258"/>
      <c r="R258"/>
      <c r="S258"/>
      <c r="T258"/>
      <c r="U258"/>
      <c r="V258"/>
      <c r="W258"/>
      <c r="X258"/>
      <c r="Y258"/>
      <c r="Z258"/>
    </row>
    <row r="259" spans="2:26" s="4" customFormat="1" ht="18" hidden="1" customHeight="1" x14ac:dyDescent="0.2">
      <c r="B259" s="73" t="s">
        <v>39</v>
      </c>
      <c r="C259" s="37">
        <v>127.32037430087479</v>
      </c>
      <c r="D259" s="41">
        <v>394.47437903225801</v>
      </c>
      <c r="E259" s="41">
        <v>261.45406077348065</v>
      </c>
      <c r="F259" s="41">
        <v>874.02103363914387</v>
      </c>
      <c r="G259" s="61">
        <v>278.45588780380933</v>
      </c>
      <c r="H259" s="42">
        <v>378.82140932642494</v>
      </c>
      <c r="I259" s="41">
        <v>255.21802597402598</v>
      </c>
      <c r="J259" s="37">
        <v>88.654800000000009</v>
      </c>
      <c r="K259" s="37">
        <v>299.26636363636362</v>
      </c>
      <c r="L259" s="41">
        <v>363.72038878867755</v>
      </c>
      <c r="M259" s="39">
        <v>315.77607352360064</v>
      </c>
      <c r="N259" s="99"/>
      <c r="O259" s="23"/>
      <c r="P259"/>
      <c r="Q259"/>
      <c r="R259"/>
      <c r="S259"/>
      <c r="T259"/>
      <c r="U259"/>
      <c r="V259"/>
      <c r="W259"/>
      <c r="X259"/>
      <c r="Y259"/>
      <c r="Z259"/>
    </row>
    <row r="260" spans="2:26" s="4" customFormat="1" ht="18" hidden="1" customHeight="1" x14ac:dyDescent="0.2">
      <c r="B260" s="73" t="s">
        <v>40</v>
      </c>
      <c r="C260" s="37">
        <v>109.38818127061522</v>
      </c>
      <c r="D260" s="41">
        <v>292.30940322580642</v>
      </c>
      <c r="E260" s="41">
        <v>211.881817679558</v>
      </c>
      <c r="F260" s="41">
        <v>917.67429113149865</v>
      </c>
      <c r="G260" s="61">
        <v>238.84845815878751</v>
      </c>
      <c r="H260" s="42">
        <v>334.02761658031091</v>
      </c>
      <c r="I260" s="41">
        <v>277.54187012987012</v>
      </c>
      <c r="J260" s="37">
        <v>194.26320000000001</v>
      </c>
      <c r="K260" s="37">
        <v>427.15554545454552</v>
      </c>
      <c r="L260" s="41">
        <v>366.43070500901905</v>
      </c>
      <c r="M260" s="39">
        <v>291.19760359969922</v>
      </c>
      <c r="N260" s="99"/>
      <c r="O260" s="23"/>
      <c r="P260"/>
      <c r="Q260"/>
      <c r="R260"/>
      <c r="S260"/>
      <c r="T260"/>
      <c r="U260"/>
      <c r="V260"/>
      <c r="W260"/>
      <c r="X260"/>
      <c r="Y260"/>
      <c r="Z260"/>
    </row>
    <row r="261" spans="2:26" s="4" customFormat="1" ht="18" hidden="1" customHeight="1" x14ac:dyDescent="0.2">
      <c r="B261" s="73" t="s">
        <v>41</v>
      </c>
      <c r="C261" s="37">
        <v>106.03643395955828</v>
      </c>
      <c r="D261" s="41">
        <v>197.25254032258064</v>
      </c>
      <c r="E261" s="41">
        <v>247.26460220994474</v>
      </c>
      <c r="F261" s="41">
        <v>938.17780672782874</v>
      </c>
      <c r="G261" s="61">
        <v>274.87502539351652</v>
      </c>
      <c r="H261" s="42">
        <v>429.24941968911924</v>
      </c>
      <c r="I261" s="41">
        <v>259.76506493506497</v>
      </c>
      <c r="J261" s="37">
        <v>270.43919999999997</v>
      </c>
      <c r="K261" s="37">
        <v>91.104545454545459</v>
      </c>
      <c r="L261" s="41">
        <v>244.59577043152495</v>
      </c>
      <c r="M261" s="39">
        <v>285.18944579419008</v>
      </c>
      <c r="N261" s="99"/>
      <c r="O261" s="23"/>
      <c r="P261"/>
      <c r="Q261"/>
      <c r="R261"/>
      <c r="S261"/>
      <c r="T261"/>
      <c r="U261"/>
      <c r="V261"/>
      <c r="W261"/>
      <c r="X261"/>
      <c r="Y261"/>
      <c r="Z261"/>
    </row>
    <row r="262" spans="2:26" s="4" customFormat="1" ht="18" hidden="1" customHeight="1" x14ac:dyDescent="0.2">
      <c r="B262" s="73" t="s">
        <v>42</v>
      </c>
      <c r="C262" s="37">
        <v>127.72549433529328</v>
      </c>
      <c r="D262" s="41">
        <v>326.49684677419356</v>
      </c>
      <c r="E262" s="41">
        <v>214.35021546961323</v>
      </c>
      <c r="F262" s="41">
        <v>581.07599266055036</v>
      </c>
      <c r="G262" s="61">
        <v>226.47635969169286</v>
      </c>
      <c r="H262" s="42">
        <v>2336.5796580310885</v>
      </c>
      <c r="I262" s="41">
        <v>214.21935064935064</v>
      </c>
      <c r="J262" s="37">
        <v>336.12600000000003</v>
      </c>
      <c r="K262" s="37">
        <v>2093.9971363636369</v>
      </c>
      <c r="L262" s="41">
        <v>345.24887907589846</v>
      </c>
      <c r="M262" s="39">
        <v>269.03088292054917</v>
      </c>
      <c r="N262" s="99"/>
      <c r="O262" s="23"/>
      <c r="P262"/>
      <c r="Q262"/>
      <c r="R262"/>
      <c r="S262"/>
      <c r="T262"/>
      <c r="U262"/>
      <c r="V262"/>
      <c r="W262"/>
      <c r="X262"/>
      <c r="Y262"/>
      <c r="Z262"/>
    </row>
    <row r="263" spans="2:26" s="4" customFormat="1" ht="18" hidden="1" customHeight="1" x14ac:dyDescent="0.2">
      <c r="B263" s="73" t="s">
        <v>63</v>
      </c>
      <c r="C263" s="37">
        <v>127.70426158038148</v>
      </c>
      <c r="D263" s="41">
        <v>423.11327419354836</v>
      </c>
      <c r="E263" s="41">
        <v>299.70248066298348</v>
      </c>
      <c r="F263" s="41">
        <v>996.70969663608571</v>
      </c>
      <c r="G263" s="61">
        <v>263.91894198328339</v>
      </c>
      <c r="H263" s="42">
        <v>1017.9101036269432</v>
      </c>
      <c r="I263" s="41">
        <v>318.07150649350649</v>
      </c>
      <c r="J263" s="37">
        <v>259.51919999999996</v>
      </c>
      <c r="K263" s="37">
        <v>536.47772727272729</v>
      </c>
      <c r="L263" s="41">
        <v>378.24418426529752</v>
      </c>
      <c r="M263" s="39">
        <v>316.84773211303866</v>
      </c>
      <c r="N263" s="99"/>
      <c r="O263" s="23"/>
      <c r="P263"/>
      <c r="Q263"/>
      <c r="R263"/>
      <c r="S263"/>
      <c r="T263"/>
      <c r="U263"/>
      <c r="V263"/>
      <c r="W263"/>
      <c r="X263"/>
      <c r="Y263"/>
      <c r="Z263"/>
    </row>
    <row r="264" spans="2:26" s="4" customFormat="1" ht="18" hidden="1" customHeight="1" x14ac:dyDescent="0.2">
      <c r="B264" s="73" t="s">
        <v>64</v>
      </c>
      <c r="C264" s="37">
        <v>120.08242621540226</v>
      </c>
      <c r="D264" s="41">
        <v>265.52530645161283</v>
      </c>
      <c r="E264" s="41">
        <v>215.88197790055247</v>
      </c>
      <c r="F264" s="41">
        <v>954.2344660550458</v>
      </c>
      <c r="G264" s="61">
        <v>309.19970114652563</v>
      </c>
      <c r="H264" s="42">
        <v>1650.0889430051814</v>
      </c>
      <c r="I264" s="41">
        <v>257.93363636363637</v>
      </c>
      <c r="J264" s="37">
        <v>294.60840000000002</v>
      </c>
      <c r="K264" s="37">
        <v>9.545454545454545</v>
      </c>
      <c r="L264" s="41">
        <v>335.18377147217979</v>
      </c>
      <c r="M264" s="39">
        <v>332.67470099807531</v>
      </c>
      <c r="N264" s="99"/>
      <c r="O264" s="23"/>
      <c r="P264"/>
      <c r="Q264"/>
      <c r="R264"/>
      <c r="S264"/>
      <c r="T264"/>
      <c r="U264"/>
      <c r="V264"/>
      <c r="W264"/>
      <c r="X264"/>
      <c r="Y264"/>
      <c r="Z264"/>
    </row>
    <row r="265" spans="2:26" s="4" customFormat="1" ht="18" hidden="1" customHeight="1" x14ac:dyDescent="0.2">
      <c r="B265" s="73" t="s">
        <v>65</v>
      </c>
      <c r="C265" s="37">
        <v>107.6475978775276</v>
      </c>
      <c r="D265" s="41">
        <v>324.71133870967742</v>
      </c>
      <c r="E265" s="41">
        <v>194.28694475138121</v>
      </c>
      <c r="F265" s="41">
        <v>842.23028256880752</v>
      </c>
      <c r="G265" s="61">
        <v>246.64429282541874</v>
      </c>
      <c r="H265" s="42">
        <v>2375.9191709844563</v>
      </c>
      <c r="I265" s="41">
        <v>312.36335064935071</v>
      </c>
      <c r="J265" s="37">
        <v>352.53120000000001</v>
      </c>
      <c r="K265" s="37">
        <v>2101.8640909090914</v>
      </c>
      <c r="L265" s="41">
        <v>353.78362078534764</v>
      </c>
      <c r="M265" s="39">
        <v>293.79705456909414</v>
      </c>
      <c r="N265" s="99"/>
      <c r="O265" s="23"/>
      <c r="P265"/>
      <c r="Q265"/>
      <c r="R265"/>
      <c r="S265"/>
      <c r="T265"/>
      <c r="U265"/>
      <c r="V265"/>
      <c r="W265"/>
      <c r="X265"/>
      <c r="Y265"/>
      <c r="Z265"/>
    </row>
    <row r="266" spans="2:26" s="4" customFormat="1" ht="18" hidden="1" customHeight="1" x14ac:dyDescent="0.2">
      <c r="B266" s="73" t="s">
        <v>46</v>
      </c>
      <c r="C266" s="37">
        <v>128.53596500788757</v>
      </c>
      <c r="D266" s="41">
        <v>329.24477419354838</v>
      </c>
      <c r="E266" s="41">
        <v>283.35563535911609</v>
      </c>
      <c r="F266" s="41">
        <v>765.43960366972487</v>
      </c>
      <c r="G266" s="61">
        <v>259.74318353039592</v>
      </c>
      <c r="H266" s="42">
        <v>1561.093336787565</v>
      </c>
      <c r="I266" s="41">
        <v>293.93911688311698</v>
      </c>
      <c r="J266" s="37">
        <v>309.74279999999993</v>
      </c>
      <c r="K266" s="37">
        <v>327.27272727272731</v>
      </c>
      <c r="L266" s="41">
        <v>370.66162494796731</v>
      </c>
      <c r="M266" s="39">
        <v>303.1458315636512</v>
      </c>
      <c r="N266" s="99"/>
      <c r="O266" s="23"/>
      <c r="P266"/>
      <c r="Q266"/>
      <c r="R266"/>
      <c r="S266"/>
      <c r="T266"/>
      <c r="U266"/>
      <c r="V266"/>
      <c r="W266"/>
      <c r="X266"/>
      <c r="Y266"/>
      <c r="Z266"/>
    </row>
    <row r="267" spans="2:26" s="4" customFormat="1" ht="18" hidden="1" customHeight="1" x14ac:dyDescent="0.2">
      <c r="B267" s="73" t="s">
        <v>47</v>
      </c>
      <c r="C267" s="37">
        <v>104.5760539222716</v>
      </c>
      <c r="D267" s="41">
        <v>363.44961290322578</v>
      </c>
      <c r="E267" s="41">
        <v>208.60328176795582</v>
      </c>
      <c r="F267" s="41">
        <v>608.59028990825698</v>
      </c>
      <c r="G267" s="61">
        <v>276.45339070165772</v>
      </c>
      <c r="H267" s="42">
        <v>2490.4137823834199</v>
      </c>
      <c r="I267" s="41">
        <v>263.91103896103897</v>
      </c>
      <c r="J267" s="37">
        <v>461.31000000000006</v>
      </c>
      <c r="K267" s="37">
        <v>1042.0723636363637</v>
      </c>
      <c r="L267" s="41">
        <v>326.10057485777713</v>
      </c>
      <c r="M267" s="39">
        <v>296.08775051943263</v>
      </c>
      <c r="N267" s="99"/>
      <c r="O267" s="23"/>
      <c r="P267"/>
      <c r="Q267"/>
      <c r="R267"/>
      <c r="S267"/>
      <c r="T267"/>
      <c r="U267"/>
      <c r="V267"/>
      <c r="W267"/>
      <c r="X267"/>
      <c r="Y267"/>
      <c r="Z267"/>
    </row>
    <row r="268" spans="2:26" s="4" customFormat="1" ht="18" hidden="1" customHeight="1" x14ac:dyDescent="0.2">
      <c r="B268" s="73" t="s">
        <v>48</v>
      </c>
      <c r="C268" s="37">
        <v>124.950876810555</v>
      </c>
      <c r="D268" s="41">
        <v>303.16020967741935</v>
      </c>
      <c r="E268" s="41">
        <v>248.85242541436466</v>
      </c>
      <c r="F268" s="41">
        <v>701.97284648318055</v>
      </c>
      <c r="G268" s="61">
        <v>247.05987965132877</v>
      </c>
      <c r="H268" s="42">
        <v>2507.3375129533683</v>
      </c>
      <c r="I268" s="41">
        <v>255.17961038961045</v>
      </c>
      <c r="J268" s="37">
        <v>467.81279999999998</v>
      </c>
      <c r="K268" s="37">
        <v>431.05663636363636</v>
      </c>
      <c r="L268" s="41">
        <v>370.48441452754264</v>
      </c>
      <c r="M268" s="39">
        <v>293.27504587576954</v>
      </c>
      <c r="N268" s="99"/>
      <c r="O268" s="23"/>
      <c r="P268"/>
      <c r="Q268"/>
      <c r="R268"/>
      <c r="S268"/>
      <c r="T268"/>
      <c r="U268"/>
      <c r="V268"/>
      <c r="W268"/>
      <c r="X268"/>
      <c r="Y268"/>
      <c r="Z268"/>
    </row>
    <row r="269" spans="2:26" s="4" customFormat="1" ht="18" customHeight="1" x14ac:dyDescent="0.2">
      <c r="B269" s="73"/>
      <c r="C269" s="37"/>
      <c r="D269" s="41"/>
      <c r="E269" s="41"/>
      <c r="F269" s="41"/>
      <c r="G269" s="61"/>
      <c r="H269" s="42"/>
      <c r="I269" s="41"/>
      <c r="J269" s="62"/>
      <c r="K269" s="41"/>
      <c r="L269" s="41"/>
      <c r="M269" s="39"/>
      <c r="N269" s="99"/>
      <c r="O269" s="23"/>
      <c r="P269"/>
      <c r="Q269"/>
      <c r="R269"/>
      <c r="S269"/>
      <c r="T269"/>
      <c r="U269"/>
      <c r="V269"/>
      <c r="W269"/>
      <c r="X269"/>
      <c r="Y269"/>
      <c r="Z269"/>
    </row>
    <row r="270" spans="2:26" s="4" customFormat="1" ht="18" customHeight="1" x14ac:dyDescent="0.2">
      <c r="B270" s="52">
        <v>2013</v>
      </c>
      <c r="C270" s="37">
        <v>118.59573748745157</v>
      </c>
      <c r="D270" s="41">
        <v>318.6174153225806</v>
      </c>
      <c r="E270" s="41">
        <v>232.62650782688763</v>
      </c>
      <c r="F270" s="41">
        <v>804.90930937818541</v>
      </c>
      <c r="G270" s="61">
        <v>265.02690034455514</v>
      </c>
      <c r="H270" s="42">
        <v>1731.0016813471505</v>
      </c>
      <c r="I270" s="41">
        <v>279.1911558441559</v>
      </c>
      <c r="J270" s="62">
        <v>128.42570000000001</v>
      </c>
      <c r="K270" s="41">
        <v>425.84975000000003</v>
      </c>
      <c r="L270" s="41">
        <v>374.08630900513384</v>
      </c>
      <c r="M270" s="39">
        <v>308.2109201709772</v>
      </c>
      <c r="N270" s="99"/>
      <c r="O270" s="23"/>
      <c r="P270"/>
      <c r="Q270"/>
      <c r="R270"/>
      <c r="S270"/>
      <c r="T270"/>
      <c r="U270"/>
      <c r="V270"/>
      <c r="W270"/>
      <c r="X270"/>
      <c r="Y270"/>
      <c r="Z270"/>
    </row>
    <row r="271" spans="2:26" s="4" customFormat="1" ht="18" customHeight="1" x14ac:dyDescent="0.2">
      <c r="B271" s="73" t="s">
        <v>37</v>
      </c>
      <c r="C271" s="37">
        <v>137.7814186146565</v>
      </c>
      <c r="D271" s="41">
        <v>494.59526612903215</v>
      </c>
      <c r="E271" s="41">
        <v>257.48330939226526</v>
      </c>
      <c r="F271" s="41">
        <v>713.49528685015287</v>
      </c>
      <c r="G271" s="61">
        <v>300.72858982002145</v>
      </c>
      <c r="H271" s="42">
        <v>1394.6835854922281</v>
      </c>
      <c r="I271" s="41">
        <v>299.02150649350654</v>
      </c>
      <c r="J271" s="62">
        <v>462.86160000000001</v>
      </c>
      <c r="K271" s="41">
        <v>61.363636363636367</v>
      </c>
      <c r="L271" s="41">
        <v>275.18484126543632</v>
      </c>
      <c r="M271" s="39">
        <v>304.12397465934151</v>
      </c>
      <c r="N271" s="99"/>
      <c r="O271" s="23"/>
      <c r="P271"/>
      <c r="Q271"/>
      <c r="R271"/>
      <c r="S271"/>
      <c r="T271"/>
      <c r="U271"/>
      <c r="V271"/>
      <c r="W271"/>
      <c r="X271"/>
      <c r="Y271"/>
      <c r="Z271"/>
    </row>
    <row r="272" spans="2:26" s="4" customFormat="1" ht="18" customHeight="1" x14ac:dyDescent="0.2">
      <c r="B272" s="73" t="s">
        <v>38</v>
      </c>
      <c r="C272" s="37">
        <v>115.88246321525885</v>
      </c>
      <c r="D272" s="41">
        <v>291.70020967741942</v>
      </c>
      <c r="E272" s="41">
        <v>140.48854143646412</v>
      </c>
      <c r="F272" s="41">
        <v>515.46110581039761</v>
      </c>
      <c r="G272" s="61">
        <v>224.14253443891951</v>
      </c>
      <c r="H272" s="42">
        <v>1129.879554404145</v>
      </c>
      <c r="I272" s="41">
        <v>229.64579220779223</v>
      </c>
      <c r="J272" s="62">
        <v>33.406800000000004</v>
      </c>
      <c r="K272" s="41">
        <v>275.64545454545458</v>
      </c>
      <c r="L272" s="41">
        <v>245.12547315110311</v>
      </c>
      <c r="M272" s="39">
        <v>236.17602294425822</v>
      </c>
      <c r="N272" s="99"/>
      <c r="O272" s="23"/>
      <c r="P272"/>
      <c r="Q272"/>
      <c r="R272"/>
      <c r="S272"/>
      <c r="T272"/>
      <c r="U272"/>
      <c r="V272"/>
      <c r="W272"/>
      <c r="X272"/>
      <c r="Y272"/>
      <c r="Z272"/>
    </row>
    <row r="273" spans="2:26" s="4" customFormat="1" ht="18" customHeight="1" x14ac:dyDescent="0.2">
      <c r="B273" s="73" t="s">
        <v>39</v>
      </c>
      <c r="C273" s="37">
        <v>103.98715560017209</v>
      </c>
      <c r="D273" s="41">
        <v>294.59634677419353</v>
      </c>
      <c r="E273" s="41">
        <v>213.04261878453042</v>
      </c>
      <c r="F273" s="41">
        <v>574.30624709480117</v>
      </c>
      <c r="G273" s="61">
        <v>251.77594011777288</v>
      </c>
      <c r="H273" s="42">
        <v>1629.0387357512952</v>
      </c>
      <c r="I273" s="41">
        <v>214.73205194805197</v>
      </c>
      <c r="J273" s="62">
        <v>127.40159999999999</v>
      </c>
      <c r="K273" s="41">
        <v>585.94090909090914</v>
      </c>
      <c r="L273" s="41">
        <v>248.55011135007607</v>
      </c>
      <c r="M273" s="39">
        <v>258.03373142471094</v>
      </c>
      <c r="N273" s="99"/>
      <c r="O273" s="23"/>
      <c r="P273"/>
      <c r="Q273"/>
      <c r="R273"/>
      <c r="S273"/>
      <c r="T273"/>
      <c r="U273"/>
      <c r="V273"/>
      <c r="W273"/>
      <c r="X273"/>
      <c r="Y273"/>
      <c r="Z273"/>
    </row>
    <row r="274" spans="2:26" s="4" customFormat="1" ht="18" customHeight="1" x14ac:dyDescent="0.2">
      <c r="B274" s="73" t="s">
        <v>40</v>
      </c>
      <c r="C274" s="37">
        <v>90.351458195898459</v>
      </c>
      <c r="D274" s="41">
        <v>326.11807258064511</v>
      </c>
      <c r="E274" s="41">
        <v>306.1903535911602</v>
      </c>
      <c r="F274" s="41">
        <v>822.47725749235462</v>
      </c>
      <c r="G274" s="61">
        <v>280.16507286113574</v>
      </c>
      <c r="H274" s="42">
        <v>1856.2373160621764</v>
      </c>
      <c r="I274" s="41">
        <v>301.55220779220775</v>
      </c>
      <c r="J274" s="62">
        <v>157.0068</v>
      </c>
      <c r="K274" s="41">
        <v>77.326363636363652</v>
      </c>
      <c r="L274" s="41">
        <v>319.57060135978872</v>
      </c>
      <c r="M274" s="39">
        <v>304.41800277880452</v>
      </c>
      <c r="N274" s="99"/>
      <c r="O274" s="23"/>
      <c r="P274"/>
      <c r="Q274"/>
      <c r="R274"/>
      <c r="S274"/>
      <c r="T274"/>
      <c r="U274"/>
      <c r="V274"/>
      <c r="W274"/>
      <c r="X274"/>
      <c r="Y274"/>
      <c r="Z274"/>
    </row>
    <row r="275" spans="2:26" s="4" customFormat="1" ht="18" customHeight="1" x14ac:dyDescent="0.2">
      <c r="B275" s="73" t="s">
        <v>41</v>
      </c>
      <c r="C275" s="37">
        <v>115.12026875089632</v>
      </c>
      <c r="D275" s="41">
        <v>266.59652419354836</v>
      </c>
      <c r="E275" s="41">
        <v>170.93999447513812</v>
      </c>
      <c r="F275" s="41">
        <v>909.83854678899081</v>
      </c>
      <c r="G275" s="61">
        <v>256.63871647557903</v>
      </c>
      <c r="H275" s="42">
        <v>1620.3886010362696</v>
      </c>
      <c r="I275" s="41">
        <v>278.97683116883115</v>
      </c>
      <c r="J275" s="62">
        <v>116.77679999999998</v>
      </c>
      <c r="K275" s="41">
        <v>1238.0817272727274</v>
      </c>
      <c r="L275" s="41">
        <v>492.82344900790855</v>
      </c>
      <c r="M275" s="39">
        <v>335.54038067073708</v>
      </c>
      <c r="N275" s="99"/>
      <c r="O275" s="23"/>
      <c r="P275"/>
      <c r="Q275"/>
      <c r="R275"/>
      <c r="S275"/>
      <c r="T275"/>
      <c r="U275"/>
      <c r="V275"/>
      <c r="W275"/>
      <c r="X275"/>
      <c r="Y275"/>
      <c r="Z275"/>
    </row>
    <row r="276" spans="2:26" s="4" customFormat="1" ht="18" customHeight="1" x14ac:dyDescent="0.2">
      <c r="B276" s="73" t="s">
        <v>42</v>
      </c>
      <c r="C276" s="37">
        <v>102.10246895167074</v>
      </c>
      <c r="D276" s="41">
        <v>322.33637903225809</v>
      </c>
      <c r="E276" s="41">
        <v>232.85546961325969</v>
      </c>
      <c r="F276" s="41">
        <v>808.70757431192669</v>
      </c>
      <c r="G276" s="61">
        <v>222.0120414262858</v>
      </c>
      <c r="H276" s="42">
        <v>874.05115025906753</v>
      </c>
      <c r="I276" s="41">
        <v>263.86436363636363</v>
      </c>
      <c r="J276" s="62">
        <v>92.837999999999994</v>
      </c>
      <c r="K276" s="41">
        <v>19.040454545454544</v>
      </c>
      <c r="L276" s="41">
        <v>321.77588233661692</v>
      </c>
      <c r="M276" s="39">
        <v>265.46777963314679</v>
      </c>
      <c r="N276" s="99"/>
      <c r="O276" s="23"/>
      <c r="P276"/>
      <c r="Q276"/>
      <c r="R276"/>
      <c r="S276"/>
      <c r="T276"/>
      <c r="U276"/>
      <c r="V276"/>
      <c r="W276"/>
      <c r="X276"/>
      <c r="Y276"/>
      <c r="Z276"/>
    </row>
    <row r="277" spans="2:26" s="4" customFormat="1" ht="18" customHeight="1" x14ac:dyDescent="0.2">
      <c r="B277" s="73" t="s">
        <v>63</v>
      </c>
      <c r="C277" s="37">
        <v>114.48842994406996</v>
      </c>
      <c r="D277" s="41">
        <v>390.19366935483868</v>
      </c>
      <c r="E277" s="41">
        <v>245.30067955801101</v>
      </c>
      <c r="F277" s="41">
        <v>938.5741064220183</v>
      </c>
      <c r="G277" s="61">
        <v>282.78001856216264</v>
      </c>
      <c r="H277" s="42">
        <v>2641.709533678757</v>
      </c>
      <c r="I277" s="41">
        <v>325.76553246753252</v>
      </c>
      <c r="J277" s="62">
        <v>100.85640000000001</v>
      </c>
      <c r="K277" s="41">
        <v>316.6213636363637</v>
      </c>
      <c r="L277" s="41">
        <v>453.92338414041876</v>
      </c>
      <c r="M277" s="39">
        <v>346.27028172999707</v>
      </c>
      <c r="N277" s="99"/>
      <c r="O277" s="23"/>
      <c r="P277"/>
      <c r="Q277"/>
      <c r="R277"/>
      <c r="S277"/>
      <c r="T277"/>
      <c r="U277"/>
      <c r="V277"/>
      <c r="W277"/>
      <c r="X277"/>
      <c r="Y277"/>
      <c r="Z277"/>
    </row>
    <row r="278" spans="2:26" s="4" customFormat="1" ht="18" customHeight="1" x14ac:dyDescent="0.2">
      <c r="B278" s="73" t="s">
        <v>64</v>
      </c>
      <c r="C278" s="37">
        <v>126.6911444141689</v>
      </c>
      <c r="D278" s="41">
        <v>162.32083064516129</v>
      </c>
      <c r="E278" s="41">
        <v>272.26376795580109</v>
      </c>
      <c r="F278" s="41">
        <v>739.38874617736997</v>
      </c>
      <c r="G278" s="61">
        <v>268.25198624434864</v>
      </c>
      <c r="H278" s="42">
        <v>1661.7821036269429</v>
      </c>
      <c r="I278" s="41">
        <v>261.61405194805195</v>
      </c>
      <c r="J278" s="62">
        <v>79.437600000000003</v>
      </c>
      <c r="K278" s="41">
        <v>316.6213636363637</v>
      </c>
      <c r="L278" s="41">
        <v>374.56957159705848</v>
      </c>
      <c r="M278" s="39">
        <v>307.9875278071662</v>
      </c>
      <c r="N278" s="99"/>
      <c r="O278" s="23"/>
      <c r="P278"/>
      <c r="Q278"/>
      <c r="R278"/>
      <c r="S278"/>
      <c r="T278"/>
      <c r="U278"/>
      <c r="V278"/>
      <c r="W278"/>
      <c r="X278"/>
      <c r="Y278"/>
      <c r="Z278"/>
    </row>
    <row r="279" spans="2:26" s="4" customFormat="1" ht="18" customHeight="1" x14ac:dyDescent="0.2">
      <c r="B279" s="73" t="s">
        <v>65</v>
      </c>
      <c r="C279" s="37">
        <v>105.7073185142693</v>
      </c>
      <c r="D279" s="41">
        <v>324.88536290322583</v>
      </c>
      <c r="E279" s="41">
        <v>240.65011049723756</v>
      </c>
      <c r="F279" s="41">
        <v>947.12762201834846</v>
      </c>
      <c r="G279" s="61">
        <v>267.29243675520655</v>
      </c>
      <c r="H279" s="42">
        <v>937.31782383419704</v>
      </c>
      <c r="I279" s="41">
        <v>285.42176623376628</v>
      </c>
      <c r="J279" s="62">
        <v>62.628</v>
      </c>
      <c r="K279" s="41">
        <v>501.5869090909091</v>
      </c>
      <c r="L279" s="41">
        <v>374.38254988205887</v>
      </c>
      <c r="M279" s="39">
        <v>313.72100475456017</v>
      </c>
      <c r="N279" s="99"/>
      <c r="O279" s="23"/>
      <c r="P279"/>
      <c r="Q279"/>
      <c r="R279"/>
      <c r="S279"/>
      <c r="T279"/>
      <c r="U279"/>
      <c r="V279"/>
      <c r="W279"/>
      <c r="X279"/>
      <c r="Y279"/>
      <c r="Z279"/>
    </row>
    <row r="280" spans="2:26" s="4" customFormat="1" ht="18" customHeight="1" x14ac:dyDescent="0.2">
      <c r="B280" s="73" t="s">
        <v>46</v>
      </c>
      <c r="C280" s="37">
        <v>140.15438462641617</v>
      </c>
      <c r="D280" s="41">
        <v>66.824685483870979</v>
      </c>
      <c r="E280" s="41">
        <v>286.41550276243089</v>
      </c>
      <c r="F280" s="41">
        <v>871.79822752293592</v>
      </c>
      <c r="G280" s="61">
        <v>289.58976749497117</v>
      </c>
      <c r="H280" s="42">
        <v>2599.6070673575127</v>
      </c>
      <c r="I280" s="41">
        <v>331.88345454545453</v>
      </c>
      <c r="J280" s="62">
        <v>114.17639999999999</v>
      </c>
      <c r="K280" s="41">
        <v>659.30590909090915</v>
      </c>
      <c r="L280" s="41">
        <v>409.10831622034146</v>
      </c>
      <c r="M280" s="39">
        <v>338.15705987176716</v>
      </c>
      <c r="N280" s="99"/>
      <c r="O280" s="23"/>
      <c r="P280"/>
      <c r="Q280"/>
      <c r="R280"/>
      <c r="S280"/>
      <c r="T280"/>
      <c r="U280"/>
      <c r="V280"/>
      <c r="W280"/>
      <c r="X280"/>
      <c r="Y280"/>
      <c r="Z280"/>
    </row>
    <row r="281" spans="2:26" s="4" customFormat="1" ht="18" customHeight="1" x14ac:dyDescent="0.2">
      <c r="B281" s="73" t="s">
        <v>47</v>
      </c>
      <c r="C281" s="37">
        <v>115.92131650652514</v>
      </c>
      <c r="D281" s="41">
        <v>320.06458064516119</v>
      </c>
      <c r="E281" s="41">
        <v>155.2128508287293</v>
      </c>
      <c r="F281" s="41">
        <v>705.50777003058101</v>
      </c>
      <c r="G281" s="61">
        <v>263.18901122625789</v>
      </c>
      <c r="H281" s="42">
        <v>2709.5441658031091</v>
      </c>
      <c r="I281" s="41">
        <v>273.44789610389608</v>
      </c>
      <c r="J281" s="62">
        <v>85.34399999999998</v>
      </c>
      <c r="K281" s="41">
        <v>386.57318181818181</v>
      </c>
      <c r="L281" s="41">
        <v>479.15295684750987</v>
      </c>
      <c r="M281" s="39">
        <v>329.33752089839527</v>
      </c>
      <c r="N281" s="99"/>
      <c r="O281" s="23"/>
      <c r="P281"/>
      <c r="Q281"/>
      <c r="R281"/>
      <c r="S281"/>
      <c r="T281"/>
      <c r="U281"/>
      <c r="V281"/>
      <c r="W281"/>
      <c r="X281"/>
      <c r="Y281"/>
      <c r="Z281"/>
    </row>
    <row r="282" spans="2:26" s="4" customFormat="1" ht="18" customHeight="1" x14ac:dyDescent="0.2">
      <c r="B282" s="73" t="s">
        <v>48</v>
      </c>
      <c r="C282" s="37">
        <v>154.9610225154166</v>
      </c>
      <c r="D282" s="41">
        <v>563.17705645161288</v>
      </c>
      <c r="E282" s="41">
        <v>270.6748950276243</v>
      </c>
      <c r="F282" s="41">
        <v>1112.2292220183488</v>
      </c>
      <c r="G282" s="61">
        <v>273.75668871200105</v>
      </c>
      <c r="H282" s="42">
        <v>1717.7805388601037</v>
      </c>
      <c r="I282" s="41">
        <v>284.36841558441563</v>
      </c>
      <c r="J282" s="62">
        <v>108.37439999999999</v>
      </c>
      <c r="K282" s="41">
        <v>672.08972727272726</v>
      </c>
      <c r="L282" s="41">
        <v>494.86857090328851</v>
      </c>
      <c r="M282" s="39">
        <v>359.29775487884166</v>
      </c>
      <c r="N282" s="99"/>
      <c r="O282" s="23"/>
      <c r="P282"/>
      <c r="Q282"/>
      <c r="R282"/>
      <c r="S282"/>
      <c r="T282"/>
      <c r="U282"/>
      <c r="V282"/>
      <c r="W282"/>
      <c r="X282"/>
      <c r="Y282"/>
      <c r="Z282"/>
    </row>
    <row r="283" spans="2:26" s="4" customFormat="1" ht="18" customHeight="1" x14ac:dyDescent="0.2">
      <c r="B283" s="73"/>
      <c r="C283" s="37"/>
      <c r="D283" s="41"/>
      <c r="E283" s="41"/>
      <c r="F283" s="41"/>
      <c r="G283" s="61"/>
      <c r="H283" s="42"/>
      <c r="I283" s="41"/>
      <c r="J283" s="62"/>
      <c r="K283" s="41"/>
      <c r="L283" s="41"/>
      <c r="M283" s="39"/>
      <c r="N283" s="99"/>
      <c r="O283" s="23"/>
      <c r="P283"/>
      <c r="Q283"/>
      <c r="R283"/>
      <c r="S283"/>
      <c r="T283"/>
      <c r="U283"/>
      <c r="V283"/>
      <c r="W283"/>
      <c r="X283"/>
      <c r="Y283"/>
      <c r="Z283"/>
    </row>
    <row r="284" spans="2:26" s="4" customFormat="1" ht="18" customHeight="1" x14ac:dyDescent="0.2">
      <c r="B284" s="32" t="s">
        <v>83</v>
      </c>
      <c r="C284" s="37">
        <v>227.24171052631576</v>
      </c>
      <c r="D284" s="37">
        <v>600.39690120967737</v>
      </c>
      <c r="E284" s="37">
        <v>369.16408793738492</v>
      </c>
      <c r="F284" s="37">
        <v>1483.3949786952089</v>
      </c>
      <c r="G284" s="37">
        <v>580.92150797655154</v>
      </c>
      <c r="H284" s="37">
        <v>4274.6647046632124</v>
      </c>
      <c r="I284" s="37">
        <v>559.20048484848473</v>
      </c>
      <c r="J284" s="37">
        <v>654.4316</v>
      </c>
      <c r="K284" s="37">
        <v>852.63863636363646</v>
      </c>
      <c r="L284" s="37">
        <v>708.00063762661296</v>
      </c>
      <c r="M284" s="39">
        <v>633.66473850768841</v>
      </c>
      <c r="N284" s="100"/>
      <c r="O284" s="23"/>
      <c r="P284"/>
      <c r="Q284"/>
      <c r="R284"/>
      <c r="S284"/>
      <c r="T284"/>
      <c r="U284"/>
      <c r="V284"/>
      <c r="W284"/>
      <c r="X284"/>
      <c r="Y284"/>
      <c r="Z284"/>
    </row>
    <row r="285" spans="2:26" s="4" customFormat="1" ht="18" customHeight="1" x14ac:dyDescent="0.2">
      <c r="B285" s="73" t="s">
        <v>37</v>
      </c>
      <c r="C285" s="37">
        <v>1429.476884554711</v>
      </c>
      <c r="D285" s="41">
        <v>3818.9490483870964</v>
      </c>
      <c r="E285" s="41">
        <v>2318.5180607734806</v>
      </c>
      <c r="F285" s="41">
        <v>9295.5457810397565</v>
      </c>
      <c r="G285" s="61">
        <v>3639.1732271209389</v>
      </c>
      <c r="H285" s="42">
        <v>27056.574901554402</v>
      </c>
      <c r="I285" s="41">
        <v>3495.0400779220781</v>
      </c>
      <c r="J285" s="62">
        <v>4060.3835999999997</v>
      </c>
      <c r="K285" s="41">
        <v>5137.8947727272734</v>
      </c>
      <c r="L285" s="41">
        <v>4491.5020743721379</v>
      </c>
      <c r="M285" s="39">
        <v>3984.3688473569496</v>
      </c>
      <c r="N285" s="100"/>
      <c r="O285" s="23"/>
      <c r="P285"/>
      <c r="Q285"/>
      <c r="R285"/>
      <c r="S285"/>
      <c r="T285"/>
      <c r="U285"/>
      <c r="V285"/>
      <c r="W285"/>
      <c r="X285"/>
      <c r="Y285"/>
      <c r="Z285"/>
    </row>
    <row r="286" spans="2:26" s="4" customFormat="1" ht="18" customHeight="1" x14ac:dyDescent="0.2">
      <c r="B286" s="73" t="s">
        <v>38</v>
      </c>
      <c r="C286" s="37">
        <v>119.29472938476982</v>
      </c>
      <c r="D286" s="41">
        <v>425.50253225806455</v>
      </c>
      <c r="E286" s="41">
        <v>156.99128176795583</v>
      </c>
      <c r="F286" s="41">
        <v>847.9797688073395</v>
      </c>
      <c r="G286" s="61">
        <v>308.6192228057015</v>
      </c>
      <c r="H286" s="42">
        <v>1451.9686632124356</v>
      </c>
      <c r="I286" s="41">
        <v>260.04636363636365</v>
      </c>
      <c r="J286" s="62">
        <v>172.7724</v>
      </c>
      <c r="K286" s="41">
        <v>586.60909090909092</v>
      </c>
      <c r="L286" s="41">
        <v>274.32224448452899</v>
      </c>
      <c r="M286" s="39">
        <v>312.601407400798</v>
      </c>
      <c r="N286" s="100"/>
      <c r="O286" s="23"/>
      <c r="P286"/>
      <c r="Q286"/>
      <c r="R286"/>
      <c r="S286"/>
      <c r="T286"/>
      <c r="U286"/>
      <c r="V286"/>
      <c r="W286"/>
      <c r="X286"/>
      <c r="Y286"/>
      <c r="Z286"/>
    </row>
    <row r="287" spans="2:26" s="4" customFormat="1" ht="18" customHeight="1" x14ac:dyDescent="0.2">
      <c r="B287" s="73" t="s">
        <v>39</v>
      </c>
      <c r="C287" s="37">
        <v>114.28663874946221</v>
      </c>
      <c r="D287" s="41">
        <v>420.35900806451622</v>
      </c>
      <c r="E287" s="41">
        <v>195.85012154696133</v>
      </c>
      <c r="F287" s="41">
        <v>769.23420061162085</v>
      </c>
      <c r="G287" s="61">
        <v>238.8687475585711</v>
      </c>
      <c r="H287" s="42">
        <v>1277.4770673575131</v>
      </c>
      <c r="I287" s="41">
        <v>276.3093246753246</v>
      </c>
      <c r="J287" s="62">
        <v>433.19639999999993</v>
      </c>
      <c r="K287" s="41">
        <v>898.8204545454546</v>
      </c>
      <c r="L287" s="41">
        <v>190.56932343554868</v>
      </c>
      <c r="M287" s="39">
        <v>244.08496263909961</v>
      </c>
      <c r="N287" s="100"/>
      <c r="O287" s="23"/>
      <c r="P287"/>
      <c r="Q287"/>
      <c r="R287"/>
      <c r="S287"/>
      <c r="T287"/>
      <c r="U287"/>
      <c r="V287"/>
      <c r="W287"/>
      <c r="X287"/>
      <c r="Y287"/>
      <c r="Z287"/>
    </row>
    <row r="288" spans="2:26" s="4" customFormat="1" ht="18" customHeight="1" x14ac:dyDescent="0.2">
      <c r="B288" s="73" t="s">
        <v>40</v>
      </c>
      <c r="C288" s="37">
        <v>106.57972350494765</v>
      </c>
      <c r="D288" s="41">
        <v>278.08427419354837</v>
      </c>
      <c r="E288" s="41">
        <v>120.78592817679558</v>
      </c>
      <c r="F288" s="41">
        <v>983.60940428134552</v>
      </c>
      <c r="G288" s="61">
        <v>317.28266602048745</v>
      </c>
      <c r="H288" s="42">
        <v>3539.9423937823835</v>
      </c>
      <c r="I288" s="41">
        <v>321.21937662337666</v>
      </c>
      <c r="J288" s="62">
        <v>456.10320000000002</v>
      </c>
      <c r="K288" s="41">
        <v>926.22081818181823</v>
      </c>
      <c r="L288" s="41">
        <v>268.94852643263505</v>
      </c>
      <c r="M288" s="39">
        <v>324.76833707664662</v>
      </c>
      <c r="N288" s="100"/>
      <c r="O288" s="23"/>
      <c r="P288"/>
      <c r="Q288"/>
      <c r="R288"/>
      <c r="S288"/>
      <c r="T288"/>
      <c r="U288"/>
      <c r="V288"/>
      <c r="W288"/>
      <c r="X288"/>
      <c r="Y288"/>
      <c r="Z288"/>
    </row>
    <row r="289" spans="2:26" s="4" customFormat="1" ht="18" customHeight="1" x14ac:dyDescent="0.2">
      <c r="B289" s="73" t="s">
        <v>41</v>
      </c>
      <c r="C289" s="37">
        <v>103.29025383622543</v>
      </c>
      <c r="D289" s="41">
        <v>291.13654838709675</v>
      </c>
      <c r="E289" s="41">
        <v>226.02455801104975</v>
      </c>
      <c r="F289" s="41">
        <v>769.87194128440387</v>
      </c>
      <c r="G289" s="61">
        <v>291.35474157034832</v>
      </c>
      <c r="H289" s="42">
        <v>881.80706735751312</v>
      </c>
      <c r="I289" s="41">
        <v>284.21945454545448</v>
      </c>
      <c r="J289" s="62">
        <v>340.30560000000003</v>
      </c>
      <c r="K289" s="41">
        <v>166.19550000000001</v>
      </c>
      <c r="L289" s="41">
        <v>305.51003552102117</v>
      </c>
      <c r="M289" s="39">
        <v>304.30431668175038</v>
      </c>
      <c r="N289" s="100"/>
      <c r="O289" s="23"/>
      <c r="P289"/>
      <c r="Q289"/>
      <c r="R289"/>
      <c r="S289"/>
      <c r="T289"/>
      <c r="U289"/>
      <c r="V289"/>
      <c r="W289"/>
      <c r="X289"/>
      <c r="Y289"/>
      <c r="Z289"/>
    </row>
    <row r="290" spans="2:26" s="4" customFormat="1" ht="18" customHeight="1" x14ac:dyDescent="0.2">
      <c r="B290" s="73" t="s">
        <v>42</v>
      </c>
      <c r="C290" s="37">
        <v>125.48855270328413</v>
      </c>
      <c r="D290" s="41">
        <v>255.10224193548387</v>
      </c>
      <c r="E290" s="41">
        <v>223.32770718232047</v>
      </c>
      <c r="F290" s="41">
        <v>720.37588623853196</v>
      </c>
      <c r="G290" s="61">
        <v>286.06594493756182</v>
      </c>
      <c r="H290" s="42">
        <v>1783.2696062176167</v>
      </c>
      <c r="I290" s="41">
        <v>285.21841558441554</v>
      </c>
      <c r="J290" s="62">
        <v>432.35519999999997</v>
      </c>
      <c r="K290" s="41">
        <v>859.58318181818186</v>
      </c>
      <c r="L290" s="41">
        <v>309.26329277091708</v>
      </c>
      <c r="M290" s="39">
        <v>302.73393909574128</v>
      </c>
      <c r="N290" s="100"/>
      <c r="O290" s="23"/>
      <c r="P290"/>
      <c r="Q290"/>
      <c r="R290"/>
      <c r="S290"/>
      <c r="T290"/>
      <c r="U290"/>
      <c r="V290"/>
      <c r="W290"/>
      <c r="X290"/>
      <c r="Y290"/>
      <c r="Z290"/>
    </row>
    <row r="291" spans="2:26" s="4" customFormat="1" ht="18" customHeight="1" x14ac:dyDescent="0.2">
      <c r="B291" s="73" t="s">
        <v>63</v>
      </c>
      <c r="C291" s="37">
        <v>114.53098150007173</v>
      </c>
      <c r="D291" s="41">
        <v>299.46404032258062</v>
      </c>
      <c r="E291" s="41">
        <v>167.74440331491712</v>
      </c>
      <c r="F291" s="41">
        <v>462.84172354740059</v>
      </c>
      <c r="G291" s="61">
        <v>278.16369482636145</v>
      </c>
      <c r="H291" s="42">
        <v>2632.7790155440416</v>
      </c>
      <c r="I291" s="41">
        <v>273.47397402597403</v>
      </c>
      <c r="J291" s="62">
        <v>325.75560000000002</v>
      </c>
      <c r="K291" s="41">
        <v>399.50454545454551</v>
      </c>
      <c r="L291" s="41">
        <v>315.47927591230751</v>
      </c>
      <c r="M291" s="39">
        <v>288.58950315483548</v>
      </c>
      <c r="N291" s="100"/>
      <c r="O291" s="23"/>
      <c r="P291"/>
      <c r="Q291"/>
      <c r="R291"/>
      <c r="S291"/>
      <c r="T291"/>
      <c r="U291"/>
      <c r="V291"/>
      <c r="W291"/>
      <c r="X291"/>
      <c r="Y291"/>
      <c r="Z291"/>
    </row>
    <row r="292" spans="2:26" s="4" customFormat="1" ht="18" customHeight="1" x14ac:dyDescent="0.2">
      <c r="B292" s="73" t="s">
        <v>64</v>
      </c>
      <c r="C292" s="37">
        <v>116.40594493044603</v>
      </c>
      <c r="D292" s="41">
        <v>380.53195161290313</v>
      </c>
      <c r="E292" s="41">
        <v>146.19</v>
      </c>
      <c r="F292" s="41">
        <v>785.79487094801209</v>
      </c>
      <c r="G292" s="61">
        <v>317.29787496431641</v>
      </c>
      <c r="H292" s="42">
        <v>2125.2495544041458</v>
      </c>
      <c r="I292" s="41">
        <v>307.38927272727273</v>
      </c>
      <c r="J292" s="62">
        <v>401.80439999999999</v>
      </c>
      <c r="K292" s="41">
        <v>50.780454545454546</v>
      </c>
      <c r="L292" s="41">
        <v>408.25805827667551</v>
      </c>
      <c r="M292" s="39">
        <v>349.01594044690319</v>
      </c>
      <c r="N292" s="100"/>
      <c r="O292" s="23"/>
      <c r="P292"/>
      <c r="Q292"/>
      <c r="R292"/>
      <c r="S292"/>
      <c r="T292"/>
      <c r="U292"/>
      <c r="V292"/>
      <c r="W292"/>
      <c r="X292"/>
      <c r="Y292"/>
      <c r="Z292"/>
    </row>
    <row r="293" spans="2:26" s="4" customFormat="1" ht="18" customHeight="1" x14ac:dyDescent="0.2">
      <c r="B293" s="73" t="s">
        <v>65</v>
      </c>
      <c r="C293" s="37">
        <v>122.5110727090205</v>
      </c>
      <c r="D293" s="41">
        <v>285.60256451612901</v>
      </c>
      <c r="E293" s="41">
        <v>233.21223204419891</v>
      </c>
      <c r="F293" s="41">
        <v>801.51273516819572</v>
      </c>
      <c r="G293" s="61">
        <v>333.62385484866792</v>
      </c>
      <c r="H293" s="42">
        <v>1599.3467253886008</v>
      </c>
      <c r="I293" s="41">
        <v>272.40101298701302</v>
      </c>
      <c r="J293" s="62">
        <v>324.32759999999996</v>
      </c>
      <c r="K293" s="41">
        <v>565.88209090909106</v>
      </c>
      <c r="L293" s="41">
        <v>710.25563514638543</v>
      </c>
      <c r="M293" s="39">
        <v>434.32520396170855</v>
      </c>
      <c r="N293" s="100"/>
      <c r="O293" s="23"/>
      <c r="P293"/>
      <c r="Q293"/>
      <c r="R293"/>
      <c r="S293"/>
      <c r="T293"/>
      <c r="U293"/>
      <c r="V293"/>
      <c r="W293"/>
      <c r="X293"/>
      <c r="Y293"/>
      <c r="Z293"/>
    </row>
    <row r="294" spans="2:26" s="4" customFormat="1" ht="18" customHeight="1" x14ac:dyDescent="0.2">
      <c r="B294" s="73" t="s">
        <v>68</v>
      </c>
      <c r="C294" s="37">
        <v>125.65516908074</v>
      </c>
      <c r="D294" s="41">
        <v>317.6841774193548</v>
      </c>
      <c r="E294" s="41">
        <v>183.42879005524861</v>
      </c>
      <c r="F294" s="41">
        <v>784.69282079510708</v>
      </c>
      <c r="G294" s="61">
        <v>347.78498036898606</v>
      </c>
      <c r="H294" s="42">
        <v>3360.0004352331603</v>
      </c>
      <c r="I294" s="41">
        <v>328.00194805194803</v>
      </c>
      <c r="J294" s="62">
        <v>303.44400000000002</v>
      </c>
      <c r="K294" s="41">
        <v>318.60681818181814</v>
      </c>
      <c r="L294" s="41">
        <v>260.09296184265298</v>
      </c>
      <c r="M294" s="39">
        <v>335.10596749563427</v>
      </c>
      <c r="N294" s="100"/>
      <c r="O294" s="23"/>
      <c r="P294"/>
      <c r="Q294"/>
      <c r="R294"/>
      <c r="S294"/>
      <c r="T294"/>
      <c r="U294"/>
      <c r="V294"/>
      <c r="W294"/>
      <c r="X294"/>
      <c r="Y294"/>
      <c r="Z294"/>
    </row>
    <row r="295" spans="2:26" s="4" customFormat="1" ht="18" customHeight="1" x14ac:dyDescent="0.2">
      <c r="B295" s="73" t="s">
        <v>69</v>
      </c>
      <c r="C295" s="37">
        <v>123.01327090205076</v>
      </c>
      <c r="D295" s="41">
        <v>323.0855806451612</v>
      </c>
      <c r="E295" s="41">
        <v>206.09639779005522</v>
      </c>
      <c r="F295" s="41">
        <v>862.01420550458715</v>
      </c>
      <c r="G295" s="61">
        <v>291.27248617464096</v>
      </c>
      <c r="H295" s="42">
        <v>3486.1067564766836</v>
      </c>
      <c r="I295" s="41">
        <v>306.67522077922081</v>
      </c>
      <c r="J295" s="62">
        <v>307.73039999999997</v>
      </c>
      <c r="K295" s="41">
        <v>2.918181818181818</v>
      </c>
      <c r="L295" s="41">
        <v>486.72211918967673</v>
      </c>
      <c r="M295" s="39">
        <v>357.7901422289072</v>
      </c>
      <c r="N295" s="100"/>
      <c r="O295" s="23"/>
      <c r="P295"/>
      <c r="Q295"/>
      <c r="R295"/>
      <c r="S295"/>
      <c r="T295"/>
      <c r="U295"/>
      <c r="V295"/>
      <c r="W295"/>
      <c r="X295"/>
      <c r="Y295"/>
      <c r="Z295"/>
    </row>
    <row r="296" spans="2:26" s="4" customFormat="1" ht="18" customHeight="1" x14ac:dyDescent="0.2">
      <c r="B296" s="73" t="s">
        <v>70</v>
      </c>
      <c r="C296" s="37">
        <v>126.36730446006023</v>
      </c>
      <c r="D296" s="41">
        <v>109.26084677419354</v>
      </c>
      <c r="E296" s="41">
        <v>251.79957458563536</v>
      </c>
      <c r="F296" s="41">
        <v>717.26640611620792</v>
      </c>
      <c r="G296" s="61">
        <v>321.55065452203763</v>
      </c>
      <c r="H296" s="42">
        <v>2101.4542694300521</v>
      </c>
      <c r="I296" s="41">
        <v>300.41137662337667</v>
      </c>
      <c r="J296" s="62">
        <v>295.00079999999997</v>
      </c>
      <c r="K296" s="41">
        <v>318.64772727272731</v>
      </c>
      <c r="L296" s="41">
        <v>475.08410413486877</v>
      </c>
      <c r="M296" s="39">
        <v>366.28829455328804</v>
      </c>
      <c r="N296" s="100"/>
      <c r="O296" s="23"/>
      <c r="P296"/>
      <c r="Q296"/>
      <c r="R296"/>
      <c r="S296"/>
      <c r="T296"/>
      <c r="U296"/>
      <c r="V296"/>
      <c r="W296"/>
      <c r="X296"/>
      <c r="Y296"/>
      <c r="Z296"/>
    </row>
    <row r="297" spans="2:26" s="4" customFormat="1" ht="18" customHeight="1" x14ac:dyDescent="0.2">
      <c r="B297" s="73"/>
      <c r="C297" s="37"/>
      <c r="D297" s="41"/>
      <c r="E297" s="41"/>
      <c r="F297" s="41"/>
      <c r="G297" s="61"/>
      <c r="H297" s="42"/>
      <c r="I297" s="41"/>
      <c r="J297" s="62"/>
      <c r="K297" s="41"/>
      <c r="L297" s="41"/>
      <c r="M297" s="39"/>
      <c r="N297" s="100"/>
      <c r="O297" s="23"/>
      <c r="P297"/>
      <c r="Q297"/>
      <c r="R297"/>
      <c r="S297"/>
      <c r="T297"/>
      <c r="U297"/>
      <c r="V297"/>
      <c r="W297"/>
      <c r="X297"/>
      <c r="Y297"/>
      <c r="Z297"/>
    </row>
    <row r="298" spans="2:26" s="4" customFormat="1" ht="18" customHeight="1" x14ac:dyDescent="0.2">
      <c r="B298" s="32" t="s">
        <v>84</v>
      </c>
      <c r="C298" s="37">
        <v>119.9990859983747</v>
      </c>
      <c r="D298" s="37">
        <v>388.5876075268817</v>
      </c>
      <c r="E298" s="37">
        <v>185.02058809085327</v>
      </c>
      <c r="F298" s="37">
        <v>738.58904831804273</v>
      </c>
      <c r="G298" s="37">
        <v>281.67721409113341</v>
      </c>
      <c r="H298" s="37">
        <v>2286.3349188255615</v>
      </c>
      <c r="I298" s="37">
        <v>282.00653679653675</v>
      </c>
      <c r="J298" s="37">
        <v>201.64479999999998</v>
      </c>
      <c r="K298" s="37">
        <v>412.53177272727277</v>
      </c>
      <c r="L298" s="41">
        <v>474.47467866888667</v>
      </c>
      <c r="M298" s="39">
        <v>341.40151468361705</v>
      </c>
      <c r="N298" s="100"/>
      <c r="O298" s="23"/>
      <c r="P298"/>
      <c r="Q298"/>
      <c r="R298"/>
      <c r="S298"/>
      <c r="T298"/>
      <c r="U298"/>
      <c r="V298"/>
      <c r="W298"/>
      <c r="X298"/>
      <c r="Y298"/>
      <c r="Z298"/>
    </row>
    <row r="299" spans="2:26" s="4" customFormat="1" ht="18" customHeight="1" x14ac:dyDescent="0.2">
      <c r="B299" s="73" t="s">
        <v>71</v>
      </c>
      <c r="C299" s="37">
        <v>114.69458626129355</v>
      </c>
      <c r="D299" s="41">
        <v>396.65189516129027</v>
      </c>
      <c r="E299" s="41">
        <v>141.61785635359112</v>
      </c>
      <c r="F299" s="41">
        <v>816.48003058103984</v>
      </c>
      <c r="G299" s="61">
        <v>281.97197129370846</v>
      </c>
      <c r="H299" s="42">
        <v>3029.8876165803113</v>
      </c>
      <c r="I299" s="41">
        <v>333.22800000000007</v>
      </c>
      <c r="J299" s="62">
        <v>241.13759999999996</v>
      </c>
      <c r="K299" s="41">
        <v>597.85227272727275</v>
      </c>
      <c r="L299" s="41">
        <v>251.87929651727495</v>
      </c>
      <c r="M299" s="39">
        <v>290.99927445156857</v>
      </c>
      <c r="N299" s="100"/>
      <c r="O299" s="23"/>
      <c r="P299"/>
      <c r="Q299"/>
      <c r="R299"/>
      <c r="S299"/>
      <c r="T299"/>
      <c r="U299"/>
      <c r="V299"/>
      <c r="W299"/>
      <c r="X299"/>
      <c r="Y299"/>
      <c r="Z299"/>
    </row>
    <row r="300" spans="2:26" s="4" customFormat="1" ht="18" customHeight="1" x14ac:dyDescent="0.2">
      <c r="B300" s="73" t="s">
        <v>72</v>
      </c>
      <c r="C300" s="37">
        <v>99.850523447583527</v>
      </c>
      <c r="D300" s="41">
        <v>427.92493548387097</v>
      </c>
      <c r="E300" s="41">
        <v>212.01044198895028</v>
      </c>
      <c r="F300" s="41">
        <v>671.28716697247705</v>
      </c>
      <c r="G300" s="61">
        <v>227.15157190182504</v>
      </c>
      <c r="H300" s="42">
        <v>2338.0714196891195</v>
      </c>
      <c r="I300" s="41">
        <v>240.1811688311688</v>
      </c>
      <c r="J300" s="62">
        <v>135.12120000000002</v>
      </c>
      <c r="K300" s="41">
        <v>158.24972727272728</v>
      </c>
      <c r="L300" s="41">
        <v>250.80845948383518</v>
      </c>
      <c r="M300" s="39">
        <v>247.94900883353938</v>
      </c>
      <c r="N300" s="100"/>
      <c r="O300" s="23"/>
      <c r="P300"/>
      <c r="Q300"/>
      <c r="R300"/>
      <c r="S300"/>
      <c r="T300"/>
      <c r="U300"/>
      <c r="V300"/>
      <c r="W300"/>
      <c r="X300"/>
      <c r="Y300"/>
      <c r="Z300"/>
    </row>
    <row r="301" spans="2:26" s="4" customFormat="1" ht="18" customHeight="1" x14ac:dyDescent="0.2">
      <c r="B301" s="73" t="s">
        <v>73</v>
      </c>
      <c r="C301" s="37">
        <v>137.2582501075577</v>
      </c>
      <c r="D301" s="41">
        <v>527.2348306451612</v>
      </c>
      <c r="E301" s="41">
        <v>250.26825966850828</v>
      </c>
      <c r="F301" s="41">
        <v>567.36826422018351</v>
      </c>
      <c r="G301" s="61">
        <v>253.79629832236824</v>
      </c>
      <c r="H301" s="42">
        <v>2581.6870880829015</v>
      </c>
      <c r="I301" s="41">
        <v>278.5832987012987</v>
      </c>
      <c r="J301" s="62">
        <v>207.33599999999998</v>
      </c>
      <c r="K301" s="41">
        <v>331.51472727272733</v>
      </c>
      <c r="L301" s="41">
        <v>797.31875024281919</v>
      </c>
      <c r="M301" s="39">
        <v>397.87448302762226</v>
      </c>
      <c r="N301" s="100"/>
      <c r="O301" s="23"/>
      <c r="P301"/>
      <c r="Q301"/>
      <c r="R301"/>
      <c r="S301"/>
      <c r="T301"/>
      <c r="U301"/>
      <c r="V301"/>
      <c r="W301"/>
      <c r="X301"/>
      <c r="Y301"/>
      <c r="Z301"/>
    </row>
    <row r="302" spans="2:26" s="4" customFormat="1" ht="18" customHeight="1" x14ac:dyDescent="0.2">
      <c r="B302" s="73" t="s">
        <v>27</v>
      </c>
      <c r="C302" s="37">
        <v>113.2332786462068</v>
      </c>
      <c r="D302" s="41">
        <v>400.66570161290315</v>
      </c>
      <c r="E302" s="41">
        <v>182.53340331491711</v>
      </c>
      <c r="F302" s="41">
        <v>753.08850275229372</v>
      </c>
      <c r="G302" s="61">
        <v>253.88725459240916</v>
      </c>
      <c r="H302" s="42">
        <v>2743.5104455958553</v>
      </c>
      <c r="I302" s="41">
        <v>308.25571428571425</v>
      </c>
      <c r="J302" s="62">
        <v>243.1524</v>
      </c>
      <c r="K302" s="41">
        <v>1006.2024545454545</v>
      </c>
      <c r="L302" s="41">
        <v>588.91606271680325</v>
      </c>
      <c r="M302" s="39">
        <v>352.88208160507844</v>
      </c>
      <c r="N302" s="100"/>
      <c r="O302" s="23"/>
      <c r="P302"/>
      <c r="Q302"/>
      <c r="R302"/>
      <c r="S302"/>
      <c r="T302"/>
      <c r="U302"/>
      <c r="V302"/>
      <c r="W302"/>
      <c r="X302"/>
      <c r="Y302"/>
      <c r="Z302"/>
    </row>
    <row r="303" spans="2:26" s="4" customFormat="1" ht="18" customHeight="1" x14ac:dyDescent="0.2">
      <c r="B303" s="73" t="s">
        <v>74</v>
      </c>
      <c r="C303" s="37">
        <v>116.72967732683206</v>
      </c>
      <c r="D303" s="41">
        <v>356.77657258064511</v>
      </c>
      <c r="E303" s="41">
        <v>154.17483977900551</v>
      </c>
      <c r="F303" s="41">
        <v>639.34483914373084</v>
      </c>
      <c r="G303" s="61">
        <v>333.49054498137815</v>
      </c>
      <c r="H303" s="42">
        <v>2494.0315025906739</v>
      </c>
      <c r="I303" s="41">
        <v>281.18394805194811</v>
      </c>
      <c r="J303" s="62">
        <v>187.40039999999999</v>
      </c>
      <c r="K303" s="41">
        <v>293.45454545454544</v>
      </c>
      <c r="L303" s="41">
        <v>526.41307451089222</v>
      </c>
      <c r="M303" s="39">
        <v>382.8981765943073</v>
      </c>
      <c r="N303" s="100"/>
      <c r="O303" s="23"/>
      <c r="P303"/>
      <c r="Q303"/>
      <c r="R303"/>
      <c r="S303"/>
      <c r="T303"/>
      <c r="U303"/>
      <c r="V303"/>
      <c r="W303"/>
      <c r="X303"/>
      <c r="Y303"/>
      <c r="Z303"/>
    </row>
    <row r="304" spans="2:26" s="4" customFormat="1" ht="18" customHeight="1" x14ac:dyDescent="0.2">
      <c r="B304" s="73" t="s">
        <v>75</v>
      </c>
      <c r="C304" s="37">
        <v>122.06702796500788</v>
      </c>
      <c r="D304" s="41">
        <v>401.39944354838713</v>
      </c>
      <c r="E304" s="41">
        <v>205.89007182320441</v>
      </c>
      <c r="F304" s="41">
        <v>1100.3053700305811</v>
      </c>
      <c r="G304" s="61">
        <v>317.01014288085292</v>
      </c>
      <c r="H304" s="42">
        <v>1702.0461450777204</v>
      </c>
      <c r="I304" s="41">
        <v>332.34363636363639</v>
      </c>
      <c r="J304" s="62">
        <v>201.63720000000001</v>
      </c>
      <c r="K304" s="41">
        <v>364.1312727272728</v>
      </c>
      <c r="L304" s="41">
        <v>331.24066067711931</v>
      </c>
      <c r="M304" s="39">
        <v>343.46770447795438</v>
      </c>
      <c r="N304" s="100"/>
      <c r="O304" s="23"/>
      <c r="P304"/>
      <c r="Q304"/>
      <c r="R304"/>
      <c r="S304"/>
      <c r="T304"/>
      <c r="U304"/>
      <c r="V304"/>
      <c r="W304"/>
      <c r="X304"/>
      <c r="Y304"/>
      <c r="Z304"/>
    </row>
    <row r="305" spans="2:26" s="4" customFormat="1" ht="18" customHeight="1" x14ac:dyDescent="0.2">
      <c r="B305" s="73" t="s">
        <v>76</v>
      </c>
      <c r="C305" s="37">
        <v>114.00664104402698</v>
      </c>
      <c r="D305" s="41">
        <v>189.12677419354836</v>
      </c>
      <c r="E305" s="41">
        <v>111.53664088397791</v>
      </c>
      <c r="F305" s="41">
        <v>671.29945321100911</v>
      </c>
      <c r="G305" s="61">
        <v>280.36560898631734</v>
      </c>
      <c r="H305" s="42">
        <v>2542.8356269430055</v>
      </c>
      <c r="I305" s="41">
        <v>210.0765454545454</v>
      </c>
      <c r="J305" s="62">
        <v>160.64280000000002</v>
      </c>
      <c r="K305" s="41">
        <v>354.89127272727274</v>
      </c>
      <c r="L305" s="41">
        <v>509.61752788955175</v>
      </c>
      <c r="M305" s="39">
        <v>345.16906517444005</v>
      </c>
      <c r="N305" s="100"/>
      <c r="O305" s="23"/>
      <c r="P305"/>
      <c r="Q305"/>
      <c r="R305"/>
      <c r="S305"/>
      <c r="T305"/>
      <c r="U305"/>
      <c r="V305"/>
      <c r="W305"/>
      <c r="X305"/>
      <c r="Y305"/>
      <c r="Z305"/>
    </row>
    <row r="306" spans="2:26" s="4" customFormat="1" ht="18" customHeight="1" x14ac:dyDescent="0.2">
      <c r="B306" s="73" t="s">
        <v>77</v>
      </c>
      <c r="C306" s="37">
        <v>128.39403872078015</v>
      </c>
      <c r="D306" s="41">
        <v>372.998879032258</v>
      </c>
      <c r="E306" s="41">
        <v>266.00125414364646</v>
      </c>
      <c r="F306" s="41">
        <v>581.62531376146796</v>
      </c>
      <c r="G306" s="61">
        <v>284.33927480100112</v>
      </c>
      <c r="H306" s="42">
        <v>1392.364196891192</v>
      </c>
      <c r="I306" s="41">
        <v>260.05244155844156</v>
      </c>
      <c r="J306" s="62">
        <v>220.96919999999997</v>
      </c>
      <c r="K306" s="41">
        <v>38.230909090909094</v>
      </c>
      <c r="L306" s="41">
        <v>542.62320195643133</v>
      </c>
      <c r="M306" s="39">
        <v>352.82101581879135</v>
      </c>
      <c r="N306" s="100"/>
      <c r="O306" s="23"/>
      <c r="P306"/>
      <c r="Q306"/>
      <c r="R306"/>
      <c r="S306"/>
      <c r="T306"/>
      <c r="U306"/>
      <c r="V306"/>
      <c r="W306"/>
      <c r="X306"/>
      <c r="Y306"/>
      <c r="Z306"/>
    </row>
    <row r="307" spans="2:26" s="4" customFormat="1" ht="18" customHeight="1" x14ac:dyDescent="0.2">
      <c r="B307" s="73" t="s">
        <v>78</v>
      </c>
      <c r="C307" s="37">
        <v>133.75775046608345</v>
      </c>
      <c r="D307" s="41">
        <v>424.5094354838709</v>
      </c>
      <c r="E307" s="41">
        <v>141.15252486187845</v>
      </c>
      <c r="F307" s="41">
        <v>846.50249418960243</v>
      </c>
      <c r="G307" s="61">
        <v>303.08225906034039</v>
      </c>
      <c r="H307" s="42">
        <v>1752.5802279792747</v>
      </c>
      <c r="I307" s="41">
        <v>294.15407792207793</v>
      </c>
      <c r="J307" s="62">
        <v>217.40639999999996</v>
      </c>
      <c r="K307" s="41">
        <v>568.2587727272728</v>
      </c>
      <c r="L307" s="41">
        <v>471.45507402525328</v>
      </c>
      <c r="M307" s="39">
        <v>358.55282216925218</v>
      </c>
      <c r="N307" s="100"/>
      <c r="O307" s="23"/>
      <c r="P307"/>
      <c r="Q307"/>
      <c r="R307"/>
      <c r="S307"/>
      <c r="T307"/>
      <c r="U307"/>
      <c r="V307"/>
      <c r="W307"/>
      <c r="X307"/>
      <c r="Y307"/>
      <c r="Z307"/>
    </row>
    <row r="308" spans="2:26" s="4" customFormat="1" ht="18" customHeight="1" x14ac:dyDescent="0.2">
      <c r="B308" s="73" t="s">
        <v>80</v>
      </c>
      <c r="C308" s="37">
        <v>122.0562730532052</v>
      </c>
      <c r="D308" s="41">
        <v>367.26551612903222</v>
      </c>
      <c r="E308" s="41">
        <v>190.45585082872933</v>
      </c>
      <c r="F308" s="41">
        <v>978.72792293577993</v>
      </c>
      <c r="G308" s="61">
        <v>344.59484407385042</v>
      </c>
      <c r="H308" s="42">
        <v>1668.6673367875651</v>
      </c>
      <c r="I308" s="41">
        <v>335.40290909090913</v>
      </c>
      <c r="J308" s="62">
        <v>234.79440000000002</v>
      </c>
      <c r="K308" s="41">
        <v>1430.4672272727275</v>
      </c>
      <c r="L308" s="41">
        <v>340.74875232412904</v>
      </c>
      <c r="M308" s="39">
        <v>358.52030413888929</v>
      </c>
      <c r="N308" s="100"/>
      <c r="O308" s="23"/>
      <c r="P308"/>
      <c r="Q308"/>
      <c r="R308"/>
      <c r="S308"/>
      <c r="T308"/>
      <c r="U308"/>
      <c r="V308"/>
      <c r="W308"/>
      <c r="X308"/>
      <c r="Y308"/>
      <c r="Z308"/>
    </row>
    <row r="309" spans="2:26" s="4" customFormat="1" ht="18" customHeight="1" x14ac:dyDescent="0.2">
      <c r="B309" s="73" t="s">
        <v>81</v>
      </c>
      <c r="C309" s="37">
        <v>101.61655585831063</v>
      </c>
      <c r="D309" s="41">
        <v>260.66912903225801</v>
      </c>
      <c r="E309" s="41">
        <v>152.89399447513813</v>
      </c>
      <c r="F309" s="41">
        <v>705.60466544342501</v>
      </c>
      <c r="G309" s="61">
        <v>299.76772289532556</v>
      </c>
      <c r="H309" s="42">
        <v>1863.6520103626947</v>
      </c>
      <c r="I309" s="41">
        <v>251.87462337662333</v>
      </c>
      <c r="J309" s="62">
        <v>113.89439999999999</v>
      </c>
      <c r="K309" s="41">
        <v>970.68695454545446</v>
      </c>
      <c r="L309" s="41">
        <v>477.17267254058555</v>
      </c>
      <c r="M309" s="39">
        <v>350.0630074313903</v>
      </c>
      <c r="N309" s="100"/>
      <c r="O309" s="23"/>
      <c r="P309"/>
      <c r="Q309"/>
      <c r="R309"/>
      <c r="S309"/>
      <c r="T309"/>
      <c r="U309"/>
      <c r="V309"/>
      <c r="W309"/>
      <c r="X309"/>
      <c r="Y309"/>
      <c r="Z309"/>
    </row>
    <row r="310" spans="2:26" s="4" customFormat="1" ht="18" customHeight="1" x14ac:dyDescent="0.2">
      <c r="B310" s="73" t="s">
        <v>82</v>
      </c>
      <c r="C310" s="37">
        <v>112.00601233328553</v>
      </c>
      <c r="D310" s="41">
        <v>330.28226612903217</v>
      </c>
      <c r="E310" s="41">
        <v>114.53578453038675</v>
      </c>
      <c r="F310" s="41">
        <v>779.40038287461789</v>
      </c>
      <c r="G310" s="61">
        <v>335.97314039129253</v>
      </c>
      <c r="H310" s="42">
        <v>1383.1385595854922</v>
      </c>
      <c r="I310" s="41">
        <v>281.98485714285715</v>
      </c>
      <c r="J310" s="62">
        <v>241.61999999999998</v>
      </c>
      <c r="K310" s="41">
        <v>966.72995454545458</v>
      </c>
      <c r="L310" s="41">
        <v>328.45496149576798</v>
      </c>
      <c r="M310" s="39">
        <v>339.56184828746609</v>
      </c>
      <c r="N310" s="100"/>
      <c r="O310" s="23"/>
      <c r="P310"/>
      <c r="Q310"/>
      <c r="R310"/>
      <c r="S310"/>
      <c r="T310"/>
      <c r="U310"/>
      <c r="V310"/>
      <c r="W310"/>
      <c r="X310"/>
      <c r="Y310"/>
      <c r="Z310"/>
    </row>
    <row r="311" spans="2:26" s="4" customFormat="1" ht="6" customHeight="1" thickBot="1" x14ac:dyDescent="0.25">
      <c r="B311" s="101"/>
      <c r="C311" s="102"/>
      <c r="D311" s="103"/>
      <c r="E311" s="103"/>
      <c r="F311" s="103"/>
      <c r="G311" s="103"/>
      <c r="H311" s="104"/>
      <c r="I311" s="103"/>
      <c r="J311" s="105"/>
      <c r="K311" s="103"/>
      <c r="L311" s="103"/>
      <c r="M311" s="106"/>
      <c r="N311" s="107"/>
      <c r="O311" s="23"/>
      <c r="P311"/>
      <c r="Q311"/>
      <c r="R311"/>
      <c r="S311"/>
      <c r="T311"/>
      <c r="U311"/>
      <c r="V311"/>
      <c r="W311"/>
      <c r="X311"/>
      <c r="Y311"/>
      <c r="Z311"/>
    </row>
    <row r="312" spans="2:26" ht="21" customHeight="1" x14ac:dyDescent="0.2">
      <c r="B312" s="10" t="s">
        <v>57</v>
      </c>
      <c r="C312" s="24" t="s">
        <v>79</v>
      </c>
      <c r="D312" s="25"/>
      <c r="E312" s="26"/>
      <c r="F312" s="26"/>
      <c r="G312" s="26"/>
      <c r="H312" s="26"/>
      <c r="I312" s="26"/>
      <c r="J312" s="26"/>
      <c r="K312" s="26"/>
      <c r="L312" s="26"/>
      <c r="M312" s="26"/>
      <c r="N312" s="27"/>
    </row>
    <row r="313" spans="2:26" ht="14.25" customHeight="1" x14ac:dyDescent="0.2">
      <c r="B313" s="10" t="s">
        <v>58</v>
      </c>
      <c r="C313" s="11" t="s">
        <v>60</v>
      </c>
      <c r="D313" s="8"/>
      <c r="E313" s="5"/>
      <c r="F313" s="5"/>
      <c r="G313" s="5"/>
      <c r="H313" s="5"/>
      <c r="I313" s="5"/>
      <c r="J313" s="58"/>
      <c r="K313" s="8"/>
      <c r="L313" s="8"/>
      <c r="M313" s="8"/>
      <c r="N313" s="1"/>
    </row>
    <row r="314" spans="2:26" ht="15" customHeight="1" x14ac:dyDescent="0.2">
      <c r="B314" s="10" t="s">
        <v>59</v>
      </c>
      <c r="C314" s="11" t="s">
        <v>86</v>
      </c>
      <c r="D314" s="8"/>
      <c r="E314" s="8"/>
      <c r="F314" s="8"/>
      <c r="G314" s="8"/>
      <c r="H314" s="8"/>
      <c r="I314" s="8"/>
      <c r="J314" s="58"/>
      <c r="K314" s="8"/>
      <c r="L314" s="8"/>
      <c r="M314" s="8"/>
      <c r="N314" s="1"/>
    </row>
    <row r="315" spans="2:26" ht="15" customHeight="1" x14ac:dyDescent="0.2">
      <c r="B315" s="10"/>
      <c r="C315" s="11" t="s">
        <v>85</v>
      </c>
      <c r="D315" s="8"/>
      <c r="E315" s="5"/>
      <c r="F315" s="5"/>
      <c r="G315" s="5"/>
      <c r="H315" s="5"/>
      <c r="I315" s="5"/>
      <c r="J315" s="58"/>
      <c r="K315" s="57"/>
      <c r="L315" s="8"/>
      <c r="M315" s="8"/>
      <c r="N315" s="1"/>
    </row>
    <row r="316" spans="2:26" ht="12.95" customHeight="1" x14ac:dyDescent="0.2">
      <c r="B316" s="6"/>
      <c r="C316" s="11" t="s">
        <v>87</v>
      </c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</row>
    <row r="317" spans="2:26" ht="6.75" customHeight="1" x14ac:dyDescent="0.2">
      <c r="B317" s="6"/>
      <c r="C317" s="6"/>
      <c r="D317" s="6"/>
      <c r="E317" s="6"/>
      <c r="F317" s="6"/>
      <c r="G317" s="6"/>
      <c r="H317" s="6"/>
      <c r="I317" s="6"/>
      <c r="J317" s="59"/>
      <c r="K317" s="6"/>
      <c r="L317" s="6"/>
      <c r="M317" s="6"/>
    </row>
    <row r="318" spans="2:26" x14ac:dyDescent="0.2">
      <c r="C318" s="11"/>
      <c r="J318" s="60"/>
      <c r="N318" s="2">
        <v>160225.69812000002</v>
      </c>
    </row>
    <row r="319" spans="2:26" x14ac:dyDescent="0.2">
      <c r="J319" s="60"/>
      <c r="N319" s="2">
        <v>63108.436089999996</v>
      </c>
    </row>
    <row r="320" spans="2:26" x14ac:dyDescent="0.2">
      <c r="D320" s="74"/>
      <c r="N320" s="2">
        <v>55288.779180000005</v>
      </c>
    </row>
    <row r="321" spans="3:14" x14ac:dyDescent="0.2">
      <c r="N321" s="2">
        <v>41828.48285</v>
      </c>
    </row>
    <row r="326" spans="3:14" x14ac:dyDescent="0.2">
      <c r="C326" s="11"/>
    </row>
  </sheetData>
  <mergeCells count="11">
    <mergeCell ref="L5:N5"/>
    <mergeCell ref="H6:H8"/>
    <mergeCell ref="I6:I8"/>
    <mergeCell ref="L6:L8"/>
    <mergeCell ref="K6:K8"/>
    <mergeCell ref="J6:J8"/>
    <mergeCell ref="C6:C8"/>
    <mergeCell ref="E6:E8"/>
    <mergeCell ref="F6:F8"/>
    <mergeCell ref="G6:G8"/>
    <mergeCell ref="M6:M8"/>
  </mergeCells>
  <phoneticPr fontId="0" type="noConversion"/>
  <printOptions horizontalCentered="1" verticalCentered="1"/>
  <pageMargins left="0.47244094488188981" right="0.47244094488188981" top="0.19685039370078741" bottom="0.78740157480314965" header="1.0236220472440944" footer="0.51181102362204722"/>
  <pageSetup scale="45" orientation="portrait" r:id="rId1"/>
  <headerFooter alignWithMargins="0"/>
  <ignoredErrors>
    <ignoredError sqref="B136 B168 B2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10-08</vt:lpstr>
      <vt:lpstr>'10-08'!A_impresión_IM</vt:lpstr>
      <vt:lpstr>'10-08'!Área_de_impresión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Valued Acer Customer</cp:lastModifiedBy>
  <cp:lastPrinted>2016-05-13T13:40:41Z</cp:lastPrinted>
  <dcterms:created xsi:type="dcterms:W3CDTF">1998-08-31T18:58:14Z</dcterms:created>
  <dcterms:modified xsi:type="dcterms:W3CDTF">2016-05-20T20:00:26Z</dcterms:modified>
</cp:coreProperties>
</file>