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6A4F6A7A-01AF-8E4B-BEE3-3F7EECD2F423}" xr6:coauthVersionLast="47" xr6:coauthVersionMax="47" xr10:uidLastSave="{00000000-0000-0000-0000-000000000000}"/>
  <bookViews>
    <workbookView xWindow="540" yWindow="500" windowWidth="279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6" i="1" l="1" a="1"/>
  <c r="X116" i="1" s="1"/>
  <c r="AD101" i="1" a="1"/>
  <c r="AD101" i="1" s="1"/>
  <c r="AD95" i="1" a="1"/>
  <c r="AD95" i="1" s="1"/>
  <c r="AD97" i="1" s="1"/>
  <c r="AB19" i="1"/>
  <c r="X114" i="1"/>
  <c r="X106" i="1"/>
  <c r="Y106" i="1" s="1"/>
  <c r="Z106" i="1" s="1"/>
  <c r="AA106" i="1" s="1"/>
  <c r="W106" i="1"/>
  <c r="X111" i="1"/>
  <c r="AD91" i="1"/>
  <c r="AD90" i="1"/>
  <c r="AD89" i="1"/>
  <c r="AD87" i="1"/>
  <c r="AD88" i="1" s="1"/>
  <c r="AD92" i="1" s="1"/>
  <c r="AD86" i="1"/>
  <c r="AD99" i="1" s="1"/>
  <c r="AD85" i="1"/>
  <c r="AB16" i="1"/>
  <c r="AE13" i="1"/>
  <c r="AD13" i="1"/>
  <c r="AC13" i="1"/>
  <c r="AB13" i="1"/>
  <c r="AE10" i="1"/>
  <c r="AD10" i="1"/>
  <c r="AC10" i="1"/>
  <c r="AB10" i="1"/>
  <c r="AE7" i="1"/>
  <c r="AD7" i="1"/>
  <c r="AC7" i="1"/>
  <c r="AB7" i="1"/>
  <c r="AE4" i="1"/>
  <c r="AD4" i="1"/>
  <c r="AC4" i="1"/>
  <c r="AB4" i="1"/>
  <c r="V106" i="1"/>
  <c r="V93" i="1"/>
  <c r="V80" i="1"/>
  <c r="V89" i="1"/>
  <c r="V105" i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V4" i="1"/>
  <c r="AT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T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D16" i="1" l="1"/>
  <c r="AE16" i="1"/>
  <c r="AC16" i="1"/>
  <c r="AD106" i="1"/>
  <c r="X108" i="1"/>
  <c r="X112" i="1"/>
  <c r="AD103" i="1"/>
  <c r="AD102" i="1" s="1"/>
  <c r="W108" i="1"/>
  <c r="AD100" i="1" l="1"/>
  <c r="AD105" i="1" s="1"/>
  <c r="AD108" i="1" s="1"/>
  <c r="Y108" i="1"/>
  <c r="Z108" i="1" l="1"/>
  <c r="AA107" i="1"/>
  <c r="AA108" i="1" s="1"/>
  <c r="X110" i="1" s="1"/>
  <c r="X113" i="1" s="1"/>
  <c r="X115" i="1" s="1"/>
  <c r="X118" i="1" l="1"/>
  <c r="X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<sst xmlns="http://schemas.openxmlformats.org/spreadsheetml/2006/main" count="834" uniqueCount="160">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</sst>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1'!$B$106:$V$106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1169789000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00876257403424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553.05999999999995</v>
    <v>330.79910000000001</v>
    <v>1.3168</v>
    <v>-13.17</v>
    <v>-2.4656999999999998E-2</v>
    <v>0.08</v>
    <v>1.5359999999999999E-4</v>
    <v>USD</v>
    <v>Ulta Beauty, Inc. (Ulta Beauty) is a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Ulta Beauty also offers a full-service salon in every store featuring hair, skin, makeup, and brow services. The Company operates approximately 1,343 stores across 50 states.</v>
    <v>18500</v>
    <v>Nasdaq Stock Market</v>
    <v>XNAS</v>
    <v>XNAS</v>
    <v>1000 Remington Blvd Ste 120, BOLINGBROOK, IL, 60440-4708 US</v>
    <v>532.41999999999996</v>
    <v>Specialty Retailers</v>
    <v>Stock</v>
    <v>45022.999443402347</v>
    <v>0</v>
    <v>520.73</v>
    <v>26149132135</v>
    <v>ULTA BEAUTY, INC.</v>
    <v>ULTA BEAUTY, INC.</v>
    <v>530</v>
    <v>22.243400000000001</v>
    <v>534.12</v>
    <v>520.95000000000005</v>
    <v>521.03</v>
    <v>50195090</v>
    <v>ULTA</v>
    <v>ULTA BEAUTY, INC. (XNAS:ULTA)</v>
    <v>737791</v>
    <v>738717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S85" activePane="bottomRight" state="frozen"/>
      <selection pane="topRight"/>
      <selection pane="bottomLeft"/>
      <selection pane="bottomRight" activeCell="Y98" sqref="Y98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42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7">
        <v>2024</v>
      </c>
      <c r="X1" s="27">
        <v>2025</v>
      </c>
      <c r="Y1" s="27">
        <v>2026</v>
      </c>
      <c r="Z1" s="27">
        <v>2027</v>
      </c>
      <c r="AA1" s="27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/>
      <c r="Z2" s="9"/>
      <c r="AA2" s="9"/>
      <c r="AB2" s="9"/>
      <c r="AC2" s="9"/>
      <c r="AD2" s="9"/>
      <c r="AE2" s="9"/>
    </row>
    <row r="3" spans="1:42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8">
        <v>10703000000</v>
      </c>
      <c r="X3" s="28">
        <v>11266000000</v>
      </c>
      <c r="Y3" s="28">
        <v>12010000000</v>
      </c>
      <c r="Z3" s="28">
        <v>12452000000</v>
      </c>
      <c r="AA3" s="28">
        <v>13158000000</v>
      </c>
      <c r="AB3" s="18" t="s">
        <v>109</v>
      </c>
      <c r="AC3" s="19" t="s">
        <v>110</v>
      </c>
      <c r="AD3" s="19" t="s">
        <v>111</v>
      </c>
      <c r="AE3" s="19" t="s">
        <v>112</v>
      </c>
    </row>
    <row r="4" spans="1:42" ht="19" x14ac:dyDescent="0.25">
      <c r="A4" s="14" t="s">
        <v>94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AA4" si="0">(F3/E3)-1</f>
        <v>0.30399861848637921</v>
      </c>
      <c r="G4" s="15">
        <f t="shared" si="0"/>
        <v>0.20795298187158751</v>
      </c>
      <c r="H4" s="16">
        <f t="shared" si="0"/>
        <v>0.18912098019933321</v>
      </c>
      <c r="I4" s="16">
        <f t="shared" si="0"/>
        <v>0.12734569619949743</v>
      </c>
      <c r="J4" s="16">
        <f t="shared" si="0"/>
        <v>0.18978778528440721</v>
      </c>
      <c r="K4" s="16">
        <f t="shared" si="0"/>
        <v>0.22085826738097292</v>
      </c>
      <c r="L4" s="16">
        <f t="shared" si="0"/>
        <v>0.25003786277180273</v>
      </c>
      <c r="M4" s="16">
        <f t="shared" si="0"/>
        <v>0.20282210700027381</v>
      </c>
      <c r="N4" s="16">
        <f t="shared" si="0"/>
        <v>0.2137354043495534</v>
      </c>
      <c r="O4" s="16">
        <f t="shared" si="0"/>
        <v>0.21063538276573879</v>
      </c>
      <c r="P4" s="16">
        <f t="shared" si="0"/>
        <v>0.23715430430700835</v>
      </c>
      <c r="Q4" s="16">
        <f t="shared" si="0"/>
        <v>0.21211633091555737</v>
      </c>
      <c r="R4" s="16">
        <f t="shared" si="0"/>
        <v>0.14140677229320531</v>
      </c>
      <c r="S4" s="16">
        <f t="shared" si="0"/>
        <v>0.10145780277714289</v>
      </c>
      <c r="T4" s="16">
        <f t="shared" si="0"/>
        <v>-0.16843789486660576</v>
      </c>
      <c r="U4" s="16">
        <f t="shared" si="0"/>
        <v>0.40295106285759985</v>
      </c>
      <c r="V4" s="16">
        <f t="shared" si="0"/>
        <v>0.18272868530692499</v>
      </c>
      <c r="W4" s="16">
        <f t="shared" si="0"/>
        <v>4.8491379310344751E-2</v>
      </c>
      <c r="X4" s="16">
        <f t="shared" si="0"/>
        <v>5.260207418480789E-2</v>
      </c>
      <c r="Y4" s="16">
        <f t="shared" si="0"/>
        <v>6.6039410616012706E-2</v>
      </c>
      <c r="Z4" s="16">
        <f t="shared" si="0"/>
        <v>3.6802664446294653E-2</v>
      </c>
      <c r="AA4" s="16">
        <f t="shared" si="0"/>
        <v>5.6697719241888933E-2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(V105+U105+T105)/3</f>
        <v>0.16204105335951391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</row>
    <row r="5" spans="1:42" ht="19" x14ac:dyDescent="0.25">
      <c r="A5" s="5" t="s">
        <v>2</v>
      </c>
      <c r="B5" s="1">
        <v>259836000</v>
      </c>
      <c r="C5" s="1">
        <v>312203000</v>
      </c>
      <c r="D5" s="1" t="s">
        <v>92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42" ht="20" x14ac:dyDescent="0.25">
      <c r="A6" s="6" t="s">
        <v>3</v>
      </c>
      <c r="B6" s="10">
        <v>102381000</v>
      </c>
      <c r="C6" s="10">
        <v>111660000</v>
      </c>
      <c r="D6" s="10" t="s">
        <v>92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113</v>
      </c>
      <c r="AC6" s="19" t="s">
        <v>114</v>
      </c>
      <c r="AD6" s="19" t="s">
        <v>115</v>
      </c>
      <c r="AE6" s="19" t="s">
        <v>116</v>
      </c>
    </row>
    <row r="7" spans="1:42" ht="19" x14ac:dyDescent="0.25">
      <c r="A7" s="5" t="s">
        <v>4</v>
      </c>
      <c r="B7" s="2">
        <v>0.28270000000000001</v>
      </c>
      <c r="C7" s="2">
        <v>0.26340000000000002</v>
      </c>
      <c r="D7" s="2" t="s">
        <v>92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V106/V3</f>
        <v>0.11459531739811912</v>
      </c>
    </row>
    <row r="8" spans="1:4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42" ht="19" customHeight="1" x14ac:dyDescent="0.25">
      <c r="A9" s="14" t="s">
        <v>95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/>
      <c r="X9" s="15"/>
      <c r="Y9" s="15"/>
      <c r="Z9" s="15"/>
      <c r="AB9" s="18" t="s">
        <v>96</v>
      </c>
      <c r="AC9" s="19" t="s">
        <v>97</v>
      </c>
      <c r="AD9" s="19" t="s">
        <v>98</v>
      </c>
      <c r="AE9" s="19" t="s">
        <v>99</v>
      </c>
      <c r="AF9" s="15"/>
      <c r="AG9" s="15"/>
      <c r="AH9" s="15"/>
      <c r="AI9" s="15"/>
      <c r="AJ9" s="15"/>
      <c r="AK9" s="15"/>
      <c r="AL9" s="15"/>
    </row>
    <row r="10" spans="1:42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>
        <v>1583017000</v>
      </c>
      <c r="U10" s="1" t="s">
        <v>92</v>
      </c>
      <c r="V10" s="1" t="s">
        <v>92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</row>
    <row r="12" spans="1:42" ht="20" x14ac:dyDescent="0.25">
      <c r="A12" s="5" t="s">
        <v>8</v>
      </c>
      <c r="B12" s="1">
        <v>86382000</v>
      </c>
      <c r="C12" s="1">
        <v>98446000</v>
      </c>
      <c r="D12" s="1" t="s">
        <v>92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117</v>
      </c>
      <c r="AC12" s="19" t="s">
        <v>118</v>
      </c>
      <c r="AD12" s="19" t="s">
        <v>119</v>
      </c>
      <c r="AE12" s="19" t="s">
        <v>120</v>
      </c>
    </row>
    <row r="13" spans="1:42" ht="19" x14ac:dyDescent="0.25">
      <c r="A13" s="14" t="s">
        <v>100</v>
      </c>
      <c r="B13" s="15">
        <f>B12/B3</f>
        <v>0.23848135233851531</v>
      </c>
      <c r="C13" s="15">
        <f t="shared" ref="C13:V13" si="2">C12/C3</f>
        <v>0.23225900821727774</v>
      </c>
      <c r="D13" s="15" t="e">
        <f t="shared" si="2"/>
        <v>#VALUE!</v>
      </c>
      <c r="E13" s="15">
        <f t="shared" si="2"/>
        <v>0.2501523982213012</v>
      </c>
      <c r="F13" s="15">
        <f t="shared" si="2"/>
        <v>0.25836662857082315</v>
      </c>
      <c r="G13" s="15">
        <f t="shared" si="2"/>
        <v>0.25974602610780573</v>
      </c>
      <c r="H13" s="15">
        <f t="shared" si="2"/>
        <v>0.25965430195658307</v>
      </c>
      <c r="I13" s="15">
        <f t="shared" si="2"/>
        <v>0.24934840620197896</v>
      </c>
      <c r="J13" s="15">
        <f t="shared" si="2"/>
        <v>0.25102520005663859</v>
      </c>
      <c r="K13" s="15">
        <f t="shared" si="2"/>
        <v>0.23120669357503951</v>
      </c>
      <c r="L13" s="15">
        <f t="shared" si="2"/>
        <v>0.22019082484182004</v>
      </c>
      <c r="M13" s="15">
        <f t="shared" si="2"/>
        <v>0.22331911541081259</v>
      </c>
      <c r="N13" s="15">
        <f t="shared" si="2"/>
        <v>0.21966212424441647</v>
      </c>
      <c r="O13" s="15">
        <f t="shared" si="2"/>
        <v>0.22001235437484518</v>
      </c>
      <c r="P13" s="15">
        <f t="shared" si="2"/>
        <v>0.22119303270187449</v>
      </c>
      <c r="Q13" s="15">
        <f t="shared" si="2"/>
        <v>0.21874937335436484</v>
      </c>
      <c r="R13" s="15">
        <f t="shared" si="2"/>
        <v>0.22860682054874368</v>
      </c>
      <c r="S13" s="15">
        <f t="shared" si="2"/>
        <v>0.23799673103842786</v>
      </c>
      <c r="T13" s="15">
        <f t="shared" si="2"/>
        <v>0.25731942360417903</v>
      </c>
      <c r="U13" s="15">
        <f t="shared" si="2"/>
        <v>0.23885662299677357</v>
      </c>
      <c r="V13" s="15">
        <f t="shared" si="2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42" ht="19" x14ac:dyDescent="0.25">
      <c r="A14" s="5" t="s">
        <v>9</v>
      </c>
      <c r="B14" s="1">
        <v>2751000</v>
      </c>
      <c r="C14" s="1">
        <v>2318000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42" ht="20" x14ac:dyDescent="0.25">
      <c r="A15" s="5" t="s">
        <v>10</v>
      </c>
      <c r="B15" s="1">
        <v>89133000</v>
      </c>
      <c r="C15" s="1">
        <v>100764000</v>
      </c>
      <c r="D15" s="1" t="s">
        <v>92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121</v>
      </c>
      <c r="AC15" s="19" t="s">
        <v>122</v>
      </c>
      <c r="AD15" s="19" t="s">
        <v>123</v>
      </c>
      <c r="AE15" s="19" t="s">
        <v>124</v>
      </c>
    </row>
    <row r="16" spans="1:42" ht="19" x14ac:dyDescent="0.25">
      <c r="A16" s="5" t="s">
        <v>11</v>
      </c>
      <c r="B16" s="1">
        <v>348969000</v>
      </c>
      <c r="C16" s="1">
        <v>412967000</v>
      </c>
      <c r="D16" s="1" t="s">
        <v>92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9">
        <f>(V35+U35+T35+S35+R35)/5</f>
        <v>-3.4529845148112706E-2</v>
      </c>
      <c r="AC16" s="30">
        <f>AD101/V3</f>
        <v>2.5616312828173982</v>
      </c>
      <c r="AD16" s="30">
        <f>AD101/V28</f>
        <v>21.047137602945249</v>
      </c>
      <c r="AE16" s="31">
        <f>AD101/V106</f>
        <v>22.353716896807885</v>
      </c>
    </row>
    <row r="17" spans="1:47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47" ht="20" x14ac:dyDescent="0.25">
      <c r="A18" s="5" t="s">
        <v>13</v>
      </c>
      <c r="B18" s="1">
        <v>12522000</v>
      </c>
      <c r="C18" s="1">
        <v>15411000</v>
      </c>
      <c r="D18" s="1" t="s">
        <v>92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159</v>
      </c>
    </row>
    <row r="19" spans="1:47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AB19" s="50">
        <f>V40-V56-V61</f>
        <v>-1165299000</v>
      </c>
    </row>
    <row r="20" spans="1:47" ht="19" customHeight="1" x14ac:dyDescent="0.25">
      <c r="A20" s="14" t="s">
        <v>101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3">(F19/E19)-1</f>
        <v>0.36408384265146232</v>
      </c>
      <c r="G20" s="15">
        <f t="shared" si="3"/>
        <v>0.22811607277101187</v>
      </c>
      <c r="H20" s="15">
        <f t="shared" si="3"/>
        <v>0.19666511593741576</v>
      </c>
      <c r="I20" s="15">
        <f t="shared" si="3"/>
        <v>0.3332412579542896</v>
      </c>
      <c r="J20" s="15">
        <f t="shared" si="3"/>
        <v>0.4105387549014341</v>
      </c>
      <c r="K20" s="15">
        <f t="shared" si="3"/>
        <v>0.4803938635621805</v>
      </c>
      <c r="L20" s="15">
        <f t="shared" si="3"/>
        <v>0.35309011266839629</v>
      </c>
      <c r="M20" s="15">
        <f t="shared" si="3"/>
        <v>0.17896260567989541</v>
      </c>
      <c r="N20" s="15">
        <f t="shared" si="3"/>
        <v>0.25307124741135256</v>
      </c>
      <c r="O20" s="15">
        <f t="shared" si="3"/>
        <v>0.23836923931047282</v>
      </c>
      <c r="P20" s="15">
        <f t="shared" si="3"/>
        <v>0.28690293810270306</v>
      </c>
      <c r="Q20" s="15">
        <f t="shared" si="3"/>
        <v>0.20099342599310877</v>
      </c>
      <c r="R20" s="15">
        <f t="shared" si="3"/>
        <v>9.8482432717982293E-2</v>
      </c>
      <c r="S20" s="15">
        <f t="shared" si="3"/>
        <v>5.5200170678007865E-2</v>
      </c>
      <c r="T20" s="15">
        <f t="shared" si="3"/>
        <v>-0.56652317482940484</v>
      </c>
      <c r="U20" s="15">
        <f t="shared" si="3"/>
        <v>1.9871158161958395</v>
      </c>
      <c r="V20" s="15">
        <f t="shared" si="3"/>
        <v>0.12058803578079469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T20" s="15"/>
      <c r="AU20" s="15"/>
    </row>
    <row r="21" spans="1:47" ht="19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2">
        <f>V19/V3</f>
        <v>0.17153800940438871</v>
      </c>
    </row>
    <row r="22" spans="1:47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10">
        <v>1638610000</v>
      </c>
    </row>
    <row r="23" spans="1:47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47" ht="19" x14ac:dyDescent="0.25">
      <c r="A24" s="5" t="s">
        <v>18</v>
      </c>
      <c r="B24" s="1">
        <v>-2349000</v>
      </c>
      <c r="C24" s="1">
        <v>-2789000</v>
      </c>
      <c r="D24" s="1" t="s">
        <v>92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47" ht="19" x14ac:dyDescent="0.25">
      <c r="A25" s="6" t="s">
        <v>19</v>
      </c>
      <c r="B25" s="10">
        <v>10899000</v>
      </c>
      <c r="C25" s="10">
        <v>8107000</v>
      </c>
      <c r="D25" s="10" t="s">
        <v>92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47" ht="19" x14ac:dyDescent="0.25">
      <c r="A26" s="5" t="s">
        <v>20</v>
      </c>
      <c r="B26" s="2">
        <v>3.0099999999999998E-2</v>
      </c>
      <c r="C26" s="2">
        <v>1.9099999999999999E-2</v>
      </c>
      <c r="D26" s="2" t="s">
        <v>92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47" ht="19" x14ac:dyDescent="0.25">
      <c r="A27" s="5" t="s">
        <v>21</v>
      </c>
      <c r="B27" s="1">
        <v>1203000</v>
      </c>
      <c r="C27" s="1">
        <v>3023000</v>
      </c>
      <c r="D27" s="1" t="s">
        <v>92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47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</row>
    <row r="29" spans="1:47" ht="20" customHeight="1" thickTop="1" x14ac:dyDescent="0.25">
      <c r="A29" s="14" t="s">
        <v>102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4">(F28/E28)-1</f>
        <v>0.41167261569290492</v>
      </c>
      <c r="G29" s="15">
        <f t="shared" si="4"/>
        <v>0.12385219358559207</v>
      </c>
      <c r="H29" s="15">
        <f t="shared" si="4"/>
        <v>-2.6445628577067559E-3</v>
      </c>
      <c r="I29" s="15">
        <f t="shared" si="4"/>
        <v>0.55754313756529994</v>
      </c>
      <c r="J29" s="15">
        <f t="shared" si="4"/>
        <v>0.80480739912592747</v>
      </c>
      <c r="K29" s="15">
        <f t="shared" si="4"/>
        <v>0.69314374208081087</v>
      </c>
      <c r="L29" s="15">
        <f t="shared" si="4"/>
        <v>0.43475187919909541</v>
      </c>
      <c r="M29" s="15">
        <f t="shared" si="4"/>
        <v>0.17560229268207861</v>
      </c>
      <c r="N29" s="15">
        <f t="shared" si="4"/>
        <v>0.26761778465755315</v>
      </c>
      <c r="O29" s="15">
        <f t="shared" si="4"/>
        <v>0.24451358235946108</v>
      </c>
      <c r="P29" s="15">
        <f t="shared" si="4"/>
        <v>0.28046798830029251</v>
      </c>
      <c r="Q29" s="15">
        <f t="shared" si="4"/>
        <v>0.35502245216712214</v>
      </c>
      <c r="R29" s="15">
        <f t="shared" si="4"/>
        <v>0.18609271046081477</v>
      </c>
      <c r="S29" s="15">
        <f t="shared" si="4"/>
        <v>7.1954069415192778E-2</v>
      </c>
      <c r="T29" s="15">
        <f t="shared" si="4"/>
        <v>-0.7509225222928132</v>
      </c>
      <c r="U29" s="15">
        <f t="shared" si="4"/>
        <v>4.6066027810162939</v>
      </c>
      <c r="V29" s="15">
        <f t="shared" si="4"/>
        <v>0.26025702017676355</v>
      </c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T29" s="15"/>
      <c r="AU29" s="15"/>
    </row>
    <row r="30" spans="1:47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</row>
    <row r="31" spans="1:47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</row>
    <row r="32" spans="1:47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103</v>
      </c>
      <c r="B35" s="1"/>
      <c r="C35" s="22">
        <f>(C34-B34)/B34</f>
        <v>-0.41149604975244208</v>
      </c>
      <c r="D35" s="22">
        <f t="shared" ref="D35:V35" si="5">(D34-C34)/C34</f>
        <v>0.36448348348348347</v>
      </c>
      <c r="E35" s="22">
        <f t="shared" si="5"/>
        <v>14.153138815152182</v>
      </c>
      <c r="F35" s="22">
        <f t="shared" si="5"/>
        <v>3.577741749148896E-2</v>
      </c>
      <c r="G35" s="22">
        <f t="shared" si="5"/>
        <v>6.7555769637838922E-2</v>
      </c>
      <c r="H35" s="22">
        <f t="shared" si="5"/>
        <v>0.10646801643743081</v>
      </c>
      <c r="I35" s="22">
        <f t="shared" si="5"/>
        <v>4.578832228195431E-3</v>
      </c>
      <c r="J35" s="22">
        <f t="shared" si="5"/>
        <v>3.4623630501207016E-2</v>
      </c>
      <c r="K35" s="22">
        <f t="shared" si="5"/>
        <v>3.338337031719097E-2</v>
      </c>
      <c r="L35" s="22">
        <f t="shared" si="5"/>
        <v>1.6768244544794267E-2</v>
      </c>
      <c r="M35" s="22">
        <f t="shared" si="5"/>
        <v>1.0093794645630162E-3</v>
      </c>
      <c r="N35" s="22">
        <f t="shared" si="5"/>
        <v>2.947518654690433E-3</v>
      </c>
      <c r="O35" s="22">
        <f t="shared" si="5"/>
        <v>-5.8158419823359266E-3</v>
      </c>
      <c r="P35" s="22">
        <f t="shared" si="5"/>
        <v>-2.2154803578374172E-2</v>
      </c>
      <c r="Q35" s="22">
        <f t="shared" si="5"/>
        <v>-1.3937725732287473E-2</v>
      </c>
      <c r="R35" s="22">
        <f t="shared" si="5"/>
        <v>-2.8947156111335217E-2</v>
      </c>
      <c r="S35" s="22">
        <f t="shared" si="5"/>
        <v>-3.4495937255944568E-2</v>
      </c>
      <c r="T35" s="22">
        <f t="shared" si="5"/>
        <v>-2.6624214783581446E-2</v>
      </c>
      <c r="U35" s="22">
        <f t="shared" si="5"/>
        <v>-3.0358216344283744E-2</v>
      </c>
      <c r="V35" s="22">
        <f t="shared" si="5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</row>
    <row r="38" spans="1:38" ht="19" x14ac:dyDescent="0.25">
      <c r="A38" s="5" t="s">
        <v>30</v>
      </c>
      <c r="B38" s="1" t="s">
        <v>92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92</v>
      </c>
      <c r="S39" s="1">
        <v>110000000</v>
      </c>
      <c r="T39" s="1" t="s">
        <v>92</v>
      </c>
      <c r="U39" s="1" t="s">
        <v>92</v>
      </c>
      <c r="V39" s="1" t="s">
        <v>92</v>
      </c>
    </row>
    <row r="40" spans="1:38" ht="19" x14ac:dyDescent="0.25">
      <c r="A40" s="5" t="s">
        <v>32</v>
      </c>
      <c r="B40" s="1" t="s">
        <v>92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92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</row>
    <row r="50" spans="1:2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3962000</v>
      </c>
      <c r="F50" s="1">
        <v>4125000</v>
      </c>
      <c r="G50" s="1">
        <v>4080000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</row>
    <row r="51" spans="1:22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>
        <v>199000</v>
      </c>
      <c r="F51" s="1">
        <v>346000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92</v>
      </c>
      <c r="C53" s="1">
        <v>195059000</v>
      </c>
      <c r="D53" s="1">
        <v>206420000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</row>
    <row r="54" spans="1:22" ht="20" thickBot="1" x14ac:dyDescent="0.3">
      <c r="A54" s="7" t="s">
        <v>46</v>
      </c>
      <c r="B54" s="11" t="s">
        <v>92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>
        <v>18000000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10781000</v>
      </c>
      <c r="J57" s="1" t="s">
        <v>92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>
        <v>101288000</v>
      </c>
      <c r="I62" s="1">
        <v>113718000</v>
      </c>
      <c r="J62" s="1">
        <v>134572000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</row>
    <row r="63" spans="1:22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45241000</v>
      </c>
      <c r="F64" s="1">
        <v>55159000</v>
      </c>
      <c r="G64" s="1">
        <v>71235000</v>
      </c>
      <c r="H64" s="1" t="s">
        <v>92</v>
      </c>
      <c r="I64" s="1" t="s">
        <v>92</v>
      </c>
      <c r="J64" s="1" t="s">
        <v>92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92</v>
      </c>
      <c r="C66" s="1">
        <v>107700000</v>
      </c>
      <c r="D66" s="1">
        <v>113642000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</row>
    <row r="67" spans="1:38" ht="19" x14ac:dyDescent="0.25">
      <c r="A67" s="6" t="s">
        <v>58</v>
      </c>
      <c r="B67" s="10" t="s">
        <v>92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92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92</v>
      </c>
      <c r="V70" s="1" t="s">
        <v>92</v>
      </c>
    </row>
    <row r="71" spans="1:38" ht="19" x14ac:dyDescent="0.25">
      <c r="A71" s="5" t="s">
        <v>62</v>
      </c>
      <c r="B71" s="1" t="s">
        <v>92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92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92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</row>
    <row r="76" spans="1:38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92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104</v>
      </c>
      <c r="B80" s="15" t="e">
        <f t="shared" ref="B80:U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>
        <f t="shared" si="6"/>
        <v>3.5744381116050768E-3</v>
      </c>
      <c r="I80" s="15">
        <f t="shared" si="6"/>
        <v>4.865179170915895E-3</v>
      </c>
      <c r="J80" s="15">
        <f t="shared" si="6"/>
        <v>7.6675203699655909E-3</v>
      </c>
      <c r="K80" s="15">
        <f t="shared" si="6"/>
        <v>6.5337913274265535E-3</v>
      </c>
      <c r="L80" s="15">
        <f t="shared" si="6"/>
        <v>6.0240801060778577E-3</v>
      </c>
      <c r="M80" s="15">
        <f t="shared" si="6"/>
        <v>5.9923469607458778E-3</v>
      </c>
      <c r="N80" s="15">
        <f t="shared" si="6"/>
        <v>4.6039188996994792E-3</v>
      </c>
      <c r="O80" s="15">
        <f t="shared" si="6"/>
        <v>3.973888641416309E-3</v>
      </c>
      <c r="P80" s="15">
        <f t="shared" si="6"/>
        <v>3.9837379450215326E-3</v>
      </c>
      <c r="Q80" s="15">
        <f t="shared" si="6"/>
        <v>4.1463123667475231E-3</v>
      </c>
      <c r="R80" s="15">
        <f t="shared" si="6"/>
        <v>3.9656880735310868E-3</v>
      </c>
      <c r="S80" s="15">
        <f t="shared" si="6"/>
        <v>3.3853433085502863E-3</v>
      </c>
      <c r="T80" s="15">
        <f t="shared" si="6"/>
        <v>4.4836168286721302E-3</v>
      </c>
      <c r="U80" s="15">
        <f t="shared" si="6"/>
        <v>5.475565726775075E-3</v>
      </c>
      <c r="V80" s="15">
        <f t="shared" ref="V80" si="7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46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4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</row>
    <row r="83" spans="1:4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53" t="s">
        <v>125</v>
      </c>
      <c r="AD83" s="54"/>
    </row>
    <row r="84" spans="1:46" ht="19" customHeight="1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55" t="s">
        <v>126</v>
      </c>
      <c r="AD84" s="56"/>
    </row>
    <row r="85" spans="1:46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>
        <v>7157000</v>
      </c>
      <c r="F85" s="1">
        <v>9918000</v>
      </c>
      <c r="G85" s="1">
        <v>20868000</v>
      </c>
      <c r="H85" s="1" t="s">
        <v>92</v>
      </c>
      <c r="I85" s="1" t="s">
        <v>92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57" t="s">
        <v>127</v>
      </c>
      <c r="AD85" s="58">
        <f>V17</f>
        <v>4943000</v>
      </c>
    </row>
    <row r="86" spans="1:46" ht="20" x14ac:dyDescent="0.25">
      <c r="A86" s="5" t="s">
        <v>72</v>
      </c>
      <c r="B86" s="1" t="s">
        <v>92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57" t="s">
        <v>128</v>
      </c>
      <c r="AD86" s="58">
        <f>V56</f>
        <v>283293000</v>
      </c>
    </row>
    <row r="87" spans="1:46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57" t="s">
        <v>129</v>
      </c>
      <c r="AD87" s="58">
        <f>V61</f>
        <v>1619883000</v>
      </c>
    </row>
    <row r="88" spans="1:46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59" t="s">
        <v>130</v>
      </c>
      <c r="AD88" s="60">
        <f>AD85/(AD86+AD87)</f>
        <v>2.5972374599091204E-3</v>
      </c>
    </row>
    <row r="89" spans="1:46" ht="20" customHeight="1" x14ac:dyDescent="0.25">
      <c r="A89" s="14" t="s">
        <v>105</v>
      </c>
      <c r="B89" s="15" t="e">
        <f t="shared" ref="B89:U89" si="8">(-1*B88)/B3</f>
        <v>#VALUE!</v>
      </c>
      <c r="C89" s="15" t="e">
        <f t="shared" si="8"/>
        <v>#VALUE!</v>
      </c>
      <c r="D89" s="15" t="e">
        <f t="shared" si="8"/>
        <v>#VALUE!</v>
      </c>
      <c r="E89" s="15">
        <f t="shared" si="8"/>
        <v>7.1850796528947034E-2</v>
      </c>
      <c r="F89" s="15">
        <f t="shared" si="8"/>
        <v>8.2545261437692113E-2</v>
      </c>
      <c r="G89" s="15">
        <f t="shared" si="8"/>
        <v>0.11167790944601767</v>
      </c>
      <c r="H89" s="15">
        <f t="shared" si="8"/>
        <v>0.1022112283639086</v>
      </c>
      <c r="I89" s="15">
        <f t="shared" si="8"/>
        <v>5.5697264655442433E-2</v>
      </c>
      <c r="J89" s="15">
        <f t="shared" si="8"/>
        <v>6.6753136775366054E-2</v>
      </c>
      <c r="K89" s="15">
        <f t="shared" si="8"/>
        <v>7.2424022507095398E-2</v>
      </c>
      <c r="L89" s="15">
        <f t="shared" si="8"/>
        <v>8.4935250709828061E-2</v>
      </c>
      <c r="M89" s="15">
        <f t="shared" si="8"/>
        <v>8.4635020274675135E-2</v>
      </c>
      <c r="N89" s="15">
        <f t="shared" si="8"/>
        <v>7.6840063565734112E-2</v>
      </c>
      <c r="O89" s="15">
        <f t="shared" si="8"/>
        <v>7.6238062279504484E-2</v>
      </c>
      <c r="P89" s="15">
        <f t="shared" si="8"/>
        <v>7.6986044764113901E-2</v>
      </c>
      <c r="Q89" s="15">
        <f t="shared" si="8"/>
        <v>7.4893967310085158E-2</v>
      </c>
      <c r="R89" s="15">
        <f t="shared" si="8"/>
        <v>4.7553715673743398E-2</v>
      </c>
      <c r="S89" s="15">
        <f t="shared" si="8"/>
        <v>0</v>
      </c>
      <c r="T89" s="15">
        <f t="shared" si="8"/>
        <v>0</v>
      </c>
      <c r="U89" s="15">
        <f t="shared" si="8"/>
        <v>1.9950088571409039E-2</v>
      </c>
      <c r="V89" s="15">
        <f t="shared" ref="V89" si="9">(-1*V88)/V3</f>
        <v>3.05766065830721E-2</v>
      </c>
      <c r="AC89" s="57" t="s">
        <v>106</v>
      </c>
      <c r="AD89" s="58">
        <f>V27</f>
        <v>401163000</v>
      </c>
      <c r="AE89" s="15"/>
      <c r="AF89" s="15"/>
      <c r="AG89" s="15"/>
      <c r="AH89" s="15"/>
      <c r="AI89" s="15"/>
      <c r="AJ89" s="15"/>
      <c r="AK89" s="15"/>
      <c r="AL89" s="15"/>
      <c r="AS89" s="23" t="s">
        <v>106</v>
      </c>
      <c r="AT89" s="24">
        <f>AL27</f>
        <v>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>
        <v>-15707000</v>
      </c>
      <c r="S90" s="1">
        <v>-62946000</v>
      </c>
      <c r="T90" s="1">
        <v>-6885000</v>
      </c>
      <c r="U90" s="1" t="s">
        <v>92</v>
      </c>
      <c r="V90" s="1" t="s">
        <v>92</v>
      </c>
      <c r="AC90" s="57" t="s">
        <v>19</v>
      </c>
      <c r="AD90" s="58">
        <f>V25</f>
        <v>1640273000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92</v>
      </c>
      <c r="U91" s="1">
        <v>-4297000</v>
      </c>
      <c r="V91" s="1">
        <v>-2458000</v>
      </c>
      <c r="AC91" s="59" t="s">
        <v>131</v>
      </c>
      <c r="AD91" s="60">
        <f>AD89/AD90</f>
        <v>0.24457087326317023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92</v>
      </c>
      <c r="T92" s="1">
        <v>110000000</v>
      </c>
      <c r="U92" s="1" t="s">
        <v>92</v>
      </c>
      <c r="V92" s="1" t="s">
        <v>92</v>
      </c>
      <c r="AC92" s="61" t="s">
        <v>132</v>
      </c>
      <c r="AD92" s="62">
        <f>AD88*(1-AD91)</f>
        <v>1.9620288262673291E-3</v>
      </c>
    </row>
    <row r="93" spans="1:46" ht="19" customHeight="1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-2414000</v>
      </c>
      <c r="G93" s="1">
        <v>4467000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63" t="s">
        <v>133</v>
      </c>
      <c r="AD93" s="64"/>
    </row>
    <row r="94" spans="1:46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57" t="s">
        <v>134</v>
      </c>
      <c r="AD94" s="65">
        <v>4.095E-2</v>
      </c>
    </row>
    <row r="95" spans="1:4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>
        <v>-1186692000</v>
      </c>
      <c r="I95" s="1">
        <v>-1267720000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>
        <v>-800000000</v>
      </c>
      <c r="U95" s="1" t="s">
        <v>92</v>
      </c>
      <c r="V95" s="1" t="s">
        <v>92</v>
      </c>
      <c r="AC95" s="57" t="s">
        <v>135</v>
      </c>
      <c r="AD95" s="66" cm="1">
        <f t="array" ref="AD95">_FV(A1,"Beta")</f>
        <v>1.3168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AC96" s="57" t="s">
        <v>136</v>
      </c>
      <c r="AD96" s="65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-2217000</v>
      </c>
      <c r="G97" s="1">
        <v>-6742000</v>
      </c>
      <c r="H97" s="1">
        <v>-59000</v>
      </c>
      <c r="I97" s="1" t="s">
        <v>92</v>
      </c>
      <c r="J97" s="1" t="s">
        <v>92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61" t="s">
        <v>137</v>
      </c>
      <c r="AD97" s="62">
        <f>(AD94)+((AD95)*(AD96-AD94))</f>
        <v>9.7638240000000015E-2</v>
      </c>
    </row>
    <row r="98" spans="1:46" ht="19" customHeight="1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>
        <v>-93012000</v>
      </c>
      <c r="H98" s="1" t="s">
        <v>92</v>
      </c>
      <c r="I98" s="1" t="s">
        <v>92</v>
      </c>
      <c r="J98" s="1" t="s">
        <v>92</v>
      </c>
      <c r="K98" s="1" t="s">
        <v>92</v>
      </c>
      <c r="L98" s="1">
        <v>-62482000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AC98" s="63" t="s">
        <v>138</v>
      </c>
      <c r="AD98" s="64"/>
    </row>
    <row r="99" spans="1:46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57" t="s">
        <v>139</v>
      </c>
      <c r="AD99" s="58">
        <f>AD86+AD87</f>
        <v>1903176000</v>
      </c>
    </row>
    <row r="100" spans="1:46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59" t="s">
        <v>140</v>
      </c>
      <c r="AD100" s="60">
        <f>AD99/AD103</f>
        <v>6.7843829136664369E-2</v>
      </c>
    </row>
    <row r="101" spans="1:4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>
        <v>56000</v>
      </c>
      <c r="U101" s="1">
        <v>-56000</v>
      </c>
      <c r="V101" s="1">
        <v>-56000</v>
      </c>
      <c r="AC101" s="57" t="s">
        <v>141</v>
      </c>
      <c r="AD101" s="43" cm="1">
        <f t="array" ref="AD101">_FV(A1,"Market cap",TRUE)</f>
        <v>26149132135</v>
      </c>
    </row>
    <row r="102" spans="1:46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59" t="s">
        <v>142</v>
      </c>
      <c r="AD102" s="60">
        <f>AD101/AD103</f>
        <v>0.93215617086333558</v>
      </c>
    </row>
    <row r="103" spans="1:46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61" t="s">
        <v>143</v>
      </c>
      <c r="AD103" s="67">
        <f>AD99+AD101</f>
        <v>28052308135</v>
      </c>
    </row>
    <row r="104" spans="1:46" ht="19" customHeight="1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55" t="s">
        <v>144</v>
      </c>
      <c r="AD104" s="56"/>
    </row>
    <row r="105" spans="1:46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>
        <f>(F106/E106)-1</f>
        <v>0.67274088866699944</v>
      </c>
      <c r="G105" s="15">
        <f>(G106/F106)-1</f>
        <v>7.2017609312042978</v>
      </c>
      <c r="H105" s="15">
        <f t="shared" ref="H105:V105" si="10">(H106/G106)-1</f>
        <v>-0.35116448326055316</v>
      </c>
      <c r="I105" s="15">
        <f t="shared" si="10"/>
        <v>-3.9366797532249018</v>
      </c>
      <c r="J105" s="15">
        <f t="shared" si="10"/>
        <v>-0.24153473004717252</v>
      </c>
      <c r="K105" s="15">
        <f t="shared" si="10"/>
        <v>0.16144180893387716</v>
      </c>
      <c r="L105" s="15">
        <f t="shared" si="10"/>
        <v>-0.45341513913128317</v>
      </c>
      <c r="M105" s="15">
        <f t="shared" si="10"/>
        <v>1.0169565476072426</v>
      </c>
      <c r="N105" s="15">
        <f t="shared" si="10"/>
        <v>0.45057570722018458</v>
      </c>
      <c r="O105" s="15">
        <f t="shared" si="10"/>
        <v>-0.48004067107269954</v>
      </c>
      <c r="P105" s="15">
        <f t="shared" si="10"/>
        <v>2.40174951438591</v>
      </c>
      <c r="Q105" s="15">
        <f t="shared" si="10"/>
        <v>0.2978255371007672</v>
      </c>
      <c r="R105" s="15">
        <f t="shared" si="10"/>
        <v>0.88018083460307328</v>
      </c>
      <c r="S105" s="15">
        <f t="shared" si="10"/>
        <v>0.26075853544768801</v>
      </c>
      <c r="T105" s="15">
        <f t="shared" si="10"/>
        <v>-0.17971769858699804</v>
      </c>
      <c r="U105" s="15">
        <f t="shared" si="10"/>
        <v>0.34714171383272907</v>
      </c>
      <c r="V105" s="15">
        <f t="shared" si="10"/>
        <v>0.3186991448328107</v>
      </c>
      <c r="W105" s="15"/>
      <c r="X105" s="15"/>
      <c r="Y105" s="15"/>
      <c r="Z105" s="15"/>
      <c r="AA105" s="15"/>
      <c r="AB105" s="15"/>
      <c r="AC105" s="25" t="s">
        <v>108</v>
      </c>
      <c r="AD105" s="26">
        <f>(AD100*AD92)+(AD102*AD97)</f>
        <v>9.114719947668587E-2</v>
      </c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25" t="s">
        <v>108</v>
      </c>
      <c r="AT105" s="26">
        <f>(AT100*AT92)+(AT102*AT97)</f>
        <v>0</v>
      </c>
    </row>
    <row r="106" spans="1:46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>
        <v>-4006000</v>
      </c>
      <c r="F106" s="1">
        <v>-6701000</v>
      </c>
      <c r="G106" s="1">
        <v>-54960000</v>
      </c>
      <c r="H106" s="1">
        <v>-35660000</v>
      </c>
      <c r="I106" s="1">
        <v>104722000</v>
      </c>
      <c r="J106" s="1">
        <v>79428000</v>
      </c>
      <c r="K106" s="1">
        <v>92251000</v>
      </c>
      <c r="L106" s="1">
        <v>50423000</v>
      </c>
      <c r="M106" s="1">
        <v>101701000</v>
      </c>
      <c r="N106" s="1">
        <v>147525000</v>
      </c>
      <c r="O106" s="1">
        <v>76707000</v>
      </c>
      <c r="P106" s="1">
        <v>260938000</v>
      </c>
      <c r="Q106" s="1">
        <v>338652000</v>
      </c>
      <c r="R106" s="1">
        <v>636727000</v>
      </c>
      <c r="S106" s="1">
        <v>802759000</v>
      </c>
      <c r="T106" s="1">
        <v>658489000</v>
      </c>
      <c r="U106" s="1">
        <v>887078000</v>
      </c>
      <c r="V106" s="1">
        <f>V87+V93</f>
        <v>1169789000</v>
      </c>
      <c r="W106" s="32">
        <f>V106*(1+$AD$106)</f>
        <v>1230766181.2619905</v>
      </c>
      <c r="X106" s="32">
        <f t="shared" ref="X106:AA106" si="11">W106*(1+$AD$106)</f>
        <v>1294921898.6827736</v>
      </c>
      <c r="Y106" s="32">
        <f t="shared" si="11"/>
        <v>1362421838.7028117</v>
      </c>
      <c r="Z106" s="32">
        <f t="shared" si="11"/>
        <v>1433440324.4415867</v>
      </c>
      <c r="AA106" s="32">
        <f t="shared" si="11"/>
        <v>1508160765.8987393</v>
      </c>
      <c r="AB106" s="33" t="s">
        <v>145</v>
      </c>
      <c r="AC106" s="34" t="s">
        <v>146</v>
      </c>
      <c r="AD106" s="35">
        <f>(SUM(W4:AA4)/5)</f>
        <v>5.2126649559869787E-2</v>
      </c>
    </row>
    <row r="107" spans="1:46" ht="19" customHeight="1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33"/>
      <c r="X107" s="33"/>
      <c r="Y107" s="33"/>
      <c r="Z107" s="33"/>
      <c r="AA107" s="36">
        <f>AA106*(1+AD107)/(AD108-AD107)</f>
        <v>23370071556.711338</v>
      </c>
      <c r="AB107" s="37" t="s">
        <v>147</v>
      </c>
      <c r="AC107" s="38" t="s">
        <v>148</v>
      </c>
      <c r="AD107" s="39">
        <v>2.5000000000000001E-2</v>
      </c>
    </row>
    <row r="108" spans="1:46" ht="19" x14ac:dyDescent="0.25">
      <c r="W108" s="36">
        <f t="shared" ref="W108:Y108" si="12">W107+W106</f>
        <v>1230766181.2619905</v>
      </c>
      <c r="X108" s="36">
        <f t="shared" si="12"/>
        <v>1294921898.6827736</v>
      </c>
      <c r="Y108" s="36">
        <f t="shared" si="12"/>
        <v>1362421838.7028117</v>
      </c>
      <c r="Z108" s="36">
        <f>Z107+Z106</f>
        <v>1433440324.4415867</v>
      </c>
      <c r="AA108" s="36">
        <f>AA107+AA106</f>
        <v>24878232322.610077</v>
      </c>
      <c r="AB108" s="37" t="s">
        <v>143</v>
      </c>
      <c r="AC108" s="40" t="s">
        <v>149</v>
      </c>
      <c r="AD108" s="41">
        <f>AD105</f>
        <v>9.114719947668587E-2</v>
      </c>
    </row>
    <row r="109" spans="1:46" ht="19" x14ac:dyDescent="0.25">
      <c r="W109" s="51" t="s">
        <v>150</v>
      </c>
      <c r="X109" s="52"/>
    </row>
    <row r="110" spans="1:46" ht="20" x14ac:dyDescent="0.25">
      <c r="W110" s="42" t="s">
        <v>151</v>
      </c>
      <c r="X110" s="43">
        <f>NPV(AD108,W108,X108,Y108,Z108,AA108)</f>
        <v>20359845464.031845</v>
      </c>
    </row>
    <row r="111" spans="1:46" ht="20" x14ac:dyDescent="0.25">
      <c r="W111" s="42" t="s">
        <v>152</v>
      </c>
      <c r="X111" s="43">
        <f>V40</f>
        <v>737877000</v>
      </c>
    </row>
    <row r="112" spans="1:46" ht="20" x14ac:dyDescent="0.25">
      <c r="W112" s="42" t="s">
        <v>139</v>
      </c>
      <c r="X112" s="43">
        <f>AD99</f>
        <v>1903176000</v>
      </c>
    </row>
    <row r="113" spans="23:24" ht="20" x14ac:dyDescent="0.25">
      <c r="W113" s="42" t="s">
        <v>153</v>
      </c>
      <c r="X113" s="43">
        <f>X110+X111-X112</f>
        <v>19194546464.031845</v>
      </c>
    </row>
    <row r="114" spans="23:24" ht="20" x14ac:dyDescent="0.25">
      <c r="W114" s="42" t="s">
        <v>154</v>
      </c>
      <c r="X114" s="49">
        <f>V34*(1+(5*AB16))</f>
        <v>43003211.19368273</v>
      </c>
    </row>
    <row r="115" spans="23:24" ht="20" x14ac:dyDescent="0.25">
      <c r="W115" s="44" t="s">
        <v>155</v>
      </c>
      <c r="X115" s="45">
        <f>X113/X114</f>
        <v>446.35146844223505</v>
      </c>
    </row>
    <row r="116" spans="23:24" ht="20" x14ac:dyDescent="0.25">
      <c r="W116" s="42" t="s">
        <v>156</v>
      </c>
      <c r="X116" s="68" cm="1">
        <f t="array" ref="X116">_FV(A1,"Price")</f>
        <v>520.95000000000005</v>
      </c>
    </row>
    <row r="117" spans="23:24" ht="20" x14ac:dyDescent="0.25">
      <c r="W117" s="46" t="s">
        <v>157</v>
      </c>
      <c r="X117" s="47">
        <f>X115/X116-1</f>
        <v>-0.14319710443951439</v>
      </c>
    </row>
    <row r="118" spans="23:24" ht="20" x14ac:dyDescent="0.25">
      <c r="W118" s="46" t="s">
        <v>158</v>
      </c>
      <c r="X118" s="48" t="str">
        <f>IF(X115&gt;X116,"BUY","SELL")</f>
        <v>SELL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</hyperlinks>
  <pageMargins left="0.7" right="0.7" top="0.75" bottom="0.75" header="0.3" footer="0.3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2023-01-12T11:00:38Z</dcterms:created>
  <dcterms:modified xsi:type="dcterms:W3CDTF">2023-04-07T05:21:51Z</dcterms:modified>
</cp:coreProperties>
</file>