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oftware/"/>
    </mc:Choice>
  </mc:AlternateContent>
  <xr:revisionPtr revIDLastSave="0" documentId="13_ncr:1_{302B3856-F393-924A-9A91-99ECB9EA66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6" i="1" l="1" a="1"/>
  <c r="J116" i="1" s="1"/>
  <c r="J106" i="1"/>
  <c r="K106" i="1" s="1"/>
  <c r="L106" i="1" s="1"/>
  <c r="M106" i="1" s="1"/>
  <c r="I106" i="1"/>
  <c r="J114" i="1"/>
  <c r="P101" i="1" a="1"/>
  <c r="P101" i="1" s="1"/>
  <c r="P95" i="1" a="1"/>
  <c r="P95" i="1" s="1"/>
  <c r="P97" i="1" s="1"/>
  <c r="J111" i="1"/>
  <c r="I108" i="1"/>
  <c r="P90" i="1"/>
  <c r="P89" i="1"/>
  <c r="P91" i="1" s="1"/>
  <c r="P87" i="1"/>
  <c r="P86" i="1"/>
  <c r="P99" i="1" s="1"/>
  <c r="P85" i="1"/>
  <c r="P88" i="1" s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Q4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5" i="1"/>
  <c r="H105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106" i="1" l="1"/>
  <c r="P16" i="1"/>
  <c r="Q16" i="1"/>
  <c r="O16" i="1"/>
  <c r="P92" i="1"/>
  <c r="P103" i="1"/>
  <c r="P102" i="1" s="1"/>
  <c r="J112" i="1"/>
  <c r="P100" i="1" l="1"/>
  <c r="P105" i="1" s="1"/>
  <c r="P108" i="1" s="1"/>
  <c r="J108" i="1"/>
  <c r="K108" i="1" l="1"/>
  <c r="L108" i="1" l="1"/>
  <c r="M107" i="1"/>
  <c r="M108" i="1" s="1"/>
  <c r="J110" i="1" l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<sst xmlns="http://schemas.openxmlformats.org/spreadsheetml/2006/main" count="326" uniqueCount="160">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</sst>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71" formatCode="&quot;$&quot;#,##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71" fontId="12" fillId="5" borderId="1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1'!$B$106:$H$106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122.52</v>
    <v>37.369999999999997</v>
    <v>1.0263</v>
    <v>1.44</v>
    <v>2.4982999999999998E-2</v>
    <v>-0.18</v>
    <v>-3.0470000000000002E-3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59.47</v>
    <v>Software &amp; IT Services</v>
    <v>Stock</v>
    <v>45022.996486388278</v>
    <v>0</v>
    <v>55.62</v>
    <v>19515580000</v>
    <v>CLOUDFLARE, INC.</v>
    <v>CLOUDFLARE, INC.</v>
    <v>56.6</v>
    <v>57.64</v>
    <v>59.08</v>
    <v>58.9</v>
    <v>330324600</v>
    <v>NET</v>
    <v>CLOUDFLARE, INC. (XNYS:NET)</v>
    <v>3403403</v>
    <v>4012491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80" activePane="bottomRight" state="frozen"/>
      <selection pane="topRight"/>
      <selection pane="bottomLeft"/>
      <selection pane="bottomRight" activeCell="P101" sqref="P101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8">
        <v>2023</v>
      </c>
      <c r="J1" s="28">
        <v>2024</v>
      </c>
      <c r="K1" s="28">
        <v>2025</v>
      </c>
      <c r="L1" s="28">
        <v>2026</v>
      </c>
      <c r="M1" s="28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9">
        <v>1336000000</v>
      </c>
      <c r="J3" s="29">
        <v>1776000000</v>
      </c>
      <c r="K3" s="29">
        <v>2412000000</v>
      </c>
      <c r="L3" s="29">
        <v>3457000000</v>
      </c>
      <c r="M3" s="29">
        <v>4816000000</v>
      </c>
      <c r="N3" s="19" t="s">
        <v>109</v>
      </c>
      <c r="O3" s="20" t="s">
        <v>110</v>
      </c>
      <c r="P3" s="20" t="s">
        <v>111</v>
      </c>
      <c r="Q3" s="20" t="s">
        <v>112</v>
      </c>
    </row>
    <row r="4" spans="1:38" ht="19" x14ac:dyDescent="0.25">
      <c r="A4" s="14" t="s">
        <v>94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0.36991779467844355</v>
      </c>
      <c r="J4" s="16">
        <f t="shared" si="0"/>
        <v>0.3293413173652695</v>
      </c>
      <c r="K4" s="16">
        <f t="shared" si="0"/>
        <v>0.35810810810810811</v>
      </c>
      <c r="L4" s="16">
        <f t="shared" si="0"/>
        <v>0.43325041459369817</v>
      </c>
      <c r="M4" s="16">
        <f t="shared" si="0"/>
        <v>0.39311541799247895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(H105+G105+F105)/3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113</v>
      </c>
      <c r="O6" s="20" t="s">
        <v>114</v>
      </c>
      <c r="P6" s="20" t="s">
        <v>115</v>
      </c>
      <c r="Q6" s="20" t="s">
        <v>116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H106/H3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95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96</v>
      </c>
      <c r="O9" s="20" t="s">
        <v>97</v>
      </c>
      <c r="P9" s="20" t="s">
        <v>98</v>
      </c>
      <c r="Q9" s="20" t="s">
        <v>99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117</v>
      </c>
      <c r="O12" s="20" t="s">
        <v>118</v>
      </c>
      <c r="P12" s="20" t="s">
        <v>119</v>
      </c>
      <c r="Q12" s="20" t="s">
        <v>120</v>
      </c>
    </row>
    <row r="13" spans="1:38" ht="19" x14ac:dyDescent="0.25">
      <c r="A13" s="14" t="s">
        <v>100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22">
        <f>H67/H72</f>
        <v>3.1475277419851144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121</v>
      </c>
      <c r="O15" s="20" t="s">
        <v>122</v>
      </c>
      <c r="P15" s="20" t="s">
        <v>123</v>
      </c>
      <c r="Q15" s="20" t="s">
        <v>124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30">
        <f>(H35+G35+F35+E35+D35)/5</f>
        <v>0.13947445605504918</v>
      </c>
      <c r="O16" s="31">
        <f>P101/H3</f>
        <v>20.011033170262529</v>
      </c>
      <c r="P16" s="31">
        <f>P101/H28</f>
        <v>-100.91777372130665</v>
      </c>
      <c r="Q16" s="32">
        <f>P101/H106</f>
        <v>-490.72342779551911</v>
      </c>
    </row>
    <row r="17" spans="1:14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4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125</v>
      </c>
    </row>
    <row r="19" spans="1:14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N19" s="33">
        <f>H40-H56-H61</f>
        <v>72846000</v>
      </c>
    </row>
    <row r="20" spans="1:14" ht="19" customHeight="1" x14ac:dyDescent="0.25">
      <c r="A20" s="14" t="s">
        <v>101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</row>
    <row r="21" spans="1:14" ht="19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</row>
    <row r="22" spans="1:14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</row>
    <row r="23" spans="1:14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4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4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4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4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4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</row>
    <row r="29" spans="1:14" ht="20" customHeight="1" thickTop="1" x14ac:dyDescent="0.25">
      <c r="A29" s="14" t="s">
        <v>102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6">(F28/E28)-1</f>
        <v>0.12796235400839095</v>
      </c>
      <c r="G29" s="15">
        <f t="shared" ref="G29" si="7">(G28/F28)-1</f>
        <v>1.1806902906928038</v>
      </c>
      <c r="H29" s="15">
        <f t="shared" ref="H29" si="8">(H28/G28)-1</f>
        <v>-0.25710981948376732</v>
      </c>
    </row>
    <row r="30" spans="1:14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</row>
    <row r="31" spans="1:14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4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103</v>
      </c>
      <c r="B35" s="1"/>
      <c r="C35" s="23">
        <f>(C34-B34)/B34</f>
        <v>5.7992937865010405E-2</v>
      </c>
      <c r="D35" s="23">
        <f t="shared" ref="D35:F35" si="9">(D34-C34)/C34</f>
        <v>-5.48141067765896E-2</v>
      </c>
      <c r="E35" s="23">
        <f t="shared" si="9"/>
        <v>-0.38351269583098069</v>
      </c>
      <c r="F35" s="23">
        <f t="shared" si="9"/>
        <v>1.0489521960821839</v>
      </c>
      <c r="G35" s="23">
        <f t="shared" ref="G35" si="10">(G34-F34)/F34</f>
        <v>4.9267114559634922E-2</v>
      </c>
      <c r="H35" s="23">
        <f t="shared" ref="H35" si="11">(H34-G34)/G34</f>
        <v>3.7479772240997258E-2</v>
      </c>
    </row>
    <row r="36" spans="1: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</row>
    <row r="37" spans="1: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</row>
    <row r="38" spans="1:8" ht="19" x14ac:dyDescent="0.25">
      <c r="A38" s="5" t="s">
        <v>30</v>
      </c>
      <c r="B38" s="1" t="s">
        <v>92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92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92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92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</row>
    <row r="43" spans="1:8" ht="19" x14ac:dyDescent="0.25">
      <c r="A43" s="5" t="s">
        <v>35</v>
      </c>
      <c r="B43" s="1" t="s">
        <v>92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92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92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92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92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92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</row>
    <row r="50" spans="1: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</row>
    <row r="51" spans="1:8" ht="19" x14ac:dyDescent="0.25">
      <c r="A51" s="5" t="s">
        <v>43</v>
      </c>
      <c r="B51" s="1" t="s">
        <v>92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92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</row>
    <row r="54" spans="1:8" ht="20" thickBot="1" x14ac:dyDescent="0.3">
      <c r="A54" s="7" t="s">
        <v>46</v>
      </c>
      <c r="B54" s="11" t="s">
        <v>92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92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</row>
    <row r="58" spans="1:8" ht="19" x14ac:dyDescent="0.25">
      <c r="A58" s="5" t="s">
        <v>50</v>
      </c>
      <c r="B58" s="1" t="s">
        <v>92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92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92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92</v>
      </c>
      <c r="C61" s="1">
        <v>255000</v>
      </c>
      <c r="D61" s="1" t="s">
        <v>92</v>
      </c>
      <c r="E61" s="1" t="s">
        <v>92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92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</row>
    <row r="64" spans="1:8" ht="19" x14ac:dyDescent="0.25">
      <c r="A64" s="5" t="s">
        <v>55</v>
      </c>
      <c r="B64" s="1" t="s">
        <v>92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92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</row>
    <row r="67" spans="1:8" ht="19" x14ac:dyDescent="0.25">
      <c r="A67" s="6" t="s">
        <v>58</v>
      </c>
      <c r="B67" s="10" t="s">
        <v>92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92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92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92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92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92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92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</row>
    <row r="75" spans="1: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104</v>
      </c>
      <c r="B80" s="15">
        <f t="shared" ref="B80:H80" si="12">B79/B3</f>
        <v>6.7224115767003573E-2</v>
      </c>
      <c r="C80" s="15">
        <f t="shared" si="12"/>
        <v>2.0420264611051404E-2</v>
      </c>
      <c r="D80" s="15">
        <f t="shared" si="12"/>
        <v>0.14193404403292609</v>
      </c>
      <c r="E80" s="15">
        <f t="shared" si="12"/>
        <v>0.12761042707527645</v>
      </c>
      <c r="F80" s="15">
        <f t="shared" si="12"/>
        <v>0.1306874464980432</v>
      </c>
      <c r="G80" s="15">
        <f t="shared" si="12"/>
        <v>0.13731326912706079</v>
      </c>
      <c r="H80" s="15">
        <f t="shared" si="12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O83" s="59" t="s">
        <v>126</v>
      </c>
      <c r="P83" s="60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1" t="s">
        <v>127</v>
      </c>
      <c r="P84" s="62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92</v>
      </c>
      <c r="O85" s="24" t="s">
        <v>128</v>
      </c>
      <c r="P85" s="25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92</v>
      </c>
      <c r="O86" s="24" t="s">
        <v>129</v>
      </c>
      <c r="P86" s="25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4" t="s">
        <v>130</v>
      </c>
      <c r="P87" s="25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4" t="s">
        <v>131</v>
      </c>
      <c r="P88" s="35">
        <f>P85/(P86+P87)</f>
        <v>3.1602488378920431E-3</v>
      </c>
    </row>
    <row r="89" spans="1:16" ht="20" customHeight="1" x14ac:dyDescent="0.25">
      <c r="A89" s="14" t="s">
        <v>105</v>
      </c>
      <c r="B89" s="15">
        <f t="shared" ref="B89:H89" si="13">(-1*B88)/B3</f>
        <v>0.18749631446733733</v>
      </c>
      <c r="C89" s="15">
        <f t="shared" si="13"/>
        <v>0.14105918541303783</v>
      </c>
      <c r="D89" s="15">
        <f t="shared" si="13"/>
        <v>0.13217143984139013</v>
      </c>
      <c r="E89" s="15">
        <f t="shared" si="13"/>
        <v>0.15082119140693048</v>
      </c>
      <c r="F89" s="15">
        <f t="shared" si="13"/>
        <v>0.13078256108792533</v>
      </c>
      <c r="G89" s="15">
        <f t="shared" si="13"/>
        <v>0.14165496186927393</v>
      </c>
      <c r="H89" s="15">
        <f t="shared" si="13"/>
        <v>0.14725180750194056</v>
      </c>
      <c r="O89" s="24" t="s">
        <v>106</v>
      </c>
      <c r="P89" s="25">
        <f>H27</f>
        <v>2648000</v>
      </c>
    </row>
    <row r="90" spans="1:1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-13941000</v>
      </c>
      <c r="G90" s="1">
        <v>-5605000</v>
      </c>
      <c r="H90" s="1">
        <v>-88187000</v>
      </c>
      <c r="O90" s="24" t="s">
        <v>19</v>
      </c>
      <c r="P90" s="25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4" t="s">
        <v>132</v>
      </c>
      <c r="P91" s="3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6" t="s">
        <v>133</v>
      </c>
      <c r="P92" s="37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1" t="s">
        <v>134</v>
      </c>
      <c r="P93" s="62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4" t="s">
        <v>135</v>
      </c>
      <c r="P94" s="38">
        <v>4.095E-2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92</v>
      </c>
      <c r="O95" s="24" t="s">
        <v>136</v>
      </c>
      <c r="P95" s="39" cm="1">
        <f t="array" ref="P95">_FV(A1,"Beta")</f>
        <v>1.0263</v>
      </c>
    </row>
    <row r="96" spans="1:1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570544000</v>
      </c>
      <c r="F96" s="1">
        <v>10923000</v>
      </c>
      <c r="G96" s="1" t="s">
        <v>92</v>
      </c>
      <c r="H96" s="1" t="s">
        <v>92</v>
      </c>
      <c r="O96" s="24" t="s">
        <v>137</v>
      </c>
      <c r="P96" s="38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6" t="s">
        <v>138</v>
      </c>
      <c r="P97" s="37">
        <f>(P94)+((P95)*(P96-P94))</f>
        <v>8.5132215000000011E-2</v>
      </c>
    </row>
    <row r="98" spans="1:1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O98" s="61" t="s">
        <v>139</v>
      </c>
      <c r="P98" s="62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4" t="s">
        <v>140</v>
      </c>
      <c r="P99" s="25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4" t="s">
        <v>141</v>
      </c>
      <c r="P100" s="35">
        <f>P99/P103</f>
        <v>7.4769620215476743E-2</v>
      </c>
    </row>
    <row r="101" spans="1:1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O101" s="24" t="s">
        <v>142</v>
      </c>
      <c r="P101" s="40" cm="1">
        <f t="array" ref="P101">_FV(A1,"Market cap",TRUE)</f>
        <v>19515580000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4" t="s">
        <v>143</v>
      </c>
      <c r="P102" s="35">
        <f>P101/P103</f>
        <v>0.92523037978452327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6" t="s">
        <v>144</v>
      </c>
      <c r="P103" s="41">
        <f>P99+P101</f>
        <v>21092671000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1" t="s">
        <v>145</v>
      </c>
      <c r="P104" s="62"/>
    </row>
    <row r="105" spans="1:16" ht="21" thickTop="1" x14ac:dyDescent="0.25">
      <c r="A105" s="14" t="s">
        <v>107</v>
      </c>
      <c r="B105" s="1"/>
      <c r="C105" s="15">
        <f>(C106/B106)-1</f>
        <v>-0.37859204417116321</v>
      </c>
      <c r="D105" s="15">
        <f>(D106/C106)-1</f>
        <v>2.9438610662358644</v>
      </c>
      <c r="E105" s="15">
        <f>(E106/D106)-1</f>
        <v>0.23138760880696374</v>
      </c>
      <c r="F105" s="15">
        <f>(F106/E106)-1</f>
        <v>-4.2673292028774568E-2</v>
      </c>
      <c r="G105" s="15">
        <f t="shared" ref="G105:H105" si="14">(G106/F106)-1</f>
        <v>-0.53209325558415044</v>
      </c>
      <c r="H105" s="15">
        <f t="shared" si="14"/>
        <v>-7.7071246228823442E-2</v>
      </c>
      <c r="I105" s="15"/>
      <c r="J105" s="15"/>
      <c r="K105" s="15"/>
      <c r="L105" s="15"/>
      <c r="M105" s="15"/>
      <c r="N105" s="15"/>
      <c r="O105" s="26" t="s">
        <v>108</v>
      </c>
      <c r="P105" s="27">
        <f>(P100*P92)+(P102*P97)</f>
        <v>7.90064827108201E-2</v>
      </c>
    </row>
    <row r="106" spans="1:16" ht="19" x14ac:dyDescent="0.25">
      <c r="A106" s="5" t="s">
        <v>90</v>
      </c>
      <c r="B106" s="1">
        <v>-31876000</v>
      </c>
      <c r="C106" s="1">
        <v>-19808000</v>
      </c>
      <c r="D106" s="1">
        <v>-78120000</v>
      </c>
      <c r="E106" s="1">
        <v>-96196000</v>
      </c>
      <c r="F106" s="1">
        <v>-92091000</v>
      </c>
      <c r="G106" s="1">
        <v>-43090000</v>
      </c>
      <c r="H106" s="1">
        <v>-39769000</v>
      </c>
      <c r="I106" s="42">
        <f>H106*(1+$P$106)</f>
        <v>-54751835.95486749</v>
      </c>
      <c r="J106" s="42">
        <f t="shared" ref="J106:M106" si="15">I106*(1+$P$106)</f>
        <v>-75379404.572122008</v>
      </c>
      <c r="K106" s="42">
        <f t="shared" si="15"/>
        <v>-103778339.7497652</v>
      </c>
      <c r="L106" s="42">
        <f t="shared" si="15"/>
        <v>-142876477.49874645</v>
      </c>
      <c r="M106" s="42">
        <f t="shared" si="15"/>
        <v>-196704706.12337956</v>
      </c>
      <c r="N106" s="43" t="s">
        <v>146</v>
      </c>
      <c r="O106" s="44" t="s">
        <v>147</v>
      </c>
      <c r="P106" s="45">
        <f>(SUM(I4:M4)/5)</f>
        <v>0.37674661054759967</v>
      </c>
    </row>
    <row r="107" spans="1:16" ht="19" x14ac:dyDescent="0.25">
      <c r="A107" s="5"/>
      <c r="B107" s="13"/>
      <c r="C107" s="13"/>
      <c r="D107" s="13"/>
      <c r="E107" s="13"/>
      <c r="F107" s="13"/>
      <c r="G107" s="13"/>
      <c r="H107" s="13"/>
      <c r="I107" s="43"/>
      <c r="J107" s="43"/>
      <c r="K107" s="43"/>
      <c r="L107" s="43"/>
      <c r="M107" s="46">
        <f>M106*(1+P107)/(P108-P107)</f>
        <v>-3733298553.361805</v>
      </c>
      <c r="N107" s="47" t="s">
        <v>148</v>
      </c>
      <c r="O107" s="48" t="s">
        <v>149</v>
      </c>
      <c r="P107" s="49">
        <v>2.5000000000000001E-2</v>
      </c>
    </row>
    <row r="108" spans="1:16" ht="19" x14ac:dyDescent="0.25">
      <c r="I108" s="46">
        <f t="shared" ref="I108:K108" si="16">I107+I106</f>
        <v>-54751835.95486749</v>
      </c>
      <c r="J108" s="46">
        <f t="shared" si="16"/>
        <v>-75379404.572122008</v>
      </c>
      <c r="K108" s="46">
        <f t="shared" si="16"/>
        <v>-103778339.7497652</v>
      </c>
      <c r="L108" s="46">
        <f>L107+L106</f>
        <v>-142876477.49874645</v>
      </c>
      <c r="M108" s="46">
        <f>M107+M106</f>
        <v>-3930003259.4851847</v>
      </c>
      <c r="N108" s="47" t="s">
        <v>144</v>
      </c>
      <c r="O108" s="50" t="s">
        <v>150</v>
      </c>
      <c r="P108" s="51">
        <f>P105</f>
        <v>7.90064827108201E-2</v>
      </c>
    </row>
    <row r="109" spans="1:16" ht="19" x14ac:dyDescent="0.25">
      <c r="I109" s="63" t="s">
        <v>151</v>
      </c>
      <c r="J109" s="64"/>
    </row>
    <row r="110" spans="1:16" ht="20" x14ac:dyDescent="0.25">
      <c r="I110" s="52" t="s">
        <v>152</v>
      </c>
      <c r="J110" s="40">
        <f>NPV(P108,I108,J108,K108,L108,M108)</f>
        <v>-2990534526.7582836</v>
      </c>
    </row>
    <row r="111" spans="1:16" ht="20" x14ac:dyDescent="0.25">
      <c r="I111" s="52" t="s">
        <v>153</v>
      </c>
      <c r="J111" s="40">
        <f>H40</f>
        <v>1649937000</v>
      </c>
    </row>
    <row r="112" spans="1:16" ht="20" x14ac:dyDescent="0.25">
      <c r="I112" s="52" t="s">
        <v>140</v>
      </c>
      <c r="J112" s="40">
        <f>P99</f>
        <v>1577091000</v>
      </c>
    </row>
    <row r="113" spans="9:10" ht="20" x14ac:dyDescent="0.25">
      <c r="I113" s="52" t="s">
        <v>154</v>
      </c>
      <c r="J113" s="40">
        <f>J110+J111-J112</f>
        <v>-2917688526.7582836</v>
      </c>
    </row>
    <row r="114" spans="9:10" ht="20" x14ac:dyDescent="0.25">
      <c r="I114" s="52" t="s">
        <v>159</v>
      </c>
      <c r="J114" s="53">
        <f>H34*(1+(5*N16))</f>
        <v>553906890.9667815</v>
      </c>
    </row>
    <row r="115" spans="9:10" ht="20" x14ac:dyDescent="0.25">
      <c r="I115" s="54" t="s">
        <v>155</v>
      </c>
      <c r="J115" s="65">
        <f>J113/J114</f>
        <v>-5.2674710756275118</v>
      </c>
    </row>
    <row r="116" spans="9:10" ht="20" x14ac:dyDescent="0.25">
      <c r="I116" s="52" t="s">
        <v>156</v>
      </c>
      <c r="J116" s="55" cm="1">
        <f t="array" ref="J116">_FV(A1,"Price")</f>
        <v>59.08</v>
      </c>
    </row>
    <row r="117" spans="9:10" ht="20" x14ac:dyDescent="0.25">
      <c r="I117" s="56" t="s">
        <v>157</v>
      </c>
      <c r="J117" s="57">
        <f>J115/J116-1</f>
        <v>-1.0891582781927474</v>
      </c>
    </row>
    <row r="118" spans="9:10" ht="20" x14ac:dyDescent="0.25">
      <c r="I118" s="56" t="s">
        <v>158</v>
      </c>
      <c r="J118" s="58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2023-04-07T19:32:32Z</dcterms:modified>
</cp:coreProperties>
</file>