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868B8F4E-D853-D543-A0EC-C36F5032A73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6" i="1" l="1"/>
  <c r="L106" i="1" s="1"/>
  <c r="M106" i="1" s="1"/>
  <c r="N106" i="1" s="1"/>
  <c r="J106" i="1"/>
  <c r="J108" i="1" s="1"/>
  <c r="K116" i="1" a="1"/>
  <c r="K116" i="1" s="1"/>
  <c r="Q101" i="1" a="1"/>
  <c r="Q101" i="1" s="1"/>
  <c r="Q95" i="1" a="1"/>
  <c r="Q95" i="1" s="1"/>
  <c r="Q97" i="1" s="1"/>
  <c r="K114" i="1"/>
  <c r="K111" i="1"/>
  <c r="Q106" i="1"/>
  <c r="Q90" i="1"/>
  <c r="Q89" i="1"/>
  <c r="Q91" i="1" s="1"/>
  <c r="Q87" i="1"/>
  <c r="Q86" i="1"/>
  <c r="Q99" i="1" s="1"/>
  <c r="Q85" i="1"/>
  <c r="Q88" i="1" s="1"/>
  <c r="Q92" i="1" s="1"/>
  <c r="O19" i="1"/>
  <c r="O16" i="1"/>
  <c r="R13" i="1"/>
  <c r="Q13" i="1"/>
  <c r="P13" i="1"/>
  <c r="O13" i="1"/>
  <c r="R10" i="1"/>
  <c r="Q10" i="1"/>
  <c r="P10" i="1"/>
  <c r="O10" i="1"/>
  <c r="R7" i="1"/>
  <c r="Q7" i="1"/>
  <c r="P7" i="1"/>
  <c r="O7" i="1"/>
  <c r="R4" i="1"/>
  <c r="Q4" i="1"/>
  <c r="P4" i="1"/>
  <c r="O4" i="1"/>
  <c r="R16" i="1" l="1"/>
  <c r="Q16" i="1"/>
  <c r="P16" i="1"/>
  <c r="K108" i="1"/>
  <c r="Q103" i="1"/>
  <c r="Q102" i="1" s="1"/>
  <c r="K112" i="1"/>
  <c r="Q100" i="1" l="1"/>
  <c r="Q105" i="1" s="1"/>
  <c r="Q108" i="1" s="1"/>
  <c r="L108" i="1"/>
  <c r="N107" i="1" l="1"/>
  <c r="N108" i="1" s="1"/>
  <c r="M108" i="1"/>
  <c r="K110" i="1" s="1"/>
  <c r="K113" i="1" s="1"/>
  <c r="K115" i="1" s="1"/>
  <c r="K118" i="1" s="1"/>
  <c r="K117" i="1" l="1"/>
  <c r="I21" i="1" l="1"/>
  <c r="I20" i="1"/>
  <c r="I29" i="1"/>
  <c r="I105" i="1"/>
  <c r="I80" i="1"/>
  <c r="I89" i="1"/>
  <c r="I54" i="1"/>
  <c r="I48" i="1"/>
  <c r="H40" i="1"/>
  <c r="I40" i="1"/>
  <c r="I35" i="1"/>
  <c r="I23" i="1"/>
  <c r="I16" i="1"/>
  <c r="I12" i="1"/>
  <c r="I13" i="1"/>
  <c r="N4" i="1"/>
  <c r="I9" i="1"/>
  <c r="I5" i="1"/>
  <c r="I7" i="1"/>
  <c r="M4" i="1" l="1"/>
  <c r="L4" i="1"/>
  <c r="K4" i="1"/>
  <c r="J4" i="1"/>
  <c r="I4" i="1"/>
  <c r="Y105" i="1"/>
  <c r="H105" i="1"/>
  <c r="G105" i="1"/>
  <c r="F105" i="1"/>
  <c r="E105" i="1"/>
  <c r="D105" i="1"/>
  <c r="C105" i="1"/>
  <c r="Y89"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<sst xmlns="http://schemas.openxmlformats.org/spreadsheetml/2006/main" count="304" uniqueCount="160">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</sst>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2" formatCode="&quot;$&quot;#,##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2" fontId="10" fillId="0" borderId="6" xfId="0" applyNumberFormat="1" applyFont="1" applyBorder="1" applyAlignment="1">
      <alignment horizontal="center"/>
    </xf>
    <xf numFmtId="10" fontId="1" fillId="0" borderId="0" xfId="0" applyNumberFormat="1" applyFont="1"/>
    <xf numFmtId="0" fontId="10" fillId="0" borderId="9" xfId="0" applyFont="1" applyBorder="1" applyAlignment="1">
      <alignment horizontal="left" vertical="center" wrapText="1"/>
    </xf>
    <xf numFmtId="164" fontId="10" fillId="0" borderId="10" xfId="0" applyNumberFormat="1" applyFont="1" applyBorder="1"/>
    <xf numFmtId="0" fontId="11" fillId="4" borderId="11" xfId="0" applyFont="1" applyFill="1" applyBorder="1" applyAlignment="1">
      <alignment horizontal="left" vertical="center" wrapText="1"/>
    </xf>
    <xf numFmtId="10" fontId="11" fillId="4" borderId="6" xfId="0" applyNumberFormat="1" applyFont="1" applyFill="1" applyBorder="1"/>
    <xf numFmtId="0" fontId="12" fillId="0" borderId="4" xfId="0" applyFont="1" applyBorder="1"/>
    <xf numFmtId="164" fontId="9" fillId="0" borderId="0" xfId="0" applyNumberFormat="1" applyFont="1"/>
    <xf numFmtId="9" fontId="10" fillId="0" borderId="11" xfId="0" applyNumberFormat="1" applyFont="1" applyBorder="1" applyAlignment="1">
      <alignment horizontal="center"/>
    </xf>
    <xf numFmtId="2" fontId="10" fillId="0" borderId="11" xfId="0" applyNumberFormat="1" applyFont="1" applyBorder="1" applyAlignment="1">
      <alignment horizontal="center"/>
    </xf>
    <xf numFmtId="2" fontId="10" fillId="0" borderId="5"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0" fontId="10" fillId="6" borderId="9" xfId="0" applyFont="1" applyFill="1" applyBorder="1" applyAlignment="1">
      <alignment horizontal="left" vertical="center" wrapText="1"/>
    </xf>
    <xf numFmtId="164" fontId="10" fillId="6" borderId="10" xfId="0" applyNumberFormat="1" applyFont="1" applyFill="1" applyBorder="1"/>
    <xf numFmtId="0" fontId="11" fillId="6" borderId="9" xfId="0" applyFont="1" applyFill="1" applyBorder="1" applyAlignment="1">
      <alignment horizontal="left" vertical="center" wrapText="1"/>
    </xf>
    <xf numFmtId="10" fontId="11" fillId="6" borderId="10" xfId="0" applyNumberFormat="1" applyFont="1" applyFill="1" applyBorder="1"/>
    <xf numFmtId="0" fontId="11" fillId="6" borderId="11" xfId="0" applyFont="1" applyFill="1" applyBorder="1" applyAlignment="1">
      <alignment horizontal="left" vertical="center" wrapText="1"/>
    </xf>
    <xf numFmtId="10" fontId="11" fillId="6" borderId="6" xfId="0" applyNumberFormat="1" applyFont="1" applyFill="1" applyBorder="1"/>
    <xf numFmtId="10" fontId="10" fillId="6" borderId="10" xfId="0" applyNumberFormat="1" applyFont="1" applyFill="1" applyBorder="1"/>
    <xf numFmtId="39" fontId="10" fillId="6" borderId="10" xfId="0" applyNumberFormat="1" applyFont="1" applyFill="1" applyBorder="1"/>
    <xf numFmtId="164" fontId="1" fillId="6" borderId="10" xfId="0" applyNumberFormat="1" applyFont="1" applyFill="1" applyBorder="1"/>
    <xf numFmtId="164" fontId="11" fillId="6" borderId="6" xfId="0" applyNumberFormat="1" applyFont="1" applyFill="1" applyBorder="1"/>
    <xf numFmtId="164" fontId="9" fillId="6" borderId="0" xfId="0" applyNumberFormat="1" applyFont="1" applyFill="1"/>
    <xf numFmtId="0" fontId="0" fillId="6" borderId="0" xfId="0" applyFill="1"/>
    <xf numFmtId="9" fontId="17"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6" borderId="11" xfId="0" applyFont="1" applyFill="1" applyBorder="1"/>
    <xf numFmtId="10" fontId="1" fillId="6" borderId="6"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 fillId="6" borderId="10" xfId="0" applyNumberFormat="1" applyFont="1" applyFill="1" applyBorder="1"/>
    <xf numFmtId="164" fontId="1" fillId="4" borderId="11" xfId="0" applyNumberFormat="1" applyFont="1" applyFill="1" applyBorder="1" applyAlignment="1">
      <alignment wrapText="1"/>
    </xf>
    <xf numFmtId="9" fontId="11" fillId="4" borderId="6" xfId="1" applyFont="1" applyFill="1" applyBorder="1"/>
    <xf numFmtId="0" fontId="11" fillId="4" borderId="6" xfId="0" applyFont="1" applyFill="1" applyBorder="1" applyAlignment="1">
      <alignment horizontal="right"/>
    </xf>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2" xfId="0" applyFont="1" applyFill="1" applyBorder="1" applyAlignment="1">
      <alignment horizontal="center"/>
    </xf>
    <xf numFmtId="0" fontId="16" fillId="4" borderId="8" xfId="0" applyFont="1" applyFill="1" applyBorder="1" applyAlignment="1">
      <alignment horizontal="center"/>
    </xf>
    <xf numFmtId="0" fontId="11" fillId="5" borderId="12" xfId="0" applyFont="1" applyFill="1" applyBorder="1" applyAlignment="1">
      <alignment horizontal="center" vertical="center" wrapText="1"/>
    </xf>
    <xf numFmtId="0" fontId="11" fillId="5" borderId="8" xfId="0" applyFont="1" applyFill="1" applyBorder="1" applyAlignment="1">
      <alignment horizontal="center" vertical="center" wrapText="1"/>
    </xf>
    <xf numFmtId="172" fontId="1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438.94</v>
    <v>135.15</v>
    <v>1.0678000000000001</v>
    <v>2.8</v>
    <v>1.3140000000000001E-2</v>
    <v>-0.59</v>
    <v>-2.7329999999999998E-3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216.2</v>
    <v>3</v>
    <v>Software &amp; IT Services</v>
    <v>Stock</v>
    <v>45022.991084409376</v>
    <v>4</v>
    <v>204.5</v>
    <v>15120330000</v>
    <v>MONGODB, INC.</v>
    <v>MONGODB, INC.</v>
    <v>210</v>
    <v>213.09</v>
    <v>215.89</v>
    <v>215.3</v>
    <v>70037190</v>
    <v>MDB</v>
    <v>MONGODB, INC. (XNAS:MDB)</v>
    <v>964588</v>
    <v>1927841</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www.sec.gov/Archives/edgar/data/1441816/000144181623000023/mdb-013123xex991xrelease.htm" TargetMode="External"/><Relationship Id="rId2" Type="http://schemas.openxmlformats.org/officeDocument/2006/relationships/hyperlink" Target="https://sec.gov/" TargetMode="External"/><Relationship Id="rId16" Type="http://schemas.openxmlformats.org/officeDocument/2006/relationships/hyperlink" Target="https://finbox.com/NASDAQGM:MDB/explorer/revenue_proj"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97" activePane="bottomRight" state="frozen"/>
      <selection pane="topRight"/>
      <selection pane="bottomLeft"/>
      <selection pane="bottomRight" activeCell="K102" sqref="K102"/>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28">
        <v>2023</v>
      </c>
      <c r="J1" s="28">
        <v>2024</v>
      </c>
      <c r="K1" s="28">
        <v>2025</v>
      </c>
      <c r="L1" s="28">
        <v>2026</v>
      </c>
      <c r="M1" s="28">
        <v>2027</v>
      </c>
      <c r="N1" s="28">
        <v>2028</v>
      </c>
    </row>
    <row r="2" spans="1:38" ht="21">
      <c r="A2" s="4" t="s">
        <v>0</v>
      </c>
      <c r="B2" s="9" t="s">
        <v>91</v>
      </c>
      <c r="C2" s="9" t="s">
        <v>91</v>
      </c>
      <c r="D2" s="9" t="s">
        <v>91</v>
      </c>
      <c r="E2" s="9" t="s">
        <v>91</v>
      </c>
      <c r="F2" s="9" t="s">
        <v>91</v>
      </c>
      <c r="G2" s="9" t="s">
        <v>91</v>
      </c>
      <c r="H2" s="9" t="s">
        <v>91</v>
      </c>
      <c r="I2" s="9" t="s">
        <v>91</v>
      </c>
      <c r="J2" s="9" t="s">
        <v>91</v>
      </c>
      <c r="K2" s="9" t="s">
        <v>91</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9">
        <v>1490000000</v>
      </c>
      <c r="K3" s="29">
        <v>2002000000</v>
      </c>
      <c r="L3" s="29">
        <v>2641000000</v>
      </c>
      <c r="M3" s="29">
        <v>3360000000</v>
      </c>
      <c r="N3" s="29">
        <v>3360000000</v>
      </c>
      <c r="O3" s="20" t="s">
        <v>109</v>
      </c>
      <c r="P3" s="21" t="s">
        <v>110</v>
      </c>
      <c r="Q3" s="21" t="s">
        <v>111</v>
      </c>
      <c r="R3" s="21" t="s">
        <v>112</v>
      </c>
    </row>
    <row r="4" spans="1:38" ht="19">
      <c r="A4" s="14" t="s">
        <v>94</v>
      </c>
      <c r="B4" s="1"/>
      <c r="C4" s="15">
        <f>(C3/B3)-1</f>
        <v>0.55287953302385429</v>
      </c>
      <c r="D4" s="15">
        <f>(D3/C3)-1</f>
        <v>0.52448746028927173</v>
      </c>
      <c r="E4" s="15">
        <f>(E3/D3)-1</f>
        <v>0.72804638911719599</v>
      </c>
      <c r="F4" s="15">
        <f t="shared" ref="F4:N4" si="0">(F3/E3)-1</f>
        <v>0.57938101087575267</v>
      </c>
      <c r="G4" s="15">
        <f t="shared" si="0"/>
        <v>0.39993360523570143</v>
      </c>
      <c r="H4" s="16">
        <f t="shared" si="0"/>
        <v>0.48003319895660423</v>
      </c>
      <c r="I4" s="16">
        <f t="shared" si="0"/>
        <v>0.46947407934702245</v>
      </c>
      <c r="J4" s="16">
        <f t="shared" si="0"/>
        <v>0.16043613707165116</v>
      </c>
      <c r="K4" s="16">
        <f t="shared" si="0"/>
        <v>0.34362416107382554</v>
      </c>
      <c r="L4" s="16">
        <f t="shared" si="0"/>
        <v>0.3191808191808192</v>
      </c>
      <c r="M4" s="16">
        <f t="shared" si="0"/>
        <v>0.27224536160545254</v>
      </c>
      <c r="N4" s="16">
        <f t="shared" si="0"/>
        <v>0</v>
      </c>
      <c r="O4" s="17">
        <f>(I4+H4+G4)/3</f>
        <v>0.44981362784644269</v>
      </c>
      <c r="P4" s="17">
        <f>(I20+H20+G20)/3</f>
        <v>-8.910322427350148E-2</v>
      </c>
      <c r="Q4" s="17">
        <f>(I29+H29+G29)/3</f>
        <v>0.26532531940550536</v>
      </c>
      <c r="R4" s="17">
        <f>(I105+H105+G105)/3</f>
        <v>5.7252470286254047</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O6" s="20" t="s">
        <v>113</v>
      </c>
      <c r="P6" s="21" t="s">
        <v>114</v>
      </c>
      <c r="Q6" s="21" t="s">
        <v>115</v>
      </c>
      <c r="R6" s="21" t="s">
        <v>116</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O7" s="17">
        <f>I7</f>
        <v>0.72795950155763245</v>
      </c>
      <c r="P7" s="18">
        <f>I21</f>
        <v>3.9648753894080999E-2</v>
      </c>
      <c r="Q7" s="18">
        <f>I30</f>
        <v>-0.35120000000000001</v>
      </c>
      <c r="R7" s="18">
        <f>I106/I3</f>
        <v>-1.5742990654205608E-2</v>
      </c>
    </row>
    <row r="8" spans="1:38" ht="19">
      <c r="A8" s="5" t="s">
        <v>5</v>
      </c>
      <c r="B8" s="1">
        <v>43465000</v>
      </c>
      <c r="C8" s="1">
        <v>51772000</v>
      </c>
      <c r="D8" s="1">
        <v>62202000</v>
      </c>
      <c r="E8" s="1">
        <v>89854000</v>
      </c>
      <c r="F8" s="1">
        <v>149033000</v>
      </c>
      <c r="G8" s="1">
        <v>205161000</v>
      </c>
      <c r="H8" s="1">
        <v>308820000</v>
      </c>
      <c r="I8" s="1">
        <v>421692000</v>
      </c>
      <c r="J8" s="33"/>
    </row>
    <row r="9" spans="1:38" ht="19" customHeight="1">
      <c r="A9" s="14" t="s">
        <v>95</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96</v>
      </c>
      <c r="P9" s="21" t="s">
        <v>97</v>
      </c>
      <c r="Q9" s="21" t="s">
        <v>98</v>
      </c>
      <c r="R9" s="21" t="s">
        <v>99</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117</v>
      </c>
      <c r="P12" s="21" t="s">
        <v>118</v>
      </c>
      <c r="Q12" s="21" t="s">
        <v>119</v>
      </c>
      <c r="R12" s="21" t="s">
        <v>120</v>
      </c>
    </row>
    <row r="13" spans="1:38" ht="19">
      <c r="A13" s="14" t="s">
        <v>100</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22">
        <f>I67/I72</f>
        <v>2.5008316340053116</v>
      </c>
    </row>
    <row r="14" spans="1:38" ht="19">
      <c r="A14" s="5" t="s">
        <v>9</v>
      </c>
      <c r="B14" s="1" t="s">
        <v>92</v>
      </c>
      <c r="C14" s="1" t="s">
        <v>92</v>
      </c>
      <c r="D14" s="1" t="s">
        <v>92</v>
      </c>
      <c r="E14" s="1" t="s">
        <v>92</v>
      </c>
      <c r="F14" s="1" t="s">
        <v>92</v>
      </c>
      <c r="G14" s="1" t="s">
        <v>92</v>
      </c>
      <c r="H14" s="1" t="s">
        <v>92</v>
      </c>
      <c r="I14" s="1" t="s">
        <v>92</v>
      </c>
    </row>
    <row r="15" spans="1:38" ht="20" customHeight="1">
      <c r="A15" s="5" t="s">
        <v>10</v>
      </c>
      <c r="B15" s="1">
        <v>117148000</v>
      </c>
      <c r="C15" s="1">
        <v>157438000</v>
      </c>
      <c r="D15" s="1">
        <v>208927000</v>
      </c>
      <c r="E15" s="1">
        <v>291213000</v>
      </c>
      <c r="F15" s="1">
        <v>444230000</v>
      </c>
      <c r="G15" s="1">
        <v>622608000</v>
      </c>
      <c r="H15" s="1">
        <v>903654000</v>
      </c>
      <c r="I15" s="1">
        <v>1281391000</v>
      </c>
      <c r="O15" s="20" t="s">
        <v>121</v>
      </c>
      <c r="P15" s="21" t="s">
        <v>122</v>
      </c>
      <c r="Q15" s="21" t="s">
        <v>123</v>
      </c>
      <c r="R15" s="21" t="s">
        <v>124</v>
      </c>
    </row>
    <row r="16" spans="1:38" ht="19">
      <c r="A16" s="5" t="s">
        <v>11</v>
      </c>
      <c r="B16" s="1">
        <v>138009000</v>
      </c>
      <c r="C16" s="1">
        <v>187305000</v>
      </c>
      <c r="D16" s="1">
        <v>251786000</v>
      </c>
      <c r="E16" s="1">
        <v>364781000</v>
      </c>
      <c r="F16" s="1">
        <v>569586000</v>
      </c>
      <c r="G16" s="1">
        <v>799684000</v>
      </c>
      <c r="H16" s="1">
        <v>1163146000</v>
      </c>
      <c r="I16" s="1">
        <f>I15+I5</f>
        <v>1630691000</v>
      </c>
      <c r="O16" s="30">
        <f>(I35+H35+G35+F35+E35)/5</f>
        <v>0.29651737992603422</v>
      </c>
      <c r="P16" s="31">
        <f>Q101/I3</f>
        <v>11.775957943925233</v>
      </c>
      <c r="Q16" s="31">
        <f>Q101/I28</f>
        <v>-43.77654184448086</v>
      </c>
      <c r="R16" s="32">
        <f>Q101/I106</f>
        <v>-748.01276343128529</v>
      </c>
    </row>
    <row r="17" spans="1:15" ht="19">
      <c r="A17" s="5" t="s">
        <v>12</v>
      </c>
      <c r="B17" s="1">
        <v>24000</v>
      </c>
      <c r="C17" s="1">
        <v>9000</v>
      </c>
      <c r="D17" s="1">
        <v>8000</v>
      </c>
      <c r="E17" s="1">
        <v>10290000</v>
      </c>
      <c r="F17" s="1">
        <v>20983000</v>
      </c>
      <c r="G17" s="1">
        <v>56107000</v>
      </c>
      <c r="H17" s="1">
        <v>0</v>
      </c>
      <c r="I17" s="1">
        <v>0</v>
      </c>
    </row>
    <row r="18" spans="1:15" ht="20">
      <c r="A18" s="5" t="s">
        <v>13</v>
      </c>
      <c r="B18" s="1">
        <v>4062000</v>
      </c>
      <c r="C18" s="1">
        <v>3751000</v>
      </c>
      <c r="D18" s="1">
        <v>3703000</v>
      </c>
      <c r="E18" s="1">
        <v>5792000</v>
      </c>
      <c r="F18" s="1">
        <v>19774000</v>
      </c>
      <c r="G18" s="1">
        <v>24532000</v>
      </c>
      <c r="H18" s="1">
        <v>17645000</v>
      </c>
      <c r="I18" s="1">
        <v>16110000</v>
      </c>
      <c r="O18" s="20" t="s">
        <v>125</v>
      </c>
    </row>
    <row r="19" spans="1:15" ht="19">
      <c r="A19" s="6" t="s">
        <v>14</v>
      </c>
      <c r="B19" s="10">
        <v>-68958000</v>
      </c>
      <c r="C19" s="10">
        <v>-82202000</v>
      </c>
      <c r="D19" s="10">
        <v>-91361000</v>
      </c>
      <c r="E19" s="10">
        <v>-86247000</v>
      </c>
      <c r="F19" s="10">
        <v>-135421000</v>
      </c>
      <c r="G19" s="10">
        <v>-182054000</v>
      </c>
      <c r="H19" s="10">
        <v>-285244000</v>
      </c>
      <c r="I19" s="10">
        <v>50909000</v>
      </c>
      <c r="O19" s="34">
        <f>I40-I56-I61</f>
        <v>620051000</v>
      </c>
    </row>
    <row r="20" spans="1:15" ht="19" customHeight="1">
      <c r="A20" s="14" t="s">
        <v>101</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row>
    <row r="21" spans="1:15" ht="19">
      <c r="A21" s="5" t="s">
        <v>15</v>
      </c>
      <c r="B21" s="2">
        <v>-1.0565</v>
      </c>
      <c r="C21" s="2">
        <v>-0.81100000000000005</v>
      </c>
      <c r="D21" s="2">
        <v>-0.59130000000000005</v>
      </c>
      <c r="E21" s="2">
        <v>-0.32300000000000001</v>
      </c>
      <c r="F21" s="2">
        <v>-0.3211</v>
      </c>
      <c r="G21" s="2">
        <v>-0.30840000000000001</v>
      </c>
      <c r="H21" s="2">
        <v>-0.32640000000000002</v>
      </c>
      <c r="I21" s="2">
        <f>I19/I3</f>
        <v>3.9648753894080999E-2</v>
      </c>
    </row>
    <row r="22" spans="1:15" ht="19">
      <c r="A22" s="6" t="s">
        <v>16</v>
      </c>
      <c r="B22" s="10">
        <v>-72738000</v>
      </c>
      <c r="C22" s="10">
        <v>-85947000</v>
      </c>
      <c r="D22" s="10">
        <v>-97267000</v>
      </c>
      <c r="E22" s="10">
        <v>-97765000</v>
      </c>
      <c r="F22" s="10">
        <v>-147866000</v>
      </c>
      <c r="G22" s="10">
        <v>-209304000</v>
      </c>
      <c r="H22" s="10">
        <v>-289364000</v>
      </c>
      <c r="I22" s="10">
        <v>-346655000</v>
      </c>
    </row>
    <row r="23" spans="1:15"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5" ht="19">
      <c r="A24" s="5" t="s">
        <v>18</v>
      </c>
      <c r="B24" s="1">
        <v>-306000</v>
      </c>
      <c r="C24" s="1">
        <v>-15000</v>
      </c>
      <c r="D24" s="1">
        <v>2195000</v>
      </c>
      <c r="E24" s="1">
        <v>-4564000</v>
      </c>
      <c r="F24" s="1">
        <v>-28312000</v>
      </c>
      <c r="G24" s="1">
        <v>-53389000</v>
      </c>
      <c r="H24" s="1">
        <v>-13525000</v>
      </c>
      <c r="I24" s="1">
        <v>13401000</v>
      </c>
    </row>
    <row r="25" spans="1:15" ht="19">
      <c r="A25" s="6" t="s">
        <v>19</v>
      </c>
      <c r="B25" s="10">
        <v>-73044000</v>
      </c>
      <c r="C25" s="10">
        <v>-85962000</v>
      </c>
      <c r="D25" s="10">
        <v>-95072000</v>
      </c>
      <c r="E25" s="10">
        <v>-102329000</v>
      </c>
      <c r="F25" s="10">
        <v>-176178000</v>
      </c>
      <c r="G25" s="10">
        <v>-262693000</v>
      </c>
      <c r="H25" s="10">
        <v>-302889000</v>
      </c>
      <c r="I25" s="10">
        <v>-333254000</v>
      </c>
    </row>
    <row r="26" spans="1:15"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5" ht="19">
      <c r="A27" s="5" t="s">
        <v>21</v>
      </c>
      <c r="B27" s="1">
        <v>442000</v>
      </c>
      <c r="C27" s="1">
        <v>719000</v>
      </c>
      <c r="D27" s="1">
        <v>1287000</v>
      </c>
      <c r="E27" s="1">
        <v>-3318000</v>
      </c>
      <c r="F27" s="1">
        <v>-656000</v>
      </c>
      <c r="G27" s="1">
        <v>4251000</v>
      </c>
      <c r="H27" s="1">
        <v>3977000</v>
      </c>
      <c r="I27" s="1">
        <v>12144000</v>
      </c>
    </row>
    <row r="28" spans="1:15" ht="20" thickBot="1">
      <c r="A28" s="7" t="s">
        <v>22</v>
      </c>
      <c r="B28" s="11">
        <v>-73486000</v>
      </c>
      <c r="C28" s="11">
        <v>-86681000</v>
      </c>
      <c r="D28" s="11">
        <v>-96359000</v>
      </c>
      <c r="E28" s="11">
        <v>-99011000</v>
      </c>
      <c r="F28" s="11">
        <v>-175522000</v>
      </c>
      <c r="G28" s="11">
        <v>-266944000</v>
      </c>
      <c r="H28" s="11">
        <v>-306866000</v>
      </c>
      <c r="I28" s="11">
        <v>-345398000</v>
      </c>
    </row>
    <row r="29" spans="1:15" ht="20" customHeight="1" thickTop="1">
      <c r="A29" s="14" t="s">
        <v>102</v>
      </c>
      <c r="B29" s="1"/>
      <c r="C29" s="15">
        <f>(C28/B28)-1</f>
        <v>0.17955801104972369</v>
      </c>
      <c r="D29" s="15">
        <f>(D28/C28)-1</f>
        <v>0.11165076545032937</v>
      </c>
      <c r="E29" s="15">
        <f>(E28/D28)-1</f>
        <v>2.7522078892475044E-2</v>
      </c>
      <c r="F29" s="15">
        <f t="shared" ref="F29:I29" si="5">(F28/E28)-1</f>
        <v>0.77275252244700088</v>
      </c>
      <c r="G29" s="15">
        <f t="shared" si="5"/>
        <v>0.52085778420938689</v>
      </c>
      <c r="H29" s="15">
        <f t="shared" si="5"/>
        <v>0.14955196595540632</v>
      </c>
      <c r="I29" s="15">
        <f t="shared" si="5"/>
        <v>0.12556620805172281</v>
      </c>
    </row>
    <row r="30" spans="1:15"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row>
    <row r="31" spans="1:15" ht="19">
      <c r="A31" s="5" t="s">
        <v>24</v>
      </c>
      <c r="B31" s="12">
        <v>-1.82</v>
      </c>
      <c r="C31" s="12">
        <v>-2.2799999999999998</v>
      </c>
      <c r="D31" s="12">
        <v>-4.0599999999999996</v>
      </c>
      <c r="E31" s="12">
        <v>-1.9</v>
      </c>
      <c r="F31" s="12">
        <v>-3.14</v>
      </c>
      <c r="G31" s="12">
        <v>-4.53</v>
      </c>
      <c r="H31" s="12">
        <v>-4.62</v>
      </c>
      <c r="I31" s="12">
        <v>-5.03</v>
      </c>
    </row>
    <row r="32" spans="1:15" ht="19">
      <c r="A32" s="5" t="s">
        <v>25</v>
      </c>
      <c r="B32" s="12">
        <v>-1.82</v>
      </c>
      <c r="C32" s="12">
        <v>-2.2799999999999998</v>
      </c>
      <c r="D32" s="12">
        <v>-4.0599999999999996</v>
      </c>
      <c r="E32" s="12">
        <v>-1.9</v>
      </c>
      <c r="F32" s="12">
        <v>-3.14</v>
      </c>
      <c r="G32" s="12">
        <v>-4.53</v>
      </c>
      <c r="H32" s="12">
        <v>-4.62</v>
      </c>
      <c r="I32" s="12">
        <v>-5.03</v>
      </c>
    </row>
    <row r="33" spans="1:9" ht="19">
      <c r="A33" s="5" t="s">
        <v>26</v>
      </c>
      <c r="B33" s="1">
        <v>40296208</v>
      </c>
      <c r="C33" s="1">
        <v>38068020</v>
      </c>
      <c r="D33" s="1">
        <v>23718391</v>
      </c>
      <c r="E33" s="1">
        <v>52034596</v>
      </c>
      <c r="F33" s="1">
        <v>55939032</v>
      </c>
      <c r="G33" s="1">
        <v>58984604</v>
      </c>
      <c r="H33" s="1">
        <v>66386379</v>
      </c>
      <c r="I33" s="1">
        <v>68628267</v>
      </c>
    </row>
    <row r="34" spans="1:9" ht="19">
      <c r="A34" s="5" t="s">
        <v>27</v>
      </c>
      <c r="B34" s="1">
        <v>40296208</v>
      </c>
      <c r="C34" s="1">
        <v>38068020</v>
      </c>
      <c r="D34" s="1">
        <v>23718391</v>
      </c>
      <c r="E34" s="1">
        <v>52034596</v>
      </c>
      <c r="F34" s="1">
        <v>55939032</v>
      </c>
      <c r="G34" s="1">
        <v>58984604</v>
      </c>
      <c r="H34" s="1">
        <v>66386379</v>
      </c>
      <c r="I34" s="1">
        <v>68628267</v>
      </c>
    </row>
    <row r="35" spans="1:9" ht="20" customHeight="1">
      <c r="A35" s="14" t="s">
        <v>103</v>
      </c>
      <c r="B35" s="1"/>
      <c r="C35" s="23">
        <f>(C34-B34)/B34</f>
        <v>-5.5295227779249105E-2</v>
      </c>
      <c r="D35" s="23">
        <f t="shared" ref="D35:I35" si="6">(D34-C34)/C34</f>
        <v>-0.3769470805153512</v>
      </c>
      <c r="E35" s="23">
        <f t="shared" si="6"/>
        <v>1.1938501646254167</v>
      </c>
      <c r="F35" s="23">
        <f t="shared" si="6"/>
        <v>7.5035386072758212E-2</v>
      </c>
      <c r="G35" s="23">
        <f t="shared" si="6"/>
        <v>5.4444488778425768E-2</v>
      </c>
      <c r="H35" s="23">
        <f t="shared" si="6"/>
        <v>0.12548655917059306</v>
      </c>
      <c r="I35" s="23">
        <f t="shared" si="6"/>
        <v>3.3770300982977244E-2</v>
      </c>
    </row>
    <row r="36" spans="1:9" ht="19">
      <c r="A36" s="5" t="s">
        <v>28</v>
      </c>
      <c r="B36" s="13" t="s">
        <v>93</v>
      </c>
      <c r="C36" s="13" t="s">
        <v>93</v>
      </c>
      <c r="D36" s="13" t="s">
        <v>93</v>
      </c>
      <c r="E36" s="13" t="s">
        <v>93</v>
      </c>
      <c r="F36" s="13" t="s">
        <v>93</v>
      </c>
      <c r="G36" s="13" t="s">
        <v>93</v>
      </c>
      <c r="H36" s="13" t="s">
        <v>93</v>
      </c>
      <c r="I36" s="13" t="s">
        <v>93</v>
      </c>
    </row>
    <row r="37" spans="1:9" ht="21">
      <c r="A37" s="4" t="s">
        <v>29</v>
      </c>
      <c r="B37" s="9" t="s">
        <v>91</v>
      </c>
      <c r="C37" s="9" t="s">
        <v>91</v>
      </c>
      <c r="D37" s="9" t="s">
        <v>91</v>
      </c>
      <c r="E37" s="9" t="s">
        <v>91</v>
      </c>
      <c r="F37" s="9" t="s">
        <v>91</v>
      </c>
      <c r="G37" s="9" t="s">
        <v>91</v>
      </c>
      <c r="H37" s="9" t="s">
        <v>91</v>
      </c>
      <c r="I37" s="9"/>
    </row>
    <row r="38" spans="1:9" ht="19">
      <c r="A38" s="5" t="s">
        <v>30</v>
      </c>
      <c r="B38" s="1">
        <v>33205000</v>
      </c>
      <c r="C38" s="1">
        <v>69305000</v>
      </c>
      <c r="D38" s="1">
        <v>61902000</v>
      </c>
      <c r="E38" s="1">
        <v>147831000</v>
      </c>
      <c r="F38" s="1">
        <v>706192000</v>
      </c>
      <c r="G38" s="1">
        <v>429697000</v>
      </c>
      <c r="H38" s="1">
        <v>473904000</v>
      </c>
      <c r="I38" s="1">
        <v>455826000</v>
      </c>
    </row>
    <row r="39" spans="1:9" ht="19">
      <c r="A39" s="5" t="s">
        <v>31</v>
      </c>
      <c r="B39" s="1">
        <v>79954000</v>
      </c>
      <c r="C39" s="1">
        <v>47195000</v>
      </c>
      <c r="D39" s="1">
        <v>217072000</v>
      </c>
      <c r="E39" s="1">
        <v>318139000</v>
      </c>
      <c r="F39" s="1">
        <v>280326000</v>
      </c>
      <c r="G39" s="1">
        <v>528045000</v>
      </c>
      <c r="H39" s="1">
        <v>1352019000</v>
      </c>
      <c r="I39" s="1">
        <v>1380804000</v>
      </c>
    </row>
    <row r="40" spans="1:9" ht="19">
      <c r="A40" s="5" t="s">
        <v>32</v>
      </c>
      <c r="B40" s="1">
        <v>113159000</v>
      </c>
      <c r="C40" s="1">
        <v>116500000</v>
      </c>
      <c r="D40" s="1">
        <v>278974000</v>
      </c>
      <c r="E40" s="1">
        <v>465970000</v>
      </c>
      <c r="F40" s="1">
        <v>986518000</v>
      </c>
      <c r="G40" s="1">
        <v>957742000</v>
      </c>
      <c r="H40" s="1">
        <f>H38+H39</f>
        <v>1825923000</v>
      </c>
      <c r="I40" s="1">
        <f>I38+I39</f>
        <v>1836630000</v>
      </c>
    </row>
    <row r="41" spans="1:9" ht="19">
      <c r="A41" s="5" t="s">
        <v>33</v>
      </c>
      <c r="B41" s="1">
        <v>22432000</v>
      </c>
      <c r="C41" s="1">
        <v>31340000</v>
      </c>
      <c r="D41" s="1">
        <v>46872000</v>
      </c>
      <c r="E41" s="1">
        <v>72808000</v>
      </c>
      <c r="F41" s="1">
        <v>85554000</v>
      </c>
      <c r="G41" s="1">
        <v>135176000</v>
      </c>
      <c r="H41" s="1">
        <v>195383000</v>
      </c>
      <c r="I41" s="1">
        <v>285192000</v>
      </c>
    </row>
    <row r="42" spans="1:9" ht="19">
      <c r="A42" s="5" t="s">
        <v>34</v>
      </c>
      <c r="B42" s="1" t="s">
        <v>92</v>
      </c>
      <c r="C42" s="1" t="s">
        <v>92</v>
      </c>
      <c r="D42" s="1" t="s">
        <v>92</v>
      </c>
      <c r="E42" s="1" t="s">
        <v>92</v>
      </c>
      <c r="F42" s="1" t="s">
        <v>92</v>
      </c>
      <c r="G42" s="1" t="s">
        <v>92</v>
      </c>
      <c r="H42" s="1" t="s">
        <v>92</v>
      </c>
      <c r="I42" s="1" t="s">
        <v>92</v>
      </c>
    </row>
    <row r="43" spans="1:9" ht="19">
      <c r="A43" s="5" t="s">
        <v>35</v>
      </c>
      <c r="B43" s="1">
        <v>8436000</v>
      </c>
      <c r="C43" s="1">
        <v>10612000</v>
      </c>
      <c r="D43" s="1">
        <v>17704000</v>
      </c>
      <c r="E43" s="1">
        <v>27458000</v>
      </c>
      <c r="F43" s="1">
        <v>41124000</v>
      </c>
      <c r="G43" s="1">
        <v>48969000</v>
      </c>
      <c r="H43" s="1">
        <v>1448115000</v>
      </c>
      <c r="I43" s="1">
        <v>1448115000</v>
      </c>
    </row>
    <row r="44" spans="1:9" ht="19">
      <c r="A44" s="6" t="s">
        <v>36</v>
      </c>
      <c r="B44" s="10">
        <v>144027000</v>
      </c>
      <c r="C44" s="10">
        <v>158452000</v>
      </c>
      <c r="D44" s="10">
        <v>343550000</v>
      </c>
      <c r="E44" s="10">
        <v>566236000</v>
      </c>
      <c r="F44" s="10">
        <v>1113196000</v>
      </c>
      <c r="G44" s="10">
        <v>1141887000</v>
      </c>
      <c r="H44" s="10">
        <v>2117402000</v>
      </c>
      <c r="I44" s="10">
        <v>2236584000</v>
      </c>
    </row>
    <row r="45" spans="1:9" ht="19">
      <c r="A45" s="5" t="s">
        <v>37</v>
      </c>
      <c r="B45" s="1">
        <v>6031000</v>
      </c>
      <c r="C45" s="1">
        <v>4877000</v>
      </c>
      <c r="D45" s="1">
        <v>59557000</v>
      </c>
      <c r="E45" s="1">
        <v>73664000</v>
      </c>
      <c r="F45" s="1">
        <v>69463000</v>
      </c>
      <c r="G45" s="1">
        <v>96951000</v>
      </c>
      <c r="H45" s="1">
        <v>104370000</v>
      </c>
      <c r="I45" s="1">
        <v>104370000</v>
      </c>
    </row>
    <row r="46" spans="1:9" ht="19">
      <c r="A46" s="5" t="s">
        <v>38</v>
      </c>
      <c r="B46" s="1">
        <v>1700000</v>
      </c>
      <c r="C46" s="1">
        <v>1700000</v>
      </c>
      <c r="D46" s="1">
        <v>1700000</v>
      </c>
      <c r="E46" s="1">
        <v>41878000</v>
      </c>
      <c r="F46" s="1">
        <v>55830000</v>
      </c>
      <c r="G46" s="1">
        <v>55830000</v>
      </c>
      <c r="H46" s="1">
        <v>57775000</v>
      </c>
      <c r="I46" s="1">
        <v>57775000</v>
      </c>
    </row>
    <row r="47" spans="1:9" ht="19">
      <c r="A47" s="5" t="s">
        <v>39</v>
      </c>
      <c r="B47" s="1">
        <v>3394000</v>
      </c>
      <c r="C47" s="1">
        <v>2511000</v>
      </c>
      <c r="D47" s="1">
        <v>1627000</v>
      </c>
      <c r="E47" s="1">
        <v>15894000</v>
      </c>
      <c r="F47" s="1">
        <v>34779000</v>
      </c>
      <c r="G47" s="1">
        <v>26275000</v>
      </c>
      <c r="H47" s="1">
        <v>20608000</v>
      </c>
      <c r="I47" s="1">
        <v>11428000</v>
      </c>
    </row>
    <row r="48" spans="1:9" ht="19">
      <c r="A48" s="5" t="s">
        <v>40</v>
      </c>
      <c r="B48" s="1">
        <v>5094000</v>
      </c>
      <c r="C48" s="1">
        <v>4211000</v>
      </c>
      <c r="D48" s="1">
        <v>3327000</v>
      </c>
      <c r="E48" s="1">
        <v>57772000</v>
      </c>
      <c r="F48" s="1">
        <v>90609000</v>
      </c>
      <c r="G48" s="1">
        <v>82105000</v>
      </c>
      <c r="H48" s="1">
        <v>78383000</v>
      </c>
      <c r="I48" s="1">
        <f>I46+I47</f>
        <v>69203000</v>
      </c>
    </row>
    <row r="49" spans="1:9" ht="19">
      <c r="A49" s="5" t="s">
        <v>41</v>
      </c>
      <c r="B49" s="1" t="s">
        <v>92</v>
      </c>
      <c r="C49" s="1" t="s">
        <v>92</v>
      </c>
      <c r="D49" s="1" t="s">
        <v>92</v>
      </c>
      <c r="E49" s="1" t="s">
        <v>92</v>
      </c>
      <c r="F49" s="1" t="s">
        <v>92</v>
      </c>
      <c r="G49" s="1" t="s">
        <v>92</v>
      </c>
      <c r="H49" s="1" t="s">
        <v>92</v>
      </c>
      <c r="I49" s="1" t="s">
        <v>92</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92</v>
      </c>
      <c r="C53" s="1" t="s">
        <v>92</v>
      </c>
      <c r="D53" s="1" t="s">
        <v>92</v>
      </c>
      <c r="E53" s="1" t="s">
        <v>92</v>
      </c>
      <c r="F53" s="1" t="s">
        <v>92</v>
      </c>
      <c r="G53" s="1" t="s">
        <v>92</v>
      </c>
      <c r="H53" s="1" t="s">
        <v>92</v>
      </c>
      <c r="I53" s="1" t="s">
        <v>92</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92</v>
      </c>
      <c r="C56" s="1" t="s">
        <v>92</v>
      </c>
      <c r="D56" s="1" t="s">
        <v>92</v>
      </c>
      <c r="E56" s="1" t="s">
        <v>92</v>
      </c>
      <c r="F56" s="1" t="s">
        <v>92</v>
      </c>
      <c r="G56" s="1">
        <v>2343000</v>
      </c>
      <c r="H56" s="1">
        <v>8084000</v>
      </c>
      <c r="I56" s="1">
        <v>8686000</v>
      </c>
    </row>
    <row r="57" spans="1:9" ht="19">
      <c r="A57" s="5" t="s">
        <v>49</v>
      </c>
      <c r="B57" s="1" t="s">
        <v>92</v>
      </c>
      <c r="C57" s="1" t="s">
        <v>92</v>
      </c>
      <c r="D57" s="1" t="s">
        <v>92</v>
      </c>
      <c r="E57" s="1" t="s">
        <v>92</v>
      </c>
      <c r="F57" s="1" t="s">
        <v>92</v>
      </c>
      <c r="G57" s="1" t="s">
        <v>92</v>
      </c>
      <c r="H57" s="1" t="s">
        <v>92</v>
      </c>
      <c r="I57" s="1" t="s">
        <v>92</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92</v>
      </c>
      <c r="C61" s="1" t="s">
        <v>92</v>
      </c>
      <c r="D61" s="1" t="s">
        <v>92</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92</v>
      </c>
      <c r="C66" s="1" t="s">
        <v>92</v>
      </c>
      <c r="D66" s="1" t="s">
        <v>92</v>
      </c>
      <c r="E66" s="1" t="s">
        <v>92</v>
      </c>
      <c r="F66" s="1" t="s">
        <v>92</v>
      </c>
      <c r="G66" s="1" t="s">
        <v>92</v>
      </c>
      <c r="H66" s="1" t="s">
        <v>92</v>
      </c>
      <c r="I66" s="1" t="s">
        <v>92</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93</v>
      </c>
      <c r="C74" s="13" t="s">
        <v>93</v>
      </c>
      <c r="D74" s="13" t="s">
        <v>93</v>
      </c>
      <c r="E74" s="13" t="s">
        <v>93</v>
      </c>
      <c r="F74" s="13" t="s">
        <v>93</v>
      </c>
      <c r="G74" s="13" t="s">
        <v>93</v>
      </c>
      <c r="H74" s="13" t="s">
        <v>93</v>
      </c>
    </row>
    <row r="75" spans="1:17" ht="21">
      <c r="A75" s="4" t="s">
        <v>65</v>
      </c>
      <c r="B75" s="9" t="s">
        <v>91</v>
      </c>
      <c r="C75" s="9" t="s">
        <v>91</v>
      </c>
      <c r="D75" s="9" t="s">
        <v>91</v>
      </c>
      <c r="E75" s="9" t="s">
        <v>91</v>
      </c>
      <c r="F75" s="9" t="s">
        <v>91</v>
      </c>
      <c r="G75" s="9" t="s">
        <v>91</v>
      </c>
      <c r="H75" s="9" t="s">
        <v>91</v>
      </c>
      <c r="I75" s="9" t="s">
        <v>91</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104</v>
      </c>
      <c r="B80" s="15">
        <f t="shared" ref="B80:H80" si="7">B79/B3</f>
        <v>0.19590629835608464</v>
      </c>
      <c r="C80" s="15">
        <f t="shared" si="7"/>
        <v>0.20722587264942086</v>
      </c>
      <c r="D80" s="15">
        <f t="shared" si="7"/>
        <v>0.13742646535377526</v>
      </c>
      <c r="E80" s="15">
        <f t="shared" si="7"/>
        <v>0.1400777481499236</v>
      </c>
      <c r="F80" s="15">
        <f t="shared" si="7"/>
        <v>0.17968320212463246</v>
      </c>
      <c r="G80" s="15">
        <f t="shared" si="7"/>
        <v>0.25290999017581894</v>
      </c>
      <c r="H80" s="15">
        <f t="shared" si="7"/>
        <v>0.28733597167256819</v>
      </c>
      <c r="I80" s="15">
        <f t="shared" ref="I80" si="8">I79/I3</f>
        <v>0.29708255451713395</v>
      </c>
      <c r="J80" s="15"/>
      <c r="K80" s="15"/>
      <c r="L80" s="15"/>
      <c r="M80" s="15"/>
      <c r="N80" s="15"/>
      <c r="O80" s="15"/>
      <c r="P80" s="15"/>
      <c r="Q80" s="15"/>
    </row>
    <row r="81" spans="1:25" ht="19">
      <c r="A81" s="5" t="s">
        <v>69</v>
      </c>
      <c r="B81" s="1">
        <v>9730000</v>
      </c>
      <c r="C81" s="1">
        <v>23890000</v>
      </c>
      <c r="D81" s="1">
        <v>26943000</v>
      </c>
      <c r="E81" s="1">
        <v>9818000</v>
      </c>
      <c r="F81" s="1">
        <v>26592000</v>
      </c>
      <c r="G81" s="1">
        <v>1539000</v>
      </c>
      <c r="H81" s="1">
        <v>27837000</v>
      </c>
      <c r="I81" s="1">
        <v>24641000</v>
      </c>
    </row>
    <row r="82" spans="1:25" ht="19">
      <c r="A82" s="5" t="s">
        <v>70</v>
      </c>
      <c r="B82" s="1">
        <v>-10123000</v>
      </c>
      <c r="C82" s="1">
        <v>-9263000</v>
      </c>
      <c r="D82" s="1">
        <v>-15901000</v>
      </c>
      <c r="E82" s="1">
        <v>-19445000</v>
      </c>
      <c r="F82" s="1">
        <v>-12692000</v>
      </c>
      <c r="G82" s="1">
        <v>-47633000</v>
      </c>
      <c r="H82" s="1">
        <v>-62277000</v>
      </c>
      <c r="I82" s="1">
        <v>-91450000</v>
      </c>
    </row>
    <row r="83" spans="1:25" ht="21">
      <c r="A83" s="5" t="s">
        <v>34</v>
      </c>
      <c r="B83" s="1" t="s">
        <v>92</v>
      </c>
      <c r="C83" s="1" t="s">
        <v>92</v>
      </c>
      <c r="D83" s="1" t="s">
        <v>92</v>
      </c>
      <c r="E83" s="1" t="s">
        <v>92</v>
      </c>
      <c r="F83" s="1" t="s">
        <v>92</v>
      </c>
      <c r="G83" s="1" t="s">
        <v>92</v>
      </c>
      <c r="H83" s="1" t="s">
        <v>92</v>
      </c>
      <c r="I83" s="1" t="s">
        <v>92</v>
      </c>
      <c r="P83" s="64" t="s">
        <v>126</v>
      </c>
      <c r="Q83" s="65"/>
    </row>
    <row r="84" spans="1:25" ht="19">
      <c r="A84" s="5" t="s">
        <v>47</v>
      </c>
      <c r="B84" s="1">
        <v>371000</v>
      </c>
      <c r="C84" s="1">
        <v>1296000</v>
      </c>
      <c r="D84" s="1">
        <v>-371000</v>
      </c>
      <c r="E84" s="1">
        <v>-913000</v>
      </c>
      <c r="F84" s="1">
        <v>513000</v>
      </c>
      <c r="G84" s="1">
        <v>1216000</v>
      </c>
      <c r="H84" s="1">
        <v>1146000</v>
      </c>
      <c r="I84" s="1">
        <v>3161000</v>
      </c>
      <c r="P84" s="66" t="s">
        <v>127</v>
      </c>
      <c r="Q84" s="67"/>
    </row>
    <row r="85" spans="1:25" ht="19" customHeight="1">
      <c r="A85" s="5" t="s">
        <v>71</v>
      </c>
      <c r="B85" s="1">
        <v>16491000</v>
      </c>
      <c r="C85" s="1">
        <v>29143000</v>
      </c>
      <c r="D85" s="1">
        <v>38382000</v>
      </c>
      <c r="E85" s="1">
        <v>22188000</v>
      </c>
      <c r="F85" s="1">
        <v>24692000</v>
      </c>
      <c r="G85" s="1">
        <v>6616000</v>
      </c>
      <c r="H85" s="1">
        <v>52499000</v>
      </c>
      <c r="I85" s="1">
        <v>32978000</v>
      </c>
      <c r="P85" s="35" t="s">
        <v>128</v>
      </c>
      <c r="Q85" s="36">
        <f>I17</f>
        <v>0</v>
      </c>
    </row>
    <row r="86" spans="1:25" ht="20">
      <c r="A86" s="5" t="s">
        <v>72</v>
      </c>
      <c r="B86" s="1">
        <v>-52000</v>
      </c>
      <c r="C86" s="1">
        <v>-38000</v>
      </c>
      <c r="D86" s="1">
        <v>-101000</v>
      </c>
      <c r="E86" s="1">
        <v>8969000</v>
      </c>
      <c r="F86" s="1">
        <v>27132000</v>
      </c>
      <c r="G86" s="1">
        <v>49251000</v>
      </c>
      <c r="H86" s="1">
        <v>19874000</v>
      </c>
      <c r="I86" s="1">
        <v>34882000</v>
      </c>
      <c r="P86" s="35" t="s">
        <v>129</v>
      </c>
      <c r="Q86" s="36">
        <f>I56</f>
        <v>8686000</v>
      </c>
    </row>
    <row r="87" spans="1:25" ht="20">
      <c r="A87" s="6" t="s">
        <v>73</v>
      </c>
      <c r="B87" s="10">
        <v>-46961000</v>
      </c>
      <c r="C87" s="10">
        <v>-38078000</v>
      </c>
      <c r="D87" s="10">
        <v>-44881000</v>
      </c>
      <c r="E87" s="10">
        <v>-41989000</v>
      </c>
      <c r="F87" s="10">
        <v>-29540000</v>
      </c>
      <c r="G87" s="10">
        <v>-42673000</v>
      </c>
      <c r="H87" s="10">
        <v>6980000</v>
      </c>
      <c r="I87" s="10">
        <v>-12970000</v>
      </c>
      <c r="P87" s="35" t="s">
        <v>130</v>
      </c>
      <c r="Q87" s="36">
        <f>I61</f>
        <v>1207893000</v>
      </c>
    </row>
    <row r="88" spans="1:25" ht="20">
      <c r="A88" s="5" t="s">
        <v>74</v>
      </c>
      <c r="B88" s="1">
        <v>-468000</v>
      </c>
      <c r="C88" s="1">
        <v>-1683000</v>
      </c>
      <c r="D88" s="1">
        <v>-2135000</v>
      </c>
      <c r="E88" s="1">
        <v>-6848000</v>
      </c>
      <c r="F88" s="1">
        <v>-3564000</v>
      </c>
      <c r="G88" s="1">
        <v>-11773000</v>
      </c>
      <c r="H88" s="1">
        <v>-8072000</v>
      </c>
      <c r="I88" s="1">
        <v>-7244000</v>
      </c>
      <c r="P88" s="37" t="s">
        <v>131</v>
      </c>
      <c r="Q88" s="38">
        <f>Q85/(Q86+Q87)</f>
        <v>0</v>
      </c>
    </row>
    <row r="89" spans="1:25" ht="20" customHeight="1">
      <c r="A89" s="14" t="s">
        <v>105</v>
      </c>
      <c r="B89" s="15">
        <f t="shared" ref="B89:H89" si="9">(-1*B88)/B3</f>
        <v>7.1701061727260191E-3</v>
      </c>
      <c r="C89" s="15">
        <f t="shared" si="9"/>
        <v>1.6604510744095188E-2</v>
      </c>
      <c r="D89" s="15">
        <f t="shared" si="9"/>
        <v>1.3817071039807402E-2</v>
      </c>
      <c r="E89" s="15">
        <f t="shared" si="9"/>
        <v>2.564640321179255E-2</v>
      </c>
      <c r="F89" s="15">
        <f t="shared" si="9"/>
        <v>8.4511049985772548E-3</v>
      </c>
      <c r="G89" s="15">
        <f t="shared" si="9"/>
        <v>1.994139367864765E-2</v>
      </c>
      <c r="H89" s="15">
        <f t="shared" si="9"/>
        <v>9.238002156144209E-3</v>
      </c>
      <c r="I89" s="15">
        <f t="shared" ref="I89" si="10">(-1*I88)/I3</f>
        <v>5.6417445482866042E-3</v>
      </c>
      <c r="P89" s="35" t="s">
        <v>106</v>
      </c>
      <c r="Q89" s="36">
        <f>I27</f>
        <v>12144000</v>
      </c>
      <c r="X89" s="24" t="s">
        <v>106</v>
      </c>
      <c r="Y89" s="25">
        <f>Q27</f>
        <v>0</v>
      </c>
    </row>
    <row r="90" spans="1:25" ht="20">
      <c r="A90" s="5" t="s">
        <v>75</v>
      </c>
      <c r="B90" s="1" t="s">
        <v>92</v>
      </c>
      <c r="C90" s="1" t="s">
        <v>92</v>
      </c>
      <c r="D90" s="1" t="s">
        <v>92</v>
      </c>
      <c r="E90" s="1">
        <v>-56000000</v>
      </c>
      <c r="F90" s="1">
        <v>-39000000</v>
      </c>
      <c r="G90" s="1" t="s">
        <v>92</v>
      </c>
      <c r="H90" s="1">
        <v>-4469000</v>
      </c>
      <c r="I90" s="1">
        <v>0</v>
      </c>
      <c r="P90" s="35" t="s">
        <v>19</v>
      </c>
      <c r="Q90" s="36">
        <f>I25</f>
        <v>-333254000</v>
      </c>
    </row>
    <row r="91" spans="1:25" ht="20">
      <c r="A91" s="5" t="s">
        <v>76</v>
      </c>
      <c r="B91" s="1">
        <v>-117954000</v>
      </c>
      <c r="C91" s="1">
        <v>-82036000</v>
      </c>
      <c r="D91" s="1">
        <v>-252382000</v>
      </c>
      <c r="E91" s="1">
        <v>-547914000</v>
      </c>
      <c r="F91" s="1">
        <v>-429452000</v>
      </c>
      <c r="G91" s="1">
        <v>-990883000</v>
      </c>
      <c r="H91" s="1">
        <v>-1385258000</v>
      </c>
      <c r="I91" s="1">
        <v>-1444796600</v>
      </c>
      <c r="P91" s="37" t="s">
        <v>132</v>
      </c>
      <c r="Q91" s="38">
        <f>Q89/Q90</f>
        <v>-3.6440672880145478E-2</v>
      </c>
    </row>
    <row r="92" spans="1:25" ht="20">
      <c r="A92" s="5" t="s">
        <v>77</v>
      </c>
      <c r="B92" s="1">
        <v>38000000</v>
      </c>
      <c r="C92" s="1">
        <v>114775000</v>
      </c>
      <c r="D92" s="1">
        <v>82230000</v>
      </c>
      <c r="E92" s="1">
        <v>450000000</v>
      </c>
      <c r="F92" s="1">
        <v>470000000</v>
      </c>
      <c r="G92" s="1">
        <v>740000000</v>
      </c>
      <c r="H92" s="1">
        <v>550000000</v>
      </c>
      <c r="I92" s="1">
        <v>1425000000</v>
      </c>
      <c r="P92" s="39" t="s">
        <v>133</v>
      </c>
      <c r="Q92" s="40">
        <f>Q88*(1-Q91)</f>
        <v>0</v>
      </c>
    </row>
    <row r="93" spans="1:25" ht="19">
      <c r="A93" s="5" t="s">
        <v>78</v>
      </c>
      <c r="B93" s="1" t="s">
        <v>92</v>
      </c>
      <c r="C93" s="1" t="s">
        <v>92</v>
      </c>
      <c r="D93" s="1" t="s">
        <v>92</v>
      </c>
      <c r="E93" s="1">
        <v>483000</v>
      </c>
      <c r="F93" s="1">
        <v>371000</v>
      </c>
      <c r="G93" s="1" t="s">
        <v>92</v>
      </c>
      <c r="H93" s="1">
        <v>-4343000</v>
      </c>
      <c r="I93" s="1">
        <v>-3098000</v>
      </c>
      <c r="P93" s="66" t="s">
        <v>134</v>
      </c>
      <c r="Q93" s="67"/>
    </row>
    <row r="94" spans="1:25" ht="19" customHeight="1">
      <c r="A94" s="6" t="s">
        <v>79</v>
      </c>
      <c r="B94" s="10">
        <v>-80422000</v>
      </c>
      <c r="C94" s="10">
        <v>31056000</v>
      </c>
      <c r="D94" s="10">
        <v>-172287000</v>
      </c>
      <c r="E94" s="10">
        <v>-160279000</v>
      </c>
      <c r="F94" s="10">
        <v>-1645000</v>
      </c>
      <c r="G94" s="10">
        <v>-262656000</v>
      </c>
      <c r="H94" s="10">
        <v>-852142000</v>
      </c>
      <c r="I94" s="10">
        <v>-33308000</v>
      </c>
      <c r="P94" s="35" t="s">
        <v>135</v>
      </c>
      <c r="Q94" s="41">
        <v>4.095E-2</v>
      </c>
    </row>
    <row r="95" spans="1:25" ht="20">
      <c r="A95" s="5" t="s">
        <v>80</v>
      </c>
      <c r="B95" s="1" t="s">
        <v>92</v>
      </c>
      <c r="C95" s="1" t="s">
        <v>92</v>
      </c>
      <c r="D95" s="1" t="s">
        <v>92</v>
      </c>
      <c r="E95" s="1" t="s">
        <v>92</v>
      </c>
      <c r="F95" s="1">
        <v>-480985000</v>
      </c>
      <c r="G95" s="1">
        <v>-4633000</v>
      </c>
      <c r="H95" s="1">
        <v>-5572000</v>
      </c>
      <c r="I95" s="1">
        <v>-4510000</v>
      </c>
      <c r="P95" s="35" t="s">
        <v>136</v>
      </c>
      <c r="Q95" s="42" cm="1">
        <f t="array" ref="Q95">_FV(A1,"Beta")</f>
        <v>1.0678000000000001</v>
      </c>
    </row>
    <row r="96" spans="1:25" ht="20">
      <c r="A96" s="5" t="s">
        <v>81</v>
      </c>
      <c r="B96" s="1" t="s">
        <v>92</v>
      </c>
      <c r="C96" s="1" t="s">
        <v>92</v>
      </c>
      <c r="D96" s="1">
        <v>205494000</v>
      </c>
      <c r="E96" s="1" t="s">
        <v>92</v>
      </c>
      <c r="F96" s="1" t="s">
        <v>92</v>
      </c>
      <c r="G96" s="1" t="s">
        <v>92</v>
      </c>
      <c r="H96" s="1">
        <v>889184000</v>
      </c>
      <c r="I96" s="1">
        <v>34710000</v>
      </c>
      <c r="P96" s="35" t="s">
        <v>137</v>
      </c>
      <c r="Q96" s="41">
        <v>8.4000000000000005E-2</v>
      </c>
    </row>
    <row r="97" spans="1:25" ht="20">
      <c r="A97" s="5" t="s">
        <v>82</v>
      </c>
      <c r="B97" s="1" t="s">
        <v>92</v>
      </c>
      <c r="C97" s="1" t="s">
        <v>92</v>
      </c>
      <c r="D97" s="1" t="s">
        <v>92</v>
      </c>
      <c r="E97" s="1" t="s">
        <v>92</v>
      </c>
      <c r="F97" s="1" t="s">
        <v>92</v>
      </c>
      <c r="G97" s="1" t="s">
        <v>92</v>
      </c>
      <c r="H97" s="1" t="s">
        <v>92</v>
      </c>
      <c r="I97" s="1" t="s">
        <v>92</v>
      </c>
      <c r="P97" s="39" t="s">
        <v>138</v>
      </c>
      <c r="Q97" s="40">
        <f>(Q94)+((Q95)*(Q96-Q94))</f>
        <v>8.691879000000001E-2</v>
      </c>
    </row>
    <row r="98" spans="1:25" ht="19">
      <c r="A98" s="5" t="s">
        <v>83</v>
      </c>
      <c r="B98" s="1" t="s">
        <v>92</v>
      </c>
      <c r="C98" s="1" t="s">
        <v>92</v>
      </c>
      <c r="D98" s="1" t="s">
        <v>92</v>
      </c>
      <c r="E98" s="1" t="s">
        <v>92</v>
      </c>
      <c r="F98" s="1" t="s">
        <v>92</v>
      </c>
      <c r="G98" s="1" t="s">
        <v>92</v>
      </c>
      <c r="H98" s="1" t="s">
        <v>92</v>
      </c>
      <c r="I98" s="1" t="s">
        <v>92</v>
      </c>
      <c r="P98" s="66" t="s">
        <v>139</v>
      </c>
      <c r="Q98" s="67"/>
    </row>
    <row r="99" spans="1:25" ht="19" customHeight="1">
      <c r="A99" s="5" t="s">
        <v>84</v>
      </c>
      <c r="B99" s="1">
        <v>3087000</v>
      </c>
      <c r="C99" s="1">
        <v>43114000</v>
      </c>
      <c r="D99" s="1">
        <v>4398000</v>
      </c>
      <c r="E99" s="1">
        <v>288236000</v>
      </c>
      <c r="F99" s="1">
        <v>1070223000</v>
      </c>
      <c r="G99" s="1">
        <v>32214000</v>
      </c>
      <c r="H99" s="1">
        <v>7280000</v>
      </c>
      <c r="I99" s="1">
        <v>0</v>
      </c>
      <c r="P99" s="35" t="s">
        <v>140</v>
      </c>
      <c r="Q99" s="36">
        <f>Q86+Q87</f>
        <v>1216579000</v>
      </c>
    </row>
    <row r="100" spans="1:25" ht="20">
      <c r="A100" s="6" t="s">
        <v>85</v>
      </c>
      <c r="B100" s="10">
        <v>3087000</v>
      </c>
      <c r="C100" s="10">
        <v>43114000</v>
      </c>
      <c r="D100" s="10">
        <v>209892000</v>
      </c>
      <c r="E100" s="10">
        <v>288236000</v>
      </c>
      <c r="F100" s="10">
        <v>589238000</v>
      </c>
      <c r="G100" s="10">
        <v>27581000</v>
      </c>
      <c r="H100" s="10">
        <v>890892000</v>
      </c>
      <c r="I100" s="10">
        <v>30200000</v>
      </c>
      <c r="P100" s="37" t="s">
        <v>141</v>
      </c>
      <c r="Q100" s="38">
        <f>Q99/Q103</f>
        <v>7.4468126130836629E-2</v>
      </c>
    </row>
    <row r="101" spans="1:25" ht="20">
      <c r="A101" s="5" t="s">
        <v>86</v>
      </c>
      <c r="B101" s="1">
        <v>-92000</v>
      </c>
      <c r="C101" s="1">
        <v>7000</v>
      </c>
      <c r="D101" s="1">
        <v>291000</v>
      </c>
      <c r="E101" s="1">
        <v>-48000</v>
      </c>
      <c r="F101" s="1">
        <v>306000</v>
      </c>
      <c r="G101" s="1">
        <v>1264000</v>
      </c>
      <c r="H101" s="1">
        <v>-1532000</v>
      </c>
      <c r="I101" s="1">
        <v>-2003000</v>
      </c>
      <c r="P101" s="35" t="s">
        <v>142</v>
      </c>
      <c r="Q101" s="43" cm="1">
        <f t="array" ref="Q101">_FV(A1,"Market cap",TRUE)</f>
        <v>15120330000</v>
      </c>
    </row>
    <row r="102" spans="1:25" ht="20">
      <c r="A102" s="6" t="s">
        <v>87</v>
      </c>
      <c r="B102" s="10">
        <v>-124388000</v>
      </c>
      <c r="C102" s="10">
        <v>36099000</v>
      </c>
      <c r="D102" s="10">
        <v>-6985000</v>
      </c>
      <c r="E102" s="10">
        <v>85920000</v>
      </c>
      <c r="F102" s="10">
        <v>558359000</v>
      </c>
      <c r="G102" s="10">
        <v>-276484000</v>
      </c>
      <c r="H102" s="10">
        <v>44198000</v>
      </c>
      <c r="I102" s="10">
        <v>-18081000</v>
      </c>
      <c r="P102" s="37" t="s">
        <v>143</v>
      </c>
      <c r="Q102" s="38">
        <f>Q101/Q103</f>
        <v>0.92553187386916336</v>
      </c>
    </row>
    <row r="103" spans="1:25" ht="20">
      <c r="A103" s="5" t="s">
        <v>88</v>
      </c>
      <c r="B103" s="1">
        <v>157701000</v>
      </c>
      <c r="C103" s="1">
        <v>33313000</v>
      </c>
      <c r="D103" s="1">
        <v>69412000</v>
      </c>
      <c r="E103" s="1">
        <v>62427000</v>
      </c>
      <c r="F103" s="1">
        <v>148347000</v>
      </c>
      <c r="G103" s="1">
        <v>706706000</v>
      </c>
      <c r="H103" s="1">
        <v>430222000</v>
      </c>
      <c r="I103" s="1">
        <v>474000000</v>
      </c>
      <c r="P103" s="39" t="s">
        <v>144</v>
      </c>
      <c r="Q103" s="44">
        <f>Q99+Q101</f>
        <v>16336909000</v>
      </c>
    </row>
    <row r="104" spans="1:25" ht="20" thickBot="1">
      <c r="A104" s="7" t="s">
        <v>89</v>
      </c>
      <c r="B104" s="11">
        <v>33313000</v>
      </c>
      <c r="C104" s="11">
        <v>69412000</v>
      </c>
      <c r="D104" s="11">
        <v>62427000</v>
      </c>
      <c r="E104" s="11">
        <v>148347000</v>
      </c>
      <c r="F104" s="11">
        <v>706706000</v>
      </c>
      <c r="G104" s="11">
        <v>430222000</v>
      </c>
      <c r="H104" s="11">
        <v>474420000</v>
      </c>
      <c r="I104" s="11">
        <v>456339000</v>
      </c>
      <c r="P104" s="66" t="s">
        <v>145</v>
      </c>
      <c r="Q104" s="67"/>
    </row>
    <row r="105" spans="1:25" ht="21" thickTop="1">
      <c r="A105" s="14" t="s">
        <v>107</v>
      </c>
      <c r="B105" s="1"/>
      <c r="C105" s="15">
        <f>(C106/B106)-1</f>
        <v>-0.16167323789242871</v>
      </c>
      <c r="D105" s="15">
        <f>(D106/C106)-1</f>
        <v>0.18246522974774271</v>
      </c>
      <c r="E105" s="15">
        <f>(E106/D106)-1</f>
        <v>3.8731495661051607E-2</v>
      </c>
      <c r="F105" s="15">
        <f>(F106/E106)-1</f>
        <v>-0.32215328541884225</v>
      </c>
      <c r="G105" s="15">
        <f>(G106/F106)-1</f>
        <v>0.64469550507491546</v>
      </c>
      <c r="H105" s="15">
        <f t="shared" ref="H105" si="11">(H106/G106)-1</f>
        <v>-0.97994343018770891</v>
      </c>
      <c r="I105" s="15">
        <f>(I106/H106)-1</f>
        <v>17.510989010989011</v>
      </c>
      <c r="J105" s="15"/>
      <c r="K105" s="15"/>
      <c r="L105" s="15"/>
      <c r="M105" s="15"/>
      <c r="N105" s="15"/>
      <c r="O105" s="15"/>
      <c r="P105" s="26" t="s">
        <v>108</v>
      </c>
      <c r="Q105" s="27">
        <f>(Q100*Q92)+(Q102*Q97)</f>
        <v>8.0446110583140301E-2</v>
      </c>
      <c r="R105" s="15"/>
      <c r="S105" s="15"/>
      <c r="T105" s="15"/>
      <c r="U105" s="15"/>
      <c r="V105" s="15"/>
      <c r="W105" s="15"/>
      <c r="X105" s="26" t="s">
        <v>108</v>
      </c>
      <c r="Y105" s="27">
        <f>(Y100*Y92)+(Y102*Y97)</f>
        <v>0</v>
      </c>
    </row>
    <row r="106" spans="1:25" ht="19">
      <c r="A106" s="5" t="s">
        <v>90</v>
      </c>
      <c r="B106" s="1">
        <v>-47429000</v>
      </c>
      <c r="C106" s="1">
        <v>-39761000</v>
      </c>
      <c r="D106" s="1">
        <v>-47016000</v>
      </c>
      <c r="E106" s="1">
        <v>-48837000</v>
      </c>
      <c r="F106" s="1">
        <v>-33104000</v>
      </c>
      <c r="G106" s="1">
        <v>-54446000</v>
      </c>
      <c r="H106" s="1">
        <v>-1092000</v>
      </c>
      <c r="I106" s="1">
        <v>-20214000</v>
      </c>
      <c r="J106" s="45">
        <f>I106*(1+$Q$106)</f>
        <v>-24642832.737025272</v>
      </c>
      <c r="K106" s="45">
        <f t="shared" ref="K106:N106" si="12">J106*(1+$Q$106)</f>
        <v>-30042010.750222839</v>
      </c>
      <c r="L106" s="45">
        <f t="shared" si="12"/>
        <v>-36624134.065581113</v>
      </c>
      <c r="M106" s="45">
        <f t="shared" si="12"/>
        <v>-44648382.799866669</v>
      </c>
      <c r="N106" s="45">
        <f t="shared" si="12"/>
        <v>-54430722.732551225</v>
      </c>
      <c r="O106" s="46" t="s">
        <v>146</v>
      </c>
      <c r="P106" s="47" t="s">
        <v>147</v>
      </c>
      <c r="Q106" s="48">
        <f>(SUM(J4:N4)/5)</f>
        <v>0.21909729578634968</v>
      </c>
    </row>
    <row r="107" spans="1:25" ht="19">
      <c r="A107" s="5"/>
      <c r="B107" s="13"/>
      <c r="C107" s="13"/>
      <c r="D107" s="13"/>
      <c r="E107" s="13"/>
      <c r="J107" s="46"/>
      <c r="K107" s="46"/>
      <c r="L107" s="46"/>
      <c r="M107" s="46"/>
      <c r="N107" s="49">
        <f>N106*(1+Q107)/(Q108-Q107)</f>
        <v>-1006229115.3354537</v>
      </c>
      <c r="O107" s="50" t="s">
        <v>148</v>
      </c>
      <c r="P107" s="51" t="s">
        <v>149</v>
      </c>
      <c r="Q107" s="52">
        <v>2.5000000000000001E-2</v>
      </c>
    </row>
    <row r="108" spans="1:25" ht="19">
      <c r="J108" s="49">
        <f t="shared" ref="J108:L108" si="13">J107+J106</f>
        <v>-24642832.737025272</v>
      </c>
      <c r="K108" s="49">
        <f t="shared" si="13"/>
        <v>-30042010.750222839</v>
      </c>
      <c r="L108" s="49">
        <f t="shared" si="13"/>
        <v>-36624134.065581113</v>
      </c>
      <c r="M108" s="49">
        <f>M107+M106</f>
        <v>-44648382.799866669</v>
      </c>
      <c r="N108" s="49">
        <f>N107+N106</f>
        <v>-1060659838.068005</v>
      </c>
      <c r="O108" s="50" t="s">
        <v>144</v>
      </c>
      <c r="P108" s="53" t="s">
        <v>150</v>
      </c>
      <c r="Q108" s="54">
        <f>Q105</f>
        <v>8.0446110583140301E-2</v>
      </c>
    </row>
    <row r="109" spans="1:25" ht="19">
      <c r="J109" s="62" t="s">
        <v>151</v>
      </c>
      <c r="K109" s="63"/>
    </row>
    <row r="110" spans="1:25" ht="20">
      <c r="J110" s="55" t="s">
        <v>152</v>
      </c>
      <c r="K110" s="43">
        <f>NPV(Q108,J108,K108,L108,M108,N108)</f>
        <v>-830722298.22004724</v>
      </c>
    </row>
    <row r="111" spans="1:25" ht="20">
      <c r="J111" s="55" t="s">
        <v>153</v>
      </c>
      <c r="K111" s="43">
        <f>I40</f>
        <v>1836630000</v>
      </c>
    </row>
    <row r="112" spans="1:25" ht="20">
      <c r="J112" s="55" t="s">
        <v>140</v>
      </c>
      <c r="K112" s="43">
        <f>Q99</f>
        <v>1216579000</v>
      </c>
    </row>
    <row r="113" spans="10:11" ht="20">
      <c r="J113" s="55" t="s">
        <v>154</v>
      </c>
      <c r="K113" s="43">
        <f>K110+K111-K112</f>
        <v>-210671298.22004724</v>
      </c>
    </row>
    <row r="114" spans="10:11" ht="20">
      <c r="J114" s="55" t="s">
        <v>155</v>
      </c>
      <c r="K114" s="56">
        <f>I34*(1+(5*O16))</f>
        <v>170375636.59852159</v>
      </c>
    </row>
    <row r="115" spans="10:11" ht="20">
      <c r="J115" s="57" t="s">
        <v>156</v>
      </c>
      <c r="K115" s="68">
        <f>K113/K114</f>
        <v>-1.2365107032085789</v>
      </c>
    </row>
    <row r="116" spans="10:11" ht="20">
      <c r="J116" s="55" t="s">
        <v>157</v>
      </c>
      <c r="K116" s="58" cm="1">
        <f t="array" ref="K116">_FV(A1,"Price")</f>
        <v>215.89</v>
      </c>
    </row>
    <row r="117" spans="10:11" ht="20">
      <c r="J117" s="59" t="s">
        <v>158</v>
      </c>
      <c r="K117" s="60">
        <f>K115/K116-1</f>
        <v>-1.0057275033730537</v>
      </c>
    </row>
    <row r="118" spans="10:11" ht="20">
      <c r="J118" s="59" t="s">
        <v>159</v>
      </c>
      <c r="K118" s="61" t="str">
        <f>IF(K115&gt;K116,"BUY","SELL")</f>
        <v>SELL</v>
      </c>
    </row>
  </sheetData>
  <mergeCells count="6">
    <mergeCell ref="J109:K109"/>
    <mergeCell ref="P83:Q83"/>
    <mergeCell ref="P84:Q84"/>
    <mergeCell ref="P93:Q93"/>
    <mergeCell ref="P98:Q98"/>
    <mergeCell ref="P104:Q10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1" r:id="rId16" display="https://finbox.com/NASDAQGM:MDB/explorer/revenue_proj" xr:uid="{0E505003-FB1F-D944-B009-4A821D273A46}"/>
    <hyperlink ref="I36" r:id="rId17" tooltip="https://www.sec.gov/Archives/edgar/data/1441816/000144181622000059/0001441816-22-000059-index.htm" xr:uid="{5A771ABC-18CB-284F-B64C-A5C8A01F94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2023-01-12T06:12:36Z</dcterms:created>
  <dcterms:modified xsi:type="dcterms:W3CDTF">2023-04-07T17:23:01Z</dcterms:modified>
</cp:coreProperties>
</file>