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ina/Documents/financial-modeling/Software/Negative FCF/"/>
    </mc:Choice>
  </mc:AlternateContent>
  <xr:revisionPtr revIDLastSave="0" documentId="13_ncr:1_{76D6AFF6-30DA-1B4E-A35E-C9E29F8DA224}" xr6:coauthVersionLast="47" xr6:coauthVersionMax="47" xr10:uidLastSave="{00000000-0000-0000-0000-000000000000}"/>
  <bookViews>
    <workbookView xWindow="0" yWindow="500" windowWidth="28800" windowHeight="17500" activeTab="1" xr2:uid="{00000000-000D-0000-FFFF-FFFF00000000}"/>
  </bookViews>
  <sheets>
    <sheet name="Overview" sheetId="2" r:id="rId1"/>
    <sheet name="Model"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17" i="1" l="1" a="1"/>
  <c r="G117" i="1" s="1"/>
  <c r="G115" i="1"/>
  <c r="G107" i="1"/>
  <c r="H107" i="1" s="1"/>
  <c r="I107" i="1" s="1"/>
  <c r="J107" i="1" s="1"/>
  <c r="F107" i="1"/>
  <c r="M102" i="1" a="1"/>
  <c r="M102" i="1" s="1"/>
  <c r="M96" i="1" a="1"/>
  <c r="M96" i="1" s="1"/>
  <c r="M98" i="1" s="1"/>
  <c r="G112" i="1"/>
  <c r="M107" i="1"/>
  <c r="F109" i="1"/>
  <c r="M91" i="1"/>
  <c r="M90" i="1"/>
  <c r="M92" i="1" s="1"/>
  <c r="M88" i="1"/>
  <c r="M100" i="1" s="1"/>
  <c r="M87" i="1"/>
  <c r="M86" i="1"/>
  <c r="G113" i="1" l="1"/>
  <c r="M104" i="1"/>
  <c r="M103" i="1" s="1"/>
  <c r="M89" i="1"/>
  <c r="M93" i="1" s="1"/>
  <c r="G109" i="1" l="1"/>
  <c r="M101" i="1"/>
  <c r="M106" i="1" s="1"/>
  <c r="M109" i="1" s="1"/>
  <c r="H109" i="1" l="1"/>
  <c r="J108" i="1" l="1"/>
  <c r="J109" i="1" s="1"/>
  <c r="I109" i="1"/>
  <c r="G111" i="1" l="1"/>
  <c r="G114" i="1" s="1"/>
  <c r="G116" i="1" s="1"/>
  <c r="G119" i="1" s="1"/>
  <c r="G118" i="1" l="1"/>
  <c r="J7" i="2" l="1"/>
  <c r="I7" i="2"/>
  <c r="H7" i="2"/>
  <c r="G7" i="2"/>
  <c r="F7" i="2"/>
  <c r="E7" i="2"/>
  <c r="D7" i="2"/>
  <c r="G5" i="2"/>
  <c r="H5" i="2"/>
  <c r="I5" i="2"/>
  <c r="J5" i="2"/>
  <c r="F5" i="2"/>
  <c r="E5" i="2"/>
  <c r="D5" i="2"/>
  <c r="L17" i="1"/>
  <c r="K20" i="1"/>
  <c r="N17" i="1"/>
  <c r="M17" i="1"/>
  <c r="N14" i="1"/>
  <c r="M14" i="1"/>
  <c r="L14" i="1"/>
  <c r="K14" i="1"/>
  <c r="N8" i="1"/>
  <c r="M8" i="1"/>
  <c r="L8" i="1"/>
  <c r="K8" i="1"/>
  <c r="J5" i="1"/>
  <c r="I5" i="1"/>
  <c r="H5" i="1"/>
  <c r="G5" i="1"/>
  <c r="F5" i="1"/>
  <c r="E106" i="1"/>
  <c r="N5" i="1" s="1"/>
  <c r="D106" i="1"/>
  <c r="C106" i="1"/>
  <c r="E90" i="1"/>
  <c r="N11" i="1" s="1"/>
  <c r="D90" i="1"/>
  <c r="C90" i="1"/>
  <c r="B90" i="1"/>
  <c r="E81" i="1"/>
  <c r="M11" i="1" s="1"/>
  <c r="D81" i="1"/>
  <c r="C81" i="1"/>
  <c r="B81" i="1"/>
  <c r="E36" i="1"/>
  <c r="D36" i="1"/>
  <c r="K17" i="1" s="1"/>
  <c r="C36" i="1"/>
  <c r="E30" i="1"/>
  <c r="M5" i="1" s="1"/>
  <c r="D30" i="1"/>
  <c r="C30" i="1"/>
  <c r="E21" i="1"/>
  <c r="L5" i="1" s="1"/>
  <c r="D21" i="1"/>
  <c r="C21" i="1"/>
  <c r="E14" i="1"/>
  <c r="L11" i="1" s="1"/>
  <c r="D14" i="1"/>
  <c r="C14" i="1"/>
  <c r="B14" i="1"/>
  <c r="E10" i="1"/>
  <c r="K11" i="1" s="1"/>
  <c r="D10" i="1"/>
  <c r="C10" i="1"/>
  <c r="B10" i="1"/>
  <c r="E5" i="1"/>
  <c r="D5" i="1"/>
  <c r="K5" i="1" s="1"/>
  <c r="C5"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<sst xmlns="http://schemas.openxmlformats.org/spreadsheetml/2006/main" count="298" uniqueCount="173">
  <si>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</si>
  <si>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</si>
  <si>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</si>
  <si>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</si>
  <si>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</si>
  <si>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</si>
  <si>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</si>
  <si>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</si>
  <si>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</si>
  <si>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</si>
  <si>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</si>
  <si>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</si>
  <si>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</si>
  <si>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</si>
  <si>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</si>
  <si>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</si>
  <si>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</si>
  <si>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</si>
  <si>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</si>
  <si>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</si>
  <si>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</si>
  <si>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</si>
  <si>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</si>
  <si>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</si>
  <si>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</si>
  <si>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</si>
  <si>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</si>
  <si>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</si>
  <si>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</si>
  <si>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</si>
  <si>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</si>
  <si>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</si>
  <si>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</si>
  <si>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</si>
  <si>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</si>
  <si>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</si>
  <si>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</si>
  <si>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</si>
  <si>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</si>
  <si>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</si>
  <si>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</si>
  <si>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</si>
  <si>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</si>
  <si>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</si>
  <si>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</si>
  <si>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</si>
  <si>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</si>
  <si>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</si>
  <si>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</si>
  <si>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</si>
  <si>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</si>
  <si>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</si>
  <si>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</si>
  <si>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</si>
  <si>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</si>
  <si>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</si>
  <si>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</si>
  <si>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</si>
  <si>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</si>
  <si>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</si>
  <si>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</si>
  <si>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</si>
  <si>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</si>
  <si>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</si>
  <si>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</si>
  <si>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</si>
  <si>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</si>
  <si>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</si>
  <si>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</si>
  <si>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</si>
  <si>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</si>
  <si>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</si>
  <si>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</si>
  <si>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</si>
  <si>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</si>
  <si>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</si>
  <si>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</si>
  <si>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</si>
  <si>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</si>
  <si>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</si>
  <si>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</si>
  <si>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</si>
  <si>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</si>
  <si>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</si>
  <si>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</si>
  <si>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</si>
  <si>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</si>
  <si>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</si>
  <si>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</si>
  <si>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</si>
  <si>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</si>
  <si>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</si>
  <si>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</si>
  <si>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</si>
  <si>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</si>
  <si>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</si>
  <si>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</si>
  <si>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</si>
  <si>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</si>
  <si>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</si>
  <si>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</si>
  <si>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</si>
  <si>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</si>
  <si>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</si>
  <si>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</si>
  <si>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</si>
  <si>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FCF Growth YoY</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</si>
  <si>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</si>
  <si>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</si>
  <si>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</si>
  <si>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</si>
  <si>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</si>
  <si>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</si>
  <si>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</si>
  <si>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</si>
  <si>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</si>
  <si>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</si>
  <si>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</si>
  <si>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</si>
  <si>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</si>
  <si>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</si>
  <si>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</si>
  <si>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</si>
  <si>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Dutch Bros</t>
  </si>
  <si>
    <t>Total Shop Count</t>
  </si>
  <si>
    <t>Q3 2020</t>
  </si>
  <si>
    <t>Q3 2021</t>
  </si>
  <si>
    <t>Q3 2022</t>
  </si>
  <si>
    <t>Q4 2020</t>
  </si>
  <si>
    <t>Q4 2021</t>
  </si>
  <si>
    <t>Q1 2022</t>
  </si>
  <si>
    <t>Q2 2022</t>
  </si>
  <si>
    <t>Q4 2022</t>
  </si>
  <si>
    <t>Revenue Growth</t>
  </si>
  <si>
    <t>EBITDA Growth</t>
  </si>
  <si>
    <t>13,000 employees</t>
  </si>
  <si>
    <t>Weighted Average Cost of Capital</t>
  </si>
  <si>
    <t>Cost of Debt Calculation</t>
  </si>
  <si>
    <t>Interest Expense</t>
  </si>
  <si>
    <t>Short Term Debt</t>
  </si>
  <si>
    <t>Long Term Debt</t>
  </si>
  <si>
    <t>Cost of Debt</t>
  </si>
  <si>
    <t>Income Tax Expense</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</si>
  <si>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</si>
  <si>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</si>
  <si>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</si>
  <si>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</si>
  <si>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</si>
  <si>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</si>
  <si>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</si>
  <si>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</si>
  <si>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</si>
  <si>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</si>
  <si>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</si>
  <si>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</si>
  <si>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</si>
  <si>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</si>
  <si>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WACC</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</si>
  <si>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</si>
  <si>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</si>
  <si>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</si>
  <si>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</si>
  <si>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</si>
  <si>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</si>
  <si>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</si>
  <si>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</si>
  <si>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</si>
  <si>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</si>
  <si>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</si>
  <si>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</si>
  <si>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</si>
  <si>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</si>
  <si>
    <t>Share Dilution (3yr)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</si>
</sst>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sz val="8"/>
      <name val="Calibri"/>
      <family val="1"/>
    </font>
    <font>
      <sz val="12"/>
      <color rgb="FF000000"/>
      <name val="Calibri"/>
      <family val="1"/>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14" fillId="0" borderId="0" applyFont="0" applyFill="0" applyBorder="0" applyAlignment="0" applyProtection="0"/>
  </cellStyleXfs>
  <cellXfs count="71">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0" xfId="0" applyFont="1" applyAlignment="1">
      <alignment indent="1"/>
    </xf>
    <xf numFmtId="9" fontId="1" fillId="0" borderId="0" xfId="0" applyNumberFormat="1" applyFont="1"/>
    <xf numFmtId="9" fontId="9" fillId="0" borderId="0" xfId="0" applyNumberFormat="1" applyFont="1"/>
    <xf numFmtId="9" fontId="10" fillId="0" borderId="5" xfId="0" applyNumberFormat="1" applyFont="1" applyBorder="1" applyAlignment="1">
      <alignment horizontal="center"/>
    </xf>
    <xf numFmtId="9" fontId="10" fillId="0" borderId="0" xfId="0" applyNumberFormat="1" applyFont="1" applyAlignment="1">
      <alignment horizontal="center"/>
    </xf>
    <xf numFmtId="0" fontId="11" fillId="3" borderId="6" xfId="0" applyFont="1" applyFill="1" applyBorder="1" applyAlignment="1">
      <alignment horizontal="center" vertical="center" wrapText="1"/>
    </xf>
    <xf numFmtId="0" fontId="11" fillId="3" borderId="7" xfId="0" applyFont="1" applyFill="1" applyBorder="1" applyAlignment="1">
      <alignment horizontal="center" vertical="center" wrapText="1"/>
    </xf>
    <xf numFmtId="9" fontId="10" fillId="0" borderId="8" xfId="0" applyNumberFormat="1" applyFont="1" applyBorder="1" applyAlignment="1">
      <alignment horizontal="center"/>
    </xf>
    <xf numFmtId="2" fontId="10" fillId="0" borderId="8" xfId="0" applyNumberFormat="1" applyFont="1" applyBorder="1" applyAlignment="1">
      <alignment horizontal="center"/>
    </xf>
    <xf numFmtId="10" fontId="1" fillId="0" borderId="0" xfId="0" applyNumberFormat="1" applyFont="1"/>
    <xf numFmtId="0" fontId="12" fillId="0" borderId="4" xfId="0" applyFont="1" applyBorder="1"/>
    <xf numFmtId="164" fontId="9" fillId="0" borderId="0" xfId="0" applyNumberFormat="1" applyFont="1"/>
    <xf numFmtId="9" fontId="10" fillId="0" borderId="9" xfId="0" applyNumberFormat="1" applyFont="1" applyBorder="1" applyAlignment="1">
      <alignment horizontal="center"/>
    </xf>
    <xf numFmtId="2" fontId="10" fillId="0" borderId="9" xfId="0" applyNumberFormat="1" applyFont="1" applyBorder="1" applyAlignment="1">
      <alignment horizontal="center"/>
    </xf>
    <xf numFmtId="2" fontId="10" fillId="0" borderId="5" xfId="0" applyNumberFormat="1" applyFont="1" applyBorder="1" applyAlignment="1">
      <alignment horizontal="center"/>
    </xf>
    <xf numFmtId="164" fontId="1" fillId="0" borderId="6" xfId="0" applyNumberFormat="1" applyFont="1" applyBorder="1" applyAlignment="1">
      <alignment horizontal="center"/>
    </xf>
    <xf numFmtId="37" fontId="1" fillId="0" borderId="0" xfId="0" applyNumberFormat="1" applyFont="1"/>
    <xf numFmtId="0" fontId="1" fillId="0" borderId="0" xfId="0" applyFont="1" applyAlignment="1">
      <alignment indent="1"/>
    </xf>
    <xf numFmtId="0" fontId="6" fillId="0" borderId="4" xfId="0" applyFont="1" applyBorder="1" applyAlignment="1">
      <alignment horizontal="right"/>
    </xf>
    <xf numFmtId="37" fontId="0" fillId="0" borderId="0" xfId="0" applyNumberFormat="1"/>
    <xf numFmtId="0" fontId="1" fillId="0" borderId="0" xfId="0" applyFont="1"/>
    <xf numFmtId="0" fontId="15" fillId="4" borderId="10" xfId="0" applyFont="1" applyFill="1" applyBorder="1" applyAlignment="1">
      <alignment horizontal="center"/>
    </xf>
    <xf numFmtId="0" fontId="16" fillId="4" borderId="7" xfId="0" applyFont="1" applyFill="1" applyBorder="1" applyAlignment="1">
      <alignment horizontal="center"/>
    </xf>
    <xf numFmtId="0" fontId="11" fillId="5" borderId="10" xfId="0" applyFont="1" applyFill="1" applyBorder="1" applyAlignment="1">
      <alignment horizontal="center" vertical="center" wrapText="1"/>
    </xf>
    <xf numFmtId="0" fontId="11" fillId="5" borderId="7" xfId="0" applyFont="1" applyFill="1" applyBorder="1" applyAlignment="1">
      <alignment horizontal="center" vertical="center" wrapText="1"/>
    </xf>
    <xf numFmtId="0" fontId="10" fillId="6" borderId="11" xfId="0" applyFont="1" applyFill="1" applyBorder="1" applyAlignment="1">
      <alignment horizontal="left" vertical="center" wrapText="1"/>
    </xf>
    <xf numFmtId="164" fontId="10" fillId="6" borderId="12" xfId="0" applyNumberFormat="1" applyFont="1" applyFill="1" applyBorder="1"/>
    <xf numFmtId="0" fontId="11" fillId="6" borderId="11" xfId="0" applyFont="1" applyFill="1" applyBorder="1" applyAlignment="1">
      <alignment horizontal="left" vertical="center" wrapText="1"/>
    </xf>
    <xf numFmtId="10" fontId="11" fillId="6" borderId="12" xfId="0" applyNumberFormat="1" applyFont="1" applyFill="1" applyBorder="1"/>
    <xf numFmtId="0" fontId="11" fillId="6" borderId="9" xfId="0" applyFont="1" applyFill="1" applyBorder="1" applyAlignment="1">
      <alignment horizontal="left" vertical="center" wrapText="1"/>
    </xf>
    <xf numFmtId="10" fontId="11" fillId="6" borderId="8" xfId="0" applyNumberFormat="1" applyFont="1" applyFill="1" applyBorder="1"/>
    <xf numFmtId="10" fontId="10" fillId="6" borderId="12" xfId="0" applyNumberFormat="1" applyFont="1" applyFill="1" applyBorder="1"/>
    <xf numFmtId="39" fontId="10" fillId="6" borderId="12" xfId="0" applyNumberFormat="1" applyFont="1" applyFill="1" applyBorder="1"/>
    <xf numFmtId="164" fontId="1" fillId="6" borderId="12" xfId="0" applyNumberFormat="1" applyFont="1" applyFill="1" applyBorder="1"/>
    <xf numFmtId="164" fontId="11" fillId="6" borderId="8" xfId="0" applyNumberFormat="1" applyFont="1" applyFill="1" applyBorder="1"/>
    <xf numFmtId="0" fontId="11" fillId="4" borderId="9" xfId="0" applyFont="1" applyFill="1" applyBorder="1" applyAlignment="1">
      <alignment horizontal="left" vertical="center" wrapText="1"/>
    </xf>
    <xf numFmtId="10" fontId="11" fillId="4" borderId="8" xfId="0" applyNumberFormat="1" applyFont="1" applyFill="1" applyBorder="1"/>
    <xf numFmtId="164" fontId="9" fillId="6" borderId="0" xfId="0" applyNumberFormat="1" applyFont="1" applyFill="1"/>
    <xf numFmtId="0" fontId="0" fillId="6" borderId="0" xfId="0" applyFill="1"/>
    <xf numFmtId="9" fontId="17" fillId="6" borderId="11" xfId="0" applyNumberFormat="1" applyFont="1" applyFill="1" applyBorder="1" applyAlignment="1">
      <alignment wrapText="1"/>
    </xf>
    <xf numFmtId="10" fontId="1" fillId="6" borderId="12" xfId="0" applyNumberFormat="1" applyFont="1" applyFill="1" applyBorder="1" applyAlignment="1">
      <alignment horizontal="right" vertical="center"/>
    </xf>
    <xf numFmtId="164" fontId="1" fillId="6" borderId="0" xfId="0" applyNumberFormat="1" applyFont="1" applyFill="1"/>
    <xf numFmtId="0" fontId="0" fillId="6" borderId="0" xfId="0" applyFill="1" applyAlignment="1">
      <alignment horizontal="left"/>
    </xf>
    <xf numFmtId="0" fontId="17" fillId="7" borderId="11" xfId="0" applyFont="1" applyFill="1" applyBorder="1" applyAlignment="1">
      <alignment wrapText="1"/>
    </xf>
    <xf numFmtId="10" fontId="1" fillId="7" borderId="12" xfId="0" applyNumberFormat="1" applyFont="1" applyFill="1" applyBorder="1" applyAlignment="1">
      <alignment horizontal="right" vertical="center"/>
    </xf>
    <xf numFmtId="0" fontId="17" fillId="6" borderId="9" xfId="0" applyFont="1" applyFill="1" applyBorder="1"/>
    <xf numFmtId="10" fontId="1" fillId="6" borderId="8" xfId="0" applyNumberFormat="1" applyFont="1" applyFill="1" applyBorder="1" applyAlignment="1">
      <alignment horizontal="right" vertical="center"/>
    </xf>
    <xf numFmtId="0" fontId="1" fillId="4" borderId="13" xfId="0" applyFont="1" applyFill="1" applyBorder="1" applyAlignment="1">
      <alignment horizontal="center"/>
    </xf>
    <xf numFmtId="0" fontId="1" fillId="4" borderId="14" xfId="0" applyFont="1" applyFill="1" applyBorder="1" applyAlignment="1">
      <alignment horizontal="center"/>
    </xf>
    <xf numFmtId="164" fontId="1" fillId="6" borderId="11" xfId="0" applyNumberFormat="1" applyFont="1" applyFill="1" applyBorder="1" applyAlignment="1">
      <alignment wrapText="1"/>
    </xf>
    <xf numFmtId="164" fontId="1" fillId="6" borderId="12" xfId="0" applyNumberFormat="1" applyFont="1" applyFill="1" applyBorder="1" applyAlignment="1">
      <alignment wrapText="1"/>
    </xf>
    <xf numFmtId="164" fontId="1" fillId="4" borderId="11" xfId="0" applyNumberFormat="1" applyFont="1" applyFill="1" applyBorder="1" applyAlignment="1">
      <alignment wrapText="1"/>
    </xf>
    <xf numFmtId="167" fontId="11" fillId="4" borderId="12" xfId="0" applyNumberFormat="1" applyFont="1" applyFill="1" applyBorder="1"/>
    <xf numFmtId="167" fontId="1" fillId="6" borderId="12" xfId="0" applyNumberFormat="1" applyFont="1" applyFill="1" applyBorder="1"/>
    <xf numFmtId="164" fontId="1" fillId="4" borderId="9" xfId="0" applyNumberFormat="1" applyFont="1" applyFill="1" applyBorder="1" applyAlignment="1">
      <alignment wrapText="1"/>
    </xf>
    <xf numFmtId="9" fontId="11" fillId="4" borderId="8" xfId="1" applyFont="1" applyFill="1" applyBorder="1"/>
    <xf numFmtId="0" fontId="11" fillId="4" borderId="8" xfId="0" applyFont="1" applyFill="1" applyBorder="1" applyAlignment="1">
      <alignment horizontal="right"/>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BROS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0380587834926668E-2"/>
          <c:y val="0.12737736271338176"/>
          <c:w val="0.85569395617776167"/>
          <c:h val="0.74375897780219336"/>
        </c:manualLayout>
      </c:layout>
      <c:barChart>
        <c:barDir val="col"/>
        <c:grouping val="clustered"/>
        <c:varyColors val="0"/>
        <c:ser>
          <c:idx val="0"/>
          <c:order val="0"/>
          <c:tx>
            <c:strRef>
              <c:f>Model!$A$4</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Model!$B$4:$E$4</c:f>
              <c:numCache>
                <c:formatCode>#,###,,;\(#,###,,\);\ \-\ \-</c:formatCode>
                <c:ptCount val="4"/>
                <c:pt idx="0">
                  <c:v>238368000</c:v>
                </c:pt>
                <c:pt idx="1">
                  <c:v>327413000</c:v>
                </c:pt>
                <c:pt idx="2">
                  <c:v>497876000</c:v>
                </c:pt>
                <c:pt idx="3">
                  <c:v>739012000</c:v>
                </c:pt>
              </c:numCache>
            </c:numRef>
          </c:val>
          <c:extLst>
            <c:ext xmlns:c16="http://schemas.microsoft.com/office/drawing/2014/chart" uri="{C3380CC4-5D6E-409C-BE32-E72D297353CC}">
              <c16:uniqueId val="{00000000-0D93-EC45-B687-E20BC5C00232}"/>
            </c:ext>
          </c:extLst>
        </c:ser>
        <c:ser>
          <c:idx val="1"/>
          <c:order val="1"/>
          <c:tx>
            <c:strRef>
              <c:f>Model!$A$20</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Model!$B$20:$E$20</c:f>
              <c:numCache>
                <c:formatCode>#,###,,;\(#,###,,\);\ \-\ \-</c:formatCode>
                <c:ptCount val="4"/>
                <c:pt idx="0">
                  <c:v>40491000</c:v>
                </c:pt>
                <c:pt idx="1">
                  <c:v>25841000</c:v>
                </c:pt>
                <c:pt idx="2">
                  <c:v>-128698000</c:v>
                </c:pt>
                <c:pt idx="3">
                  <c:v>60592000</c:v>
                </c:pt>
              </c:numCache>
            </c:numRef>
          </c:val>
          <c:extLst>
            <c:ext xmlns:c16="http://schemas.microsoft.com/office/drawing/2014/chart" uri="{C3380CC4-5D6E-409C-BE32-E72D297353CC}">
              <c16:uniqueId val="{00000001-0D93-EC45-B687-E20BC5C00232}"/>
            </c:ext>
          </c:extLst>
        </c:ser>
        <c:ser>
          <c:idx val="2"/>
          <c:order val="2"/>
          <c:tx>
            <c:strRef>
              <c:f>Model!$A$107</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Model!$B$107:$E$107</c:f>
              <c:numCache>
                <c:formatCode>#,###,,;\(#,###,,\);\ \-\ \-</c:formatCode>
                <c:ptCount val="4"/>
                <c:pt idx="0">
                  <c:v>17237000</c:v>
                </c:pt>
                <c:pt idx="1">
                  <c:v>12974000</c:v>
                </c:pt>
                <c:pt idx="2">
                  <c:v>80375000</c:v>
                </c:pt>
                <c:pt idx="3">
                  <c:v>-127997000</c:v>
                </c:pt>
              </c:numCache>
            </c:numRef>
          </c:val>
          <c:extLst>
            <c:ext xmlns:c16="http://schemas.microsoft.com/office/drawing/2014/chart" uri="{C3380CC4-5D6E-409C-BE32-E72D297353CC}">
              <c16:uniqueId val="{00000002-0D93-EC45-B687-E20BC5C00232}"/>
            </c:ext>
          </c:extLst>
        </c:ser>
        <c:dLbls>
          <c:showLegendKey val="0"/>
          <c:showVal val="0"/>
          <c:showCatName val="0"/>
          <c:showSerName val="0"/>
          <c:showPercent val="0"/>
          <c:showBubbleSize val="0"/>
        </c:dLbls>
        <c:gapWidth val="100"/>
        <c:overlap val="-24"/>
        <c:axId val="1876652559"/>
        <c:axId val="1876654287"/>
      </c:barChart>
      <c:catAx>
        <c:axId val="187665255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76654287"/>
        <c:crosses val="autoZero"/>
        <c:auto val="1"/>
        <c:lblAlgn val="ctr"/>
        <c:lblOffset val="100"/>
        <c:noMultiLvlLbl val="0"/>
      </c:catAx>
      <c:valAx>
        <c:axId val="1876654287"/>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76652559"/>
        <c:crosses val="autoZero"/>
        <c:crossBetween val="between"/>
      </c:valAx>
      <c:spPr>
        <a:noFill/>
        <a:ln>
          <a:noFill/>
        </a:ln>
        <a:effectLst/>
      </c:spPr>
    </c:plotArea>
    <c:legend>
      <c:legendPos val="b"/>
      <c:layout>
        <c:manualLayout>
          <c:xMode val="edge"/>
          <c:yMode val="edge"/>
          <c:x val="0.3245960273998264"/>
          <c:y val="0.91344055830230519"/>
          <c:w val="0.36349628778559701"/>
          <c:h val="5.296771043154489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22225</xdr:colOff>
      <xdr:row>109</xdr:row>
      <xdr:rowOff>12700</xdr:rowOff>
    </xdr:from>
    <xdr:to>
      <xdr:col>13</xdr:col>
      <xdr:colOff>0</xdr:colOff>
      <xdr:row>134</xdr:row>
      <xdr:rowOff>47625</xdr:rowOff>
    </xdr:to>
    <xdr:graphicFrame macro="">
      <xdr:nvGraphicFramePr>
        <xdr:cNvPr id="2" name="Chart 1">
          <a:extLst>
            <a:ext uri="{FF2B5EF4-FFF2-40B4-BE49-F238E27FC236}">
              <a16:creationId xmlns:a16="http://schemas.microsoft.com/office/drawing/2014/main" id="{AF14E1B1-43F7-CAF8-89A5-B9CD4A70D9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https://www.bing.com/financeapi/forcetrigger?t=c38ljc&amp;q=XNYS%3aBROS&amp;form=skydnc</v>
    <v>Learn more on Bing</v>
  </rv>
  <rv s="1">
    <v>0</v>
    <v>Dutch Bros Inc (XNYS:BROS)</v>
    <v>2</v>
    <v>3</v>
    <v>Finance</v>
    <v>4</v>
    <v>en-US</v>
    <v>c38ljc</v>
    <v>268435456</v>
    <v>1</v>
    <v>Powered by Refinitiv</v>
    <v>57.1</v>
    <v>20.05</v>
    <v>2.3719999999999999</v>
    <v>-0.41</v>
    <v>-1.2857E-2</v>
    <v>0.12</v>
    <v>3.8119999999999999E-3</v>
    <v>USD</v>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v>22000</v>
    <v>New York Stock Exchange</v>
    <v>XNYS</v>
    <v>XNYS</v>
    <v>110 Sw 4Th Street, GRANTS PASS, OR, 97526 US</v>
    <v>32.21</v>
    <v>Hotels &amp; Entertainment Services</v>
    <v>Stock</v>
    <v>45022.999620543749</v>
    <v>0</v>
    <v>31.16</v>
    <v>5157384140</v>
    <v>Dutch Bros Inc</v>
    <v>Dutch Bros Inc</v>
    <v>31.72</v>
    <v>31.89</v>
    <v>31.48</v>
    <v>31.6</v>
    <v>163830500</v>
    <v>BROS</v>
    <v>Dutch Bros Inc (XNYS:BROS)</v>
    <v>847799</v>
    <v>939470</v>
    <v>2021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sec.gov/Archives/edgar/data/1866581/000186658123000038/0001866581-23-000038-index.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1866581/000186658122000020/0001866581-22-000020-index.htm" TargetMode="External"/><Relationship Id="rId2" Type="http://schemas.openxmlformats.org/officeDocument/2006/relationships/hyperlink" Target="https://sec.gov/" TargetMode="External"/><Relationship Id="rId1" Type="http://schemas.openxmlformats.org/officeDocument/2006/relationships/hyperlink" Target="https://roic.ai/company/BROS" TargetMode="External"/><Relationship Id="rId6" Type="http://schemas.openxmlformats.org/officeDocument/2006/relationships/hyperlink" Target="https://www.sec.gov/Archives/edgar/data/1866581/000186658122000020/0001866581-22-000020-index.htm" TargetMode="External"/><Relationship Id="rId11" Type="http://schemas.openxmlformats.org/officeDocument/2006/relationships/drawing" Target="../drawings/drawing1.xml"/><Relationship Id="rId5" Type="http://schemas.openxmlformats.org/officeDocument/2006/relationships/hyperlink" Target="https://sec.gov/" TargetMode="External"/><Relationship Id="rId10" Type="http://schemas.openxmlformats.org/officeDocument/2006/relationships/hyperlink" Target="https://finbox.com/NYSE:BROS/explorer/revenue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866581/000186658123000038/0001866581-23-000038-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F6E19-A403-8F4E-A566-DCF18EC8558F}">
  <dimension ref="B1:O7"/>
  <sheetViews>
    <sheetView workbookViewId="0">
      <selection activeCell="N29" sqref="N29"/>
    </sheetView>
  </sheetViews>
  <sheetFormatPr baseColWidth="10" defaultRowHeight="16" x14ac:dyDescent="0.2"/>
  <cols>
    <col min="1" max="1" width="15.83203125" customWidth="1"/>
    <col min="2" max="2" width="17.83203125" customWidth="1"/>
    <col min="3" max="16" width="15.83203125" customWidth="1"/>
  </cols>
  <sheetData>
    <row r="1" spans="2:15" ht="20" thickBot="1" x14ac:dyDescent="0.3">
      <c r="C1" s="32" t="s">
        <v>125</v>
      </c>
      <c r="D1" s="32" t="s">
        <v>128</v>
      </c>
      <c r="E1" s="32" t="s">
        <v>126</v>
      </c>
      <c r="F1" s="32" t="s">
        <v>129</v>
      </c>
      <c r="G1" s="32" t="s">
        <v>130</v>
      </c>
      <c r="H1" s="32" t="s">
        <v>131</v>
      </c>
      <c r="I1" s="32" t="s">
        <v>127</v>
      </c>
      <c r="J1" s="32" t="s">
        <v>132</v>
      </c>
    </row>
    <row r="2" spans="2:15" ht="19" x14ac:dyDescent="0.25">
      <c r="C2" s="9" t="s">
        <v>91</v>
      </c>
      <c r="D2" s="9" t="s">
        <v>91</v>
      </c>
      <c r="E2" s="9" t="s">
        <v>91</v>
      </c>
      <c r="F2" s="9" t="s">
        <v>91</v>
      </c>
      <c r="G2" s="9"/>
      <c r="H2" s="9"/>
      <c r="I2" s="9"/>
      <c r="J2" s="9"/>
      <c r="O2" s="34" t="s">
        <v>123</v>
      </c>
    </row>
    <row r="3" spans="2:15" ht="19" x14ac:dyDescent="0.25">
      <c r="B3" s="33" t="s">
        <v>124</v>
      </c>
      <c r="C3" s="30"/>
      <c r="D3" s="30">
        <v>441</v>
      </c>
      <c r="E3" s="30"/>
      <c r="F3" s="30">
        <v>538</v>
      </c>
      <c r="G3" s="30"/>
      <c r="H3" s="30"/>
      <c r="I3" s="30"/>
      <c r="J3" s="30">
        <v>671</v>
      </c>
      <c r="O3" t="s">
        <v>135</v>
      </c>
    </row>
    <row r="4" spans="2:15" ht="19" x14ac:dyDescent="0.25">
      <c r="B4" t="s">
        <v>1</v>
      </c>
      <c r="C4" s="1">
        <v>87000000</v>
      </c>
      <c r="D4" s="1">
        <v>90000000</v>
      </c>
      <c r="E4" s="1">
        <v>130000000</v>
      </c>
      <c r="F4" s="1">
        <v>140000000</v>
      </c>
      <c r="G4" s="1">
        <v>152000000</v>
      </c>
      <c r="H4" s="1">
        <v>186000000</v>
      </c>
      <c r="I4" s="1">
        <v>199000000</v>
      </c>
      <c r="J4" s="1">
        <v>202000000</v>
      </c>
    </row>
    <row r="5" spans="2:15" ht="19" x14ac:dyDescent="0.25">
      <c r="B5" t="s">
        <v>133</v>
      </c>
      <c r="C5" s="1"/>
      <c r="D5" s="15">
        <f>(D4/C4)-1</f>
        <v>3.4482758620689724E-2</v>
      </c>
      <c r="E5" s="15">
        <f>(E4/D4)-1</f>
        <v>0.44444444444444442</v>
      </c>
      <c r="F5" s="15">
        <f>(F4/E4)-1</f>
        <v>7.6923076923076872E-2</v>
      </c>
      <c r="G5" s="15">
        <f t="shared" ref="G5:J5" si="0">(G4/F4)-1</f>
        <v>8.5714285714285632E-2</v>
      </c>
      <c r="H5" s="15">
        <f t="shared" si="0"/>
        <v>0.22368421052631571</v>
      </c>
      <c r="I5" s="15">
        <f t="shared" si="0"/>
        <v>6.9892473118279508E-2</v>
      </c>
      <c r="J5" s="15">
        <f t="shared" si="0"/>
        <v>1.5075376884422065E-2</v>
      </c>
    </row>
    <row r="6" spans="2:15" ht="19" x14ac:dyDescent="0.25">
      <c r="B6" t="s">
        <v>14</v>
      </c>
      <c r="C6" s="1">
        <v>12000000</v>
      </c>
      <c r="D6" s="1">
        <v>0</v>
      </c>
      <c r="E6" s="1">
        <v>-114000000</v>
      </c>
      <c r="F6" s="1">
        <v>-11000000</v>
      </c>
      <c r="G6" s="1">
        <v>7000000</v>
      </c>
      <c r="H6" s="1">
        <v>14000000</v>
      </c>
      <c r="I6" s="1">
        <v>15000000</v>
      </c>
      <c r="J6" s="1">
        <v>25000000</v>
      </c>
    </row>
    <row r="7" spans="2:15" ht="19" x14ac:dyDescent="0.25">
      <c r="B7" t="s">
        <v>134</v>
      </c>
      <c r="C7" s="1"/>
      <c r="D7" s="15">
        <f>(D6/C6)-1</f>
        <v>-1</v>
      </c>
      <c r="E7" s="15" t="e">
        <f>(E6/D6)-1</f>
        <v>#DIV/0!</v>
      </c>
      <c r="F7" s="15">
        <f>(F6/E6)-1</f>
        <v>-0.90350877192982459</v>
      </c>
      <c r="G7" s="15">
        <f t="shared" ref="G7" si="1">(G6/F6)-1</f>
        <v>-1.6363636363636362</v>
      </c>
      <c r="H7" s="15">
        <f t="shared" ref="H7" si="2">(H6/G6)-1</f>
        <v>1</v>
      </c>
      <c r="I7" s="15">
        <f t="shared" ref="I7" si="3">(I6/H6)-1</f>
        <v>7.1428571428571397E-2</v>
      </c>
      <c r="J7" s="15">
        <f t="shared" ref="J7" si="4">(J6/I6)-1</f>
        <v>0.66666666666666674</v>
      </c>
    </row>
  </sheetData>
  <phoneticPr fontId="1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9"/>
  <sheetViews>
    <sheetView tabSelected="1" zoomScale="80" zoomScaleNormal="80" workbookViewId="0">
      <pane xSplit="1" ySplit="1" topLeftCell="B68" activePane="bottomRight" state="frozen"/>
      <selection pane="topRight"/>
      <selection pane="bottomLeft"/>
      <selection pane="bottomRight" activeCell="I80" sqref="I80"/>
    </sheetView>
  </sheetViews>
  <sheetFormatPr baseColWidth="10" defaultRowHeight="16" x14ac:dyDescent="0.2"/>
  <cols>
    <col min="1" max="1" width="50" customWidth="1"/>
    <col min="2" max="5" width="15" customWidth="1"/>
    <col min="6" max="14" width="21" customWidth="1"/>
  </cols>
  <sheetData>
    <row r="1" spans="1:38" ht="22" thickBot="1" x14ac:dyDescent="0.3">
      <c r="A1" s="3" t="e" vm="1">
        <v>#VALUE!</v>
      </c>
      <c r="B1" s="8">
        <v>2019</v>
      </c>
      <c r="C1" s="8">
        <v>2020</v>
      </c>
      <c r="D1" s="8">
        <v>2021</v>
      </c>
      <c r="E1" s="8">
        <v>2022</v>
      </c>
      <c r="F1" s="24">
        <v>2023</v>
      </c>
      <c r="G1" s="24">
        <v>2024</v>
      </c>
      <c r="H1" s="24">
        <v>2025</v>
      </c>
      <c r="I1" s="24">
        <v>2026</v>
      </c>
      <c r="J1" s="24">
        <v>2027</v>
      </c>
    </row>
    <row r="2" spans="1:38" ht="21" x14ac:dyDescent="0.25">
      <c r="A2" s="4" t="s">
        <v>0</v>
      </c>
      <c r="B2" s="9" t="s">
        <v>91</v>
      </c>
      <c r="C2" s="9" t="s">
        <v>91</v>
      </c>
      <c r="D2" s="9" t="s">
        <v>91</v>
      </c>
      <c r="E2" s="9" t="s">
        <v>91</v>
      </c>
      <c r="F2" s="9" t="s">
        <v>91</v>
      </c>
      <c r="G2" s="9" t="s">
        <v>91</v>
      </c>
      <c r="H2" s="9" t="s">
        <v>91</v>
      </c>
      <c r="I2" s="9"/>
      <c r="J2" s="9"/>
      <c r="K2" s="9"/>
      <c r="L2" s="9"/>
      <c r="M2" s="9"/>
      <c r="N2" s="9"/>
    </row>
    <row r="3" spans="1:38" ht="19" x14ac:dyDescent="0.25">
      <c r="A3" s="31" t="s">
        <v>124</v>
      </c>
      <c r="B3" s="30">
        <v>370</v>
      </c>
      <c r="C3" s="30">
        <v>441</v>
      </c>
      <c r="D3" s="30">
        <v>538</v>
      </c>
      <c r="E3" s="30">
        <v>671</v>
      </c>
      <c r="F3" s="30"/>
      <c r="G3" s="1"/>
      <c r="H3" s="1"/>
      <c r="I3" s="1"/>
      <c r="J3" s="1"/>
      <c r="K3" s="1"/>
      <c r="L3" s="1"/>
      <c r="M3" s="1"/>
      <c r="N3" s="1"/>
    </row>
    <row r="4" spans="1:38" ht="40" x14ac:dyDescent="0.25">
      <c r="A4" s="5" t="s">
        <v>1</v>
      </c>
      <c r="B4" s="1">
        <v>238368000</v>
      </c>
      <c r="C4" s="1">
        <v>327413000</v>
      </c>
      <c r="D4" s="1">
        <v>497876000</v>
      </c>
      <c r="E4" s="1">
        <v>739012000</v>
      </c>
      <c r="F4" s="25">
        <v>985100000</v>
      </c>
      <c r="G4" s="25">
        <v>1283000000</v>
      </c>
      <c r="H4" s="25">
        <v>1593000000</v>
      </c>
      <c r="I4" s="25">
        <v>1869000000</v>
      </c>
      <c r="J4" s="25">
        <v>2262000000</v>
      </c>
      <c r="K4" s="19" t="s">
        <v>107</v>
      </c>
      <c r="L4" s="20" t="s">
        <v>108</v>
      </c>
      <c r="M4" s="20" t="s">
        <v>109</v>
      </c>
      <c r="N4" s="20" t="s">
        <v>110</v>
      </c>
    </row>
    <row r="5" spans="1:38" ht="19" x14ac:dyDescent="0.25">
      <c r="A5" s="14" t="s">
        <v>94</v>
      </c>
      <c r="B5" s="1"/>
      <c r="C5" s="15">
        <f>(C4/B4)-1</f>
        <v>0.37356104846288085</v>
      </c>
      <c r="D5" s="15">
        <f>(D4/C4)-1</f>
        <v>0.52063601628524214</v>
      </c>
      <c r="E5" s="15">
        <f>(E4/D4)-1</f>
        <v>0.4843294314246922</v>
      </c>
      <c r="F5" s="16">
        <f t="shared" ref="F5:J5" si="0">(F4/E4)-1</f>
        <v>0.33299594593863158</v>
      </c>
      <c r="G5" s="16">
        <f t="shared" si="0"/>
        <v>0.3024058471221196</v>
      </c>
      <c r="H5" s="16">
        <f t="shared" si="0"/>
        <v>0.24162120031176926</v>
      </c>
      <c r="I5" s="16">
        <f t="shared" si="0"/>
        <v>0.17325800376647837</v>
      </c>
      <c r="J5" s="16">
        <f t="shared" si="0"/>
        <v>0.21027287319422161</v>
      </c>
      <c r="K5" s="17">
        <f>(E5+D5+C5)/3</f>
        <v>0.45950883205760507</v>
      </c>
      <c r="L5" s="17">
        <f>(E21+D21+C21)/3</f>
        <v>-2.6043321468093383</v>
      </c>
      <c r="M5" s="17">
        <f>(E30+D30+C30)/3</f>
        <v>-7.9705186503824805</v>
      </c>
      <c r="N5" s="17">
        <f>(E106+D106+C106)/3</f>
        <v>0.78508932899354045</v>
      </c>
      <c r="S5" s="16"/>
      <c r="T5" s="16"/>
      <c r="U5" s="16"/>
      <c r="V5" s="16"/>
      <c r="W5" s="16"/>
      <c r="X5" s="16"/>
      <c r="Y5" s="16"/>
      <c r="Z5" s="16"/>
      <c r="AA5" s="16"/>
      <c r="AB5" s="16"/>
      <c r="AC5" s="16"/>
      <c r="AD5" s="16"/>
      <c r="AE5" s="16"/>
      <c r="AF5" s="16"/>
      <c r="AI5" s="18"/>
      <c r="AJ5" s="18"/>
      <c r="AK5" s="18"/>
      <c r="AL5" s="18"/>
    </row>
    <row r="6" spans="1:38" ht="19" x14ac:dyDescent="0.25">
      <c r="A6" s="5" t="s">
        <v>2</v>
      </c>
      <c r="B6" s="1">
        <v>142307000</v>
      </c>
      <c r="C6" s="1">
        <v>211659000</v>
      </c>
      <c r="D6" s="1">
        <v>346113000</v>
      </c>
      <c r="E6" s="1">
        <v>558096000</v>
      </c>
    </row>
    <row r="7" spans="1:38" ht="20" x14ac:dyDescent="0.25">
      <c r="A7" s="6" t="s">
        <v>3</v>
      </c>
      <c r="B7" s="10">
        <v>96061000</v>
      </c>
      <c r="C7" s="10">
        <v>115754000</v>
      </c>
      <c r="D7" s="10">
        <v>151763000</v>
      </c>
      <c r="E7" s="10">
        <v>180916000</v>
      </c>
      <c r="K7" s="19" t="s">
        <v>111</v>
      </c>
      <c r="L7" s="20" t="s">
        <v>112</v>
      </c>
      <c r="M7" s="20" t="s">
        <v>113</v>
      </c>
      <c r="N7" s="20" t="s">
        <v>114</v>
      </c>
    </row>
    <row r="8" spans="1:38" ht="19" x14ac:dyDescent="0.25">
      <c r="A8" s="5" t="s">
        <v>4</v>
      </c>
      <c r="B8" s="2">
        <v>0.40300000000000002</v>
      </c>
      <c r="C8" s="2">
        <v>0.35349999999999998</v>
      </c>
      <c r="D8" s="2">
        <v>0.30480000000000002</v>
      </c>
      <c r="E8" s="2">
        <v>0.24479999999999999</v>
      </c>
      <c r="K8" s="17">
        <f>E8</f>
        <v>0.24479999999999999</v>
      </c>
      <c r="L8" s="21">
        <f>E22</f>
        <v>8.2000000000000003E-2</v>
      </c>
      <c r="M8" s="21">
        <f>E31</f>
        <v>-6.4000000000000003E-3</v>
      </c>
      <c r="N8" s="21">
        <f>E107/E4</f>
        <v>-0.17320016454401282</v>
      </c>
    </row>
    <row r="9" spans="1:38" ht="19" x14ac:dyDescent="0.25">
      <c r="A9" s="5" t="s">
        <v>5</v>
      </c>
      <c r="B9" s="1">
        <v>0</v>
      </c>
      <c r="C9" s="1">
        <v>0</v>
      </c>
      <c r="D9" s="1">
        <v>0</v>
      </c>
      <c r="E9" s="1">
        <v>0</v>
      </c>
    </row>
    <row r="10" spans="1:38" ht="19" customHeight="1" x14ac:dyDescent="0.25">
      <c r="A10" s="14" t="s">
        <v>95</v>
      </c>
      <c r="B10" s="15">
        <f>B9/B4</f>
        <v>0</v>
      </c>
      <c r="C10" s="15">
        <f t="shared" ref="C10:E10" si="1">C9/C4</f>
        <v>0</v>
      </c>
      <c r="D10" s="15">
        <f t="shared" si="1"/>
        <v>0</v>
      </c>
      <c r="E10" s="15">
        <f t="shared" si="1"/>
        <v>0</v>
      </c>
      <c r="F10" s="15"/>
      <c r="G10" s="15"/>
      <c r="K10" s="19" t="s">
        <v>96</v>
      </c>
      <c r="L10" s="20" t="s">
        <v>97</v>
      </c>
      <c r="M10" s="20" t="s">
        <v>98</v>
      </c>
      <c r="N10" s="20" t="s">
        <v>99</v>
      </c>
    </row>
    <row r="11" spans="1:38" ht="19" x14ac:dyDescent="0.25">
      <c r="A11" s="5" t="s">
        <v>6</v>
      </c>
      <c r="B11" s="1" t="s">
        <v>92</v>
      </c>
      <c r="C11" s="1" t="s">
        <v>92</v>
      </c>
      <c r="D11" s="1" t="s">
        <v>92</v>
      </c>
      <c r="E11" s="1" t="s">
        <v>92</v>
      </c>
      <c r="K11" s="17">
        <f>E10</f>
        <v>0</v>
      </c>
      <c r="L11" s="21">
        <f>E14</f>
        <v>0.24834238144982762</v>
      </c>
      <c r="M11" s="21">
        <f>E81</f>
        <v>5.6368502811862321E-2</v>
      </c>
      <c r="N11" s="21">
        <f>E90</f>
        <v>0.25423132506644008</v>
      </c>
    </row>
    <row r="12" spans="1:38" ht="19" x14ac:dyDescent="0.25">
      <c r="A12" s="5" t="s">
        <v>7</v>
      </c>
      <c r="B12" s="1" t="s">
        <v>92</v>
      </c>
      <c r="C12" s="1" t="s">
        <v>92</v>
      </c>
      <c r="D12" s="1" t="s">
        <v>92</v>
      </c>
      <c r="E12" s="1" t="s">
        <v>92</v>
      </c>
    </row>
    <row r="13" spans="1:38" ht="20" x14ac:dyDescent="0.25">
      <c r="A13" s="5" t="s">
        <v>8</v>
      </c>
      <c r="B13" s="1" t="s">
        <v>92</v>
      </c>
      <c r="C13" s="1" t="s">
        <v>92</v>
      </c>
      <c r="D13" s="1">
        <v>265035000</v>
      </c>
      <c r="E13" s="1">
        <v>183528000</v>
      </c>
      <c r="K13" s="19" t="s">
        <v>115</v>
      </c>
      <c r="L13" s="20" t="s">
        <v>116</v>
      </c>
      <c r="M13" s="20" t="s">
        <v>117</v>
      </c>
      <c r="N13" s="20" t="s">
        <v>118</v>
      </c>
    </row>
    <row r="14" spans="1:38" ht="19" x14ac:dyDescent="0.25">
      <c r="A14" s="14" t="s">
        <v>100</v>
      </c>
      <c r="B14" s="15" t="e">
        <f>B13/B4</f>
        <v>#VALUE!</v>
      </c>
      <c r="C14" s="15" t="e">
        <f t="shared" ref="C14:E14" si="2">C13/C4</f>
        <v>#VALUE!</v>
      </c>
      <c r="D14" s="15">
        <f t="shared" si="2"/>
        <v>0.53233134354738931</v>
      </c>
      <c r="E14" s="15">
        <f t="shared" si="2"/>
        <v>0.24834238144982762</v>
      </c>
      <c r="F14" s="15"/>
      <c r="G14" s="15"/>
      <c r="K14" s="17">
        <f>E29/E73</f>
        <v>-1.8862907578499538E-2</v>
      </c>
      <c r="L14" s="21">
        <f>E29/E55</f>
        <v>-4.006372433325466E-3</v>
      </c>
      <c r="M14" s="21">
        <f>E23/(E73+E57+E62)</f>
        <v>-2.9770011841899809E-3</v>
      </c>
      <c r="N14" s="22">
        <f>E68/E73</f>
        <v>3.7082261802711369</v>
      </c>
    </row>
    <row r="15" spans="1:38" ht="19" x14ac:dyDescent="0.25">
      <c r="A15" s="5" t="s">
        <v>9</v>
      </c>
      <c r="B15" s="1">
        <v>65764000</v>
      </c>
      <c r="C15" s="1">
        <v>105087000</v>
      </c>
      <c r="D15" s="1" t="s">
        <v>92</v>
      </c>
      <c r="E15" s="1" t="s">
        <v>92</v>
      </c>
    </row>
    <row r="16" spans="1:38" ht="20" x14ac:dyDescent="0.25">
      <c r="A16" s="5" t="s">
        <v>10</v>
      </c>
      <c r="B16" s="1">
        <v>65764000</v>
      </c>
      <c r="C16" s="1">
        <v>105087000</v>
      </c>
      <c r="D16" s="1">
        <v>265035000</v>
      </c>
      <c r="E16" s="1">
        <v>183528000</v>
      </c>
      <c r="K16" s="19" t="s">
        <v>172</v>
      </c>
      <c r="L16" s="20" t="s">
        <v>119</v>
      </c>
      <c r="M16" s="20" t="s">
        <v>120</v>
      </c>
      <c r="N16" s="20" t="s">
        <v>121</v>
      </c>
    </row>
    <row r="17" spans="1:14" ht="19" x14ac:dyDescent="0.25">
      <c r="A17" s="5" t="s">
        <v>11</v>
      </c>
      <c r="B17" s="1">
        <v>208071000</v>
      </c>
      <c r="C17" s="1">
        <v>316746000</v>
      </c>
      <c r="D17" s="1">
        <v>611148000</v>
      </c>
      <c r="E17" s="1">
        <v>741624000</v>
      </c>
      <c r="K17" s="26">
        <f>(E36+D36+C36)/3</f>
        <v>3.652450823189142E-2</v>
      </c>
      <c r="L17" s="27">
        <f>M102/E4</f>
        <v>6.9787556088399105</v>
      </c>
      <c r="M17" s="27">
        <f>M102/E29</f>
        <v>-1085.0797685672208</v>
      </c>
      <c r="N17" s="28">
        <f>M102/E107</f>
        <v>-40.29300796112409</v>
      </c>
    </row>
    <row r="18" spans="1:14" ht="19" x14ac:dyDescent="0.25">
      <c r="A18" s="5" t="s">
        <v>12</v>
      </c>
      <c r="B18" s="1">
        <v>2346000</v>
      </c>
      <c r="C18" s="1">
        <v>3736000</v>
      </c>
      <c r="D18" s="1">
        <v>-7093000</v>
      </c>
      <c r="E18" s="1">
        <v>18018000</v>
      </c>
    </row>
    <row r="19" spans="1:14" ht="20" x14ac:dyDescent="0.25">
      <c r="A19" s="5" t="s">
        <v>13</v>
      </c>
      <c r="B19" s="1">
        <v>9670000</v>
      </c>
      <c r="C19" s="1">
        <v>15537000</v>
      </c>
      <c r="D19" s="1" t="s">
        <v>92</v>
      </c>
      <c r="E19" s="1">
        <v>44728000</v>
      </c>
      <c r="K19" s="19" t="s">
        <v>122</v>
      </c>
    </row>
    <row r="20" spans="1:14" ht="19" x14ac:dyDescent="0.25">
      <c r="A20" s="6" t="s">
        <v>14</v>
      </c>
      <c r="B20" s="10">
        <v>40491000</v>
      </c>
      <c r="C20" s="10">
        <v>25841000</v>
      </c>
      <c r="D20" s="10">
        <v>-128698000</v>
      </c>
      <c r="E20" s="10">
        <v>60592000</v>
      </c>
      <c r="K20" s="29">
        <f>E41-E57-E62</f>
        <v>-605239000</v>
      </c>
    </row>
    <row r="21" spans="1:14" ht="19" customHeight="1" x14ac:dyDescent="0.25">
      <c r="A21" s="14" t="s">
        <v>101</v>
      </c>
      <c r="B21" s="1"/>
      <c r="C21" s="15">
        <f>(C20/B20)-1</f>
        <v>-0.36180879701662094</v>
      </c>
      <c r="D21" s="15">
        <f>(D20/C20)-1</f>
        <v>-5.9803800162532408</v>
      </c>
      <c r="E21" s="15">
        <f>(E20/D20)-1</f>
        <v>-1.4708076271581532</v>
      </c>
    </row>
    <row r="22" spans="1:14" ht="19" x14ac:dyDescent="0.25">
      <c r="A22" s="5" t="s">
        <v>15</v>
      </c>
      <c r="B22" s="2">
        <v>0.1699</v>
      </c>
      <c r="C22" s="2">
        <v>7.8899999999999998E-2</v>
      </c>
      <c r="D22" s="2">
        <v>-0.25850000000000001</v>
      </c>
      <c r="E22" s="2">
        <v>8.2000000000000003E-2</v>
      </c>
    </row>
    <row r="23" spans="1:14" ht="19" x14ac:dyDescent="0.25">
      <c r="A23" s="6" t="s">
        <v>16</v>
      </c>
      <c r="B23" s="10">
        <v>30297000</v>
      </c>
      <c r="C23" s="10">
        <v>10667000</v>
      </c>
      <c r="D23" s="10">
        <v>-113272000</v>
      </c>
      <c r="E23" s="10">
        <v>-2612000</v>
      </c>
    </row>
    <row r="24" spans="1:14" ht="19" x14ac:dyDescent="0.25">
      <c r="A24" s="5" t="s">
        <v>17</v>
      </c>
      <c r="B24" s="2">
        <v>0.12709999999999999</v>
      </c>
      <c r="C24" s="2">
        <v>3.2599999999999997E-2</v>
      </c>
      <c r="D24" s="2">
        <v>-0.22750000000000001</v>
      </c>
      <c r="E24" s="2">
        <v>-3.5000000000000001E-3</v>
      </c>
    </row>
    <row r="25" spans="1:14" ht="19" x14ac:dyDescent="0.25">
      <c r="A25" s="5" t="s">
        <v>18</v>
      </c>
      <c r="B25" s="1">
        <v>-1822000</v>
      </c>
      <c r="C25" s="1">
        <v>-4099000</v>
      </c>
      <c r="D25" s="1">
        <v>-8333000</v>
      </c>
      <c r="E25" s="1">
        <v>-14042000</v>
      </c>
    </row>
    <row r="26" spans="1:14" ht="19" x14ac:dyDescent="0.25">
      <c r="A26" s="6" t="s">
        <v>19</v>
      </c>
      <c r="B26" s="10">
        <v>28475000</v>
      </c>
      <c r="C26" s="10">
        <v>6568000</v>
      </c>
      <c r="D26" s="10">
        <v>-121605000</v>
      </c>
      <c r="E26" s="10">
        <v>-16654000</v>
      </c>
    </row>
    <row r="27" spans="1:14" ht="19" x14ac:dyDescent="0.25">
      <c r="A27" s="5" t="s">
        <v>20</v>
      </c>
      <c r="B27" s="2">
        <v>0.1195</v>
      </c>
      <c r="C27" s="2">
        <v>2.01E-2</v>
      </c>
      <c r="D27" s="2">
        <v>-0.2442</v>
      </c>
      <c r="E27" s="2">
        <v>-2.2499999999999999E-2</v>
      </c>
    </row>
    <row r="28" spans="1:14" ht="19" x14ac:dyDescent="0.25">
      <c r="A28" s="5" t="s">
        <v>21</v>
      </c>
      <c r="B28" s="1">
        <v>89000</v>
      </c>
      <c r="C28" s="1">
        <v>843000</v>
      </c>
      <c r="D28" s="1">
        <v>-507000</v>
      </c>
      <c r="E28" s="1">
        <v>2599000</v>
      </c>
    </row>
    <row r="29" spans="1:14" ht="19" x14ac:dyDescent="0.25">
      <c r="A29" s="7" t="s">
        <v>22</v>
      </c>
      <c r="B29" s="11">
        <v>28386000</v>
      </c>
      <c r="C29" s="11">
        <v>5725000</v>
      </c>
      <c r="D29" s="11">
        <v>-121098000</v>
      </c>
      <c r="E29" s="11">
        <v>-4753000</v>
      </c>
    </row>
    <row r="30" spans="1:14" ht="20" customHeight="1" x14ac:dyDescent="0.25">
      <c r="A30" s="14" t="s">
        <v>102</v>
      </c>
      <c r="B30" s="1"/>
      <c r="C30" s="15">
        <f>(C29/B29)-1</f>
        <v>-0.79831607130275484</v>
      </c>
      <c r="D30" s="15">
        <f>(D29/C29)-1</f>
        <v>-22.152489082969431</v>
      </c>
      <c r="E30" s="15">
        <f>(E29/D29)-1</f>
        <v>-0.96075079687525811</v>
      </c>
    </row>
    <row r="31" spans="1:14" ht="19" x14ac:dyDescent="0.25">
      <c r="A31" s="5" t="s">
        <v>23</v>
      </c>
      <c r="B31" s="2">
        <v>0.1191</v>
      </c>
      <c r="C31" s="2">
        <v>1.7500000000000002E-2</v>
      </c>
      <c r="D31" s="2">
        <v>-0.2432</v>
      </c>
      <c r="E31" s="2">
        <v>-6.4000000000000003E-3</v>
      </c>
    </row>
    <row r="32" spans="1:14" ht="19" x14ac:dyDescent="0.25">
      <c r="A32" s="5" t="s">
        <v>24</v>
      </c>
      <c r="B32" s="12">
        <v>0.61</v>
      </c>
      <c r="C32" s="12">
        <v>0.12</v>
      </c>
      <c r="D32" s="12">
        <v>-2.59</v>
      </c>
      <c r="E32" s="12">
        <v>-0.09</v>
      </c>
    </row>
    <row r="33" spans="1:5" ht="19" x14ac:dyDescent="0.25">
      <c r="A33" s="5" t="s">
        <v>25</v>
      </c>
      <c r="B33" s="12">
        <v>0.61</v>
      </c>
      <c r="C33" s="12">
        <v>0.12</v>
      </c>
      <c r="D33" s="12">
        <v>-2.59</v>
      </c>
      <c r="E33" s="12">
        <v>-0.09</v>
      </c>
    </row>
    <row r="34" spans="1:5" ht="19" x14ac:dyDescent="0.25">
      <c r="A34" s="5" t="s">
        <v>26</v>
      </c>
      <c r="B34" s="1">
        <v>46748592</v>
      </c>
      <c r="C34" s="1">
        <v>46748592</v>
      </c>
      <c r="D34" s="1">
        <v>46748592</v>
      </c>
      <c r="E34" s="1">
        <v>51871000</v>
      </c>
    </row>
    <row r="35" spans="1:5" ht="19" x14ac:dyDescent="0.25">
      <c r="A35" s="5" t="s">
        <v>27</v>
      </c>
      <c r="B35" s="1">
        <v>46748592</v>
      </c>
      <c r="C35" s="1">
        <v>46748592</v>
      </c>
      <c r="D35" s="1">
        <v>46748592</v>
      </c>
      <c r="E35" s="1">
        <v>51871000</v>
      </c>
    </row>
    <row r="36" spans="1:5" ht="20" customHeight="1" x14ac:dyDescent="0.25">
      <c r="A36" s="14" t="s">
        <v>103</v>
      </c>
      <c r="B36" s="1"/>
      <c r="C36" s="23">
        <f>(C35-B35)/B35</f>
        <v>0</v>
      </c>
      <c r="D36" s="23">
        <f t="shared" ref="D36:E36" si="3">(D35-C35)/C35</f>
        <v>0</v>
      </c>
      <c r="E36" s="23">
        <f t="shared" si="3"/>
        <v>0.10957352469567426</v>
      </c>
    </row>
    <row r="37" spans="1:5" ht="19" x14ac:dyDescent="0.25">
      <c r="A37" s="5" t="s">
        <v>28</v>
      </c>
      <c r="B37" s="13" t="s">
        <v>93</v>
      </c>
      <c r="C37" s="13" t="s">
        <v>93</v>
      </c>
      <c r="D37" s="13" t="s">
        <v>93</v>
      </c>
      <c r="E37" s="13" t="s">
        <v>93</v>
      </c>
    </row>
    <row r="38" spans="1:5" ht="21" x14ac:dyDescent="0.25">
      <c r="A38" s="4" t="s">
        <v>29</v>
      </c>
      <c r="B38" s="9" t="s">
        <v>91</v>
      </c>
      <c r="C38" s="9" t="s">
        <v>91</v>
      </c>
      <c r="D38" s="9" t="s">
        <v>91</v>
      </c>
      <c r="E38" s="9" t="s">
        <v>91</v>
      </c>
    </row>
    <row r="39" spans="1:5" ht="19" x14ac:dyDescent="0.25">
      <c r="A39" s="5" t="s">
        <v>30</v>
      </c>
      <c r="B39" s="1">
        <v>15584000</v>
      </c>
      <c r="C39" s="1">
        <v>31640000</v>
      </c>
      <c r="D39" s="1">
        <v>18506000</v>
      </c>
      <c r="E39" s="1">
        <v>20178000</v>
      </c>
    </row>
    <row r="40" spans="1:5" ht="19" x14ac:dyDescent="0.25">
      <c r="A40" s="5" t="s">
        <v>31</v>
      </c>
      <c r="B40" s="1" t="s">
        <v>92</v>
      </c>
      <c r="C40" s="1" t="s">
        <v>92</v>
      </c>
      <c r="D40" s="1" t="s">
        <v>92</v>
      </c>
      <c r="E40" s="1" t="s">
        <v>92</v>
      </c>
    </row>
    <row r="41" spans="1:5" ht="19" x14ac:dyDescent="0.25">
      <c r="A41" s="5" t="s">
        <v>32</v>
      </c>
      <c r="B41" s="1">
        <v>15584000</v>
      </c>
      <c r="C41" s="1">
        <v>31640000</v>
      </c>
      <c r="D41" s="1">
        <v>18506000</v>
      </c>
      <c r="E41" s="1">
        <v>20178000</v>
      </c>
    </row>
    <row r="42" spans="1:5" ht="19" x14ac:dyDescent="0.25">
      <c r="A42" s="5" t="s">
        <v>33</v>
      </c>
      <c r="B42" s="1">
        <v>6619000</v>
      </c>
      <c r="C42" s="1">
        <v>10837000</v>
      </c>
      <c r="D42" s="1">
        <v>10644000</v>
      </c>
      <c r="E42" s="1">
        <v>11966000</v>
      </c>
    </row>
    <row r="43" spans="1:5" ht="19" x14ac:dyDescent="0.25">
      <c r="A43" s="5" t="s">
        <v>34</v>
      </c>
      <c r="B43" s="1">
        <v>10915000</v>
      </c>
      <c r="C43" s="1">
        <v>15580000</v>
      </c>
      <c r="D43" s="1">
        <v>23345000</v>
      </c>
      <c r="E43" s="1">
        <v>39229000</v>
      </c>
    </row>
    <row r="44" spans="1:5" ht="19" x14ac:dyDescent="0.25">
      <c r="A44" s="5" t="s">
        <v>35</v>
      </c>
      <c r="B44" s="1">
        <v>3731000</v>
      </c>
      <c r="C44" s="1">
        <v>5015000</v>
      </c>
      <c r="D44" s="1">
        <v>8796000</v>
      </c>
      <c r="E44" s="1">
        <v>31127000</v>
      </c>
    </row>
    <row r="45" spans="1:5" ht="19" x14ac:dyDescent="0.25">
      <c r="A45" s="6" t="s">
        <v>36</v>
      </c>
      <c r="B45" s="10">
        <v>36849000</v>
      </c>
      <c r="C45" s="10">
        <v>63072000</v>
      </c>
      <c r="D45" s="10">
        <v>61291000</v>
      </c>
      <c r="E45" s="10">
        <v>82322000</v>
      </c>
    </row>
    <row r="46" spans="1:5" ht="19" x14ac:dyDescent="0.25">
      <c r="A46" s="5" t="s">
        <v>37</v>
      </c>
      <c r="B46" s="1">
        <v>103176000</v>
      </c>
      <c r="C46" s="1">
        <v>165423000</v>
      </c>
      <c r="D46" s="1">
        <v>303244000</v>
      </c>
      <c r="E46" s="1">
        <v>782713000</v>
      </c>
    </row>
    <row r="47" spans="1:5" ht="19" x14ac:dyDescent="0.25">
      <c r="A47" s="5" t="s">
        <v>38</v>
      </c>
      <c r="B47" s="1">
        <v>16531000</v>
      </c>
      <c r="C47" s="1">
        <v>18075000</v>
      </c>
      <c r="D47" s="1">
        <v>18715000</v>
      </c>
      <c r="E47" s="1">
        <v>21629000</v>
      </c>
    </row>
    <row r="48" spans="1:5" ht="19" x14ac:dyDescent="0.25">
      <c r="A48" s="5" t="s">
        <v>39</v>
      </c>
      <c r="B48" s="1">
        <v>10547000</v>
      </c>
      <c r="C48" s="1">
        <v>11323000</v>
      </c>
      <c r="D48" s="1">
        <v>11103000</v>
      </c>
      <c r="E48" s="1">
        <v>8804000</v>
      </c>
    </row>
    <row r="49" spans="1:5" ht="19" x14ac:dyDescent="0.25">
      <c r="A49" s="5" t="s">
        <v>40</v>
      </c>
      <c r="B49" s="1">
        <v>27078000</v>
      </c>
      <c r="C49" s="1">
        <v>29398000</v>
      </c>
      <c r="D49" s="1">
        <v>29818000</v>
      </c>
      <c r="E49" s="1">
        <v>30433000</v>
      </c>
    </row>
    <row r="50" spans="1:5" ht="19" x14ac:dyDescent="0.25">
      <c r="A50" s="5" t="s">
        <v>41</v>
      </c>
      <c r="B50" s="1" t="s">
        <v>92</v>
      </c>
      <c r="C50" s="1" t="s">
        <v>92</v>
      </c>
      <c r="D50" s="1" t="s">
        <v>92</v>
      </c>
      <c r="E50" s="1" t="s">
        <v>92</v>
      </c>
    </row>
    <row r="51" spans="1:5" ht="19" x14ac:dyDescent="0.25">
      <c r="A51" s="5" t="s">
        <v>42</v>
      </c>
      <c r="B51" s="1" t="s">
        <v>92</v>
      </c>
      <c r="C51" s="1" t="s">
        <v>92</v>
      </c>
      <c r="D51" s="1">
        <v>159031000</v>
      </c>
      <c r="E51" s="1">
        <v>288765000</v>
      </c>
    </row>
    <row r="52" spans="1:5" ht="19" x14ac:dyDescent="0.25">
      <c r="A52" s="5" t="s">
        <v>43</v>
      </c>
      <c r="B52" s="1">
        <v>1178000</v>
      </c>
      <c r="C52" s="1">
        <v>1766000</v>
      </c>
      <c r="D52" s="1">
        <v>1562000</v>
      </c>
      <c r="E52" s="1">
        <v>2127000</v>
      </c>
    </row>
    <row r="53" spans="1:5" ht="19" x14ac:dyDescent="0.25">
      <c r="A53" s="5" t="s">
        <v>44</v>
      </c>
      <c r="B53" s="1">
        <v>131432000</v>
      </c>
      <c r="C53" s="1">
        <v>196587000</v>
      </c>
      <c r="D53" s="1">
        <v>493655000</v>
      </c>
      <c r="E53" s="1">
        <v>1104038000</v>
      </c>
    </row>
    <row r="54" spans="1:5" ht="19" x14ac:dyDescent="0.25">
      <c r="A54" s="5" t="s">
        <v>45</v>
      </c>
      <c r="B54" s="1" t="s">
        <v>92</v>
      </c>
      <c r="C54" s="1" t="s">
        <v>92</v>
      </c>
      <c r="D54" s="1" t="s">
        <v>92</v>
      </c>
      <c r="E54" s="1" t="s">
        <v>92</v>
      </c>
    </row>
    <row r="55" spans="1:5" ht="19" x14ac:dyDescent="0.25">
      <c r="A55" s="7" t="s">
        <v>46</v>
      </c>
      <c r="B55" s="11">
        <v>168281000</v>
      </c>
      <c r="C55" s="11">
        <v>259659000</v>
      </c>
      <c r="D55" s="11">
        <v>554946000</v>
      </c>
      <c r="E55" s="11">
        <v>1186360000</v>
      </c>
    </row>
    <row r="56" spans="1:5" ht="19" x14ac:dyDescent="0.25">
      <c r="A56" s="5" t="s">
        <v>47</v>
      </c>
      <c r="B56" s="1">
        <v>13045000</v>
      </c>
      <c r="C56" s="1">
        <v>16092000</v>
      </c>
      <c r="D56" s="1">
        <v>20440000</v>
      </c>
      <c r="E56" s="1">
        <v>21270000</v>
      </c>
    </row>
    <row r="57" spans="1:5" ht="19" x14ac:dyDescent="0.25">
      <c r="A57" s="5" t="s">
        <v>48</v>
      </c>
      <c r="B57" s="1">
        <v>4194000</v>
      </c>
      <c r="C57" s="1">
        <v>21119000</v>
      </c>
      <c r="D57" s="1">
        <v>3389000</v>
      </c>
      <c r="E57" s="1">
        <v>130762000</v>
      </c>
    </row>
    <row r="58" spans="1:5" ht="19" x14ac:dyDescent="0.25">
      <c r="A58" s="5" t="s">
        <v>49</v>
      </c>
      <c r="B58" s="1" t="s">
        <v>92</v>
      </c>
      <c r="C58" s="1" t="s">
        <v>92</v>
      </c>
      <c r="D58" s="1" t="s">
        <v>92</v>
      </c>
      <c r="E58" s="1" t="s">
        <v>92</v>
      </c>
    </row>
    <row r="59" spans="1:5" ht="19" x14ac:dyDescent="0.25">
      <c r="A59" s="5" t="s">
        <v>50</v>
      </c>
      <c r="B59" s="1">
        <v>7504000</v>
      </c>
      <c r="C59" s="1">
        <v>11192000</v>
      </c>
      <c r="D59" s="1">
        <v>22807000</v>
      </c>
      <c r="E59" s="1">
        <v>25335000</v>
      </c>
    </row>
    <row r="60" spans="1:5" ht="19" x14ac:dyDescent="0.25">
      <c r="A60" s="5" t="s">
        <v>51</v>
      </c>
      <c r="B60" s="1">
        <v>8157000</v>
      </c>
      <c r="C60" s="1">
        <v>11465000</v>
      </c>
      <c r="D60" s="1">
        <v>95641000</v>
      </c>
      <c r="E60" s="1">
        <v>35312000</v>
      </c>
    </row>
    <row r="61" spans="1:5" ht="19" x14ac:dyDescent="0.25">
      <c r="A61" s="6" t="s">
        <v>52</v>
      </c>
      <c r="B61" s="10">
        <v>32900000</v>
      </c>
      <c r="C61" s="10">
        <v>59868000</v>
      </c>
      <c r="D61" s="10">
        <v>142277000</v>
      </c>
      <c r="E61" s="10">
        <v>212679000</v>
      </c>
    </row>
    <row r="62" spans="1:5" ht="19" x14ac:dyDescent="0.25">
      <c r="A62" s="5" t="s">
        <v>53</v>
      </c>
      <c r="B62" s="1">
        <v>43712000</v>
      </c>
      <c r="C62" s="1">
        <v>74004000</v>
      </c>
      <c r="D62" s="1">
        <v>68853000</v>
      </c>
      <c r="E62" s="1">
        <v>494655000</v>
      </c>
    </row>
    <row r="63" spans="1:5" ht="19" x14ac:dyDescent="0.25">
      <c r="A63" s="5" t="s">
        <v>50</v>
      </c>
      <c r="B63" s="1">
        <v>4015000</v>
      </c>
      <c r="C63" s="1">
        <v>4746000</v>
      </c>
      <c r="D63" s="1">
        <v>5030000</v>
      </c>
      <c r="E63" s="1">
        <v>6119000</v>
      </c>
    </row>
    <row r="64" spans="1:5" ht="19" x14ac:dyDescent="0.25">
      <c r="A64" s="5" t="s">
        <v>54</v>
      </c>
      <c r="B64" s="1" t="s">
        <v>92</v>
      </c>
      <c r="C64" s="1" t="s">
        <v>92</v>
      </c>
      <c r="D64" s="1" t="s">
        <v>92</v>
      </c>
      <c r="E64" s="1" t="s">
        <v>92</v>
      </c>
    </row>
    <row r="65" spans="1:5" ht="19" x14ac:dyDescent="0.25">
      <c r="A65" s="5" t="s">
        <v>55</v>
      </c>
      <c r="B65" s="1">
        <v>9639000</v>
      </c>
      <c r="C65" s="1">
        <v>45051000</v>
      </c>
      <c r="D65" s="1">
        <v>128600000</v>
      </c>
      <c r="E65" s="1">
        <v>220931000</v>
      </c>
    </row>
    <row r="66" spans="1:5" ht="19" x14ac:dyDescent="0.25">
      <c r="A66" s="5" t="s">
        <v>56</v>
      </c>
      <c r="B66" s="1">
        <v>57366000</v>
      </c>
      <c r="C66" s="1">
        <v>123801000</v>
      </c>
      <c r="D66" s="1">
        <v>202483000</v>
      </c>
      <c r="E66" s="1">
        <v>721705000</v>
      </c>
    </row>
    <row r="67" spans="1:5" ht="19" x14ac:dyDescent="0.25">
      <c r="A67" s="5" t="s">
        <v>57</v>
      </c>
      <c r="B67" s="1" t="s">
        <v>92</v>
      </c>
      <c r="C67" s="1" t="s">
        <v>92</v>
      </c>
      <c r="D67" s="1" t="s">
        <v>92</v>
      </c>
      <c r="E67" s="1" t="s">
        <v>92</v>
      </c>
    </row>
    <row r="68" spans="1:5" ht="19" x14ac:dyDescent="0.25">
      <c r="A68" s="6" t="s">
        <v>58</v>
      </c>
      <c r="B68" s="10">
        <v>90266000</v>
      </c>
      <c r="C68" s="10">
        <v>183669000</v>
      </c>
      <c r="D68" s="10">
        <v>344760000</v>
      </c>
      <c r="E68" s="10">
        <v>934384000</v>
      </c>
    </row>
    <row r="69" spans="1:5" ht="19" x14ac:dyDescent="0.25">
      <c r="A69" s="5" t="s">
        <v>59</v>
      </c>
      <c r="B69" s="1" t="s">
        <v>92</v>
      </c>
      <c r="C69" s="1" t="s">
        <v>92</v>
      </c>
      <c r="D69" s="1">
        <v>2000</v>
      </c>
      <c r="E69" s="1" t="s">
        <v>92</v>
      </c>
    </row>
    <row r="70" spans="1:5" ht="19" x14ac:dyDescent="0.25">
      <c r="A70" s="5" t="s">
        <v>60</v>
      </c>
      <c r="B70" s="1" t="s">
        <v>92</v>
      </c>
      <c r="C70" s="1" t="s">
        <v>92</v>
      </c>
      <c r="D70" s="1">
        <v>-14035000</v>
      </c>
      <c r="E70" s="1">
        <v>-18788000</v>
      </c>
    </row>
    <row r="71" spans="1:5" ht="19" x14ac:dyDescent="0.25">
      <c r="A71" s="5" t="s">
        <v>61</v>
      </c>
      <c r="B71" s="1" t="s">
        <v>92</v>
      </c>
      <c r="C71" s="1" t="s">
        <v>92</v>
      </c>
      <c r="D71" s="1" t="s">
        <v>92</v>
      </c>
      <c r="E71" s="1" t="s">
        <v>92</v>
      </c>
    </row>
    <row r="72" spans="1:5" ht="19" x14ac:dyDescent="0.25">
      <c r="A72" s="5" t="s">
        <v>62</v>
      </c>
      <c r="B72" s="1" t="s">
        <v>92</v>
      </c>
      <c r="C72" s="1" t="s">
        <v>92</v>
      </c>
      <c r="D72" s="1">
        <v>224219000</v>
      </c>
      <c r="E72" s="1">
        <v>270764000</v>
      </c>
    </row>
    <row r="73" spans="1:5" ht="19" x14ac:dyDescent="0.25">
      <c r="A73" s="6" t="s">
        <v>63</v>
      </c>
      <c r="B73" s="10" t="s">
        <v>92</v>
      </c>
      <c r="C73" s="10" t="s">
        <v>92</v>
      </c>
      <c r="D73" s="10">
        <v>210186000</v>
      </c>
      <c r="E73" s="10">
        <v>251976000</v>
      </c>
    </row>
    <row r="74" spans="1:5" ht="19" x14ac:dyDescent="0.25">
      <c r="A74" s="7" t="s">
        <v>64</v>
      </c>
      <c r="B74" s="11">
        <v>168281000</v>
      </c>
      <c r="C74" s="11">
        <v>259659000</v>
      </c>
      <c r="D74" s="11">
        <v>554946000</v>
      </c>
      <c r="E74" s="11">
        <v>1186360000</v>
      </c>
    </row>
    <row r="75" spans="1:5" ht="19" x14ac:dyDescent="0.25">
      <c r="A75" s="5" t="s">
        <v>28</v>
      </c>
      <c r="B75" s="13" t="s">
        <v>93</v>
      </c>
      <c r="C75" s="13" t="s">
        <v>93</v>
      </c>
      <c r="D75" s="13" t="s">
        <v>93</v>
      </c>
      <c r="E75" s="13" t="s">
        <v>93</v>
      </c>
    </row>
    <row r="76" spans="1:5" ht="21" x14ac:dyDescent="0.25">
      <c r="A76" s="4" t="s">
        <v>65</v>
      </c>
      <c r="B76" s="9" t="s">
        <v>91</v>
      </c>
      <c r="C76" s="9" t="s">
        <v>91</v>
      </c>
      <c r="D76" s="9" t="s">
        <v>91</v>
      </c>
      <c r="E76" s="9" t="s">
        <v>91</v>
      </c>
    </row>
    <row r="77" spans="1:5" ht="19" x14ac:dyDescent="0.25">
      <c r="A77" s="5" t="s">
        <v>66</v>
      </c>
      <c r="B77" s="1">
        <v>28386000</v>
      </c>
      <c r="C77" s="1">
        <v>5725000</v>
      </c>
      <c r="D77" s="1">
        <v>-121098000</v>
      </c>
      <c r="E77" s="1">
        <v>-19253000</v>
      </c>
    </row>
    <row r="78" spans="1:5" ht="19" x14ac:dyDescent="0.25">
      <c r="A78" s="5" t="s">
        <v>13</v>
      </c>
      <c r="B78" s="1">
        <v>9670000</v>
      </c>
      <c r="C78" s="1">
        <v>15537000</v>
      </c>
      <c r="D78" s="1" t="s">
        <v>92</v>
      </c>
      <c r="E78" s="1">
        <v>44728000</v>
      </c>
    </row>
    <row r="79" spans="1:5" ht="19" x14ac:dyDescent="0.25">
      <c r="A79" s="5" t="s">
        <v>67</v>
      </c>
      <c r="B79" s="1" t="s">
        <v>92</v>
      </c>
      <c r="C79" s="1" t="s">
        <v>92</v>
      </c>
      <c r="D79" s="1" t="s">
        <v>92</v>
      </c>
      <c r="E79" s="1">
        <v>1078000</v>
      </c>
    </row>
    <row r="80" spans="1:5" ht="19" x14ac:dyDescent="0.25">
      <c r="A80" s="5" t="s">
        <v>68</v>
      </c>
      <c r="B80" s="1">
        <v>6758000</v>
      </c>
      <c r="C80" s="1">
        <v>35087000</v>
      </c>
      <c r="D80" s="1" t="s">
        <v>92</v>
      </c>
      <c r="E80" s="1">
        <v>41657000</v>
      </c>
    </row>
    <row r="81" spans="1:13" ht="19" x14ac:dyDescent="0.25">
      <c r="A81" s="14" t="s">
        <v>104</v>
      </c>
      <c r="B81" s="15">
        <f t="shared" ref="B81:E81" si="4">B80/B4</f>
        <v>2.8351120955832997E-2</v>
      </c>
      <c r="C81" s="15">
        <f t="shared" si="4"/>
        <v>0.10716434594838935</v>
      </c>
      <c r="D81" s="15" t="e">
        <f t="shared" si="4"/>
        <v>#VALUE!</v>
      </c>
      <c r="E81" s="15">
        <f t="shared" si="4"/>
        <v>5.6368502811862321E-2</v>
      </c>
    </row>
    <row r="82" spans="1:13" ht="19" x14ac:dyDescent="0.25">
      <c r="A82" s="5" t="s">
        <v>69</v>
      </c>
      <c r="B82" s="1">
        <v>11558000</v>
      </c>
      <c r="C82" s="1">
        <v>-3373000</v>
      </c>
      <c r="D82" s="1">
        <v>17859000</v>
      </c>
      <c r="E82" s="1">
        <v>-8327000</v>
      </c>
    </row>
    <row r="83" spans="1:13" ht="19" x14ac:dyDescent="0.25">
      <c r="A83" s="5" t="s">
        <v>70</v>
      </c>
      <c r="B83" s="1">
        <v>-612000</v>
      </c>
      <c r="C83" s="1">
        <v>-4218000</v>
      </c>
      <c r="D83" s="1" t="s">
        <v>92</v>
      </c>
      <c r="E83" s="1">
        <v>-1322000</v>
      </c>
    </row>
    <row r="84" spans="1:13" ht="21" x14ac:dyDescent="0.25">
      <c r="A84" s="5" t="s">
        <v>34</v>
      </c>
      <c r="B84" s="1">
        <v>222000</v>
      </c>
      <c r="C84" s="1">
        <v>-4587000</v>
      </c>
      <c r="D84" s="1" t="s">
        <v>92</v>
      </c>
      <c r="E84" s="1">
        <v>-15817000</v>
      </c>
      <c r="L84" s="35" t="s">
        <v>136</v>
      </c>
      <c r="M84" s="36"/>
    </row>
    <row r="85" spans="1:13" ht="19" x14ac:dyDescent="0.25">
      <c r="A85" s="5" t="s">
        <v>47</v>
      </c>
      <c r="B85" s="1">
        <v>3531000</v>
      </c>
      <c r="C85" s="1">
        <v>-518000</v>
      </c>
      <c r="D85" s="1" t="s">
        <v>92</v>
      </c>
      <c r="E85" s="1">
        <v>1606000</v>
      </c>
      <c r="L85" s="37" t="s">
        <v>137</v>
      </c>
      <c r="M85" s="38"/>
    </row>
    <row r="86" spans="1:13" ht="20" x14ac:dyDescent="0.25">
      <c r="A86" s="5" t="s">
        <v>71</v>
      </c>
      <c r="B86" s="1">
        <v>5506000</v>
      </c>
      <c r="C86" s="1">
        <v>4762000</v>
      </c>
      <c r="D86" s="1">
        <v>12118000</v>
      </c>
      <c r="E86" s="1" t="s">
        <v>92</v>
      </c>
      <c r="L86" s="39" t="s">
        <v>138</v>
      </c>
      <c r="M86" s="40">
        <f>E18</f>
        <v>18018000</v>
      </c>
    </row>
    <row r="87" spans="1:13" ht="20" x14ac:dyDescent="0.25">
      <c r="A87" s="5" t="s">
        <v>72</v>
      </c>
      <c r="B87" s="1">
        <v>330000</v>
      </c>
      <c r="C87" s="1">
        <v>573000</v>
      </c>
      <c r="D87" s="1">
        <v>183614000</v>
      </c>
      <c r="E87" s="1" t="s">
        <v>92</v>
      </c>
      <c r="L87" s="39" t="s">
        <v>139</v>
      </c>
      <c r="M87" s="40">
        <f>E57</f>
        <v>130762000</v>
      </c>
    </row>
    <row r="88" spans="1:13" ht="20" x14ac:dyDescent="0.25">
      <c r="A88" s="6" t="s">
        <v>73</v>
      </c>
      <c r="B88" s="10">
        <v>56702000</v>
      </c>
      <c r="C88" s="10">
        <v>53549000</v>
      </c>
      <c r="D88" s="10">
        <v>80375000</v>
      </c>
      <c r="E88" s="10">
        <v>59883000</v>
      </c>
      <c r="L88" s="39" t="s">
        <v>140</v>
      </c>
      <c r="M88" s="40">
        <f>E62</f>
        <v>494655000</v>
      </c>
    </row>
    <row r="89" spans="1:13" ht="20" x14ac:dyDescent="0.25">
      <c r="A89" s="5" t="s">
        <v>74</v>
      </c>
      <c r="B89" s="1">
        <v>-39465000</v>
      </c>
      <c r="C89" s="1">
        <v>-40575000</v>
      </c>
      <c r="D89" s="1" t="s">
        <v>92</v>
      </c>
      <c r="E89" s="1">
        <v>-187880000</v>
      </c>
      <c r="L89" s="41" t="s">
        <v>141</v>
      </c>
      <c r="M89" s="42">
        <f>M86/(M87+M88)</f>
        <v>2.8809578249392006E-2</v>
      </c>
    </row>
    <row r="90" spans="1:13" ht="20" customHeight="1" x14ac:dyDescent="0.25">
      <c r="A90" s="14" t="s">
        <v>105</v>
      </c>
      <c r="B90" s="15">
        <f t="shared" ref="B90:E90" si="5">(-1*B89)/B4</f>
        <v>0.1655633306484092</v>
      </c>
      <c r="C90" s="15">
        <f t="shared" si="5"/>
        <v>0.12392605058443006</v>
      </c>
      <c r="D90" s="15" t="e">
        <f t="shared" si="5"/>
        <v>#VALUE!</v>
      </c>
      <c r="E90" s="15">
        <f t="shared" si="5"/>
        <v>0.25423132506644008</v>
      </c>
      <c r="L90" s="39" t="s">
        <v>142</v>
      </c>
      <c r="M90" s="40">
        <f>E28</f>
        <v>2599000</v>
      </c>
    </row>
    <row r="91" spans="1:13" ht="20" x14ac:dyDescent="0.25">
      <c r="A91" s="5" t="s">
        <v>75</v>
      </c>
      <c r="B91" s="1">
        <v>-530000</v>
      </c>
      <c r="C91" s="1">
        <v>-5094000</v>
      </c>
      <c r="D91" s="1" t="s">
        <v>92</v>
      </c>
      <c r="E91" s="1" t="s">
        <v>92</v>
      </c>
      <c r="L91" s="39" t="s">
        <v>19</v>
      </c>
      <c r="M91" s="40">
        <f>E26</f>
        <v>-16654000</v>
      </c>
    </row>
    <row r="92" spans="1:13" ht="20" x14ac:dyDescent="0.25">
      <c r="A92" s="5" t="s">
        <v>76</v>
      </c>
      <c r="B92" s="1" t="s">
        <v>92</v>
      </c>
      <c r="C92" s="1" t="s">
        <v>92</v>
      </c>
      <c r="D92" s="1" t="s">
        <v>92</v>
      </c>
      <c r="E92" s="1" t="s">
        <v>92</v>
      </c>
      <c r="L92" s="41" t="s">
        <v>143</v>
      </c>
      <c r="M92" s="42">
        <f>M90/M91</f>
        <v>-0.15605860453944997</v>
      </c>
    </row>
    <row r="93" spans="1:13" ht="20" x14ac:dyDescent="0.25">
      <c r="A93" s="5" t="s">
        <v>77</v>
      </c>
      <c r="B93" s="1" t="s">
        <v>92</v>
      </c>
      <c r="C93" s="1" t="s">
        <v>92</v>
      </c>
      <c r="D93" s="1" t="s">
        <v>92</v>
      </c>
      <c r="E93" s="1" t="s">
        <v>92</v>
      </c>
      <c r="L93" s="43" t="s">
        <v>144</v>
      </c>
      <c r="M93" s="44">
        <f>M89*(1-M92)</f>
        <v>3.330556082836221E-2</v>
      </c>
    </row>
    <row r="94" spans="1:13" ht="19" x14ac:dyDescent="0.25">
      <c r="A94" s="5" t="s">
        <v>78</v>
      </c>
      <c r="B94" s="1">
        <v>47000</v>
      </c>
      <c r="C94" s="1">
        <v>99000</v>
      </c>
      <c r="D94" s="1">
        <v>-121089000</v>
      </c>
      <c r="E94" s="1">
        <v>-4692000</v>
      </c>
      <c r="L94" s="37" t="s">
        <v>145</v>
      </c>
      <c r="M94" s="38"/>
    </row>
    <row r="95" spans="1:13" ht="20" x14ac:dyDescent="0.25">
      <c r="A95" s="6" t="s">
        <v>79</v>
      </c>
      <c r="B95" s="10">
        <v>-39948000</v>
      </c>
      <c r="C95" s="10">
        <v>-45570000</v>
      </c>
      <c r="D95" s="10">
        <v>-121089000</v>
      </c>
      <c r="E95" s="10">
        <v>-192572000</v>
      </c>
      <c r="L95" s="39" t="s">
        <v>146</v>
      </c>
      <c r="M95" s="45">
        <v>4.095E-2</v>
      </c>
    </row>
    <row r="96" spans="1:13" ht="20" x14ac:dyDescent="0.25">
      <c r="A96" s="5" t="s">
        <v>80</v>
      </c>
      <c r="B96" s="1">
        <v>-6055000</v>
      </c>
      <c r="C96" s="1">
        <v>-29423000</v>
      </c>
      <c r="D96" s="1" t="s">
        <v>92</v>
      </c>
      <c r="E96" s="1">
        <v>-10569000</v>
      </c>
      <c r="L96" s="39" t="s">
        <v>147</v>
      </c>
      <c r="M96" s="46" cm="1">
        <f t="array" ref="M96">_FV(A1,"Beta")</f>
        <v>2.3719999999999999</v>
      </c>
    </row>
    <row r="97" spans="1:13" ht="20" x14ac:dyDescent="0.25">
      <c r="A97" s="5" t="s">
        <v>81</v>
      </c>
      <c r="B97" s="1" t="s">
        <v>92</v>
      </c>
      <c r="C97" s="1" t="s">
        <v>92</v>
      </c>
      <c r="D97" s="1" t="s">
        <v>92</v>
      </c>
      <c r="E97" s="1" t="s">
        <v>92</v>
      </c>
      <c r="L97" s="39" t="s">
        <v>148</v>
      </c>
      <c r="M97" s="45">
        <v>8.4000000000000005E-2</v>
      </c>
    </row>
    <row r="98" spans="1:13" ht="20" x14ac:dyDescent="0.25">
      <c r="A98" s="5" t="s">
        <v>82</v>
      </c>
      <c r="B98" s="1" t="s">
        <v>92</v>
      </c>
      <c r="C98" s="1" t="s">
        <v>92</v>
      </c>
      <c r="D98" s="1" t="s">
        <v>92</v>
      </c>
      <c r="E98" s="1" t="s">
        <v>92</v>
      </c>
      <c r="L98" s="43" t="s">
        <v>149</v>
      </c>
      <c r="M98" s="44">
        <f>(M95)+((M96)*(M97-M95))</f>
        <v>0.14306460000000001</v>
      </c>
    </row>
    <row r="99" spans="1:13" ht="19" x14ac:dyDescent="0.25">
      <c r="A99" s="5" t="s">
        <v>83</v>
      </c>
      <c r="B99" s="1" t="s">
        <v>92</v>
      </c>
      <c r="C99" s="1" t="s">
        <v>92</v>
      </c>
      <c r="D99" s="1" t="s">
        <v>92</v>
      </c>
      <c r="E99" s="1" t="s">
        <v>92</v>
      </c>
      <c r="L99" s="37" t="s">
        <v>150</v>
      </c>
      <c r="M99" s="38"/>
    </row>
    <row r="100" spans="1:13" ht="20" x14ac:dyDescent="0.25">
      <c r="A100" s="5" t="s">
        <v>84</v>
      </c>
      <c r="B100" s="1">
        <v>-6625000</v>
      </c>
      <c r="C100" s="1">
        <v>37500000</v>
      </c>
      <c r="D100" s="1">
        <v>27580000</v>
      </c>
      <c r="E100" s="1">
        <v>144930000</v>
      </c>
      <c r="L100" s="39" t="s">
        <v>151</v>
      </c>
      <c r="M100" s="40">
        <f>M87+M88</f>
        <v>625417000</v>
      </c>
    </row>
    <row r="101" spans="1:13" ht="20" x14ac:dyDescent="0.25">
      <c r="A101" s="6" t="s">
        <v>85</v>
      </c>
      <c r="B101" s="10">
        <v>-12680000</v>
      </c>
      <c r="C101" s="10">
        <v>8077000</v>
      </c>
      <c r="D101" s="10">
        <v>27580000</v>
      </c>
      <c r="E101" s="10">
        <v>134361000</v>
      </c>
      <c r="L101" s="41" t="s">
        <v>152</v>
      </c>
      <c r="M101" s="42">
        <f>M100/M104</f>
        <v>0.10815122029252419</v>
      </c>
    </row>
    <row r="102" spans="1:13" ht="20" x14ac:dyDescent="0.25">
      <c r="A102" s="5" t="s">
        <v>86</v>
      </c>
      <c r="B102" s="1" t="s">
        <v>92</v>
      </c>
      <c r="C102" s="1" t="s">
        <v>92</v>
      </c>
      <c r="D102" s="1" t="s">
        <v>92</v>
      </c>
      <c r="E102" s="1" t="s">
        <v>92</v>
      </c>
      <c r="L102" s="39" t="s">
        <v>153</v>
      </c>
      <c r="M102" s="47" cm="1">
        <f t="array" ref="M102">_FV(A1,"Market cap",TRUE)</f>
        <v>5157384140</v>
      </c>
    </row>
    <row r="103" spans="1:13" ht="20" x14ac:dyDescent="0.25">
      <c r="A103" s="6" t="s">
        <v>87</v>
      </c>
      <c r="B103" s="10">
        <v>4074000</v>
      </c>
      <c r="C103" s="10">
        <v>16056000</v>
      </c>
      <c r="D103" s="10">
        <v>-13134000</v>
      </c>
      <c r="E103" s="10">
        <v>1672000</v>
      </c>
      <c r="L103" s="41" t="s">
        <v>154</v>
      </c>
      <c r="M103" s="42">
        <f>M102/M104</f>
        <v>0.89184877970747578</v>
      </c>
    </row>
    <row r="104" spans="1:13" ht="20" x14ac:dyDescent="0.25">
      <c r="A104" s="5" t="s">
        <v>88</v>
      </c>
      <c r="B104" s="1">
        <v>11510000</v>
      </c>
      <c r="C104" s="1">
        <v>15584000</v>
      </c>
      <c r="D104" s="1">
        <v>31640000</v>
      </c>
      <c r="E104" s="1">
        <v>18506000</v>
      </c>
      <c r="L104" s="43" t="s">
        <v>155</v>
      </c>
      <c r="M104" s="48">
        <f>M100+M102</f>
        <v>5782801140</v>
      </c>
    </row>
    <row r="105" spans="1:13" ht="19" x14ac:dyDescent="0.25">
      <c r="A105" s="7" t="s">
        <v>89</v>
      </c>
      <c r="B105" s="11">
        <v>15584000</v>
      </c>
      <c r="C105" s="11">
        <v>31640000</v>
      </c>
      <c r="D105" s="11">
        <v>18506000</v>
      </c>
      <c r="E105" s="11">
        <v>20178000</v>
      </c>
      <c r="L105" s="37" t="s">
        <v>156</v>
      </c>
      <c r="M105" s="38"/>
    </row>
    <row r="106" spans="1:13" ht="20" x14ac:dyDescent="0.25">
      <c r="A106" s="14" t="s">
        <v>106</v>
      </c>
      <c r="B106" s="1"/>
      <c r="C106" s="15">
        <f>(C107/B107)-1</f>
        <v>-0.24731681847189191</v>
      </c>
      <c r="D106" s="15">
        <f>(D107/C107)-1</f>
        <v>5.1950824726375826</v>
      </c>
      <c r="E106" s="15">
        <f>(E107/D107)-1</f>
        <v>-2.5924976671850697</v>
      </c>
      <c r="F106" s="15"/>
      <c r="G106" s="15"/>
      <c r="H106" s="15"/>
      <c r="I106" s="15"/>
      <c r="J106" s="15"/>
      <c r="K106" s="15"/>
      <c r="L106" s="49" t="s">
        <v>157</v>
      </c>
      <c r="M106" s="50">
        <f>(M101*M93)+(M103*M98)</f>
        <v>0.13119402597545241</v>
      </c>
    </row>
    <row r="107" spans="1:13" ht="19" x14ac:dyDescent="0.25">
      <c r="A107" s="5" t="s">
        <v>90</v>
      </c>
      <c r="B107" s="1">
        <v>17237000</v>
      </c>
      <c r="C107" s="1">
        <v>12974000</v>
      </c>
      <c r="D107" s="1">
        <v>80375000</v>
      </c>
      <c r="E107" s="1">
        <v>-127997000</v>
      </c>
      <c r="F107" s="51">
        <f>E107*(1+$M$107)</f>
        <v>-160266422.74820825</v>
      </c>
      <c r="G107" s="51">
        <f t="shared" ref="G107:J107" si="6">F107*(1+$M$107)</f>
        <v>-200671314.64415106</v>
      </c>
      <c r="H107" s="51">
        <f t="shared" si="6"/>
        <v>-251262715.11205909</v>
      </c>
      <c r="I107" s="51">
        <f t="shared" si="6"/>
        <v>-314608752.71304697</v>
      </c>
      <c r="J107" s="51">
        <f t="shared" si="6"/>
        <v>-393925008.88767469</v>
      </c>
      <c r="K107" s="52" t="s">
        <v>158</v>
      </c>
      <c r="L107" s="53" t="s">
        <v>159</v>
      </c>
      <c r="M107" s="54">
        <f>(SUM(F5:J5)/5)</f>
        <v>0.25211077406664406</v>
      </c>
    </row>
    <row r="108" spans="1:13" ht="19" x14ac:dyDescent="0.25">
      <c r="A108" s="5"/>
      <c r="B108" s="13"/>
      <c r="C108" s="13"/>
      <c r="D108" s="13"/>
      <c r="E108" s="13"/>
      <c r="F108" s="52"/>
      <c r="G108" s="52"/>
      <c r="H108" s="52"/>
      <c r="I108" s="52"/>
      <c r="J108" s="55">
        <f>J107*(1+M108)/(M109-M108)</f>
        <v>-3802220797.2716079</v>
      </c>
      <c r="K108" s="56" t="s">
        <v>160</v>
      </c>
      <c r="L108" s="57" t="s">
        <v>161</v>
      </c>
      <c r="M108" s="58">
        <v>2.5000000000000001E-2</v>
      </c>
    </row>
    <row r="109" spans="1:13" ht="19" x14ac:dyDescent="0.25">
      <c r="F109" s="55">
        <f t="shared" ref="F109:H109" si="7">F108+F107</f>
        <v>-160266422.74820825</v>
      </c>
      <c r="G109" s="55">
        <f t="shared" si="7"/>
        <v>-200671314.64415106</v>
      </c>
      <c r="H109" s="55">
        <f t="shared" si="7"/>
        <v>-251262715.11205909</v>
      </c>
      <c r="I109" s="55">
        <f>I108+I107</f>
        <v>-314608752.71304697</v>
      </c>
      <c r="J109" s="55">
        <f>J108+J107</f>
        <v>-4196145806.1592827</v>
      </c>
      <c r="K109" s="56" t="s">
        <v>155</v>
      </c>
      <c r="L109" s="59" t="s">
        <v>162</v>
      </c>
      <c r="M109" s="60">
        <f>M106</f>
        <v>0.13119402597545241</v>
      </c>
    </row>
    <row r="110" spans="1:13" ht="19" x14ac:dyDescent="0.25">
      <c r="F110" s="61" t="s">
        <v>163</v>
      </c>
      <c r="G110" s="62"/>
    </row>
    <row r="111" spans="1:13" ht="20" x14ac:dyDescent="0.25">
      <c r="F111" s="63" t="s">
        <v>164</v>
      </c>
      <c r="G111" s="47">
        <f>NPV(M109,F109,G109,H109,I109,J109)</f>
        <v>-2929736483.0403881</v>
      </c>
    </row>
    <row r="112" spans="1:13" ht="20" x14ac:dyDescent="0.25">
      <c r="F112" s="63" t="s">
        <v>165</v>
      </c>
      <c r="G112" s="47">
        <f>E41</f>
        <v>20178000</v>
      </c>
    </row>
    <row r="113" spans="6:7" ht="20" x14ac:dyDescent="0.25">
      <c r="F113" s="63" t="s">
        <v>151</v>
      </c>
      <c r="G113" s="47">
        <f>M100</f>
        <v>625417000</v>
      </c>
    </row>
    <row r="114" spans="6:7" ht="20" x14ac:dyDescent="0.25">
      <c r="F114" s="63" t="s">
        <v>166</v>
      </c>
      <c r="G114" s="47">
        <f>G111+G112-G113</f>
        <v>-3534975483.0403881</v>
      </c>
    </row>
    <row r="115" spans="6:7" ht="20" x14ac:dyDescent="0.25">
      <c r="F115" s="63" t="s">
        <v>171</v>
      </c>
      <c r="G115" s="64">
        <f>E35*(1+(5*K17))</f>
        <v>61343813.832482196</v>
      </c>
    </row>
    <row r="116" spans="6:7" ht="20" x14ac:dyDescent="0.25">
      <c r="F116" s="65" t="s">
        <v>167</v>
      </c>
      <c r="G116" s="66">
        <f>G114/G115</f>
        <v>-57.625622898075846</v>
      </c>
    </row>
    <row r="117" spans="6:7" ht="20" x14ac:dyDescent="0.25">
      <c r="F117" s="63" t="s">
        <v>168</v>
      </c>
      <c r="G117" s="67" cm="1">
        <f t="array" ref="G117">_FV(A1,"Price")</f>
        <v>31.48</v>
      </c>
    </row>
    <row r="118" spans="6:7" ht="20" x14ac:dyDescent="0.25">
      <c r="F118" s="68" t="s">
        <v>169</v>
      </c>
      <c r="G118" s="69">
        <f>G116/G117-1</f>
        <v>-2.8305471060379874</v>
      </c>
    </row>
    <row r="119" spans="6:7" ht="20" x14ac:dyDescent="0.25">
      <c r="F119" s="68" t="s">
        <v>170</v>
      </c>
      <c r="G119" s="70" t="str">
        <f>IF(G116&gt;G117,"BUY","SELL")</f>
        <v>SELL</v>
      </c>
    </row>
  </sheetData>
  <mergeCells count="6">
    <mergeCell ref="L84:M84"/>
    <mergeCell ref="L85:M85"/>
    <mergeCell ref="L94:M94"/>
    <mergeCell ref="L99:M99"/>
    <mergeCell ref="L105:M105"/>
    <mergeCell ref="F110:G110"/>
  </mergeCells>
  <hyperlinks>
    <hyperlink ref="A1" r:id="rId1" tooltip="https://roic.ai/company/BROS" display="ROIC.AI | BROS" xr:uid="{00000000-0004-0000-0000-000000000000}"/>
    <hyperlink ref="B37" r:id="rId2" tooltip="https://sec.gov" xr:uid="{00000000-0004-0000-0000-000001000000}"/>
    <hyperlink ref="B75" r:id="rId3" tooltip="https://sec.gov" xr:uid="{00000000-0004-0000-0000-000002000000}"/>
    <hyperlink ref="C37" r:id="rId4" tooltip="https://sec.gov" xr:uid="{00000000-0004-0000-0000-000004000000}"/>
    <hyperlink ref="C75" r:id="rId5" tooltip="https://sec.gov" xr:uid="{00000000-0004-0000-0000-000005000000}"/>
    <hyperlink ref="D37" r:id="rId6" tooltip="https://www.sec.gov/Archives/edgar/data/1866581/000186658122000020/0001866581-22-000020-index.htm" xr:uid="{00000000-0004-0000-0000-000007000000}"/>
    <hyperlink ref="D75" r:id="rId7" tooltip="https://www.sec.gov/Archives/edgar/data/1866581/000186658122000020/0001866581-22-000020-index.htm" xr:uid="{00000000-0004-0000-0000-000008000000}"/>
    <hyperlink ref="E37" r:id="rId8" tooltip="https://www.sec.gov/Archives/edgar/data/1866581/000186658123000038/0001866581-23-000038-index.htm" xr:uid="{00000000-0004-0000-0000-00000A000000}"/>
    <hyperlink ref="E75" r:id="rId9" tooltip="https://www.sec.gov/Archives/edgar/data/1866581/000186658123000038/0001866581-23-000038-index.htm" xr:uid="{00000000-0004-0000-0000-00000B000000}"/>
    <hyperlink ref="F1" r:id="rId10" display="https://finbox.com/NYSE:BROS/explorer/revenue_proj" xr:uid="{51C8C0CC-E610-A442-87D2-8C2AB36CDA6A}"/>
  </hyperlinks>
  <pageMargins left="0.7" right="0.7" top="0.75" bottom="0.75" header="0.3" footer="0.3"/>
  <drawing r:id="rId1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2023-03-11T13:13:09Z</dcterms:created>
  <dcterms:modified xsi:type="dcterms:W3CDTF">2023-04-07T05:34:05Z</dcterms:modified>
</cp:coreProperties>
</file>