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0780E254-9947-234B-AFA2-A58765427A9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N95" i="1" a="1"/>
  <c r="N95" i="1" s="1"/>
  <c r="H114" i="1"/>
  <c r="L19" i="1"/>
  <c r="L16" i="1"/>
  <c r="O13" i="1"/>
  <c r="N13" i="1"/>
  <c r="M13" i="1"/>
  <c r="L13" i="1"/>
  <c r="O10" i="1"/>
  <c r="N10" i="1"/>
  <c r="M10" i="1"/>
  <c r="L10" i="1"/>
  <c r="O7" i="1"/>
  <c r="N7" i="1"/>
  <c r="M7" i="1"/>
  <c r="L7" i="1"/>
  <c r="O4" i="1"/>
  <c r="N4" i="1"/>
  <c r="M4" i="1"/>
  <c r="L4" i="1"/>
  <c r="M16" i="1" l="1"/>
  <c r="O16" i="1"/>
  <c r="N16" i="1"/>
  <c r="H106" i="1"/>
  <c r="I106" i="1" s="1"/>
  <c r="J106" i="1" s="1"/>
  <c r="K106" i="1" s="1"/>
  <c r="G106" i="1"/>
  <c r="H111" i="1"/>
  <c r="G108" i="1"/>
  <c r="N106" i="1"/>
  <c r="N97" i="1"/>
  <c r="N90" i="1"/>
  <c r="N89" i="1"/>
  <c r="N91" i="1" s="1"/>
  <c r="N88" i="1"/>
  <c r="N92" i="1" s="1"/>
  <c r="N87" i="1"/>
  <c r="N86" i="1"/>
  <c r="N99" i="1" s="1"/>
  <c r="N85" i="1"/>
  <c r="I108" i="1" l="1"/>
  <c r="H112" i="1"/>
  <c r="N103" i="1"/>
  <c r="N102" i="1" s="1"/>
  <c r="H108" i="1"/>
  <c r="N100" i="1" l="1"/>
  <c r="N105" i="1" s="1"/>
  <c r="N108" i="1" s="1"/>
  <c r="K107" i="1" s="1"/>
  <c r="K108" i="1" s="1"/>
  <c r="J108" i="1"/>
  <c r="H110" i="1" l="1"/>
  <c r="H113" i="1" s="1"/>
  <c r="H115" i="1" s="1"/>
  <c r="H117" i="1" s="1"/>
  <c r="H118" i="1" l="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<sst xmlns="http://schemas.openxmlformats.org/spreadsheetml/2006/main" count="251" uniqueCount="160">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</sst>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2"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12" fillId="3" borderId="13" xfId="0" applyFont="1" applyFill="1" applyBorder="1" applyAlignment="1">
      <alignment horizontal="left" vertical="center" wrapText="1"/>
    </xf>
    <xf numFmtId="10" fontId="12" fillId="3" borderId="8" xfId="0" applyNumberFormat="1" applyFont="1" applyFill="1" applyBorder="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3" borderId="9" xfId="0" applyNumberFormat="1" applyFont="1" applyFill="1" applyBorder="1" applyAlignment="1">
      <alignment wrapText="1"/>
    </xf>
    <xf numFmtId="164" fontId="1" fillId="3" borderId="13"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9" fontId="11" fillId="0" borderId="8" xfId="0" applyNumberFormat="1" applyFont="1" applyBorder="1" applyAlignment="1">
      <alignment horizontal="center"/>
    </xf>
    <xf numFmtId="164" fontId="10" fillId="6" borderId="0" xfId="0" applyNumberFormat="1" applyFont="1" applyFill="1"/>
    <xf numFmtId="39" fontId="11" fillId="6" borderId="10" xfId="0" applyNumberFormat="1" applyFont="1" applyFill="1" applyBorder="1"/>
    <xf numFmtId="167" fontId="1" fillId="6"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14" xfId="0" applyFont="1" applyFill="1" applyBorder="1" applyAlignment="1">
      <alignment horizontal="center"/>
    </xf>
    <xf numFmtId="0" fontId="15" fillId="3"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xf numFmtId="172" fontId="12" fillId="3"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5919817202194392E-2"/>
          <c:y val="0.12741394149859703"/>
          <c:w val="0.89131849314708167"/>
          <c:h val="0.69925403313205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A7AC-D847-B544-D3A3BE334DB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44000000</c:v>
                </c:pt>
                <c:pt idx="1">
                  <c:v>98400000</c:v>
                </c:pt>
                <c:pt idx="2">
                  <c:v>115700000</c:v>
                </c:pt>
                <c:pt idx="3">
                  <c:v>236100000</c:v>
                </c:pt>
                <c:pt idx="4">
                  <c:v>330000000</c:v>
                </c:pt>
              </c:numCache>
            </c:numRef>
          </c:val>
          <c:extLst>
            <c:ext xmlns:c16="http://schemas.microsoft.com/office/drawing/2014/chart" uri="{C3380CC4-5D6E-409C-BE32-E72D297353CC}">
              <c16:uniqueId val="{00000001-A7AC-D847-B544-D3A3BE334DB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A7AC-D847-B544-D3A3BE334DB3}"/>
            </c:ext>
          </c:extLst>
        </c:ser>
        <c:dLbls>
          <c:showLegendKey val="0"/>
          <c:showVal val="0"/>
          <c:showCatName val="0"/>
          <c:showSerName val="0"/>
          <c:showPercent val="0"/>
          <c:showBubbleSize val="0"/>
        </c:dLbls>
        <c:gapWidth val="100"/>
        <c:overlap val="-24"/>
        <c:axId val="850788048"/>
        <c:axId val="850789776"/>
      </c:barChart>
      <c:catAx>
        <c:axId val="850788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0789776"/>
        <c:crosses val="autoZero"/>
        <c:auto val="1"/>
        <c:lblAlgn val="ctr"/>
        <c:lblOffset val="100"/>
        <c:noMultiLvlLbl val="0"/>
      </c:catAx>
      <c:valAx>
        <c:axId val="8507897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50788048"/>
        <c:crosses val="autoZero"/>
        <c:crossBetween val="between"/>
      </c:valAx>
      <c:spPr>
        <a:noFill/>
        <a:ln>
          <a:noFill/>
        </a:ln>
        <a:effectLst/>
      </c:spPr>
    </c:plotArea>
    <c:legend>
      <c:legendPos val="b"/>
      <c:layout>
        <c:manualLayout>
          <c:xMode val="edge"/>
          <c:yMode val="edge"/>
          <c:x val="0.35087902419171041"/>
          <c:y val="0.90049209431424393"/>
          <c:w val="0.30625976842608993"/>
          <c:h val="5.298292109741163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35277</xdr:colOff>
      <xdr:row>108</xdr:row>
      <xdr:rowOff>11288</xdr:rowOff>
    </xdr:from>
    <xdr:to>
      <xdr:col>13</xdr:col>
      <xdr:colOff>1566334</xdr:colOff>
      <xdr:row>130</xdr:row>
      <xdr:rowOff>28221</xdr:rowOff>
    </xdr:to>
    <xdr:graphicFrame macro="">
      <xdr:nvGraphicFramePr>
        <xdr:cNvPr id="2" name="Chart 1">
          <a:extLst>
            <a:ext uri="{FF2B5EF4-FFF2-40B4-BE49-F238E27FC236}">
              <a16:creationId xmlns:a16="http://schemas.microsoft.com/office/drawing/2014/main" id="{B9134F90-D2DE-2044-00EE-C5D23A750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57.63</v>
    <v>20.72</v>
    <v>1.8640000000000001</v>
    <v>0.12</v>
    <v>5.2199999999999998E-3</v>
    <v>-0.3</v>
    <v>-1.2980999999999999E-2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23.274999999999999</v>
    <v>Software &amp; IT Services</v>
    <v>Stock</v>
    <v>45022.953774293746</v>
    <v>0</v>
    <v>22.52</v>
    <v>9338644694</v>
    <v>ZoomInfo Technologies Inc</v>
    <v>ZoomInfo Technologies Inc</v>
    <v>22.864999999999998</v>
    <v>146.779</v>
    <v>22.99</v>
    <v>23.11</v>
    <v>22.81</v>
    <v>404095400</v>
    <v>ZI</v>
    <v>ZoomInfo Technologies Inc (XNAS:ZI)</v>
    <v>5387027</v>
    <v>4824654</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0" activePane="bottomRight" state="frozen"/>
      <selection pane="topRight"/>
      <selection pane="bottomLeft"/>
      <selection pane="bottomRight" activeCell="I97" sqref="I97"/>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2307000000</v>
      </c>
      <c r="K3" s="22">
        <v>2780000000</v>
      </c>
      <c r="L3" s="27" t="s">
        <v>107</v>
      </c>
      <c r="M3" s="23" t="s">
        <v>108</v>
      </c>
      <c r="N3" s="23" t="s">
        <v>109</v>
      </c>
      <c r="O3" s="23" t="s">
        <v>110</v>
      </c>
    </row>
    <row r="4" spans="1:38" ht="19" x14ac:dyDescent="0.25">
      <c r="A4" s="14" t="s">
        <v>94</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0.22257551669316378</v>
      </c>
      <c r="K4" s="16">
        <f t="shared" si="0"/>
        <v>0.20502817511920246</v>
      </c>
      <c r="L4" s="17">
        <f>(F4+E4+D4)/3</f>
        <v>0.5540560965929292</v>
      </c>
      <c r="M4" s="17">
        <f>(F20+E20+D20)/3</f>
        <v>0.53804938024148485</v>
      </c>
      <c r="N4" s="17">
        <f>(F29+E29+D29)/3</f>
        <v>-5.0323664159280597</v>
      </c>
      <c r="O4" s="17">
        <f>(F105+E105+D105)/3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7" t="s">
        <v>111</v>
      </c>
      <c r="M6" s="23" t="s">
        <v>112</v>
      </c>
      <c r="N6" s="23" t="s">
        <v>113</v>
      </c>
      <c r="O6" s="23" t="s">
        <v>114</v>
      </c>
    </row>
    <row r="7" spans="1:38" ht="19" x14ac:dyDescent="0.25">
      <c r="A7" s="5" t="s">
        <v>4</v>
      </c>
      <c r="B7" s="2">
        <v>0.73799999999999999</v>
      </c>
      <c r="C7" s="2">
        <v>0.7661</v>
      </c>
      <c r="D7" s="2">
        <v>0.77429999999999999</v>
      </c>
      <c r="E7" s="2">
        <v>0.81710000000000005</v>
      </c>
      <c r="F7" s="2">
        <v>0.82840000000000003</v>
      </c>
      <c r="L7" s="17">
        <f>F7</f>
        <v>0.82840000000000003</v>
      </c>
      <c r="M7" s="55">
        <f>F21</f>
        <v>0.30049999999999999</v>
      </c>
      <c r="N7" s="55">
        <f>F30</f>
        <v>5.7599999999999998E-2</v>
      </c>
      <c r="O7" s="55">
        <f>F106/F3</f>
        <v>0.35346083788706739</v>
      </c>
    </row>
    <row r="8" spans="1:38" ht="19" x14ac:dyDescent="0.25">
      <c r="A8" s="5" t="s">
        <v>5</v>
      </c>
      <c r="B8" s="1">
        <v>6100000</v>
      </c>
      <c r="C8" s="1">
        <v>30100000</v>
      </c>
      <c r="D8" s="1">
        <v>51400000</v>
      </c>
      <c r="E8" s="1">
        <v>119700000</v>
      </c>
      <c r="F8" s="1">
        <v>205200000</v>
      </c>
    </row>
    <row r="9" spans="1:38" ht="19" customHeight="1" x14ac:dyDescent="0.25">
      <c r="A9" s="14" t="s">
        <v>95</v>
      </c>
      <c r="B9" s="15">
        <f>B8/B3</f>
        <v>4.2273042273042273E-2</v>
      </c>
      <c r="C9" s="15">
        <f t="shared" ref="C9:F9" si="1">C8/C3</f>
        <v>0.1026252983293556</v>
      </c>
      <c r="D9" s="15">
        <f t="shared" si="1"/>
        <v>0.10793784124317514</v>
      </c>
      <c r="E9" s="15">
        <f t="shared" si="1"/>
        <v>0.16019807280513917</v>
      </c>
      <c r="F9" s="15">
        <f t="shared" si="1"/>
        <v>0.18688524590163935</v>
      </c>
      <c r="G9" s="15"/>
      <c r="H9" s="15"/>
      <c r="L9" s="27" t="s">
        <v>96</v>
      </c>
      <c r="M9" s="23" t="s">
        <v>97</v>
      </c>
      <c r="N9" s="23" t="s">
        <v>98</v>
      </c>
      <c r="O9" s="23" t="s">
        <v>99</v>
      </c>
    </row>
    <row r="10" spans="1:38" ht="19" x14ac:dyDescent="0.25">
      <c r="A10" s="5" t="s">
        <v>6</v>
      </c>
      <c r="B10" s="1">
        <v>20800000</v>
      </c>
      <c r="C10" s="1">
        <v>35100000</v>
      </c>
      <c r="D10" s="1">
        <v>62800000</v>
      </c>
      <c r="E10" s="1">
        <v>92400000</v>
      </c>
      <c r="F10" s="1">
        <v>123200000</v>
      </c>
      <c r="L10" s="17">
        <f>F9</f>
        <v>0.18688524590163935</v>
      </c>
      <c r="M10" s="55">
        <f>F13</f>
        <v>0.45765027322404372</v>
      </c>
      <c r="N10" s="55">
        <f>F80</f>
        <v>0.17513661202185793</v>
      </c>
      <c r="O10" s="55">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7" t="s">
        <v>115</v>
      </c>
      <c r="M12" s="23" t="s">
        <v>116</v>
      </c>
      <c r="N12" s="23" t="s">
        <v>117</v>
      </c>
      <c r="O12" s="23" t="s">
        <v>118</v>
      </c>
    </row>
    <row r="13" spans="1:38" ht="19" x14ac:dyDescent="0.25">
      <c r="A13" s="14" t="s">
        <v>100</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55">
        <f>F28/F54</f>
        <v>8.85600582926966E-3</v>
      </c>
      <c r="N13" s="55">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7" t="s">
        <v>119</v>
      </c>
      <c r="M15" s="23" t="s">
        <v>120</v>
      </c>
      <c r="N15" s="23" t="s">
        <v>121</v>
      </c>
      <c r="O15" s="23" t="s">
        <v>122</v>
      </c>
    </row>
    <row r="16" spans="1:38" ht="19" x14ac:dyDescent="0.25">
      <c r="A16" s="5" t="s">
        <v>11</v>
      </c>
      <c r="B16" s="1">
        <v>114100000</v>
      </c>
      <c r="C16" s="1">
        <v>241600000</v>
      </c>
      <c r="D16" s="1">
        <v>425300000</v>
      </c>
      <c r="E16" s="1">
        <v>610200000</v>
      </c>
      <c r="F16" s="1">
        <v>922200000</v>
      </c>
      <c r="L16" s="24">
        <f>(F35+E35+D35+C35+B35)/5</f>
        <v>0.30634341979463564</v>
      </c>
      <c r="M16" s="25">
        <f>N101/F3</f>
        <v>8.5051408870673946</v>
      </c>
      <c r="N16" s="25">
        <f>N101/F28</f>
        <v>147.76336541139241</v>
      </c>
      <c r="O16" s="26">
        <f>N101/F106</f>
        <v>24.062470224169029</v>
      </c>
    </row>
    <row r="17" spans="1:12" ht="19" x14ac:dyDescent="0.25">
      <c r="A17" s="5" t="s">
        <v>12</v>
      </c>
      <c r="B17" s="1">
        <v>58200000</v>
      </c>
      <c r="C17" s="1">
        <v>102400000</v>
      </c>
      <c r="D17" s="1">
        <v>69300000</v>
      </c>
      <c r="E17" s="1">
        <v>43900000</v>
      </c>
      <c r="F17" s="1">
        <v>47600000</v>
      </c>
    </row>
    <row r="18" spans="1:12" ht="20" x14ac:dyDescent="0.25">
      <c r="A18" s="5" t="s">
        <v>13</v>
      </c>
      <c r="B18" s="1">
        <v>17300000</v>
      </c>
      <c r="C18" s="1">
        <v>48700000</v>
      </c>
      <c r="D18" s="1">
        <v>50800000</v>
      </c>
      <c r="E18" s="1">
        <v>69300000</v>
      </c>
      <c r="F18" s="1">
        <v>87800000</v>
      </c>
      <c r="L18" s="27" t="s">
        <v>123</v>
      </c>
    </row>
    <row r="19" spans="1:12" ht="19" x14ac:dyDescent="0.25">
      <c r="A19" s="6" t="s">
        <v>14</v>
      </c>
      <c r="B19" s="10">
        <v>44000000</v>
      </c>
      <c r="C19" s="10">
        <v>98400000</v>
      </c>
      <c r="D19" s="10">
        <v>115700000</v>
      </c>
      <c r="E19" s="10">
        <v>236100000</v>
      </c>
      <c r="F19" s="10">
        <v>330000000</v>
      </c>
      <c r="L19" s="28">
        <f>F40-F56-F61</f>
        <v>-768200000</v>
      </c>
    </row>
    <row r="20" spans="1:12" ht="19" customHeight="1" x14ac:dyDescent="0.25">
      <c r="A20" s="14" t="s">
        <v>101</v>
      </c>
      <c r="B20" s="1"/>
      <c r="C20" s="15">
        <f>(C19/B19)-1</f>
        <v>1.2363636363636363</v>
      </c>
      <c r="D20" s="15">
        <f>(D19/C19)-1</f>
        <v>0.17581300813008127</v>
      </c>
      <c r="E20" s="15">
        <f>(E19/D19)-1</f>
        <v>1.0406222990492653</v>
      </c>
      <c r="F20" s="15">
        <f t="shared" ref="F20" si="3">(F19/E19)-1</f>
        <v>0.39771283354510811</v>
      </c>
    </row>
    <row r="21" spans="1:12" ht="19" x14ac:dyDescent="0.25">
      <c r="A21" s="5" t="s">
        <v>15</v>
      </c>
      <c r="B21" s="2">
        <v>0.3049</v>
      </c>
      <c r="C21" s="2">
        <v>0.33550000000000002</v>
      </c>
      <c r="D21" s="2">
        <v>0.24299999999999999</v>
      </c>
      <c r="E21" s="2">
        <v>0.316</v>
      </c>
      <c r="F21" s="2">
        <v>0.30049999999999999</v>
      </c>
    </row>
    <row r="22" spans="1:12" ht="19" x14ac:dyDescent="0.25">
      <c r="A22" s="6" t="s">
        <v>16</v>
      </c>
      <c r="B22" s="10">
        <v>26600000</v>
      </c>
      <c r="C22" s="10">
        <v>36100000</v>
      </c>
      <c r="D22" s="10">
        <v>37100000</v>
      </c>
      <c r="E22" s="10">
        <v>113300000</v>
      </c>
      <c r="F22" s="10">
        <v>175800000</v>
      </c>
    </row>
    <row r="23" spans="1:12" ht="19" x14ac:dyDescent="0.25">
      <c r="A23" s="5" t="s">
        <v>17</v>
      </c>
      <c r="B23" s="2">
        <v>0.18429999999999999</v>
      </c>
      <c r="C23" s="2">
        <v>0.1231</v>
      </c>
      <c r="D23" s="2">
        <v>7.7899999999999997E-2</v>
      </c>
      <c r="E23" s="2">
        <v>0.15160000000000001</v>
      </c>
      <c r="F23" s="2">
        <v>0.16009999999999999</v>
      </c>
    </row>
    <row r="24" spans="1:12" ht="19" x14ac:dyDescent="0.25">
      <c r="A24" s="5" t="s">
        <v>18</v>
      </c>
      <c r="B24" s="1">
        <v>-58100000</v>
      </c>
      <c r="C24" s="1">
        <v>-120600000</v>
      </c>
      <c r="D24" s="1">
        <v>-68800000</v>
      </c>
      <c r="E24" s="1">
        <v>-12300000</v>
      </c>
      <c r="F24" s="1">
        <v>18800000</v>
      </c>
    </row>
    <row r="25" spans="1:12" ht="19" x14ac:dyDescent="0.25">
      <c r="A25" s="6" t="s">
        <v>19</v>
      </c>
      <c r="B25" s="10">
        <v>-31500000</v>
      </c>
      <c r="C25" s="10">
        <v>-84500000</v>
      </c>
      <c r="D25" s="10">
        <v>-31700000</v>
      </c>
      <c r="E25" s="10">
        <v>101000000</v>
      </c>
      <c r="F25" s="10">
        <v>194600000</v>
      </c>
    </row>
    <row r="26" spans="1:12" ht="19" x14ac:dyDescent="0.25">
      <c r="A26" s="5" t="s">
        <v>20</v>
      </c>
      <c r="B26" s="2">
        <v>-0.21829999999999999</v>
      </c>
      <c r="C26" s="2">
        <v>-0.28810000000000002</v>
      </c>
      <c r="D26" s="2">
        <v>-6.6600000000000006E-2</v>
      </c>
      <c r="E26" s="2">
        <v>0.13519999999999999</v>
      </c>
      <c r="F26" s="2">
        <v>0.1772</v>
      </c>
    </row>
    <row r="27" spans="1:12" ht="19" x14ac:dyDescent="0.25">
      <c r="A27" s="5" t="s">
        <v>21</v>
      </c>
      <c r="B27" s="1">
        <v>-2900000</v>
      </c>
      <c r="C27" s="1">
        <v>-6500000</v>
      </c>
      <c r="D27" s="1">
        <v>4700000</v>
      </c>
      <c r="E27" s="1">
        <v>6100000</v>
      </c>
      <c r="F27" s="1">
        <v>131400000</v>
      </c>
    </row>
    <row r="28" spans="1:12" ht="20" thickBot="1" x14ac:dyDescent="0.3">
      <c r="A28" s="7" t="s">
        <v>22</v>
      </c>
      <c r="B28" s="11">
        <v>-28600000</v>
      </c>
      <c r="C28" s="11">
        <v>-46200000</v>
      </c>
      <c r="D28" s="11">
        <v>-9100000</v>
      </c>
      <c r="E28" s="11">
        <v>116800000</v>
      </c>
      <c r="F28" s="11">
        <v>63200000</v>
      </c>
    </row>
    <row r="29" spans="1:12" ht="20" customHeight="1" thickTop="1" x14ac:dyDescent="0.25">
      <c r="A29" s="14" t="s">
        <v>102</v>
      </c>
      <c r="B29" s="1"/>
      <c r="C29" s="15">
        <f>(C28/B28)-1</f>
        <v>0.61538461538461542</v>
      </c>
      <c r="D29" s="15">
        <f>(D28/C28)-1</f>
        <v>-0.80303030303030298</v>
      </c>
      <c r="E29" s="15">
        <f>(E28/D28)-1</f>
        <v>-13.835164835164836</v>
      </c>
      <c r="F29" s="15">
        <f t="shared" ref="F29" si="4">(F28/E28)-1</f>
        <v>-0.45890410958904104</v>
      </c>
    </row>
    <row r="30" spans="1:12" ht="19" x14ac:dyDescent="0.25">
      <c r="A30" s="5" t="s">
        <v>23</v>
      </c>
      <c r="B30" s="2">
        <v>-0.19819999999999999</v>
      </c>
      <c r="C30" s="2">
        <v>-0.1575</v>
      </c>
      <c r="D30" s="2">
        <v>-1.9099999999999999E-2</v>
      </c>
      <c r="E30" s="2">
        <v>0.15629999999999999</v>
      </c>
      <c r="F30" s="2">
        <v>5.7599999999999998E-2</v>
      </c>
    </row>
    <row r="31" spans="1:12" ht="19" x14ac:dyDescent="0.25">
      <c r="A31" s="5" t="s">
        <v>24</v>
      </c>
      <c r="B31" s="12">
        <v>-0.2</v>
      </c>
      <c r="C31" s="12">
        <v>-0.13</v>
      </c>
      <c r="D31" s="12">
        <v>-0.1</v>
      </c>
      <c r="E31" s="12">
        <v>0.46</v>
      </c>
      <c r="F31" s="12">
        <v>0.16</v>
      </c>
    </row>
    <row r="32" spans="1:12"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103</v>
      </c>
      <c r="B35" s="1"/>
      <c r="C35" s="20">
        <f>(C34-B34)/B34</f>
        <v>0</v>
      </c>
      <c r="D35" s="20">
        <f t="shared" ref="D35:F35" si="5">(D34-C34)/C34</f>
        <v>0.21141695343980399</v>
      </c>
      <c r="E35" s="20">
        <f t="shared" si="5"/>
        <v>1.320300145533374</v>
      </c>
      <c r="F35" s="20">
        <f t="shared" si="5"/>
        <v>0</v>
      </c>
    </row>
    <row r="36" spans="1:6" ht="19" x14ac:dyDescent="0.25">
      <c r="A36" s="5" t="s">
        <v>28</v>
      </c>
      <c r="B36" s="13" t="s">
        <v>92</v>
      </c>
      <c r="C36" s="13" t="s">
        <v>92</v>
      </c>
      <c r="D36" s="13" t="s">
        <v>92</v>
      </c>
      <c r="E36" s="13" t="s">
        <v>92</v>
      </c>
      <c r="F36" s="13" t="s">
        <v>92</v>
      </c>
    </row>
    <row r="37" spans="1:6" ht="21" x14ac:dyDescent="0.25">
      <c r="A37" s="4" t="s">
        <v>29</v>
      </c>
      <c r="B37" s="9" t="s">
        <v>91</v>
      </c>
      <c r="C37" s="9" t="s">
        <v>91</v>
      </c>
      <c r="D37" s="9" t="s">
        <v>91</v>
      </c>
      <c r="E37" s="9" t="s">
        <v>91</v>
      </c>
      <c r="F37" s="9" t="s">
        <v>91</v>
      </c>
    </row>
    <row r="38" spans="1:6" ht="19" x14ac:dyDescent="0.25">
      <c r="A38" s="5" t="s">
        <v>30</v>
      </c>
      <c r="B38" s="1">
        <v>9000000</v>
      </c>
      <c r="C38" s="1">
        <v>41400000</v>
      </c>
      <c r="D38" s="1">
        <v>269800000</v>
      </c>
      <c r="E38" s="1">
        <v>308300000</v>
      </c>
      <c r="F38" s="1">
        <v>418000000</v>
      </c>
    </row>
    <row r="39" spans="1:6" ht="19" x14ac:dyDescent="0.25">
      <c r="A39" s="5" t="s">
        <v>31</v>
      </c>
      <c r="B39" s="1" t="s">
        <v>93</v>
      </c>
      <c r="C39" s="1" t="s">
        <v>93</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93</v>
      </c>
      <c r="C42" s="1" t="s">
        <v>93</v>
      </c>
      <c r="D42" s="1" t="s">
        <v>93</v>
      </c>
      <c r="E42" s="1" t="s">
        <v>93</v>
      </c>
      <c r="F42" s="1" t="s">
        <v>93</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93</v>
      </c>
      <c r="C49" s="1" t="s">
        <v>93</v>
      </c>
      <c r="D49" s="1" t="s">
        <v>93</v>
      </c>
      <c r="E49" s="1" t="s">
        <v>93</v>
      </c>
      <c r="F49" s="1" t="s">
        <v>93</v>
      </c>
    </row>
    <row r="50" spans="1:6" ht="19" x14ac:dyDescent="0.25">
      <c r="A50" s="5" t="s">
        <v>42</v>
      </c>
      <c r="B50" s="1" t="s">
        <v>93</v>
      </c>
      <c r="C50" s="1" t="s">
        <v>93</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93</v>
      </c>
      <c r="C53" s="1" t="s">
        <v>93</v>
      </c>
      <c r="D53" s="1" t="s">
        <v>93</v>
      </c>
      <c r="E53" s="1" t="s">
        <v>93</v>
      </c>
      <c r="F53" s="1" t="s">
        <v>93</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93</v>
      </c>
      <c r="C66" s="1" t="s">
        <v>93</v>
      </c>
      <c r="D66" s="1" t="s">
        <v>93</v>
      </c>
      <c r="E66" s="1" t="s">
        <v>93</v>
      </c>
      <c r="F66" s="1" t="s">
        <v>93</v>
      </c>
    </row>
    <row r="67" spans="1:6" ht="19" x14ac:dyDescent="0.25">
      <c r="A67" s="6" t="s">
        <v>58</v>
      </c>
      <c r="B67" s="10">
        <v>710100000</v>
      </c>
      <c r="C67" s="10">
        <v>1775700000</v>
      </c>
      <c r="D67" s="10">
        <v>1387800000</v>
      </c>
      <c r="E67" s="10">
        <v>4855000000</v>
      </c>
      <c r="F67" s="10">
        <v>4864600000</v>
      </c>
    </row>
    <row r="68" spans="1:6" ht="19" x14ac:dyDescent="0.25">
      <c r="A68" s="5" t="s">
        <v>59</v>
      </c>
      <c r="B68" s="1" t="s">
        <v>93</v>
      </c>
      <c r="C68" s="1" t="s">
        <v>93</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93</v>
      </c>
      <c r="C70" s="1">
        <v>-6000000</v>
      </c>
      <c r="D70" s="1">
        <v>-2400000</v>
      </c>
      <c r="E70" s="1">
        <v>9500000</v>
      </c>
      <c r="F70" s="1">
        <v>39700000</v>
      </c>
    </row>
    <row r="71" spans="1:6" ht="19" x14ac:dyDescent="0.25">
      <c r="A71" s="5" t="s">
        <v>62</v>
      </c>
      <c r="B71" s="1" t="s">
        <v>93</v>
      </c>
      <c r="C71" s="1" t="s">
        <v>93</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92</v>
      </c>
      <c r="C74" s="13" t="s">
        <v>92</v>
      </c>
      <c r="D74" s="13" t="s">
        <v>92</v>
      </c>
      <c r="E74" s="13" t="s">
        <v>92</v>
      </c>
      <c r="F74" s="13" t="s">
        <v>92</v>
      </c>
    </row>
    <row r="75" spans="1:6" ht="21" x14ac:dyDescent="0.25">
      <c r="A75" s="4" t="s">
        <v>65</v>
      </c>
      <c r="B75" s="9" t="s">
        <v>91</v>
      </c>
      <c r="C75" s="9" t="s">
        <v>91</v>
      </c>
      <c r="D75" s="9" t="s">
        <v>91</v>
      </c>
      <c r="E75" s="9" t="s">
        <v>91</v>
      </c>
      <c r="F75" s="9" t="s">
        <v>91</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104</v>
      </c>
      <c r="B80" s="15">
        <f t="shared" ref="B80:F80" si="6">B79/B3</f>
        <v>0.22661122661122662</v>
      </c>
      <c r="C80" s="15">
        <f t="shared" si="6"/>
        <v>8.5577906580293212E-2</v>
      </c>
      <c r="D80" s="15">
        <f t="shared" si="6"/>
        <v>0.25535489290214197</v>
      </c>
      <c r="E80" s="15">
        <f t="shared" si="6"/>
        <v>0.12446466809421841</v>
      </c>
      <c r="F80" s="15">
        <f t="shared" si="6"/>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93</v>
      </c>
      <c r="C83" s="1" t="s">
        <v>93</v>
      </c>
      <c r="D83" s="1" t="s">
        <v>93</v>
      </c>
      <c r="E83" s="1" t="s">
        <v>93</v>
      </c>
      <c r="F83" s="1" t="s">
        <v>93</v>
      </c>
      <c r="M83" s="61" t="s">
        <v>124</v>
      </c>
      <c r="N83" s="62"/>
    </row>
    <row r="84" spans="1:14" ht="19" customHeight="1" x14ac:dyDescent="0.25">
      <c r="A84" s="5" t="s">
        <v>47</v>
      </c>
      <c r="B84" s="1">
        <v>-300000</v>
      </c>
      <c r="C84" s="1">
        <v>5100000</v>
      </c>
      <c r="D84" s="1">
        <v>-200000</v>
      </c>
      <c r="E84" s="1">
        <v>4600000</v>
      </c>
      <c r="F84" s="1">
        <v>19500000</v>
      </c>
      <c r="M84" s="63" t="s">
        <v>125</v>
      </c>
      <c r="N84" s="64"/>
    </row>
    <row r="85" spans="1:14" ht="20" x14ac:dyDescent="0.25">
      <c r="A85" s="5" t="s">
        <v>71</v>
      </c>
      <c r="B85" s="1">
        <v>11700000</v>
      </c>
      <c r="C85" s="1">
        <v>44100000</v>
      </c>
      <c r="D85" s="1">
        <v>20100000</v>
      </c>
      <c r="E85" s="1">
        <v>78000000</v>
      </c>
      <c r="F85" s="1" t="s">
        <v>93</v>
      </c>
      <c r="M85" s="47" t="s">
        <v>126</v>
      </c>
      <c r="N85" s="48">
        <f>F17</f>
        <v>47600000</v>
      </c>
    </row>
    <row r="86" spans="1:14" ht="20" x14ac:dyDescent="0.25">
      <c r="A86" s="5" t="s">
        <v>72</v>
      </c>
      <c r="B86" s="1">
        <v>20300000</v>
      </c>
      <c r="C86" s="1">
        <v>27200000</v>
      </c>
      <c r="D86" s="1">
        <v>46600000</v>
      </c>
      <c r="E86" s="1">
        <v>59300000</v>
      </c>
      <c r="F86" s="1" t="s">
        <v>93</v>
      </c>
      <c r="M86" s="47" t="s">
        <v>127</v>
      </c>
      <c r="N86" s="48">
        <f>F56</f>
        <v>10300000</v>
      </c>
    </row>
    <row r="87" spans="1:14" ht="20" x14ac:dyDescent="0.25">
      <c r="A87" s="6" t="s">
        <v>73</v>
      </c>
      <c r="B87" s="10">
        <v>43800000</v>
      </c>
      <c r="C87" s="10">
        <v>44400000</v>
      </c>
      <c r="D87" s="10">
        <v>169600000</v>
      </c>
      <c r="E87" s="10">
        <v>299400000</v>
      </c>
      <c r="F87" s="10">
        <v>417000000</v>
      </c>
      <c r="M87" s="47" t="s">
        <v>128</v>
      </c>
      <c r="N87" s="48">
        <f>F61</f>
        <v>1303600000</v>
      </c>
    </row>
    <row r="88" spans="1:14" ht="20" x14ac:dyDescent="0.25">
      <c r="A88" s="5" t="s">
        <v>74</v>
      </c>
      <c r="B88" s="1">
        <v>-4600000</v>
      </c>
      <c r="C88" s="1">
        <v>-13600000</v>
      </c>
      <c r="D88" s="1">
        <v>-16800000</v>
      </c>
      <c r="E88" s="1">
        <v>-23600000</v>
      </c>
      <c r="F88" s="1">
        <v>-28900000</v>
      </c>
      <c r="M88" s="49" t="s">
        <v>129</v>
      </c>
      <c r="N88" s="50">
        <f>N85/(N86+N87)</f>
        <v>3.6228023441662226E-2</v>
      </c>
    </row>
    <row r="89" spans="1:14" ht="20" customHeight="1" x14ac:dyDescent="0.25">
      <c r="A89" s="14" t="s">
        <v>105</v>
      </c>
      <c r="B89" s="15">
        <f t="shared" ref="B89:F89" si="7">(-1*B88)/B3</f>
        <v>3.1878031878031877E-2</v>
      </c>
      <c r="C89" s="15">
        <f t="shared" si="7"/>
        <v>4.6368905557449713E-2</v>
      </c>
      <c r="D89" s="15">
        <f t="shared" si="7"/>
        <v>3.527929441411172E-2</v>
      </c>
      <c r="E89" s="15">
        <f t="shared" si="7"/>
        <v>3.1584582441113493E-2</v>
      </c>
      <c r="F89" s="15">
        <f t="shared" si="7"/>
        <v>2.6320582877959926E-2</v>
      </c>
      <c r="M89" s="47" t="s">
        <v>130</v>
      </c>
      <c r="N89" s="48">
        <f>F27</f>
        <v>131400000</v>
      </c>
    </row>
    <row r="90" spans="1:14" ht="20" x14ac:dyDescent="0.25">
      <c r="A90" s="5" t="s">
        <v>75</v>
      </c>
      <c r="B90" s="1">
        <v>-8500000</v>
      </c>
      <c r="C90" s="1">
        <v>-723100000</v>
      </c>
      <c r="D90" s="1">
        <v>-65900000</v>
      </c>
      <c r="E90" s="1">
        <v>-684200000</v>
      </c>
      <c r="F90" s="1">
        <v>-143700000</v>
      </c>
      <c r="M90" s="47" t="s">
        <v>19</v>
      </c>
      <c r="N90" s="48">
        <f>F25</f>
        <v>194600000</v>
      </c>
    </row>
    <row r="91" spans="1:14" ht="20" x14ac:dyDescent="0.25">
      <c r="A91" s="5" t="s">
        <v>76</v>
      </c>
      <c r="B91" s="1" t="s">
        <v>93</v>
      </c>
      <c r="C91" s="1" t="s">
        <v>93</v>
      </c>
      <c r="D91" s="1">
        <v>-30600000</v>
      </c>
      <c r="E91" s="1">
        <v>-119800000</v>
      </c>
      <c r="F91" s="1">
        <v>-139300000</v>
      </c>
      <c r="M91" s="49" t="s">
        <v>131</v>
      </c>
      <c r="N91" s="50">
        <f>N89/N90</f>
        <v>0.67523124357656727</v>
      </c>
    </row>
    <row r="92" spans="1:14" ht="19" customHeight="1" x14ac:dyDescent="0.25">
      <c r="A92" s="5" t="s">
        <v>77</v>
      </c>
      <c r="B92" s="1" t="s">
        <v>93</v>
      </c>
      <c r="C92" s="1" t="s">
        <v>93</v>
      </c>
      <c r="D92" s="1" t="s">
        <v>93</v>
      </c>
      <c r="E92" s="1">
        <v>131800000</v>
      </c>
      <c r="F92" s="1">
        <v>30800000</v>
      </c>
      <c r="M92" s="51" t="s">
        <v>132</v>
      </c>
      <c r="N92" s="52">
        <f>N88*(1-N91)</f>
        <v>1.176573012082761E-2</v>
      </c>
    </row>
    <row r="93" spans="1:14" ht="19" customHeight="1" x14ac:dyDescent="0.25">
      <c r="A93" s="5" t="s">
        <v>78</v>
      </c>
      <c r="B93" s="1" t="s">
        <v>93</v>
      </c>
      <c r="C93" s="1" t="s">
        <v>93</v>
      </c>
      <c r="D93" s="1" t="s">
        <v>93</v>
      </c>
      <c r="E93" s="1" t="s">
        <v>93</v>
      </c>
      <c r="F93" s="1" t="s">
        <v>93</v>
      </c>
      <c r="M93" s="63" t="s">
        <v>133</v>
      </c>
      <c r="N93" s="64"/>
    </row>
    <row r="94" spans="1:14" ht="20" x14ac:dyDescent="0.25">
      <c r="A94" s="6" t="s">
        <v>79</v>
      </c>
      <c r="B94" s="10">
        <v>-13100000</v>
      </c>
      <c r="C94" s="10">
        <v>-736700000</v>
      </c>
      <c r="D94" s="10">
        <v>-113300000</v>
      </c>
      <c r="E94" s="10">
        <v>-695800000</v>
      </c>
      <c r="F94" s="10">
        <v>-281100000</v>
      </c>
      <c r="M94" s="47" t="s">
        <v>134</v>
      </c>
      <c r="N94" s="53">
        <v>4.095E-2</v>
      </c>
    </row>
    <row r="95" spans="1:14" ht="20" x14ac:dyDescent="0.25">
      <c r="A95" s="5" t="s">
        <v>80</v>
      </c>
      <c r="B95" s="1">
        <v>-3700000</v>
      </c>
      <c r="C95" s="1">
        <v>-649800000</v>
      </c>
      <c r="D95" s="1">
        <v>-510900000</v>
      </c>
      <c r="E95" s="1">
        <v>-581400000</v>
      </c>
      <c r="F95" s="1">
        <v>-400000</v>
      </c>
      <c r="M95" s="47" t="s">
        <v>135</v>
      </c>
      <c r="N95" s="57" cm="1">
        <f t="array" ref="N95">_FV(A1,"Beta")</f>
        <v>1.8640000000000001</v>
      </c>
    </row>
    <row r="96" spans="1:14" ht="20" x14ac:dyDescent="0.25">
      <c r="A96" s="5" t="s">
        <v>81</v>
      </c>
      <c r="B96" s="1" t="s">
        <v>93</v>
      </c>
      <c r="C96" s="1" t="s">
        <v>93</v>
      </c>
      <c r="D96" s="1">
        <v>1023700000</v>
      </c>
      <c r="E96" s="1" t="s">
        <v>93</v>
      </c>
      <c r="F96" s="1" t="s">
        <v>93</v>
      </c>
      <c r="M96" s="47" t="s">
        <v>136</v>
      </c>
      <c r="N96" s="53">
        <v>8.4000000000000005E-2</v>
      </c>
    </row>
    <row r="97" spans="1:14" ht="19" customHeight="1" x14ac:dyDescent="0.25">
      <c r="A97" s="5" t="s">
        <v>82</v>
      </c>
      <c r="B97" s="1" t="s">
        <v>93</v>
      </c>
      <c r="C97" s="1">
        <v>-11900000</v>
      </c>
      <c r="D97" s="1">
        <v>-332400000</v>
      </c>
      <c r="E97" s="1" t="s">
        <v>93</v>
      </c>
      <c r="F97" s="1" t="s">
        <v>93</v>
      </c>
      <c r="M97" s="51" t="s">
        <v>137</v>
      </c>
      <c r="N97" s="52">
        <f>(N94)+((N95)*(N96-N94))</f>
        <v>0.12119520000000002</v>
      </c>
    </row>
    <row r="98" spans="1:14" ht="19" customHeight="1" x14ac:dyDescent="0.25">
      <c r="A98" s="5" t="s">
        <v>83</v>
      </c>
      <c r="B98" s="1">
        <v>-93400000</v>
      </c>
      <c r="C98" s="1">
        <v>-16500000</v>
      </c>
      <c r="D98" s="1">
        <v>0</v>
      </c>
      <c r="E98" s="1">
        <v>0</v>
      </c>
      <c r="F98" s="1">
        <v>0</v>
      </c>
      <c r="M98" s="63" t="s">
        <v>138</v>
      </c>
      <c r="N98" s="64"/>
    </row>
    <row r="99" spans="1:14" ht="20" x14ac:dyDescent="0.25">
      <c r="A99" s="5" t="s">
        <v>84</v>
      </c>
      <c r="B99" s="1">
        <v>67200000</v>
      </c>
      <c r="C99" s="1">
        <v>1404000000</v>
      </c>
      <c r="D99" s="1">
        <v>-8200000</v>
      </c>
      <c r="E99" s="1">
        <v>1020900000</v>
      </c>
      <c r="F99" s="1">
        <v>-25500000</v>
      </c>
      <c r="M99" s="47" t="s">
        <v>139</v>
      </c>
      <c r="N99" s="48">
        <f>N86+N87</f>
        <v>1313900000</v>
      </c>
    </row>
    <row r="100" spans="1:14" ht="20" x14ac:dyDescent="0.25">
      <c r="A100" s="6" t="s">
        <v>85</v>
      </c>
      <c r="B100" s="10">
        <v>-29900000</v>
      </c>
      <c r="C100" s="10">
        <v>725800000</v>
      </c>
      <c r="D100" s="10">
        <v>172200000</v>
      </c>
      <c r="E100" s="10">
        <v>439500000</v>
      </c>
      <c r="F100" s="10">
        <v>-25900000</v>
      </c>
      <c r="M100" s="49" t="s">
        <v>140</v>
      </c>
      <c r="N100" s="50">
        <f>N99/N103</f>
        <v>0.12334142101652468</v>
      </c>
    </row>
    <row r="101" spans="1:14" ht="20" x14ac:dyDescent="0.25">
      <c r="A101" s="5" t="s">
        <v>86</v>
      </c>
      <c r="B101" s="1" t="s">
        <v>93</v>
      </c>
      <c r="C101" s="1" t="s">
        <v>93</v>
      </c>
      <c r="D101" s="1" t="s">
        <v>93</v>
      </c>
      <c r="E101" s="1" t="s">
        <v>93</v>
      </c>
      <c r="F101" s="1" t="s">
        <v>93</v>
      </c>
      <c r="M101" s="47" t="s">
        <v>141</v>
      </c>
      <c r="N101" s="41" cm="1">
        <f t="array" ref="N101">_FV(A1,"Market cap",TRUE)</f>
        <v>9338644694</v>
      </c>
    </row>
    <row r="102" spans="1:14" ht="20" x14ac:dyDescent="0.25">
      <c r="A102" s="6" t="s">
        <v>87</v>
      </c>
      <c r="B102" s="10">
        <v>800000</v>
      </c>
      <c r="C102" s="10">
        <v>33500000</v>
      </c>
      <c r="D102" s="10">
        <v>228500000</v>
      </c>
      <c r="E102" s="10">
        <v>43100000</v>
      </c>
      <c r="F102" s="10">
        <v>110000000</v>
      </c>
      <c r="M102" s="49" t="s">
        <v>142</v>
      </c>
      <c r="N102" s="50">
        <f>N101/N103</f>
        <v>0.87665857898347532</v>
      </c>
    </row>
    <row r="103" spans="1:14" ht="19" customHeight="1" x14ac:dyDescent="0.25">
      <c r="A103" s="5" t="s">
        <v>88</v>
      </c>
      <c r="B103" s="1">
        <v>8200000</v>
      </c>
      <c r="C103" s="1">
        <v>9000000</v>
      </c>
      <c r="D103" s="1">
        <v>42500000</v>
      </c>
      <c r="E103" s="1">
        <v>271000000</v>
      </c>
      <c r="F103" s="1">
        <v>314100000</v>
      </c>
      <c r="M103" s="51" t="s">
        <v>143</v>
      </c>
      <c r="N103" s="54">
        <f>N99+N101</f>
        <v>10652544694</v>
      </c>
    </row>
    <row r="104" spans="1:14" ht="20" customHeight="1" thickBot="1" x14ac:dyDescent="0.3">
      <c r="A104" s="7" t="s">
        <v>89</v>
      </c>
      <c r="B104" s="11">
        <v>9000000</v>
      </c>
      <c r="C104" s="11">
        <v>42500000</v>
      </c>
      <c r="D104" s="11">
        <v>271000000</v>
      </c>
      <c r="E104" s="11">
        <v>314100000</v>
      </c>
      <c r="F104" s="11">
        <v>424100000</v>
      </c>
      <c r="M104" s="63" t="s">
        <v>144</v>
      </c>
      <c r="N104" s="64"/>
    </row>
    <row r="105" spans="1:14" ht="21" thickTop="1" x14ac:dyDescent="0.25">
      <c r="A105" s="14" t="s">
        <v>106</v>
      </c>
      <c r="B105" s="1"/>
      <c r="C105" s="15">
        <f>(C106/B106)-1</f>
        <v>-0.2142857142857143</v>
      </c>
      <c r="D105" s="15">
        <f>(D106/C106)-1</f>
        <v>3.9610389610389607</v>
      </c>
      <c r="E105" s="15">
        <f>(E106/D106)-1</f>
        <v>0.80497382198952883</v>
      </c>
      <c r="F105" s="15">
        <f>(F106/E106)-1</f>
        <v>0.40717911530094275</v>
      </c>
      <c r="G105" s="15"/>
      <c r="H105" s="15"/>
      <c r="I105" s="15"/>
      <c r="J105" s="15"/>
      <c r="K105" s="15"/>
      <c r="L105" s="15"/>
      <c r="M105" s="29" t="s">
        <v>145</v>
      </c>
      <c r="N105" s="30">
        <f>(N100*N92)+(N102*N97)</f>
        <v>0.10769801368401791</v>
      </c>
    </row>
    <row r="106" spans="1:14" ht="19" x14ac:dyDescent="0.25">
      <c r="A106" s="5" t="s">
        <v>90</v>
      </c>
      <c r="B106" s="1">
        <v>39200000</v>
      </c>
      <c r="C106" s="1">
        <v>30800000</v>
      </c>
      <c r="D106" s="1">
        <v>152800000</v>
      </c>
      <c r="E106" s="1">
        <v>275800000</v>
      </c>
      <c r="F106" s="1">
        <v>388100000</v>
      </c>
      <c r="G106" s="56">
        <f>F106*(1+$N$106)</f>
        <v>467441113.9040218</v>
      </c>
      <c r="H106" s="56">
        <f t="shared" ref="H106:K106" si="8">G106*(1+$N$106)</f>
        <v>563002306.02378941</v>
      </c>
      <c r="I106" s="56">
        <f t="shared" si="8"/>
        <v>678099523.46893346</v>
      </c>
      <c r="J106" s="56">
        <f t="shared" si="8"/>
        <v>816726608.06004798</v>
      </c>
      <c r="K106" s="56">
        <f t="shared" si="8"/>
        <v>983693881.54249489</v>
      </c>
      <c r="L106" s="31" t="s">
        <v>146</v>
      </c>
      <c r="M106" s="32" t="s">
        <v>147</v>
      </c>
      <c r="N106" s="33">
        <f>(SUM(G4:K4)/5)</f>
        <v>0.20443471760891993</v>
      </c>
    </row>
    <row r="107" spans="1:14" ht="19" x14ac:dyDescent="0.25">
      <c r="A107" s="5"/>
      <c r="B107" s="13"/>
      <c r="C107" s="13"/>
      <c r="D107" s="13"/>
      <c r="E107" s="13"/>
      <c r="F107" s="13"/>
      <c r="G107" s="31"/>
      <c r="H107" s="31"/>
      <c r="I107" s="31"/>
      <c r="J107" s="31"/>
      <c r="K107" s="34">
        <f>K106*(1+N107)/(N108-N107)</f>
        <v>12192387503.206947</v>
      </c>
      <c r="L107" s="35" t="s">
        <v>148</v>
      </c>
      <c r="M107" s="36" t="s">
        <v>149</v>
      </c>
      <c r="N107" s="37">
        <v>2.5000000000000001E-2</v>
      </c>
    </row>
    <row r="108" spans="1:14" ht="19" x14ac:dyDescent="0.25">
      <c r="G108" s="34">
        <f t="shared" ref="G108:I108" si="9">G107+G106</f>
        <v>467441113.9040218</v>
      </c>
      <c r="H108" s="34">
        <f t="shared" si="9"/>
        <v>563002306.02378941</v>
      </c>
      <c r="I108" s="34">
        <f t="shared" si="9"/>
        <v>678099523.46893346</v>
      </c>
      <c r="J108" s="34">
        <f>J107+J106</f>
        <v>816726608.06004798</v>
      </c>
      <c r="K108" s="34">
        <f>K107+K106</f>
        <v>13176081384.749443</v>
      </c>
      <c r="L108" s="35" t="s">
        <v>143</v>
      </c>
      <c r="M108" s="38" t="s">
        <v>150</v>
      </c>
      <c r="N108" s="39">
        <f>N105</f>
        <v>0.10769801368401791</v>
      </c>
    </row>
    <row r="109" spans="1:14" ht="19" x14ac:dyDescent="0.25">
      <c r="G109" s="59" t="s">
        <v>151</v>
      </c>
      <c r="H109" s="60"/>
    </row>
    <row r="110" spans="1:14" ht="20" x14ac:dyDescent="0.25">
      <c r="G110" s="40" t="s">
        <v>152</v>
      </c>
      <c r="H110" s="41">
        <f>NPV(N108,G108,H108,I108,J108,K108)</f>
        <v>9823198537.1413174</v>
      </c>
    </row>
    <row r="111" spans="1:14" ht="20" x14ac:dyDescent="0.25">
      <c r="G111" s="40" t="s">
        <v>153</v>
      </c>
      <c r="H111" s="41">
        <f>F40</f>
        <v>545700000</v>
      </c>
    </row>
    <row r="112" spans="1:14" ht="20" x14ac:dyDescent="0.25">
      <c r="G112" s="40" t="s">
        <v>139</v>
      </c>
      <c r="H112" s="41">
        <f>N99</f>
        <v>1313900000</v>
      </c>
    </row>
    <row r="113" spans="7:8" ht="20" x14ac:dyDescent="0.25">
      <c r="G113" s="40" t="s">
        <v>154</v>
      </c>
      <c r="H113" s="41">
        <f>H110+H111-H112</f>
        <v>9054998537.1413174</v>
      </c>
    </row>
    <row r="114" spans="7:8" ht="20" x14ac:dyDescent="0.25">
      <c r="G114" s="40" t="s">
        <v>159</v>
      </c>
      <c r="H114" s="42">
        <f>F34*(1+(5*0.05))</f>
        <v>504144986.25</v>
      </c>
    </row>
    <row r="115" spans="7:8" ht="20" x14ac:dyDescent="0.25">
      <c r="G115" s="43" t="s">
        <v>155</v>
      </c>
      <c r="H115" s="65">
        <f>H113/H114</f>
        <v>17.961100048808266</v>
      </c>
    </row>
    <row r="116" spans="7:8" ht="20" x14ac:dyDescent="0.25">
      <c r="G116" s="40" t="s">
        <v>156</v>
      </c>
      <c r="H116" s="58" cm="1">
        <f t="array" ref="H116">_FV(A1,"Price")</f>
        <v>23.11</v>
      </c>
    </row>
    <row r="117" spans="7:8" ht="20" x14ac:dyDescent="0.25">
      <c r="G117" s="44" t="s">
        <v>157</v>
      </c>
      <c r="H117" s="45">
        <f>H115/H116-1</f>
        <v>-0.22279965171751337</v>
      </c>
    </row>
    <row r="118" spans="7:8" ht="20" x14ac:dyDescent="0.25">
      <c r="G118" s="44" t="s">
        <v>158</v>
      </c>
      <c r="H118" s="46"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2023-03-12T14:34:06Z</dcterms:created>
  <dcterms:modified xsi:type="dcterms:W3CDTF">2023-04-07T08:25:28Z</dcterms:modified>
</cp:coreProperties>
</file>