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mmodities/"/>
    </mc:Choice>
  </mc:AlternateContent>
  <xr:revisionPtr revIDLastSave="0" documentId="13_ncr:1_{28203BDD-ACDF-7F40-8EE6-1838E15C661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7" i="1" l="1"/>
  <c r="AM7" i="1"/>
  <c r="AL7" i="1"/>
  <c r="AK7" i="1"/>
  <c r="AF6" i="1"/>
  <c r="AJ105" i="1"/>
  <c r="AI105" i="1"/>
  <c r="AH105" i="1"/>
  <c r="AG105" i="1"/>
  <c r="AF105" i="1"/>
  <c r="AF34" i="1" l="1" a="1"/>
  <c r="AF34" i="1" s="1"/>
  <c r="AF35" i="1" s="1"/>
  <c r="AF33" i="1" a="1"/>
  <c r="AF33" i="1" s="1"/>
  <c r="AL22" i="1"/>
  <c r="AJ106" i="1"/>
  <c r="AI106" i="1"/>
  <c r="AH106" i="1"/>
  <c r="AG106" i="1"/>
  <c r="AF106" i="1"/>
  <c r="AK106" i="1" l="1"/>
  <c r="AF109" i="1" l="1"/>
  <c r="AG109" i="1"/>
  <c r="AH109" i="1"/>
  <c r="AI109"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30" i="1" l="1"/>
  <c r="AH30" i="1"/>
  <c r="AI30" i="1"/>
  <c r="AJ30" i="1"/>
  <c r="AF30" i="1"/>
  <c r="AF29" i="1"/>
  <c r="AG29" i="1"/>
  <c r="AH29" i="1"/>
  <c r="AI29" i="1"/>
  <c r="AJ29" i="1"/>
  <c r="AG21" i="1"/>
  <c r="AH21" i="1"/>
  <c r="AI21" i="1"/>
  <c r="AJ21" i="1"/>
  <c r="AF21" i="1"/>
  <c r="AF20" i="1"/>
  <c r="AG20" i="1"/>
  <c r="AH20" i="1"/>
  <c r="AI20" i="1"/>
  <c r="AJ20" i="1"/>
  <c r="AG117" i="1" a="1"/>
  <c r="AG117" i="1" s="1"/>
  <c r="AM102" i="1" a="1"/>
  <c r="AM102" i="1" s="1"/>
  <c r="AM96" i="1" a="1"/>
  <c r="AM96" i="1" s="1"/>
  <c r="AG112" i="1"/>
  <c r="AM91" i="1"/>
  <c r="AM90" i="1"/>
  <c r="AM88" i="1"/>
  <c r="AM87" i="1"/>
  <c r="AM100" i="1" s="1"/>
  <c r="AM86" i="1"/>
  <c r="AK19" i="1"/>
  <c r="AN13" i="1"/>
  <c r="AM13" i="1"/>
  <c r="AL13" i="1"/>
  <c r="AK13"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5"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22" i="1" l="1"/>
  <c r="AN19" i="1"/>
  <c r="AM22" i="1"/>
  <c r="AM107" i="1"/>
  <c r="AM4" i="1"/>
  <c r="AK4" i="1"/>
  <c r="AN4" i="1"/>
  <c r="AM92" i="1"/>
  <c r="AL19" i="1"/>
  <c r="AM19" i="1"/>
  <c r="AM89" i="1"/>
  <c r="AN16" i="1"/>
  <c r="AL16" i="1"/>
  <c r="AM16" i="1"/>
  <c r="AM104" i="1"/>
  <c r="AM103" i="1" s="1"/>
  <c r="AG113" i="1"/>
  <c r="AM93" i="1" l="1"/>
  <c r="AM101" i="1"/>
  <c r="AM95" i="1" l="1"/>
  <c r="AM98" i="1" s="1"/>
  <c r="AM106" i="1" s="1"/>
  <c r="AM109" i="1" s="1"/>
  <c r="AJ108" i="1" s="1"/>
  <c r="AJ109" i="1" s="1"/>
  <c r="AG111" i="1" s="1"/>
  <c r="AG114" i="1" s="1"/>
  <c r="AG116" i="1" s="1"/>
  <c r="AG118" i="1" l="1"/>
  <c r="A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<sst xmlns="http://schemas.openxmlformats.org/spreadsheetml/2006/main" count="959" uniqueCount="168">
  <si>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</si>
  <si>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</si>
  <si>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</si>
  <si>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</si>
  <si>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</si>
  <si>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</si>
  <si>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</si>
  <si>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</si>
  <si>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</si>
  <si>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</si>
  <si>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</si>
  <si>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</si>
  <si>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</si>
  <si>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</si>
  <si>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</si>
  <si>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</si>
  <si>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</si>
  <si>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</si>
  <si>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</si>
  <si>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</si>
  <si>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</si>
  <si>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</si>
  <si>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</si>
  <si>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</si>
  <si>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</si>
  <si>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</si>
  <si>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</si>
  <si>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</si>
  <si>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</si>
  <si>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</si>
  <si>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</si>
  <si>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</si>
  <si>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</si>
  <si>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</si>
  <si>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</si>
  <si>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</si>
  <si>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</si>
  <si>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</si>
  <si>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</si>
  <si>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</si>
  <si>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</si>
  <si>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</si>
  <si>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</si>
  <si>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</si>
  <si>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</si>
  <si>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</si>
  <si>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</si>
  <si>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</si>
  <si>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</si>
  <si>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</si>
  <si>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</si>
  <si>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</si>
  <si>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</si>
  <si>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</si>
  <si>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</si>
  <si>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</si>
  <si>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</si>
  <si>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</si>
  <si>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</si>
  <si>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</si>
  <si>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</si>
  <si>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</si>
  <si>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</si>
  <si>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</si>
  <si>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</si>
  <si>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</si>
  <si>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</si>
  <si>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</si>
  <si>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</si>
  <si>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</si>
  <si>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</si>
  <si>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</si>
  <si>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</si>
  <si>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</si>
  <si>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</si>
  <si>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</si>
  <si>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</si>
  <si>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</si>
  <si>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</si>
  <si>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</si>
  <si>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</si>
  <si>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</si>
  <si>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</si>
  <si>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</si>
  <si>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</si>
  <si>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</si>
  <si>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</si>
  <si>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</si>
  <si>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</si>
  <si>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</si>
  <si>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</si>
  <si>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</si>
  <si>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</si>
  <si>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</si>
  <si>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</si>
  <si>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</si>
  <si>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</si>
  <si>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</si>
  <si>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</si>
  <si>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</si>
  <si>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</si>
  <si>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</si>
  <si>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</si>
  <si>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</si>
  <si>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</si>
  <si>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</si>
  <si>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</si>
  <si>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</si>
  <si>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</si>
  <si>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</si>
  <si>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</si>
  <si>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</si>
  <si>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</si>
  <si>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</si>
  <si>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</si>
  <si>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</si>
  <si>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</si>
  <si>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</si>
  <si>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</si>
  <si>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</si>
  <si>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</si>
  <si>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</si>
  <si>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</si>
  <si>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</si>
  <si>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</si>
  <si>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</si>
  <si>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</si>
  <si>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</si>
  <si>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</si>
  <si>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</si>
  <si>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</si>
  <si>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</si>
  <si>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</si>
  <si>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</si>
  <si>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</si>
  <si>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</si>
  <si>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</si>
  <si>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</si>
  <si>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</si>
  <si>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</si>
  <si>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</si>
  <si>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</si>
  <si>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</si>
  <si>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</si>
  <si>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</si>
  <si>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</si>
  <si>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</si>
  <si>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</si>
  <si>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</si>
  <si>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</si>
  <si>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</si>
  <si>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</si>
  <si>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</si>
  <si>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</si>
  <si>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</si>
  <si>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</si>
  <si>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</si>
  <si>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</si>
  <si>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</si>
  <si>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Forecast</t>
  </si>
  <si>
    <t>Unlevered FCF</t>
  </si>
  <si>
    <t>Levered FCF Growth YoY</t>
  </si>
  <si>
    <t>Levered FCF</t>
  </si>
  <si>
    <t>5Y Fwd FCF CAGR</t>
  </si>
  <si>
    <t>Dividend Yield</t>
  </si>
  <si>
    <t>5Y Rev CAGR Projection</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</si>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</sst>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1" fillId="0" borderId="0" xfId="0" applyNumberFormat="1" applyFont="1"/>
    <xf numFmtId="0" fontId="0" fillId="7" borderId="0" xfId="0" applyFill="1" applyAlignment="1">
      <alignment vertical="center"/>
    </xf>
    <xf numFmtId="9" fontId="1" fillId="8" borderId="0" xfId="0" applyNumberFormat="1" applyFont="1" applyFill="1" applyAlignment="1">
      <alignment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0" fillId="0" borderId="0" xfId="0" applyAlignment="1">
      <alignment vertical="center"/>
    </xf>
    <xf numFmtId="9" fontId="1" fillId="8" borderId="0" xfId="0" applyNumberFormat="1" applyFont="1" applyFill="1" applyAlignment="1">
      <alignment horizontal="center" vertical="center"/>
    </xf>
    <xf numFmtId="0" fontId="17" fillId="3" borderId="6"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7"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Cameco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877484101676836"/>
          <c:w val="0.86430363036303626"/>
          <c:h val="0.603555412496039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1'!$B$3:$AJ$3</c:f>
              <c:numCache>
                <c:formatCode>#,###,,;\(#,###,,\);\ \-\ \-</c:formatCode>
                <c:ptCount val="35"/>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pt idx="30">
                  <c:v>2466000000</c:v>
                </c:pt>
                <c:pt idx="31">
                  <c:v>2599000000</c:v>
                </c:pt>
                <c:pt idx="32">
                  <c:v>2648000000</c:v>
                </c:pt>
                <c:pt idx="33">
                  <c:v>2751000000</c:v>
                </c:pt>
                <c:pt idx="34">
                  <c:v>3189000000</c:v>
                </c:pt>
              </c:numCache>
            </c:numRef>
          </c:val>
          <c:extLst>
            <c:ext xmlns:c16="http://schemas.microsoft.com/office/drawing/2014/chart" uri="{C3380CC4-5D6E-409C-BE32-E72D297353CC}">
              <c16:uniqueId val="{00000000-70D4-D440-ADD8-6B1D045DDE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1'!$B$28:$AJ$28</c:f>
              <c:numCache>
                <c:formatCode>#,###,,;\(#,###,,\);\ \-\ \-</c:formatCode>
                <c:ptCount val="35"/>
                <c:pt idx="0">
                  <c:v>73000000</c:v>
                </c:pt>
                <c:pt idx="1">
                  <c:v>81100000</c:v>
                </c:pt>
                <c:pt idx="2">
                  <c:v>102100000</c:v>
                </c:pt>
                <c:pt idx="3">
                  <c:v>137500343</c:v>
                </c:pt>
                <c:pt idx="4">
                  <c:v>82000000</c:v>
                </c:pt>
                <c:pt idx="5">
                  <c:v>45600619</c:v>
                </c:pt>
                <c:pt idx="6">
                  <c:v>80000000</c:v>
                </c:pt>
                <c:pt idx="7">
                  <c:v>-78336833</c:v>
                </c:pt>
                <c:pt idx="8">
                  <c:v>65221267</c:v>
                </c:pt>
                <c:pt idx="9">
                  <c:v>55459553</c:v>
                </c:pt>
                <c:pt idx="10">
                  <c:v>216005410</c:v>
                </c:pt>
                <c:pt idx="11">
                  <c:v>278784497</c:v>
                </c:pt>
                <c:pt idx="12">
                  <c:v>217631120</c:v>
                </c:pt>
                <c:pt idx="13">
                  <c:v>375715284</c:v>
                </c:pt>
                <c:pt idx="14">
                  <c:v>416111828</c:v>
                </c:pt>
                <c:pt idx="15">
                  <c:v>450116561</c:v>
                </c:pt>
                <c:pt idx="16">
                  <c:v>1099422000</c:v>
                </c:pt>
                <c:pt idx="17">
                  <c:v>514749000</c:v>
                </c:pt>
                <c:pt idx="18">
                  <c:v>450404000</c:v>
                </c:pt>
                <c:pt idx="19">
                  <c:v>266136000</c:v>
                </c:pt>
                <c:pt idx="20">
                  <c:v>318495000</c:v>
                </c:pt>
                <c:pt idx="21">
                  <c:v>185234000</c:v>
                </c:pt>
                <c:pt idx="22">
                  <c:v>65286000</c:v>
                </c:pt>
                <c:pt idx="23">
                  <c:v>-61611000</c:v>
                </c:pt>
                <c:pt idx="24">
                  <c:v>-204942000</c:v>
                </c:pt>
                <c:pt idx="25">
                  <c:v>166323000</c:v>
                </c:pt>
                <c:pt idx="26">
                  <c:v>74000000</c:v>
                </c:pt>
                <c:pt idx="27">
                  <c:v>-53169000</c:v>
                </c:pt>
                <c:pt idx="28">
                  <c:v>-102577000</c:v>
                </c:pt>
                <c:pt idx="29">
                  <c:v>89382000</c:v>
                </c:pt>
                <c:pt idx="30">
                  <c:v>297500000</c:v>
                </c:pt>
                <c:pt idx="31">
                  <c:v>683000000</c:v>
                </c:pt>
                <c:pt idx="32">
                  <c:v>700000000</c:v>
                </c:pt>
                <c:pt idx="33">
                  <c:v>853000000</c:v>
                </c:pt>
                <c:pt idx="34">
                  <c:v>1048000000</c:v>
                </c:pt>
              </c:numCache>
            </c:numRef>
          </c:val>
          <c:extLst>
            <c:ext xmlns:c16="http://schemas.microsoft.com/office/drawing/2014/chart" uri="{C3380CC4-5D6E-409C-BE32-E72D297353CC}">
              <c16:uniqueId val="{00000001-70D4-D440-ADD8-6B1D045DDE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1'!$B$107:$AJ$107</c:f>
              <c:numCache>
                <c:formatCode>#,###,,;\(#,###,,\);\ \-\ \-</c:formatCode>
                <c:ptCount val="35"/>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pt idx="30">
                  <c:v>238000000</c:v>
                </c:pt>
                <c:pt idx="31">
                  <c:v>678000000</c:v>
                </c:pt>
                <c:pt idx="32">
                  <c:v>812000000</c:v>
                </c:pt>
                <c:pt idx="33">
                  <c:v>845000000</c:v>
                </c:pt>
                <c:pt idx="34">
                  <c:v>1030000000</c:v>
                </c:pt>
              </c:numCache>
            </c:numRef>
          </c:val>
          <c:extLst>
            <c:ext xmlns:c16="http://schemas.microsoft.com/office/drawing/2014/chart" uri="{C3380CC4-5D6E-409C-BE32-E72D297353CC}">
              <c16:uniqueId val="{00000002-70D4-D440-ADD8-6B1D045DDE12}"/>
            </c:ext>
          </c:extLst>
        </c:ser>
        <c:dLbls>
          <c:showLegendKey val="0"/>
          <c:showVal val="0"/>
          <c:showCatName val="0"/>
          <c:showSerName val="0"/>
          <c:showPercent val="0"/>
          <c:showBubbleSize val="0"/>
        </c:dLbls>
        <c:gapWidth val="150"/>
        <c:overlap val="100"/>
        <c:axId val="941519040"/>
        <c:axId val="941315744"/>
      </c:barChart>
      <c:catAx>
        <c:axId val="941519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41315744"/>
        <c:crosses val="autoZero"/>
        <c:auto val="1"/>
        <c:lblAlgn val="ctr"/>
        <c:lblOffset val="100"/>
        <c:noMultiLvlLbl val="0"/>
      </c:catAx>
      <c:valAx>
        <c:axId val="941315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1519040"/>
        <c:crosses val="autoZero"/>
        <c:crossBetween val="between"/>
      </c:valAx>
      <c:spPr>
        <a:noFill/>
        <a:ln>
          <a:noFill/>
        </a:ln>
        <a:effectLst/>
      </c:spPr>
    </c:plotArea>
    <c:legend>
      <c:legendPos val="b"/>
      <c:layout>
        <c:manualLayout>
          <c:xMode val="edge"/>
          <c:yMode val="edge"/>
          <c:x val="0.34336872742392349"/>
          <c:y val="0.89728322581533049"/>
          <c:w val="0.31326254515215302"/>
          <c:h val="5.224212011527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109</xdr:row>
      <xdr:rowOff>17461</xdr:rowOff>
    </xdr:from>
    <xdr:to>
      <xdr:col>39</xdr:col>
      <xdr:colOff>31750</xdr:colOff>
      <xdr:row>126</xdr:row>
      <xdr:rowOff>190500</xdr:rowOff>
    </xdr:to>
    <xdr:graphicFrame macro="">
      <xdr:nvGraphicFramePr>
        <xdr:cNvPr id="3" name="Chart 2">
          <a:extLst>
            <a:ext uri="{FF2B5EF4-FFF2-40B4-BE49-F238E27FC236}">
              <a16:creationId xmlns:a16="http://schemas.microsoft.com/office/drawing/2014/main" id="{4DC00B74-8383-B589-F606-BA6E2CD08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56.87</v>
    <v>28.98</v>
    <v>0.92120000000000002</v>
    <v>-0.38</v>
    <v>-7.1660000000000005E-3</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53.63</v>
    <v>Uranium</v>
    <v>Stock</v>
    <v>45226.833333333336</v>
    <v>0</v>
    <v>52.465000000000003</v>
    <v>22904310000</v>
    <v>CAMECO CORPORATION</v>
    <v>CAMECO CORPORATION</v>
    <v>53.51</v>
    <v>243.33</v>
    <v>53.03</v>
    <v>52.65</v>
    <v>52.65</v>
    <v>433837700</v>
    <v>CCO</v>
    <v>CAMECO CORPORATION (XTSE:CCO)</v>
    <v>697591</v>
    <v>1083790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revenue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9"/>
  <sheetViews>
    <sheetView tabSelected="1" zoomScale="80" zoomScaleNormal="80" workbookViewId="0">
      <pane xSplit="1" ySplit="1" topLeftCell="AB95" activePane="bottomRight" state="frozen"/>
      <selection pane="topRight"/>
      <selection pane="bottomLeft"/>
      <selection pane="bottomRight" activeCell="AF121" sqref="AF121"/>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4">
        <v>2466000000</v>
      </c>
      <c r="AG3" s="24">
        <v>2599000000</v>
      </c>
      <c r="AH3" s="24">
        <v>2648000000</v>
      </c>
      <c r="AI3" s="24">
        <v>2751000000</v>
      </c>
      <c r="AJ3" s="24">
        <v>3189000000</v>
      </c>
      <c r="AK3" s="18" t="s">
        <v>107</v>
      </c>
      <c r="AL3" s="19" t="s">
        <v>108</v>
      </c>
      <c r="AM3" s="19" t="s">
        <v>109</v>
      </c>
      <c r="AN3" s="19" t="s">
        <v>110</v>
      </c>
    </row>
    <row r="4" spans="1:40" ht="19" x14ac:dyDescent="0.25">
      <c r="A4" s="14" t="s">
        <v>93</v>
      </c>
      <c r="B4" s="1"/>
      <c r="C4" s="43">
        <f>(C3/B3)-1</f>
        <v>0.13701765860039239</v>
      </c>
      <c r="D4" s="43">
        <f>(D3/C3)-1</f>
        <v>0.1368996261144666</v>
      </c>
      <c r="E4" s="43">
        <f>(E3/D3)-1</f>
        <v>0.49481500126486222</v>
      </c>
      <c r="F4" s="43">
        <f t="shared" ref="F4:AJ4" si="0">(F3/E3)-1</f>
        <v>8.8001760770601622E-2</v>
      </c>
      <c r="G4" s="43">
        <f t="shared" si="0"/>
        <v>0.11821226005524466</v>
      </c>
      <c r="H4" s="43">
        <f t="shared" si="0"/>
        <v>3.1577068502163685E-2</v>
      </c>
      <c r="I4" s="43">
        <f t="shared" si="0"/>
        <v>-7.1009163650130769E-2</v>
      </c>
      <c r="J4" s="43">
        <f t="shared" si="0"/>
        <v>1.7271747865218234E-2</v>
      </c>
      <c r="K4" s="43">
        <f t="shared" si="0"/>
        <v>6.7767967304840138E-2</v>
      </c>
      <c r="L4" s="43">
        <f t="shared" si="0"/>
        <v>0.10505002454567935</v>
      </c>
      <c r="M4" s="43">
        <f t="shared" si="0"/>
        <v>0.26790288018016684</v>
      </c>
      <c r="N4" s="43">
        <f t="shared" si="0"/>
        <v>0.25195167789794493</v>
      </c>
      <c r="O4" s="43">
        <f t="shared" si="0"/>
        <v>0.39540885443346063</v>
      </c>
      <c r="P4" s="43">
        <f t="shared" si="0"/>
        <v>0.26098867308879226</v>
      </c>
      <c r="Q4" s="43">
        <f t="shared" si="0"/>
        <v>0.23786988809158527</v>
      </c>
      <c r="R4" s="43">
        <f t="shared" si="0"/>
        <v>-0.19032647483393939</v>
      </c>
      <c r="S4" s="43">
        <f t="shared" si="0"/>
        <v>-8.2648483683479546E-2</v>
      </c>
      <c r="T4" s="43">
        <f t="shared" si="0"/>
        <v>0.12278312626109233</v>
      </c>
      <c r="U4" s="43">
        <f t="shared" si="0"/>
        <v>-2.6393597729243878E-2</v>
      </c>
      <c r="V4" s="43">
        <f t="shared" si="0"/>
        <v>5.0507630722072427E-2</v>
      </c>
      <c r="W4" s="43">
        <f t="shared" si="0"/>
        <v>-1.6890397146375413E-2</v>
      </c>
      <c r="X4" s="43">
        <f t="shared" si="0"/>
        <v>0.14883888932452205</v>
      </c>
      <c r="Y4" s="43">
        <f t="shared" si="0"/>
        <v>-0.11725841551159644</v>
      </c>
      <c r="Z4" s="43">
        <f t="shared" si="0"/>
        <v>-0.11291911998170601</v>
      </c>
      <c r="AA4" s="43">
        <f t="shared" si="0"/>
        <v>-3.0225068757615214E-2</v>
      </c>
      <c r="AB4" s="43">
        <f t="shared" si="0"/>
        <v>-0.1093561528373862</v>
      </c>
      <c r="AC4" s="43">
        <f t="shared" si="0"/>
        <v>-3.3738341586483589E-2</v>
      </c>
      <c r="AD4" s="43">
        <f t="shared" si="0"/>
        <v>-0.18059767576092745</v>
      </c>
      <c r="AE4" s="43">
        <f t="shared" si="0"/>
        <v>0.26645644969708138</v>
      </c>
      <c r="AF4" s="16">
        <f t="shared" si="0"/>
        <v>0.32012635954010782</v>
      </c>
      <c r="AG4" s="16">
        <f t="shared" si="0"/>
        <v>5.3933495539334908E-2</v>
      </c>
      <c r="AH4" s="16">
        <f t="shared" si="0"/>
        <v>1.8853405155829117E-2</v>
      </c>
      <c r="AI4" s="16">
        <f t="shared" si="0"/>
        <v>3.8897280966767367E-2</v>
      </c>
      <c r="AJ4" s="16">
        <f t="shared" si="0"/>
        <v>0.15921483097055611</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F6" s="27">
        <f>AF3*AF7</f>
        <v>562741200</v>
      </c>
      <c r="AK6" s="70" t="s">
        <v>111</v>
      </c>
      <c r="AL6" s="71" t="s">
        <v>112</v>
      </c>
      <c r="AM6" s="71" t="s">
        <v>113</v>
      </c>
      <c r="AN6" s="71"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F7" s="2">
        <v>0.22819999999999999</v>
      </c>
      <c r="AK7" s="17">
        <f>AF7</f>
        <v>0.22819999999999999</v>
      </c>
      <c r="AL7" s="20">
        <f>AF21</f>
        <v>0.24371451743714517</v>
      </c>
      <c r="AM7" s="20">
        <f>AF30</f>
        <v>0.12064071370640714</v>
      </c>
      <c r="AN7" s="20">
        <f>AF105</f>
        <v>9.6512570965125707E-2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5">
        <f>(AE35+AD35+AC35+AB35+AA35)/5</f>
        <v>5.7085755511766473E-3</v>
      </c>
      <c r="AL16" s="32">
        <f>AM102/AE3</f>
        <v>12.261388231175218</v>
      </c>
      <c r="AM16" s="32">
        <f>AM102/AE28</f>
        <v>256.2519299187756</v>
      </c>
      <c r="AN16" s="33">
        <f>AM102/AE107</f>
        <v>142.12243808909213</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156</v>
      </c>
      <c r="AM18" s="19" t="s">
        <v>157</v>
      </c>
      <c r="AN18" s="19" t="s">
        <v>158</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27">
        <v>601000000</v>
      </c>
      <c r="AG19" s="27">
        <v>1049000000</v>
      </c>
      <c r="AH19" s="27">
        <v>1254000000</v>
      </c>
      <c r="AI19" s="27">
        <v>1393000000</v>
      </c>
      <c r="AJ19" s="27">
        <v>1686000000</v>
      </c>
      <c r="AK19" s="26">
        <f>AE40-AE56-AE61</f>
        <v>1045848000</v>
      </c>
      <c r="AL19" s="32">
        <f>AM102/AF3</f>
        <v>9.2880413625304143</v>
      </c>
      <c r="AM19" s="32">
        <f>AM102/AF28</f>
        <v>76.989277310924365</v>
      </c>
      <c r="AN19" s="33">
        <f>AM102/AF107</f>
        <v>96.236596638655456</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0.81391797227512397</v>
      </c>
      <c r="AG20" s="16">
        <f t="shared" ref="AG20" si="5">(AG19/AF19)-1</f>
        <v>0.74542429284525791</v>
      </c>
      <c r="AH20" s="16">
        <f t="shared" ref="AH20" si="6">(AH19/AG19)-1</f>
        <v>0.1954242135367017</v>
      </c>
      <c r="AI20" s="16">
        <f t="shared" ref="AI20" si="7">(AI19/AH19)-1</f>
        <v>0.11084529505582141</v>
      </c>
      <c r="AJ20" s="16">
        <f t="shared" ref="AJ20" si="8">(AJ19/AI19)-1</f>
        <v>0.21033740129217526</v>
      </c>
    </row>
    <row r="21" spans="1:40" ht="20"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28">
        <f>AF19/AF3</f>
        <v>0.24371451743714517</v>
      </c>
      <c r="AG21" s="28">
        <f t="shared" ref="AG21:AJ21" si="9">AG19/AG3</f>
        <v>0.40361677568295501</v>
      </c>
      <c r="AH21" s="28">
        <f t="shared" si="9"/>
        <v>0.47356495468277948</v>
      </c>
      <c r="AI21" s="28">
        <f t="shared" si="9"/>
        <v>0.50636132315521631</v>
      </c>
      <c r="AJ21" s="28">
        <f t="shared" si="9"/>
        <v>0.52869238005644403</v>
      </c>
      <c r="AL21" s="51" t="s">
        <v>167</v>
      </c>
      <c r="AM21" s="18" t="s">
        <v>164</v>
      </c>
      <c r="AN21" s="19" t="s">
        <v>166</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c r="AL22" s="17">
        <f>SUM(AF29:AJ29)/5</f>
        <v>0.81925510079959485</v>
      </c>
      <c r="AM22" s="42">
        <f>(-1*AE98)/AM102</f>
        <v>2.2657307729418612E-3</v>
      </c>
      <c r="AN22" s="41">
        <f>AF107/AM102</f>
        <v>1.039105740360657E-2</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29">
        <v>297500000</v>
      </c>
      <c r="AG28" s="29">
        <v>683000000</v>
      </c>
      <c r="AH28" s="29">
        <v>700000000</v>
      </c>
      <c r="AI28" s="29">
        <v>853000000</v>
      </c>
      <c r="AJ28" s="29">
        <v>1048000000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2.3284106419637065</v>
      </c>
      <c r="AG29" s="16">
        <f t="shared" ref="AG29" si="12">(AG28/AF28)-1</f>
        <v>1.2957983193277309</v>
      </c>
      <c r="AH29" s="16">
        <f t="shared" ref="AH29" si="13">(AH28/AG28)-1</f>
        <v>2.4890190336749551E-2</v>
      </c>
      <c r="AI29" s="16">
        <f t="shared" ref="AI29" si="14">(AI28/AH28)-1</f>
        <v>0.21857142857142864</v>
      </c>
      <c r="AJ29" s="16">
        <f t="shared" ref="AJ29" si="15">(AJ28/AI28)-1</f>
        <v>0.22860492379835873</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30">
        <f>AF28/AF3</f>
        <v>0.12064071370640714</v>
      </c>
      <c r="AG30" s="30">
        <f t="shared" ref="AG30:AJ30" si="16">AG28/AG3</f>
        <v>0.26279338207002695</v>
      </c>
      <c r="AH30" s="30">
        <f t="shared" si="16"/>
        <v>0.26435045317220546</v>
      </c>
      <c r="AI30" s="30">
        <f t="shared" si="16"/>
        <v>0.31006906579425664</v>
      </c>
      <c r="AJ30" s="30">
        <f t="shared" si="16"/>
        <v>0.32862966447162117</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31">
        <v>0.69</v>
      </c>
      <c r="AG31" s="31">
        <v>1.57</v>
      </c>
      <c r="AH31" s="31">
        <v>1.61</v>
      </c>
      <c r="AI31" s="31">
        <v>1.97</v>
      </c>
      <c r="AJ31" s="31">
        <v>2.41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2"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c r="AF33" s="1" cm="1">
        <f t="array" ref="AF33">_FV(A1,"Shares outstanding",TRUE)</f>
        <v>433837700</v>
      </c>
    </row>
    <row r="34" spans="1:32"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c r="AF34" s="1" cm="1">
        <f t="array" ref="AF34">_FV(A1,"Shares outstanding",TRUE)</f>
        <v>433837700</v>
      </c>
    </row>
    <row r="35" spans="1:32" ht="20" customHeight="1" x14ac:dyDescent="0.25">
      <c r="A35" s="14" t="s">
        <v>102</v>
      </c>
      <c r="B35" s="1"/>
      <c r="C35" s="22">
        <f>(C34-B34)/B34</f>
        <v>-2.9855990851853191E-3</v>
      </c>
      <c r="D35" s="22">
        <f t="shared" ref="D35:AF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c r="AF35" s="22">
        <f t="shared" si="17"/>
        <v>6.5586844658405682E-2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2"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2"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2"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2"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2"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2"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2"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2"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19"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row>
    <row r="84" spans="1:39"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49"/>
      <c r="AG84" s="49"/>
      <c r="AH84" s="49"/>
      <c r="AI84" s="49"/>
      <c r="AJ84" s="49"/>
      <c r="AK84" s="49"/>
      <c r="AL84" s="72" t="s">
        <v>124</v>
      </c>
      <c r="AM84" s="73"/>
    </row>
    <row r="85" spans="1:39" ht="19" customHeight="1"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F85" s="49"/>
      <c r="AG85" s="49"/>
      <c r="AH85" s="49"/>
      <c r="AI85" s="49"/>
      <c r="AJ85" s="49"/>
      <c r="AK85" s="49"/>
      <c r="AL85" s="76" t="s">
        <v>125</v>
      </c>
      <c r="AM85" s="76"/>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F86" s="49"/>
      <c r="AG86" s="49"/>
      <c r="AH86" s="49"/>
      <c r="AI86" s="49"/>
      <c r="AJ86" s="49"/>
      <c r="AK86" s="49"/>
      <c r="AL86" s="35" t="s">
        <v>126</v>
      </c>
      <c r="AM86" s="54">
        <f>AE17</f>
        <v>69038000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F87" s="49"/>
      <c r="AG87" s="49"/>
      <c r="AH87" s="49"/>
      <c r="AI87" s="49"/>
      <c r="AJ87" s="49"/>
      <c r="AK87" s="49"/>
      <c r="AL87" s="35" t="s">
        <v>127</v>
      </c>
      <c r="AM87" s="54">
        <f>AE56</f>
        <v>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F88" s="49"/>
      <c r="AG88" s="49"/>
      <c r="AH88" s="49"/>
      <c r="AI88" s="49"/>
      <c r="AJ88" s="49"/>
      <c r="AK88" s="49"/>
      <c r="AL88" s="35" t="s">
        <v>128</v>
      </c>
      <c r="AM88" s="54">
        <f>AE61</f>
        <v>997000000</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F89" s="49"/>
      <c r="AG89" s="49"/>
      <c r="AH89" s="49"/>
      <c r="AI89" s="49"/>
      <c r="AJ89" s="49"/>
      <c r="AK89" s="49"/>
      <c r="AL89" s="36" t="s">
        <v>129</v>
      </c>
      <c r="AM89" s="55">
        <f>AM86/(AM87+AM88)</f>
        <v>6.9245737211634906E-2</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F90" s="49"/>
      <c r="AG90" s="49"/>
      <c r="AH90" s="49"/>
      <c r="AI90" s="49"/>
      <c r="AJ90" s="49"/>
      <c r="AK90" s="49"/>
      <c r="AL90" s="35" t="s">
        <v>105</v>
      </c>
      <c r="AM90" s="54">
        <f>AE27</f>
        <v>-4469000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F91" s="49"/>
      <c r="AG91" s="49"/>
      <c r="AH91" s="49"/>
      <c r="AI91" s="49"/>
      <c r="AJ91" s="49"/>
      <c r="AK91" s="49"/>
      <c r="AL91" s="35" t="s">
        <v>19</v>
      </c>
      <c r="AM91" s="54">
        <f>AE25</f>
        <v>84795000</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F92" s="49"/>
      <c r="AG92" s="49"/>
      <c r="AH92" s="49"/>
      <c r="AI92" s="49"/>
      <c r="AJ92" s="49"/>
      <c r="AK92" s="49"/>
      <c r="AL92" s="36" t="s">
        <v>130</v>
      </c>
      <c r="AM92" s="55">
        <f>AM90/AM91</f>
        <v>-5.2703579220472904E-2</v>
      </c>
    </row>
    <row r="93" spans="1:39" ht="19" customHeight="1"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F93" s="49"/>
      <c r="AG93" s="49"/>
      <c r="AH93" s="49"/>
      <c r="AI93" s="49"/>
      <c r="AJ93" s="49"/>
      <c r="AK93" s="49"/>
      <c r="AL93" s="36" t="s">
        <v>131</v>
      </c>
      <c r="AM93" s="55">
        <f>AM89*(1-AM92)</f>
        <v>7.2895235408448347E-2</v>
      </c>
    </row>
    <row r="94" spans="1:39" ht="19" customHeight="1"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F94" s="49"/>
      <c r="AG94" s="49"/>
      <c r="AH94" s="49"/>
      <c r="AI94" s="49"/>
      <c r="AJ94" s="49"/>
      <c r="AK94" s="49"/>
      <c r="AL94" s="76" t="s">
        <v>132</v>
      </c>
      <c r="AM94" s="76"/>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F95" s="49"/>
      <c r="AG95" s="49"/>
      <c r="AH95" s="49"/>
      <c r="AI95" s="49"/>
      <c r="AJ95" s="49"/>
      <c r="AK95" s="49"/>
      <c r="AL95" s="35" t="s">
        <v>133</v>
      </c>
      <c r="AM95" s="56">
        <f>'[1]US Treasury Bonds'!$C$8</f>
        <v>4.845E-2</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F96" s="49"/>
      <c r="AG96" s="49"/>
      <c r="AH96" s="49"/>
      <c r="AI96" s="49"/>
      <c r="AJ96" s="49"/>
      <c r="AK96" s="49"/>
      <c r="AL96" s="37" t="s">
        <v>134</v>
      </c>
      <c r="AM96" s="57" cm="1">
        <f t="array" ref="AM96">_FV(A1,"Beta")</f>
        <v>0.92120000000000002</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F97" s="49"/>
      <c r="AG97" s="49"/>
      <c r="AH97" s="49"/>
      <c r="AI97" s="49"/>
      <c r="AJ97" s="49"/>
      <c r="AK97" s="49"/>
      <c r="AL97" s="35" t="s">
        <v>135</v>
      </c>
      <c r="AM97" s="56">
        <v>8.4000000000000005E-2</v>
      </c>
    </row>
    <row r="98" spans="1:39" ht="19" customHeight="1"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F98" s="49"/>
      <c r="AG98" s="49"/>
      <c r="AH98" s="49"/>
      <c r="AI98" s="49"/>
      <c r="AJ98" s="49"/>
      <c r="AK98" s="49"/>
      <c r="AL98" s="36" t="s">
        <v>136</v>
      </c>
      <c r="AM98" s="55">
        <f>(AM95)+((AM96)*(AM97-AM95))</f>
        <v>8.1198660000000006E-2</v>
      </c>
    </row>
    <row r="99" spans="1:39" ht="20" customHeight="1"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F99" s="49"/>
      <c r="AG99" s="49"/>
      <c r="AH99" s="49"/>
      <c r="AI99" s="49"/>
      <c r="AJ99" s="49"/>
      <c r="AK99" s="49"/>
      <c r="AL99" s="76" t="s">
        <v>137</v>
      </c>
      <c r="AM99" s="76"/>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F100" s="49"/>
      <c r="AG100" s="49"/>
      <c r="AH100" s="49"/>
      <c r="AI100" s="49"/>
      <c r="AJ100" s="49"/>
      <c r="AK100" s="49"/>
      <c r="AL100" s="35" t="s">
        <v>138</v>
      </c>
      <c r="AM100" s="54">
        <f>AM87+AM88</f>
        <v>997000000</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F101" s="49"/>
      <c r="AG101" s="49"/>
      <c r="AH101" s="49"/>
      <c r="AI101" s="49"/>
      <c r="AJ101" s="49"/>
      <c r="AK101" s="49"/>
      <c r="AL101" s="36" t="s">
        <v>139</v>
      </c>
      <c r="AM101" s="55">
        <f>AM100/AM104</f>
        <v>4.1713194799782943E-2</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F102" s="49"/>
      <c r="AG102" s="49"/>
      <c r="AH102" s="49"/>
      <c r="AI102" s="49"/>
      <c r="AJ102" s="49"/>
      <c r="AK102" s="49"/>
      <c r="AL102" s="37" t="s">
        <v>140</v>
      </c>
      <c r="AM102" s="58" cm="1">
        <f t="array" ref="AM102">_FV(A1,"Market cap",TRUE)</f>
        <v>22904310000</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F103" s="49"/>
      <c r="AG103" s="49"/>
      <c r="AH103" s="49"/>
      <c r="AI103" s="49"/>
      <c r="AJ103" s="49"/>
      <c r="AK103" s="49"/>
      <c r="AL103" s="36" t="s">
        <v>141</v>
      </c>
      <c r="AM103" s="55">
        <f>AM102/AM104</f>
        <v>0.95828680520021703</v>
      </c>
    </row>
    <row r="104" spans="1:39" ht="20" customHeight="1"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F104" s="75" t="s">
        <v>114</v>
      </c>
      <c r="AG104" s="75"/>
      <c r="AH104" s="75"/>
      <c r="AI104" s="75"/>
      <c r="AJ104" s="75"/>
      <c r="AK104" s="49"/>
      <c r="AL104" s="36" t="s">
        <v>142</v>
      </c>
      <c r="AM104" s="59">
        <f>AM100+AM102</f>
        <v>23901310000</v>
      </c>
    </row>
    <row r="105" spans="1:39" ht="21" customHeight="1" thickTop="1" x14ac:dyDescent="0.25">
      <c r="A105" s="14" t="s">
        <v>160</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52">
        <f>AF107/AF3</f>
        <v>9.6512570965125707E-2</v>
      </c>
      <c r="AG105" s="52">
        <f>AG107/AG3</f>
        <v>0.2608695652173913</v>
      </c>
      <c r="AH105" s="52">
        <f>AH107/AH3</f>
        <v>0.30664652567975831</v>
      </c>
      <c r="AI105" s="52">
        <f>AI107/AI3</f>
        <v>0.30716103235187203</v>
      </c>
      <c r="AJ105" s="52">
        <f>AJ107/AJ3</f>
        <v>0.32298526183756665</v>
      </c>
      <c r="AK105" s="53" t="s">
        <v>163</v>
      </c>
      <c r="AL105" s="76" t="s">
        <v>143</v>
      </c>
      <c r="AM105" s="76"/>
    </row>
    <row r="106" spans="1:39" ht="20" x14ac:dyDescent="0.25">
      <c r="A106" s="14" t="s">
        <v>161</v>
      </c>
      <c r="B106" s="1"/>
      <c r="C106" s="15">
        <f t="shared" ref="C106:AE106" si="21">(C107/B107)-1</f>
        <v>0.15257048092868986</v>
      </c>
      <c r="D106" s="15">
        <f t="shared" si="21"/>
        <v>-1.6043165467625899</v>
      </c>
      <c r="E106" s="15">
        <f t="shared" si="21"/>
        <v>-1.1809289047619047</v>
      </c>
      <c r="F106" s="15">
        <f t="shared" si="21"/>
        <v>-16.791522426462169</v>
      </c>
      <c r="G106" s="15">
        <f t="shared" si="21"/>
        <v>2.9300051666666667</v>
      </c>
      <c r="H106" s="15">
        <f t="shared" si="21"/>
        <v>-1.0801514616329384</v>
      </c>
      <c r="I106" s="15">
        <f t="shared" si="21"/>
        <v>2.4214263641041192</v>
      </c>
      <c r="J106" s="15">
        <f t="shared" si="21"/>
        <v>-0.55174499772802721</v>
      </c>
      <c r="K106" s="15">
        <f t="shared" si="21"/>
        <v>1.7705686728018257</v>
      </c>
      <c r="L106" s="15">
        <f t="shared" si="21"/>
        <v>-0.4625446408114392</v>
      </c>
      <c r="M106" s="15">
        <f t="shared" si="21"/>
        <v>-7.593716044187504E-2</v>
      </c>
      <c r="N106" s="15">
        <f t="shared" si="21"/>
        <v>-0.55232951968534716</v>
      </c>
      <c r="O106" s="15">
        <f t="shared" si="21"/>
        <v>-2.1632301750161282</v>
      </c>
      <c r="P106" s="15">
        <f t="shared" si="21"/>
        <v>-8.3726743190902226</v>
      </c>
      <c r="Q106" s="15">
        <f t="shared" si="21"/>
        <v>-0.74166420097536723</v>
      </c>
      <c r="R106" s="15">
        <f t="shared" si="21"/>
        <v>2.7589579139390077</v>
      </c>
      <c r="S106" s="15">
        <f t="shared" si="21"/>
        <v>-0.87618781818059543</v>
      </c>
      <c r="T106" s="15">
        <f t="shared" si="21"/>
        <v>1.2939898427527767</v>
      </c>
      <c r="U106" s="15">
        <f t="shared" si="21"/>
        <v>-2.0623793907679921</v>
      </c>
      <c r="V106" s="15">
        <f t="shared" si="21"/>
        <v>0.29008424712489966</v>
      </c>
      <c r="W106" s="15">
        <f t="shared" si="21"/>
        <v>-1.0006392149749066</v>
      </c>
      <c r="X106" s="15">
        <f t="shared" si="21"/>
        <v>1234.7837837837837</v>
      </c>
      <c r="Y106" s="15">
        <f t="shared" si="21"/>
        <v>4.4003149330767322E-2</v>
      </c>
      <c r="Z106" s="15">
        <f t="shared" si="21"/>
        <v>4.0488310708898947</v>
      </c>
      <c r="AA106" s="15">
        <f t="shared" si="21"/>
        <v>0.26997108015816695</v>
      </c>
      <c r="AB106" s="15">
        <f t="shared" si="21"/>
        <v>-0.26192918775340845</v>
      </c>
      <c r="AC106" s="15">
        <f t="shared" si="21"/>
        <v>-1.0455343250415547</v>
      </c>
      <c r="AD106" s="15">
        <f t="shared" si="21"/>
        <v>-18.474554027122927</v>
      </c>
      <c r="AE106" s="15">
        <f t="shared" si="21"/>
        <v>-0.55171847879300362</v>
      </c>
      <c r="AF106" s="45">
        <f>(AF107/AE107)-1</f>
        <v>0.47680241252427735</v>
      </c>
      <c r="AG106" s="45">
        <f>(AG107/AF107)-1</f>
        <v>1.8487394957983194</v>
      </c>
      <c r="AH106" s="45">
        <f>(AH107/AG107)-1</f>
        <v>0.19764011799410031</v>
      </c>
      <c r="AI106" s="45">
        <f>(AI107/AH107)-1</f>
        <v>4.0640394088669929E-2</v>
      </c>
      <c r="AJ106" s="45">
        <f>(AJ107/AI107)-1</f>
        <v>0.21893491124260356</v>
      </c>
      <c r="AK106" s="50">
        <f>SUM(AF106:AJ106)/5</f>
        <v>0.55655146632959418</v>
      </c>
      <c r="AL106" s="38" t="s">
        <v>106</v>
      </c>
      <c r="AM106" s="60">
        <f>(AM101*AM93)+(AM103*AM98)</f>
        <v>8.08522976325073E-2</v>
      </c>
    </row>
    <row r="107" spans="1:39" ht="19" x14ac:dyDescent="0.25">
      <c r="A107" s="34" t="s">
        <v>162</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6">
        <v>238000000</v>
      </c>
      <c r="AG107" s="46">
        <v>678000000</v>
      </c>
      <c r="AH107" s="46">
        <v>812000000</v>
      </c>
      <c r="AI107" s="46">
        <v>845000000</v>
      </c>
      <c r="AJ107" s="46">
        <v>1030000000</v>
      </c>
      <c r="AK107" s="44" t="s">
        <v>159</v>
      </c>
      <c r="AL107" s="61" t="s">
        <v>165</v>
      </c>
      <c r="AM107" s="39">
        <f>(SUM(AF4:AJ4)/5)</f>
        <v>0.11820507443451907</v>
      </c>
    </row>
    <row r="108" spans="1:39" ht="19" x14ac:dyDescent="0.2">
      <c r="AF108" s="44"/>
      <c r="AG108" s="44"/>
      <c r="AH108" s="44"/>
      <c r="AI108" s="44"/>
      <c r="AJ108" s="47">
        <f>AJ107*(1+AM108)/(AM109-AM108)</f>
        <v>18902534806.11565</v>
      </c>
      <c r="AK108" s="48" t="s">
        <v>144</v>
      </c>
      <c r="AL108" s="62" t="s">
        <v>145</v>
      </c>
      <c r="AM108" s="40">
        <v>2.5000000000000001E-2</v>
      </c>
    </row>
    <row r="109" spans="1:39" ht="19" x14ac:dyDescent="0.2">
      <c r="AF109" s="47">
        <f t="shared" ref="AF109:AI109" si="22">AF108+AF107</f>
        <v>238000000</v>
      </c>
      <c r="AG109" s="47">
        <f t="shared" si="22"/>
        <v>678000000</v>
      </c>
      <c r="AH109" s="47">
        <f t="shared" si="22"/>
        <v>812000000</v>
      </c>
      <c r="AI109" s="47">
        <f t="shared" si="22"/>
        <v>845000000</v>
      </c>
      <c r="AJ109" s="47">
        <f>AJ108+AJ107</f>
        <v>19932534806.11565</v>
      </c>
      <c r="AK109" s="48" t="s">
        <v>142</v>
      </c>
      <c r="AL109" s="63" t="s">
        <v>146</v>
      </c>
      <c r="AM109" s="39">
        <f>AM106</f>
        <v>8.08522976325073E-2</v>
      </c>
    </row>
    <row r="110" spans="1:39" ht="19" x14ac:dyDescent="0.2">
      <c r="AF110" s="74" t="s">
        <v>147</v>
      </c>
      <c r="AG110" s="74"/>
      <c r="AH110" s="49"/>
      <c r="AI110" s="49"/>
      <c r="AJ110" s="49"/>
      <c r="AK110" s="49"/>
      <c r="AL110" s="49"/>
      <c r="AM110" s="49"/>
    </row>
    <row r="111" spans="1:39" ht="20" x14ac:dyDescent="0.2">
      <c r="AF111" s="64" t="s">
        <v>148</v>
      </c>
      <c r="AG111" s="58">
        <f>NPV(AM109,AF109,AG109,AH109,AI109,AJ109)</f>
        <v>15575114289.453318</v>
      </c>
      <c r="AH111" s="49"/>
      <c r="AI111" s="49"/>
      <c r="AJ111" s="49"/>
      <c r="AK111" s="49"/>
      <c r="AL111" s="49"/>
      <c r="AM111" s="49"/>
    </row>
    <row r="112" spans="1:39" ht="20" x14ac:dyDescent="0.2">
      <c r="AF112" s="64" t="s">
        <v>149</v>
      </c>
      <c r="AG112" s="58">
        <f>AE40</f>
        <v>2042848000</v>
      </c>
      <c r="AH112" s="49"/>
      <c r="AI112" s="49"/>
      <c r="AJ112" s="49"/>
      <c r="AK112" s="49"/>
      <c r="AL112" s="49"/>
      <c r="AM112" s="49"/>
    </row>
    <row r="113" spans="32:39" ht="20" x14ac:dyDescent="0.2">
      <c r="AF113" s="64" t="s">
        <v>138</v>
      </c>
      <c r="AG113" s="58">
        <f>AM100</f>
        <v>997000000</v>
      </c>
      <c r="AH113" s="49"/>
      <c r="AI113" s="49"/>
      <c r="AJ113" s="49"/>
      <c r="AK113" s="49"/>
      <c r="AL113" s="49"/>
      <c r="AM113" s="49"/>
    </row>
    <row r="114" spans="32:39" ht="20" x14ac:dyDescent="0.2">
      <c r="AF114" s="64" t="s">
        <v>150</v>
      </c>
      <c r="AG114" s="58">
        <f>AG111+AG112-AG113</f>
        <v>16620962289.453316</v>
      </c>
      <c r="AH114" s="49"/>
      <c r="AI114" s="49"/>
      <c r="AJ114" s="49"/>
      <c r="AK114" s="49"/>
      <c r="AL114" s="49"/>
      <c r="AM114" s="49"/>
    </row>
    <row r="115" spans="32:39" ht="20" x14ac:dyDescent="0.2">
      <c r="AF115" s="64" t="s">
        <v>151</v>
      </c>
      <c r="AG115" s="64">
        <f>AE34*(1+(5*AK16))</f>
        <v>418755804.53514147</v>
      </c>
      <c r="AH115" s="49"/>
      <c r="AI115" s="49"/>
      <c r="AJ115" s="49"/>
      <c r="AK115" s="49"/>
      <c r="AL115" s="49"/>
      <c r="AM115" s="49"/>
    </row>
    <row r="116" spans="32:39" ht="20" x14ac:dyDescent="0.2">
      <c r="AF116" s="65" t="s">
        <v>152</v>
      </c>
      <c r="AG116" s="66">
        <f>AG114/AG115</f>
        <v>39.691300059480142</v>
      </c>
      <c r="AH116" s="49"/>
      <c r="AI116" s="49"/>
      <c r="AJ116" s="49"/>
      <c r="AK116" s="49"/>
      <c r="AL116" s="49"/>
      <c r="AM116" s="49"/>
    </row>
    <row r="117" spans="32:39" ht="20" x14ac:dyDescent="0.2">
      <c r="AF117" s="64" t="s">
        <v>153</v>
      </c>
      <c r="AG117" s="67" cm="1">
        <f t="array" ref="AG117">_FV(A1,"Price")</f>
        <v>52.65</v>
      </c>
      <c r="AH117" s="49"/>
      <c r="AI117" s="49"/>
      <c r="AJ117" s="49"/>
      <c r="AK117" s="49"/>
      <c r="AL117" s="49"/>
      <c r="AM117" s="49"/>
    </row>
    <row r="118" spans="32:39" ht="20" x14ac:dyDescent="0.2">
      <c r="AF118" s="65" t="s">
        <v>154</v>
      </c>
      <c r="AG118" s="68">
        <f>AG116/AG117-1</f>
        <v>-0.24612915366609411</v>
      </c>
      <c r="AH118" s="49"/>
      <c r="AI118" s="49"/>
      <c r="AJ118" s="49"/>
      <c r="AK118" s="49"/>
      <c r="AL118" s="49"/>
      <c r="AM118" s="49"/>
    </row>
    <row r="119" spans="32:39" ht="20" x14ac:dyDescent="0.2">
      <c r="AF119" s="65" t="s">
        <v>155</v>
      </c>
      <c r="AG119" s="69" t="str">
        <f>IF(AG116&gt;AG117,"BUY","SELL")</f>
        <v>SELL</v>
      </c>
      <c r="AH119" s="49"/>
      <c r="AI119" s="49"/>
      <c r="AJ119" s="49"/>
      <c r="AK119" s="49"/>
      <c r="AL119" s="49"/>
      <c r="AM119" s="49"/>
    </row>
  </sheetData>
  <mergeCells count="7">
    <mergeCell ref="AL84:AM84"/>
    <mergeCell ref="AF110:AG110"/>
    <mergeCell ref="AF104:AJ104"/>
    <mergeCell ref="AL85:AM85"/>
    <mergeCell ref="AL94:AM94"/>
    <mergeCell ref="AL105:AM105"/>
    <mergeCell ref="AL99:AM9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revenue_proj/" xr:uid="{88A49E8E-1435-1B4A-A834-1AA97E99D085}"/>
    <hyperlink ref="AK107"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2023-05-04T11:02:04Z</dcterms:created>
  <dcterms:modified xsi:type="dcterms:W3CDTF">2023-10-30T07:00:11Z</dcterms:modified>
</cp:coreProperties>
</file>