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mmodities/"/>
    </mc:Choice>
  </mc:AlternateContent>
  <xr:revisionPtr revIDLastSave="0" documentId="13_ncr:1_{6145B849-4C46-904F-A6D9-AC9E679BBC5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7" i="1" l="1"/>
  <c r="O7" i="1"/>
  <c r="J6" i="1"/>
  <c r="J33" i="1" a="1"/>
  <c r="J33" i="1" s="1"/>
  <c r="J34" i="1" a="1"/>
  <c r="J34" i="1" s="1"/>
  <c r="N105" i="1"/>
  <c r="M105" i="1"/>
  <c r="L105" i="1"/>
  <c r="K105" i="1"/>
  <c r="J105" i="1"/>
  <c r="J35" i="1" l="1"/>
  <c r="O16" i="1" s="1"/>
  <c r="K115" i="1" l="1"/>
  <c r="J106" i="1"/>
  <c r="I21" i="1"/>
  <c r="J109" i="1" l="1"/>
  <c r="K109" i="1"/>
  <c r="L109" i="1"/>
  <c r="M109" i="1"/>
  <c r="N106" i="1"/>
  <c r="M106" i="1"/>
  <c r="L106" i="1"/>
  <c r="K106" i="1"/>
  <c r="F4" i="1" l="1"/>
  <c r="G4" i="1"/>
  <c r="H4" i="1"/>
  <c r="I4" i="1"/>
  <c r="D105" i="1" l="1"/>
  <c r="F105" i="1"/>
  <c r="I105" i="1"/>
  <c r="O106" i="1" s="1"/>
  <c r="K30" i="1"/>
  <c r="L30" i="1"/>
  <c r="M30" i="1"/>
  <c r="N30" i="1"/>
  <c r="J30" i="1"/>
  <c r="Q7" i="1" s="1"/>
  <c r="J21" i="1"/>
  <c r="P7" i="1" s="1"/>
  <c r="K21" i="1"/>
  <c r="L21" i="1"/>
  <c r="M21" i="1"/>
  <c r="N21" i="1"/>
  <c r="J29" i="1"/>
  <c r="K29" i="1"/>
  <c r="L29" i="1"/>
  <c r="M29" i="1"/>
  <c r="N29" i="1"/>
  <c r="J20" i="1"/>
  <c r="K20" i="1"/>
  <c r="L20" i="1"/>
  <c r="M20" i="1"/>
  <c r="N20" i="1"/>
  <c r="K117" i="1" a="1"/>
  <c r="K117" i="1" s="1"/>
  <c r="Q102" i="1" a="1"/>
  <c r="Q102" i="1" s="1"/>
  <c r="Q96" i="1" a="1"/>
  <c r="Q96" i="1" s="1"/>
  <c r="Q87" i="1"/>
  <c r="Q88" i="1"/>
  <c r="Q100" i="1"/>
  <c r="Q86" i="1"/>
  <c r="Q89" i="1"/>
  <c r="Q90" i="1"/>
  <c r="Q91" i="1"/>
  <c r="Q92" i="1"/>
  <c r="C105" i="1" s="1"/>
  <c r="K112" i="1"/>
  <c r="K113" i="1"/>
  <c r="O19" i="1"/>
  <c r="R13" i="1"/>
  <c r="Q13" i="1"/>
  <c r="P13" i="1"/>
  <c r="O13" i="1"/>
  <c r="I89" i="1"/>
  <c r="R10" i="1"/>
  <c r="I80" i="1"/>
  <c r="Q10" i="1"/>
  <c r="P10" i="1"/>
  <c r="O10" i="1"/>
  <c r="P4" i="1"/>
  <c r="O4" i="1"/>
  <c r="N4" i="1"/>
  <c r="M4" i="1"/>
  <c r="L4" i="1"/>
  <c r="K4" i="1"/>
  <c r="J4" i="1"/>
  <c r="I106" i="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Q4" i="1" s="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R22" i="1" l="1"/>
  <c r="H105" i="1"/>
  <c r="G105" i="1"/>
  <c r="E105" i="1"/>
  <c r="Q93" i="1"/>
  <c r="P22" i="1"/>
  <c r="R4" i="1"/>
  <c r="P19" i="1"/>
  <c r="R19" i="1"/>
  <c r="Q22" i="1"/>
  <c r="Q19" i="1"/>
  <c r="Q107" i="1"/>
  <c r="Q16" i="1"/>
  <c r="P16" i="1"/>
  <c r="Q104" i="1"/>
  <c r="Q101" i="1" s="1"/>
  <c r="R16" i="1"/>
  <c r="Q103" i="1" l="1"/>
  <c r="Q95" i="1" l="1"/>
  <c r="Q98" i="1" s="1"/>
  <c r="Q106" i="1" s="1"/>
  <c r="Q109" i="1" s="1"/>
  <c r="N108" i="1" s="1"/>
  <c r="N109" i="1" s="1"/>
  <c r="K111" i="1" s="1"/>
  <c r="K114" i="1" s="1"/>
  <c r="K116" i="1" s="1"/>
  <c r="K119"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<sst xmlns="http://schemas.openxmlformats.org/spreadsheetml/2006/main" count="436" uniqueCount="168">
  <si>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</si>
  <si>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</si>
  <si>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</si>
  <si>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</si>
  <si>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</si>
  <si>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</si>
  <si>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</si>
  <si>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</si>
  <si>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</si>
  <si>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</si>
  <si>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</si>
  <si>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</si>
  <si>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</si>
  <si>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</si>
  <si>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</si>
  <si>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</si>
  <si>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</si>
  <si>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</si>
  <si>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</si>
  <si>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</si>
  <si>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</si>
  <si>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</si>
  <si>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</si>
  <si>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</si>
  <si>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</si>
  <si>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</si>
  <si>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</si>
  <si>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</si>
  <si>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</si>
  <si>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</si>
  <si>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</si>
  <si>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</si>
  <si>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</si>
  <si>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</si>
  <si>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</si>
  <si>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</si>
  <si>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</si>
  <si>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</si>
  <si>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</si>
  <si>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</si>
  <si>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</si>
  <si>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</si>
  <si>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</si>
  <si>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</si>
  <si>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</si>
  <si>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</si>
  <si>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</si>
  <si>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</si>
  <si>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</si>
  <si>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</si>
  <si>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</si>
  <si>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</si>
  <si>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</si>
  <si>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</si>
  <si>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</si>
  <si>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</si>
  <si>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</si>
  <si>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</si>
  <si>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</si>
  <si>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</si>
  <si>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</si>
  <si>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</si>
  <si>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</si>
  <si>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</si>
  <si>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</si>
  <si>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</si>
  <si>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</si>
  <si>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</si>
  <si>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</si>
  <si>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</si>
  <si>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</si>
  <si>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</si>
  <si>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</si>
  <si>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</si>
  <si>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</si>
  <si>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</si>
  <si>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</si>
  <si>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</si>
  <si>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</si>
  <si>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</si>
  <si>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</si>
  <si>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</si>
  <si>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</si>
  <si>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</si>
  <si>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</si>
  <si>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</si>
  <si>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</si>
  <si>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</si>
  <si>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</si>
  <si>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</si>
  <si>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</si>
  <si>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</si>
  <si>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</si>
  <si>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</si>
  <si>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</si>
  <si>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</si>
  <si>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</si>
  <si>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</si>
  <si>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</si>
  <si>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</si>
  <si>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</si>
  <si>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</si>
  <si>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</si>
  <si>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</si>
  <si>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</si>
  <si>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</si>
  <si>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</si>
  <si>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</si>
  <si>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</si>
  <si>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</si>
  <si>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</si>
  <si>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</si>
  <si>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</si>
  <si>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</si>
  <si>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</si>
  <si>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</si>
  <si>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</si>
  <si>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</si>
  <si>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</si>
  <si>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</si>
  <si>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</si>
  <si>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</si>
  <si>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</si>
  <si>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</si>
  <si>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</si>
  <si>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</si>
  <si>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</si>
  <si>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</si>
  <si>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</si>
  <si>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</si>
  <si>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</si>
  <si>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</si>
  <si>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</si>
  <si>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</si>
  <si>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</si>
  <si>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</si>
  <si>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</si>
  <si>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</si>
  <si>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</si>
  <si>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</si>
  <si>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</si>
  <si>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</si>
  <si>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</si>
  <si>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</si>
  <si>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</si>
  <si>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</si>
  <si>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</si>
  <si>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</si>
  <si>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</si>
  <si>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</si>
  <si>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</si>
  <si>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</si>
  <si>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</si>
  <si>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</si>
  <si>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</si>
  <si>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</si>
  <si>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</si>
  <si>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Levered FCF</t>
  </si>
  <si>
    <t>Levered FCF Growth YoY</t>
  </si>
  <si>
    <t>Unlevered FCF</t>
  </si>
  <si>
    <t>Unlevered FCF Forecast</t>
  </si>
  <si>
    <t>Forward P/FCF</t>
  </si>
  <si>
    <t>Dividend Yield</t>
  </si>
  <si>
    <t>5Y Fwd FCF CAGR</t>
  </si>
  <si>
    <t>Forward FCF Yield</t>
  </si>
  <si>
    <t>5Y Fwd Income CAGR</t>
  </si>
  <si>
    <t>Share Dilution (6yr)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</si>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</sst>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8" borderId="0" xfId="0" applyFont="1" applyFill="1" applyAlignment="1">
      <alignment horizontal="left" vertical="center" wrapText="1"/>
    </xf>
    <xf numFmtId="0" fontId="12" fillId="8" borderId="0" xfId="0" applyFont="1" applyFill="1" applyAlignment="1">
      <alignment horizontal="left" vertical="center" wrapText="1"/>
    </xf>
    <xf numFmtId="0" fontId="11" fillId="6" borderId="0" xfId="0" applyFont="1" applyFill="1" applyAlignment="1">
      <alignment horizontal="left" vertical="center" wrapText="1"/>
    </xf>
    <xf numFmtId="0" fontId="12"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8" borderId="0" xfId="0" applyNumberFormat="1" applyFont="1" applyFill="1" applyAlignment="1">
      <alignment vertical="center"/>
    </xf>
    <xf numFmtId="10" fontId="12" fillId="8" borderId="0" xfId="0" applyNumberFormat="1" applyFont="1" applyFill="1" applyAlignment="1">
      <alignment vertical="center"/>
    </xf>
    <xf numFmtId="9" fontId="1" fillId="0" borderId="0" xfId="0" applyNumberFormat="1" applyFont="1" applyAlignment="1">
      <alignment vertical="center"/>
    </xf>
    <xf numFmtId="39" fontId="11" fillId="6" borderId="0" xfId="0" applyNumberFormat="1" applyFont="1" applyFill="1" applyAlignment="1">
      <alignment vertical="center"/>
    </xf>
    <xf numFmtId="10" fontId="11" fillId="8" borderId="0" xfId="0" applyNumberFormat="1" applyFont="1" applyFill="1" applyAlignment="1">
      <alignment vertical="center"/>
    </xf>
    <xf numFmtId="164" fontId="1" fillId="6" borderId="0" xfId="0" applyNumberFormat="1" applyFont="1" applyFill="1" applyAlignment="1">
      <alignment vertical="center"/>
    </xf>
    <xf numFmtId="164" fontId="12" fillId="8"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4" borderId="0" xfId="0" applyNumberFormat="1" applyFont="1" applyFill="1" applyAlignment="1">
      <alignment vertical="center"/>
    </xf>
    <xf numFmtId="164" fontId="10" fillId="7" borderId="0" xfId="0" applyNumberFormat="1" applyFont="1" applyFill="1" applyAlignment="1">
      <alignment vertical="center"/>
    </xf>
    <xf numFmtId="9" fontId="16"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6" fillId="7" borderId="0" xfId="0" applyFont="1" applyFill="1" applyAlignment="1">
      <alignment vertical="center" wrapText="1"/>
    </xf>
    <xf numFmtId="0" fontId="16"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2" fillId="4" borderId="0" xfId="0" applyNumberFormat="1" applyFont="1" applyFill="1" applyAlignment="1">
      <alignment vertical="center"/>
    </xf>
    <xf numFmtId="167" fontId="1" fillId="6"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165" fontId="10" fillId="6" borderId="0" xfId="0" applyNumberFormat="1" applyFont="1" applyFill="1" applyAlignment="1">
      <alignmen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2" fillId="5" borderId="0" xfId="0" applyFont="1" applyFill="1" applyAlignment="1">
      <alignment horizontal="center" vertical="center" wrapText="1"/>
    </xf>
    <xf numFmtId="0" fontId="1" fillId="4" borderId="0" xfId="0" applyFont="1" applyFill="1" applyAlignment="1">
      <alignment horizontal="center" vertical="center"/>
    </xf>
    <xf numFmtId="165" fontId="11"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Livent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667159746179161E-2"/>
          <c:y val="0.16117540050753568"/>
          <c:w val="0.84782912688914058"/>
          <c:h val="0.58421953839844354"/>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1'!$C$3:$N$3</c:f>
              <c:numCache>
                <c:formatCode>#,###,,;\(#,###,,\);\ \-\ \-</c:formatCode>
                <c:ptCount val="12"/>
                <c:pt idx="0">
                  <c:v>264100000</c:v>
                </c:pt>
                <c:pt idx="1">
                  <c:v>347400000</c:v>
                </c:pt>
                <c:pt idx="2">
                  <c:v>442500000</c:v>
                </c:pt>
                <c:pt idx="3">
                  <c:v>388400000</c:v>
                </c:pt>
                <c:pt idx="4">
                  <c:v>288200000</c:v>
                </c:pt>
                <c:pt idx="5">
                  <c:v>420400000</c:v>
                </c:pt>
                <c:pt idx="6">
                  <c:v>813200000</c:v>
                </c:pt>
                <c:pt idx="7">
                  <c:v>1052000000</c:v>
                </c:pt>
                <c:pt idx="8">
                  <c:v>1371000000</c:v>
                </c:pt>
                <c:pt idx="9">
                  <c:v>1486000000</c:v>
                </c:pt>
                <c:pt idx="10">
                  <c:v>1589000000</c:v>
                </c:pt>
                <c:pt idx="11">
                  <c:v>2293000000</c:v>
                </c:pt>
              </c:numCache>
            </c:numRef>
          </c:val>
          <c:extLst>
            <c:ext xmlns:c16="http://schemas.microsoft.com/office/drawing/2014/chart" uri="{C3380CC4-5D6E-409C-BE32-E72D297353CC}">
              <c16:uniqueId val="{00000000-93E8-FA40-8A98-49507DC6A16A}"/>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1'!$C$28:$N$28</c:f>
              <c:numCache>
                <c:formatCode>#,###,,;\(#,###,,\);\ \-\ \-</c:formatCode>
                <c:ptCount val="12"/>
                <c:pt idx="0">
                  <c:v>47100000</c:v>
                </c:pt>
                <c:pt idx="1">
                  <c:v>42200000</c:v>
                </c:pt>
                <c:pt idx="2">
                  <c:v>126100000</c:v>
                </c:pt>
                <c:pt idx="3">
                  <c:v>50200000</c:v>
                </c:pt>
                <c:pt idx="4">
                  <c:v>-18900000</c:v>
                </c:pt>
                <c:pt idx="5">
                  <c:v>100000000</c:v>
                </c:pt>
                <c:pt idx="6">
                  <c:v>273500000</c:v>
                </c:pt>
                <c:pt idx="7">
                  <c:v>449000000</c:v>
                </c:pt>
                <c:pt idx="8">
                  <c:v>529000000</c:v>
                </c:pt>
                <c:pt idx="9">
                  <c:v>660400000</c:v>
                </c:pt>
                <c:pt idx="10">
                  <c:v>632000000</c:v>
                </c:pt>
                <c:pt idx="11">
                  <c:v>1000000000</c:v>
                </c:pt>
              </c:numCache>
            </c:numRef>
          </c:val>
          <c:extLst>
            <c:ext xmlns:c16="http://schemas.microsoft.com/office/drawing/2014/chart" uri="{C3380CC4-5D6E-409C-BE32-E72D297353CC}">
              <c16:uniqueId val="{00000001-93E8-FA40-8A98-49507DC6A16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1'!$C$1:$N$1</c:f>
              <c:numCache>
                <c:formatCode>General</c:formatCode>
                <c:ptCount val="12"/>
                <c:pt idx="0">
                  <c:v>2016</c:v>
                </c:pt>
                <c:pt idx="1">
                  <c:v>2017</c:v>
                </c:pt>
                <c:pt idx="2">
                  <c:v>2018</c:v>
                </c:pt>
                <c:pt idx="3">
                  <c:v>2019</c:v>
                </c:pt>
                <c:pt idx="4">
                  <c:v>2020</c:v>
                </c:pt>
                <c:pt idx="5">
                  <c:v>2021</c:v>
                </c:pt>
                <c:pt idx="6">
                  <c:v>2022</c:v>
                </c:pt>
                <c:pt idx="7">
                  <c:v>2023</c:v>
                </c:pt>
                <c:pt idx="8">
                  <c:v>2024</c:v>
                </c:pt>
                <c:pt idx="9">
                  <c:v>2025</c:v>
                </c:pt>
                <c:pt idx="10">
                  <c:v>2026</c:v>
                </c:pt>
                <c:pt idx="11">
                  <c:v>2027</c:v>
                </c:pt>
              </c:numCache>
            </c:numRef>
          </c:cat>
          <c:val>
            <c:numRef>
              <c:f>'Sheet 1'!$C$107:$N$107</c:f>
              <c:numCache>
                <c:formatCode>#,###,,;\(#,###,,\);\ \-\ \-</c:formatCode>
                <c:ptCount val="12"/>
                <c:pt idx="0">
                  <c:v>25300000</c:v>
                </c:pt>
                <c:pt idx="1">
                  <c:v>9400000</c:v>
                </c:pt>
                <c:pt idx="2">
                  <c:v>18400000</c:v>
                </c:pt>
                <c:pt idx="3">
                  <c:v>-126200000</c:v>
                </c:pt>
                <c:pt idx="4">
                  <c:v>60000000</c:v>
                </c:pt>
                <c:pt idx="5">
                  <c:v>260000000</c:v>
                </c:pt>
                <c:pt idx="6">
                  <c:v>454700000</c:v>
                </c:pt>
                <c:pt idx="7">
                  <c:v>67000000</c:v>
                </c:pt>
                <c:pt idx="8">
                  <c:v>80000000</c:v>
                </c:pt>
                <c:pt idx="9">
                  <c:v>235000000</c:v>
                </c:pt>
                <c:pt idx="10">
                  <c:v>371000000</c:v>
                </c:pt>
                <c:pt idx="11">
                  <c:v>1110000000</c:v>
                </c:pt>
              </c:numCache>
            </c:numRef>
          </c:val>
          <c:extLst>
            <c:ext xmlns:c16="http://schemas.microsoft.com/office/drawing/2014/chart" uri="{C3380CC4-5D6E-409C-BE32-E72D297353CC}">
              <c16:uniqueId val="{00000002-93E8-FA40-8A98-49507DC6A16A}"/>
            </c:ext>
          </c:extLst>
        </c:ser>
        <c:dLbls>
          <c:showLegendKey val="0"/>
          <c:showVal val="0"/>
          <c:showCatName val="0"/>
          <c:showSerName val="0"/>
          <c:showPercent val="0"/>
          <c:showBubbleSize val="0"/>
        </c:dLbls>
        <c:gapWidth val="150"/>
        <c:overlap val="100"/>
        <c:axId val="1305270128"/>
        <c:axId val="1305271856"/>
      </c:barChart>
      <c:catAx>
        <c:axId val="13052701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271856"/>
        <c:crosses val="autoZero"/>
        <c:auto val="1"/>
        <c:lblAlgn val="ctr"/>
        <c:lblOffset val="100"/>
        <c:noMultiLvlLbl val="0"/>
      </c:catAx>
      <c:valAx>
        <c:axId val="13052718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270128"/>
        <c:crosses val="autoZero"/>
        <c:crossBetween val="between"/>
      </c:valAx>
      <c:spPr>
        <a:noFill/>
        <a:ln>
          <a:noFill/>
        </a:ln>
        <a:effectLst/>
      </c:spPr>
    </c:plotArea>
    <c:legend>
      <c:legendPos val="b"/>
      <c:layout>
        <c:manualLayout>
          <c:xMode val="edge"/>
          <c:yMode val="edge"/>
          <c:x val="0.31324329156688724"/>
          <c:y val="0.87739463305613752"/>
          <c:w val="0.3777399475065617"/>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47624</xdr:colOff>
      <xdr:row>109</xdr:row>
      <xdr:rowOff>17463</xdr:rowOff>
    </xdr:from>
    <xdr:to>
      <xdr:col>16</xdr:col>
      <xdr:colOff>1571624</xdr:colOff>
      <xdr:row>125</xdr:row>
      <xdr:rowOff>190500</xdr:rowOff>
    </xdr:to>
    <xdr:graphicFrame macro="">
      <xdr:nvGraphicFramePr>
        <xdr:cNvPr id="2" name="Chart 1">
          <a:extLst>
            <a:ext uri="{FF2B5EF4-FFF2-40B4-BE49-F238E27FC236}">
              <a16:creationId xmlns:a16="http://schemas.microsoft.com/office/drawing/2014/main" id="{DBE27668-E582-DDB4-E78A-38BF632853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35.81</v>
    <v>15.01</v>
    <v>1.8748</v>
    <v>-0.19</v>
    <v>-1.2418E-2</v>
    <v>-0.01</v>
    <v>-6.6180000000000004E-4</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15.69</v>
    <v>Chemicals</v>
    <v>Stock</v>
    <v>45226.99902977969</v>
    <v>0</v>
    <v>15.01</v>
    <v>2715500000</v>
    <v>LIVENT CORPORATION</v>
    <v>LIVENT CORPORATION</v>
    <v>15.4</v>
    <v>8.6542999999999992</v>
    <v>15.3</v>
    <v>15.11</v>
    <v>15.1</v>
    <v>179715400</v>
    <v>LTHM</v>
    <v>LIVENT CORPORATION (XNYS:LTHM)</v>
    <v>2603242</v>
    <v>3859127</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F94" activePane="bottomRight" state="frozen"/>
      <selection pane="topRight"/>
      <selection pane="bottomLeft"/>
      <selection pane="bottomRight" activeCell="G113" sqref="G113"/>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3">
        <v>2023</v>
      </c>
      <c r="K1" s="23">
        <v>2024</v>
      </c>
      <c r="L1" s="23">
        <v>2025</v>
      </c>
      <c r="M1" s="23">
        <v>2026</v>
      </c>
      <c r="N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4">
        <v>1052000000</v>
      </c>
      <c r="K3" s="24">
        <v>1371000000</v>
      </c>
      <c r="L3" s="24">
        <v>1486000000</v>
      </c>
      <c r="M3" s="24">
        <v>1589000000</v>
      </c>
      <c r="N3" s="24">
        <v>2293000000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I4" si="0">(F3/E3)-1</f>
        <v>-0.12225988700564971</v>
      </c>
      <c r="G4" s="15">
        <f t="shared" si="0"/>
        <v>-0.25798146240988673</v>
      </c>
      <c r="H4" s="15">
        <f t="shared" si="0"/>
        <v>0.45870922970159622</v>
      </c>
      <c r="I4" s="15">
        <f t="shared" si="0"/>
        <v>0.93434823977164605</v>
      </c>
      <c r="J4" s="16">
        <f t="shared" ref="J4:N4" si="1">(J3/I3)-1</f>
        <v>0.29365469749139206</v>
      </c>
      <c r="K4" s="16">
        <f t="shared" si="1"/>
        <v>0.30323193916349811</v>
      </c>
      <c r="L4" s="16">
        <f t="shared" si="1"/>
        <v>8.3880379285193207E-2</v>
      </c>
      <c r="M4" s="16">
        <f t="shared" si="1"/>
        <v>6.931359353970401E-2</v>
      </c>
      <c r="N4" s="16">
        <f t="shared" si="1"/>
        <v>0.44304594084329763</v>
      </c>
      <c r="O4" s="17">
        <f>(I4+H4+G4)/3</f>
        <v>0.37835866902111848</v>
      </c>
      <c r="P4" s="17">
        <f>(I20+H20+G20)/3</f>
        <v>8.5115449283174822</v>
      </c>
      <c r="Q4" s="17">
        <f>(I29+H29+G29)/3</f>
        <v>-1.9774997716365581</v>
      </c>
      <c r="R4" s="17">
        <f>(I106+H106+G106)/3</f>
        <v>0.86891455700488984</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J6" s="30">
        <f>J3*J7</f>
        <v>639721200</v>
      </c>
      <c r="O6" s="70" t="s">
        <v>111</v>
      </c>
      <c r="P6" s="71" t="s">
        <v>112</v>
      </c>
      <c r="Q6" s="71" t="s">
        <v>113</v>
      </c>
      <c r="R6" s="71"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J7" s="2">
        <v>0.60809999999999997</v>
      </c>
      <c r="O7" s="17">
        <f>J7</f>
        <v>0.60809999999999997</v>
      </c>
      <c r="P7" s="21">
        <f>J21</f>
        <v>0.5513307984790875</v>
      </c>
      <c r="Q7" s="21">
        <f>J30</f>
        <v>0.42680608365019013</v>
      </c>
      <c r="R7" s="21">
        <f>J107/J3</f>
        <v>6.3688212927756657E-2</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2">C8/C3</f>
        <v>1.1737978038621734E-2</v>
      </c>
      <c r="D9" s="15">
        <f t="shared" si="2"/>
        <v>8.9234312032239489E-3</v>
      </c>
      <c r="E9" s="15">
        <f t="shared" si="2"/>
        <v>8.5875706214689259E-3</v>
      </c>
      <c r="F9" s="15">
        <f t="shared" si="2"/>
        <v>8.4963954685890828E-3</v>
      </c>
      <c r="G9" s="15">
        <f t="shared" si="2"/>
        <v>1.2838306731436502E-2</v>
      </c>
      <c r="H9" s="15">
        <f t="shared" si="2"/>
        <v>7.136060894386299E-3</v>
      </c>
      <c r="I9" s="15">
        <f t="shared" si="2"/>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3">C12/C3</f>
        <v>9.5418402120408932E-2</v>
      </c>
      <c r="D13" s="15">
        <f t="shared" si="3"/>
        <v>0.10218767990788716</v>
      </c>
      <c r="E13" s="15">
        <f t="shared" si="3"/>
        <v>8.3163841807909603E-2</v>
      </c>
      <c r="F13" s="15">
        <f t="shared" si="3"/>
        <v>0.10427394438722966</v>
      </c>
      <c r="G13" s="15">
        <f t="shared" si="3"/>
        <v>0.15475364330326163</v>
      </c>
      <c r="H13" s="15">
        <f t="shared" si="3"/>
        <v>0.1186964795432921</v>
      </c>
      <c r="I13" s="15">
        <f t="shared" si="3"/>
        <v>6.7879980324643388E-2</v>
      </c>
      <c r="J13" s="15"/>
      <c r="K13" s="15"/>
      <c r="O13" s="17">
        <f>I28/I72</f>
        <v>0.19085833914863923</v>
      </c>
      <c r="P13" s="21">
        <f>I28/I54</f>
        <v>0.13185806576029313</v>
      </c>
      <c r="Q13" s="21">
        <f>I22/(I72+I56+I61)</f>
        <v>0.19607140724819391</v>
      </c>
      <c r="R13" s="29">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166</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5">
        <f>AVERAGE(E35:J35)</f>
        <v>5.1409373243569916E-2</v>
      </c>
      <c r="P16" s="27">
        <f>Q102/I3</f>
        <v>3.3392769306443681</v>
      </c>
      <c r="Q16" s="27">
        <f>Q102/I28</f>
        <v>9.9287020109689212</v>
      </c>
      <c r="R16" s="28">
        <f>Q102/I107</f>
        <v>5.9720694963712342</v>
      </c>
    </row>
    <row r="17" spans="1:18" ht="19" x14ac:dyDescent="0.25">
      <c r="A17" s="5" t="s">
        <v>12</v>
      </c>
      <c r="B17" s="1" t="s">
        <v>91</v>
      </c>
      <c r="C17" s="1" t="s">
        <v>91</v>
      </c>
      <c r="D17" s="1" t="s">
        <v>91</v>
      </c>
      <c r="E17" s="1" t="s">
        <v>91</v>
      </c>
      <c r="F17" s="1" t="s">
        <v>91</v>
      </c>
      <c r="G17" s="1">
        <v>3700000</v>
      </c>
      <c r="H17" s="1">
        <v>29700000</v>
      </c>
      <c r="I17" s="1">
        <v>328400000</v>
      </c>
    </row>
    <row r="18" spans="1:18" ht="20" x14ac:dyDescent="0.25">
      <c r="A18" s="5" t="s">
        <v>13</v>
      </c>
      <c r="B18" s="1" t="s">
        <v>91</v>
      </c>
      <c r="C18" s="1">
        <v>14800000</v>
      </c>
      <c r="D18" s="1">
        <v>15900000</v>
      </c>
      <c r="E18" s="1">
        <v>17800000</v>
      </c>
      <c r="F18" s="1">
        <v>20900000</v>
      </c>
      <c r="G18" s="1">
        <v>25000000</v>
      </c>
      <c r="H18" s="1">
        <v>25100000</v>
      </c>
      <c r="I18" s="1" t="s">
        <v>91</v>
      </c>
      <c r="O18" s="19" t="s">
        <v>122</v>
      </c>
      <c r="P18" s="20" t="s">
        <v>155</v>
      </c>
      <c r="Q18" s="20" t="s">
        <v>156</v>
      </c>
      <c r="R18" s="20" t="s">
        <v>161</v>
      </c>
    </row>
    <row r="19" spans="1:18" ht="19" x14ac:dyDescent="0.25">
      <c r="A19" s="6" t="s">
        <v>14</v>
      </c>
      <c r="B19" s="10" t="s">
        <v>91</v>
      </c>
      <c r="C19" s="10">
        <v>69300000</v>
      </c>
      <c r="D19" s="10">
        <v>86000000</v>
      </c>
      <c r="E19" s="10">
        <v>170900000</v>
      </c>
      <c r="F19" s="10">
        <v>78700000</v>
      </c>
      <c r="G19" s="10">
        <v>3300000</v>
      </c>
      <c r="H19" s="10">
        <v>78700000</v>
      </c>
      <c r="I19" s="10">
        <v>365500000</v>
      </c>
      <c r="J19" s="30">
        <v>580000000</v>
      </c>
      <c r="K19" s="30">
        <v>688000000</v>
      </c>
      <c r="L19" s="30">
        <v>786000000</v>
      </c>
      <c r="M19" s="30">
        <v>817000000</v>
      </c>
      <c r="N19" s="30">
        <v>1200000000</v>
      </c>
      <c r="O19" s="26">
        <f>I40-I56-I61</f>
        <v>-52900000</v>
      </c>
      <c r="P19" s="27">
        <f>Q102/J3</f>
        <v>2.581273764258555</v>
      </c>
      <c r="Q19" s="34">
        <f>Q102/J28</f>
        <v>6.0478841870824054</v>
      </c>
      <c r="R19" s="28">
        <f>Q102/J107</f>
        <v>40.529850746268657</v>
      </c>
    </row>
    <row r="20" spans="1:18" ht="19" customHeight="1" x14ac:dyDescent="0.25">
      <c r="A20" s="14" t="s">
        <v>100</v>
      </c>
      <c r="B20" s="1"/>
      <c r="C20" s="15" t="e">
        <f>(C19/B19)-1</f>
        <v>#VALUE!</v>
      </c>
      <c r="D20" s="15">
        <f>(D19/C19)-1</f>
        <v>0.24098124098124107</v>
      </c>
      <c r="E20" s="15">
        <f>(E19/D19)-1</f>
        <v>0.98720930232558146</v>
      </c>
      <c r="F20" s="15">
        <f t="shared" ref="F20:I20" si="4">(F19/E19)-1</f>
        <v>-0.53949678174370974</v>
      </c>
      <c r="G20" s="15">
        <f t="shared" si="4"/>
        <v>-0.95806861499364682</v>
      </c>
      <c r="H20" s="15">
        <f t="shared" si="4"/>
        <v>22.848484848484848</v>
      </c>
      <c r="I20" s="15">
        <f t="shared" si="4"/>
        <v>3.6442185514612451</v>
      </c>
      <c r="J20" s="16">
        <f t="shared" ref="J20" si="5">(J19/I19)-1</f>
        <v>0.5868673050615596</v>
      </c>
      <c r="K20" s="16">
        <f t="shared" ref="K20" si="6">(K19/J19)-1</f>
        <v>0.18620689655172407</v>
      </c>
      <c r="L20" s="16">
        <f t="shared" ref="L20" si="7">(L19/K19)-1</f>
        <v>0.14244186046511631</v>
      </c>
      <c r="M20" s="16">
        <f t="shared" ref="M20" si="8">(M19/L19)-1</f>
        <v>3.9440203562340903E-2</v>
      </c>
      <c r="N20" s="16">
        <f t="shared" ref="N20" si="9">(N19/M19)-1</f>
        <v>0.46878824969400235</v>
      </c>
    </row>
    <row r="21" spans="1:18" ht="20" x14ac:dyDescent="0.25">
      <c r="A21" s="5" t="s">
        <v>15</v>
      </c>
      <c r="B21" s="2" t="s">
        <v>91</v>
      </c>
      <c r="C21" s="2">
        <v>0.26240000000000002</v>
      </c>
      <c r="D21" s="2">
        <v>0.24759999999999999</v>
      </c>
      <c r="E21" s="2">
        <v>0.38619999999999999</v>
      </c>
      <c r="F21" s="2">
        <v>0.2026</v>
      </c>
      <c r="G21" s="2">
        <v>1.15E-2</v>
      </c>
      <c r="H21" s="2">
        <v>0.18720000000000001</v>
      </c>
      <c r="I21" s="2">
        <f>I19/I3</f>
        <v>0.44945892769306445</v>
      </c>
      <c r="J21" s="31">
        <f t="shared" ref="J21:M21" si="10">J19/J3</f>
        <v>0.5513307984790875</v>
      </c>
      <c r="K21" s="31">
        <f t="shared" si="10"/>
        <v>0.5018234865061999</v>
      </c>
      <c r="L21" s="31">
        <f t="shared" si="10"/>
        <v>0.52893674293405113</v>
      </c>
      <c r="M21" s="31">
        <f t="shared" si="10"/>
        <v>0.51415984896161104</v>
      </c>
      <c r="N21" s="31">
        <f>N19/N3</f>
        <v>0.52333187963366767</v>
      </c>
      <c r="P21" s="44" t="s">
        <v>165</v>
      </c>
      <c r="Q21" s="19" t="s">
        <v>162</v>
      </c>
      <c r="R21" s="20" t="s">
        <v>164</v>
      </c>
    </row>
    <row r="22" spans="1:18" ht="19" x14ac:dyDescent="0.25">
      <c r="A22" s="6" t="s">
        <v>16</v>
      </c>
      <c r="B22" s="10" t="s">
        <v>91</v>
      </c>
      <c r="C22" s="10">
        <v>60000000</v>
      </c>
      <c r="D22" s="10">
        <v>110200000</v>
      </c>
      <c r="E22" s="10">
        <v>165100000</v>
      </c>
      <c r="F22" s="10">
        <v>71100000</v>
      </c>
      <c r="G22" s="10">
        <v>-16000000</v>
      </c>
      <c r="H22" s="10">
        <v>31900000</v>
      </c>
      <c r="I22" s="10">
        <v>328400000</v>
      </c>
      <c r="P22" s="17">
        <f>SUM(J29:N29)/5</f>
        <v>0.3215046113042237</v>
      </c>
      <c r="Q22" s="36">
        <f>(-1*I98)/Q102</f>
        <v>0</v>
      </c>
      <c r="R22" s="37">
        <f>J107/Q102</f>
        <v>2.4673172528079542E-2</v>
      </c>
    </row>
    <row r="23" spans="1:18"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8" ht="19" x14ac:dyDescent="0.25">
      <c r="A24" s="5" t="s">
        <v>18</v>
      </c>
      <c r="B24" s="1" t="s">
        <v>91</v>
      </c>
      <c r="C24" s="1">
        <v>-5500000</v>
      </c>
      <c r="D24" s="1">
        <v>-40100000</v>
      </c>
      <c r="E24" s="1">
        <v>-12000000</v>
      </c>
      <c r="F24" s="1">
        <v>-13300000</v>
      </c>
      <c r="G24" s="1">
        <v>-9400000</v>
      </c>
      <c r="H24" s="1">
        <v>-8000000</v>
      </c>
      <c r="I24" s="1">
        <v>7000000</v>
      </c>
    </row>
    <row r="25" spans="1:18" ht="19" x14ac:dyDescent="0.25">
      <c r="A25" s="6" t="s">
        <v>19</v>
      </c>
      <c r="B25" s="10" t="s">
        <v>91</v>
      </c>
      <c r="C25" s="10">
        <v>54500000</v>
      </c>
      <c r="D25" s="10">
        <v>70100000</v>
      </c>
      <c r="E25" s="10">
        <v>153100000</v>
      </c>
      <c r="F25" s="10">
        <v>57800000</v>
      </c>
      <c r="G25" s="10">
        <v>-25400000</v>
      </c>
      <c r="H25" s="10">
        <v>23900000</v>
      </c>
      <c r="I25" s="10">
        <v>335400000</v>
      </c>
    </row>
    <row r="26" spans="1:18"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8" ht="19" x14ac:dyDescent="0.25">
      <c r="A27" s="5" t="s">
        <v>21</v>
      </c>
      <c r="B27" s="1" t="s">
        <v>91</v>
      </c>
      <c r="C27" s="1">
        <v>7400000</v>
      </c>
      <c r="D27" s="1">
        <v>27900000</v>
      </c>
      <c r="E27" s="1">
        <v>27000000</v>
      </c>
      <c r="F27" s="1">
        <v>7600000</v>
      </c>
      <c r="G27" s="1">
        <v>-6500000</v>
      </c>
      <c r="H27" s="1">
        <v>23300000</v>
      </c>
      <c r="I27" s="1">
        <v>61900000</v>
      </c>
    </row>
    <row r="28" spans="1:18" ht="20" thickBot="1" x14ac:dyDescent="0.3">
      <c r="A28" s="7" t="s">
        <v>22</v>
      </c>
      <c r="B28" s="11" t="s">
        <v>91</v>
      </c>
      <c r="C28" s="11">
        <v>47100000</v>
      </c>
      <c r="D28" s="11">
        <v>42200000</v>
      </c>
      <c r="E28" s="11">
        <v>126100000</v>
      </c>
      <c r="F28" s="11">
        <v>50200000</v>
      </c>
      <c r="G28" s="11">
        <v>-18900000</v>
      </c>
      <c r="H28" s="11">
        <v>100000000</v>
      </c>
      <c r="I28" s="11">
        <v>273500000</v>
      </c>
      <c r="J28" s="32">
        <v>449000000</v>
      </c>
      <c r="K28" s="32">
        <v>529000000</v>
      </c>
      <c r="L28" s="32">
        <v>660400000</v>
      </c>
      <c r="M28" s="32">
        <v>632000000</v>
      </c>
      <c r="N28" s="32">
        <v>1000000000</v>
      </c>
    </row>
    <row r="29" spans="1:18" ht="20" customHeight="1" thickTop="1" x14ac:dyDescent="0.25">
      <c r="A29" s="14" t="s">
        <v>101</v>
      </c>
      <c r="B29" s="1"/>
      <c r="C29" s="15" t="e">
        <f>(C28/B28)-1</f>
        <v>#VALUE!</v>
      </c>
      <c r="D29" s="15">
        <f>(D28/C28)-1</f>
        <v>-0.10403397027600847</v>
      </c>
      <c r="E29" s="15">
        <f>(E28/D28)-1</f>
        <v>1.9881516587677726</v>
      </c>
      <c r="F29" s="15">
        <f t="shared" ref="F29:I29" si="11">(F28/E28)-1</f>
        <v>-0.60190325138778755</v>
      </c>
      <c r="G29" s="15">
        <f t="shared" si="11"/>
        <v>-1.3764940239043826</v>
      </c>
      <c r="H29" s="15">
        <f t="shared" si="11"/>
        <v>-6.2910052910052912</v>
      </c>
      <c r="I29" s="15">
        <f t="shared" si="11"/>
        <v>1.7349999999999999</v>
      </c>
      <c r="J29" s="16">
        <f t="shared" ref="J29" si="12">(J28/I28)-1</f>
        <v>0.64168190127970748</v>
      </c>
      <c r="K29" s="16">
        <f t="shared" ref="K29" si="13">(K28/J28)-1</f>
        <v>0.17817371937639193</v>
      </c>
      <c r="L29" s="16">
        <f t="shared" ref="L29" si="14">(L28/K28)-1</f>
        <v>0.24839319470699439</v>
      </c>
      <c r="M29" s="16">
        <f t="shared" ref="M29" si="15">(M28/L28)-1</f>
        <v>-4.300423985463353E-2</v>
      </c>
      <c r="N29" s="16">
        <f t="shared" ref="N29" si="16">(N28/M28)-1</f>
        <v>0.58227848101265822</v>
      </c>
    </row>
    <row r="30" spans="1:18" ht="19" x14ac:dyDescent="0.25">
      <c r="A30" s="5" t="s">
        <v>23</v>
      </c>
      <c r="B30" s="2" t="s">
        <v>91</v>
      </c>
      <c r="C30" s="2">
        <v>0.17829999999999999</v>
      </c>
      <c r="D30" s="2">
        <v>0.1215</v>
      </c>
      <c r="E30" s="2">
        <v>0.28499999999999998</v>
      </c>
      <c r="F30" s="2">
        <v>0.12920000000000001</v>
      </c>
      <c r="G30" s="2">
        <v>-6.5600000000000006E-2</v>
      </c>
      <c r="H30" s="2">
        <v>1.4E-3</v>
      </c>
      <c r="I30" s="2">
        <v>0.33629999999999999</v>
      </c>
      <c r="J30" s="33">
        <f>J28/J3</f>
        <v>0.42680608365019013</v>
      </c>
      <c r="K30" s="33">
        <f t="shared" ref="K30:N30" si="17">K28/K3</f>
        <v>0.38584974471188915</v>
      </c>
      <c r="L30" s="33">
        <f t="shared" si="17"/>
        <v>0.44441453566621802</v>
      </c>
      <c r="M30" s="33">
        <f t="shared" si="17"/>
        <v>0.39773442416614224</v>
      </c>
      <c r="N30" s="33">
        <f t="shared" si="17"/>
        <v>0.43610989969472308</v>
      </c>
    </row>
    <row r="31" spans="1:18" ht="19" x14ac:dyDescent="0.25">
      <c r="A31" s="5" t="s">
        <v>24</v>
      </c>
      <c r="B31" s="12" t="s">
        <v>91</v>
      </c>
      <c r="C31" s="12">
        <v>0.33</v>
      </c>
      <c r="D31" s="12">
        <v>0.28999999999999998</v>
      </c>
      <c r="E31" s="12">
        <v>0.99</v>
      </c>
      <c r="F31" s="12">
        <v>0.34</v>
      </c>
      <c r="G31" s="12">
        <v>-0.13</v>
      </c>
      <c r="H31" s="12" t="s">
        <v>90</v>
      </c>
      <c r="I31" s="12">
        <v>1.59</v>
      </c>
    </row>
    <row r="32" spans="1:18" ht="19" x14ac:dyDescent="0.25">
      <c r="A32" s="5" t="s">
        <v>25</v>
      </c>
      <c r="B32" s="12" t="s">
        <v>91</v>
      </c>
      <c r="C32" s="12">
        <v>0.33</v>
      </c>
      <c r="D32" s="12">
        <v>0.28999999999999998</v>
      </c>
      <c r="E32" s="12">
        <v>0.99</v>
      </c>
      <c r="F32" s="12">
        <v>0.34</v>
      </c>
      <c r="G32" s="12">
        <v>-0.13</v>
      </c>
      <c r="H32" s="12" t="s">
        <v>90</v>
      </c>
      <c r="I32" s="12">
        <v>1.36</v>
      </c>
    </row>
    <row r="33" spans="1:10" ht="19" x14ac:dyDescent="0.25">
      <c r="A33" s="5" t="s">
        <v>26</v>
      </c>
      <c r="B33" s="1" t="s">
        <v>91</v>
      </c>
      <c r="C33" s="1">
        <v>143000000</v>
      </c>
      <c r="D33" s="1">
        <v>143000000</v>
      </c>
      <c r="E33" s="1">
        <v>127700000</v>
      </c>
      <c r="F33" s="1">
        <v>146000000</v>
      </c>
      <c r="G33" s="1">
        <v>146200000</v>
      </c>
      <c r="H33" s="1">
        <v>146200000</v>
      </c>
      <c r="I33" s="1">
        <v>171800000</v>
      </c>
      <c r="J33" s="1" cm="1">
        <f t="array" ref="J33">_FV(A1,"Shares outstanding",TRUE)</f>
        <v>179715400</v>
      </c>
    </row>
    <row r="34" spans="1:10" ht="19" x14ac:dyDescent="0.25">
      <c r="A34" s="5" t="s">
        <v>27</v>
      </c>
      <c r="B34" s="1" t="s">
        <v>91</v>
      </c>
      <c r="C34" s="1">
        <v>143000000</v>
      </c>
      <c r="D34" s="1">
        <v>143000000</v>
      </c>
      <c r="E34" s="1">
        <v>127700000</v>
      </c>
      <c r="F34" s="1">
        <v>146400000</v>
      </c>
      <c r="G34" s="1">
        <v>146200000</v>
      </c>
      <c r="H34" s="1">
        <v>146200000</v>
      </c>
      <c r="I34" s="1">
        <v>201600000</v>
      </c>
      <c r="J34" s="1" cm="1">
        <f t="array" ref="J34">_FV(A1,"Shares outstanding",TRUE)</f>
        <v>179715400</v>
      </c>
    </row>
    <row r="35" spans="1:10" ht="20" customHeight="1" x14ac:dyDescent="0.25">
      <c r="A35" s="14" t="s">
        <v>102</v>
      </c>
      <c r="B35" s="1"/>
      <c r="C35" s="22" t="e">
        <f>(C34-B34)/B34</f>
        <v>#VALUE!</v>
      </c>
      <c r="D35" s="22">
        <f t="shared" ref="D35:J35" si="18">(D34-C34)/C34</f>
        <v>0</v>
      </c>
      <c r="E35" s="22">
        <f t="shared" si="18"/>
        <v>-0.106993006993007</v>
      </c>
      <c r="F35" s="22">
        <f t="shared" si="18"/>
        <v>0.14643696162881753</v>
      </c>
      <c r="G35" s="22">
        <f t="shared" si="18"/>
        <v>-1.366120218579235E-3</v>
      </c>
      <c r="H35" s="22">
        <f t="shared" si="18"/>
        <v>0</v>
      </c>
      <c r="I35" s="22">
        <f t="shared" si="18"/>
        <v>0.37893296853625169</v>
      </c>
      <c r="J35" s="22">
        <f t="shared" si="18"/>
        <v>-0.10855456349206349</v>
      </c>
    </row>
    <row r="36" spans="1:10" ht="19" x14ac:dyDescent="0.25">
      <c r="A36" s="5" t="s">
        <v>28</v>
      </c>
      <c r="B36" s="13" t="s">
        <v>92</v>
      </c>
      <c r="C36" s="13" t="s">
        <v>92</v>
      </c>
      <c r="D36" s="13" t="s">
        <v>92</v>
      </c>
      <c r="E36" s="13" t="s">
        <v>92</v>
      </c>
      <c r="F36" s="13" t="s">
        <v>92</v>
      </c>
      <c r="G36" s="13" t="s">
        <v>92</v>
      </c>
      <c r="H36" s="13" t="s">
        <v>92</v>
      </c>
      <c r="I36" s="13" t="s">
        <v>92</v>
      </c>
    </row>
    <row r="37" spans="1:10" ht="21" x14ac:dyDescent="0.25">
      <c r="A37" s="4" t="s">
        <v>29</v>
      </c>
      <c r="B37" s="9" t="s">
        <v>90</v>
      </c>
      <c r="C37" s="9" t="s">
        <v>90</v>
      </c>
      <c r="D37" s="9" t="s">
        <v>90</v>
      </c>
      <c r="E37" s="9" t="s">
        <v>90</v>
      </c>
      <c r="F37" s="9" t="s">
        <v>90</v>
      </c>
      <c r="G37" s="9" t="s">
        <v>90</v>
      </c>
      <c r="H37" s="9" t="s">
        <v>90</v>
      </c>
      <c r="I37" s="9" t="s">
        <v>90</v>
      </c>
    </row>
    <row r="38" spans="1:10" ht="19" x14ac:dyDescent="0.25">
      <c r="A38" s="5" t="s">
        <v>30</v>
      </c>
      <c r="B38" s="1" t="s">
        <v>91</v>
      </c>
      <c r="C38" s="1">
        <v>1200000</v>
      </c>
      <c r="D38" s="1">
        <v>28300000</v>
      </c>
      <c r="E38" s="1">
        <v>16800000</v>
      </c>
      <c r="F38" s="1">
        <v>11600000</v>
      </c>
      <c r="G38" s="1">
        <v>113000000</v>
      </c>
      <c r="H38" s="1">
        <v>211600000</v>
      </c>
      <c r="I38" s="1">
        <v>189000000</v>
      </c>
    </row>
    <row r="39" spans="1:10" ht="19" x14ac:dyDescent="0.25">
      <c r="A39" s="5" t="s">
        <v>31</v>
      </c>
      <c r="B39" s="1" t="s">
        <v>91</v>
      </c>
      <c r="C39" s="1" t="s">
        <v>91</v>
      </c>
      <c r="D39" s="1" t="s">
        <v>91</v>
      </c>
      <c r="E39" s="1" t="s">
        <v>91</v>
      </c>
      <c r="F39" s="1">
        <v>23000000</v>
      </c>
      <c r="G39" s="1" t="s">
        <v>91</v>
      </c>
      <c r="H39" s="1" t="s">
        <v>91</v>
      </c>
      <c r="I39" s="1" t="s">
        <v>91</v>
      </c>
    </row>
    <row r="40" spans="1:10" ht="19" x14ac:dyDescent="0.25">
      <c r="A40" s="5" t="s">
        <v>32</v>
      </c>
      <c r="B40" s="1" t="s">
        <v>91</v>
      </c>
      <c r="C40" s="1">
        <v>1200000</v>
      </c>
      <c r="D40" s="1">
        <v>28300000</v>
      </c>
      <c r="E40" s="1">
        <v>16800000</v>
      </c>
      <c r="F40" s="1">
        <v>34600000</v>
      </c>
      <c r="G40" s="1">
        <v>113000000</v>
      </c>
      <c r="H40" s="1">
        <v>211600000</v>
      </c>
      <c r="I40" s="1">
        <v>189000000</v>
      </c>
    </row>
    <row r="41" spans="1:10" ht="19" x14ac:dyDescent="0.25">
      <c r="A41" s="5" t="s">
        <v>33</v>
      </c>
      <c r="B41" s="1" t="s">
        <v>91</v>
      </c>
      <c r="C41" s="1">
        <v>146300000</v>
      </c>
      <c r="D41" s="1">
        <v>141400000</v>
      </c>
      <c r="E41" s="1">
        <v>121800000</v>
      </c>
      <c r="F41" s="1">
        <v>76300000</v>
      </c>
      <c r="G41" s="1">
        <v>96400000</v>
      </c>
      <c r="H41" s="1">
        <v>164000000</v>
      </c>
      <c r="I41" s="1">
        <v>141600000</v>
      </c>
    </row>
    <row r="42" spans="1:10" ht="19" x14ac:dyDescent="0.25">
      <c r="A42" s="5" t="s">
        <v>34</v>
      </c>
      <c r="B42" s="1" t="s">
        <v>91</v>
      </c>
      <c r="C42" s="1">
        <v>49600000</v>
      </c>
      <c r="D42" s="1">
        <v>71800000</v>
      </c>
      <c r="E42" s="1">
        <v>113400000</v>
      </c>
      <c r="F42" s="1">
        <v>105600000</v>
      </c>
      <c r="G42" s="1">
        <v>134600000</v>
      </c>
      <c r="H42" s="1">
        <v>141800000</v>
      </c>
      <c r="I42" s="1">
        <v>152300000</v>
      </c>
    </row>
    <row r="43" spans="1:10" ht="19" x14ac:dyDescent="0.25">
      <c r="A43" s="5" t="s">
        <v>35</v>
      </c>
      <c r="B43" s="1" t="s">
        <v>91</v>
      </c>
      <c r="C43" s="1">
        <v>9000000</v>
      </c>
      <c r="D43" s="1">
        <v>59800000</v>
      </c>
      <c r="E43" s="1">
        <v>20000000</v>
      </c>
      <c r="F43" s="1">
        <v>33300000</v>
      </c>
      <c r="G43" s="1">
        <v>55300000</v>
      </c>
      <c r="H43" s="1">
        <v>56500000</v>
      </c>
      <c r="I43" s="1">
        <v>61100000</v>
      </c>
    </row>
    <row r="44" spans="1:10" ht="19" x14ac:dyDescent="0.25">
      <c r="A44" s="6" t="s">
        <v>36</v>
      </c>
      <c r="B44" s="10" t="s">
        <v>91</v>
      </c>
      <c r="C44" s="10">
        <v>206100000</v>
      </c>
      <c r="D44" s="10">
        <v>301300000</v>
      </c>
      <c r="E44" s="10">
        <v>272000000</v>
      </c>
      <c r="F44" s="10">
        <v>249800000</v>
      </c>
      <c r="G44" s="10">
        <v>399300000</v>
      </c>
      <c r="H44" s="10">
        <v>573900000</v>
      </c>
      <c r="I44" s="10">
        <v>544000000</v>
      </c>
    </row>
    <row r="45" spans="1:10" ht="19" x14ac:dyDescent="0.25">
      <c r="A45" s="5" t="s">
        <v>37</v>
      </c>
      <c r="B45" s="1" t="s">
        <v>91</v>
      </c>
      <c r="C45" s="1">
        <v>220700000</v>
      </c>
      <c r="D45" s="1">
        <v>275700000</v>
      </c>
      <c r="E45" s="1">
        <v>485700000</v>
      </c>
      <c r="F45" s="1">
        <v>561400000</v>
      </c>
      <c r="G45" s="1">
        <v>684200000</v>
      </c>
      <c r="H45" s="1">
        <v>887100000</v>
      </c>
      <c r="I45" s="1">
        <v>973100000</v>
      </c>
    </row>
    <row r="46" spans="1:10" ht="19" x14ac:dyDescent="0.25">
      <c r="A46" s="5" t="s">
        <v>38</v>
      </c>
      <c r="B46" s="1" t="s">
        <v>91</v>
      </c>
      <c r="C46" s="1" t="s">
        <v>91</v>
      </c>
      <c r="D46" s="1" t="s">
        <v>91</v>
      </c>
      <c r="E46" s="1" t="s">
        <v>91</v>
      </c>
      <c r="F46" s="1" t="s">
        <v>91</v>
      </c>
      <c r="G46" s="1" t="s">
        <v>91</v>
      </c>
      <c r="H46" s="1" t="s">
        <v>91</v>
      </c>
      <c r="I46" s="1" t="s">
        <v>91</v>
      </c>
    </row>
    <row r="47" spans="1:10" ht="19" x14ac:dyDescent="0.25">
      <c r="A47" s="5" t="s">
        <v>39</v>
      </c>
      <c r="B47" s="1" t="s">
        <v>91</v>
      </c>
      <c r="C47" s="1">
        <v>2300000</v>
      </c>
      <c r="D47" s="1" t="s">
        <v>91</v>
      </c>
      <c r="E47" s="1">
        <v>1100000</v>
      </c>
      <c r="F47" s="1" t="s">
        <v>91</v>
      </c>
      <c r="G47" s="1" t="s">
        <v>91</v>
      </c>
      <c r="H47" s="1" t="s">
        <v>91</v>
      </c>
      <c r="I47" s="1" t="s">
        <v>91</v>
      </c>
    </row>
    <row r="48" spans="1:10"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9">B79/B3</f>
        <v>#VALUE!</v>
      </c>
      <c r="C80" s="15">
        <f t="shared" si="19"/>
        <v>7.9515335100340777E-3</v>
      </c>
      <c r="D80" s="15">
        <f t="shared" si="19"/>
        <v>9.7869890616004603E-3</v>
      </c>
      <c r="E80" s="15">
        <f t="shared" si="19"/>
        <v>9.9435028248587576E-3</v>
      </c>
      <c r="F80" s="15">
        <f t="shared" si="19"/>
        <v>1.1071060762100926E-2</v>
      </c>
      <c r="G80" s="15">
        <f t="shared" si="19"/>
        <v>1.3879250520471894E-2</v>
      </c>
      <c r="H80" s="15">
        <f t="shared" si="19"/>
        <v>1.2607040913415794E-2</v>
      </c>
      <c r="I80" s="15">
        <f t="shared" si="19"/>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19" x14ac:dyDescent="0.25">
      <c r="A83" s="5" t="s">
        <v>34</v>
      </c>
      <c r="B83" s="1" t="s">
        <v>91</v>
      </c>
      <c r="C83" s="1">
        <v>-7900000</v>
      </c>
      <c r="D83" s="1">
        <v>6900000</v>
      </c>
      <c r="E83" s="1">
        <v>-24200000</v>
      </c>
      <c r="F83" s="1">
        <v>-40600000</v>
      </c>
      <c r="G83" s="1">
        <v>10000000</v>
      </c>
      <c r="H83" s="1">
        <v>-28200000</v>
      </c>
      <c r="I83" s="1">
        <v>-22900000</v>
      </c>
    </row>
    <row r="84" spans="1:17" ht="19" customHeight="1" x14ac:dyDescent="0.25">
      <c r="A84" s="5" t="s">
        <v>47</v>
      </c>
      <c r="B84" s="1" t="s">
        <v>91</v>
      </c>
      <c r="C84" s="1">
        <v>1800000</v>
      </c>
      <c r="D84" s="1">
        <v>32500000</v>
      </c>
      <c r="E84" s="1">
        <v>13800000</v>
      </c>
      <c r="F84" s="1">
        <v>10800000</v>
      </c>
      <c r="G84" s="1">
        <v>-39800000</v>
      </c>
      <c r="H84" s="1">
        <v>20900000</v>
      </c>
      <c r="I84" s="1">
        <v>18900000</v>
      </c>
      <c r="J84" s="45"/>
      <c r="K84" s="45"/>
      <c r="L84" s="45"/>
      <c r="M84" s="45"/>
      <c r="N84" s="45"/>
      <c r="O84" s="45"/>
      <c r="P84" s="72" t="s">
        <v>123</v>
      </c>
      <c r="Q84" s="73"/>
    </row>
    <row r="85" spans="1:17" ht="20" customHeight="1" x14ac:dyDescent="0.25">
      <c r="A85" s="5" t="s">
        <v>71</v>
      </c>
      <c r="B85" s="1" t="s">
        <v>91</v>
      </c>
      <c r="C85" s="1">
        <v>-700000</v>
      </c>
      <c r="D85" s="1">
        <v>4400000</v>
      </c>
      <c r="E85" s="1">
        <v>-5200000</v>
      </c>
      <c r="F85" s="1">
        <v>-100000</v>
      </c>
      <c r="G85" s="1">
        <v>-200000</v>
      </c>
      <c r="H85" s="1">
        <v>4400000</v>
      </c>
      <c r="I85" s="1">
        <v>4400000</v>
      </c>
      <c r="J85" s="45"/>
      <c r="K85" s="45"/>
      <c r="L85" s="45"/>
      <c r="M85" s="45"/>
      <c r="N85" s="45"/>
      <c r="O85" s="45"/>
      <c r="P85" s="74" t="s">
        <v>124</v>
      </c>
      <c r="Q85" s="74"/>
    </row>
    <row r="86" spans="1:17" ht="20" x14ac:dyDescent="0.25">
      <c r="A86" s="5" t="s">
        <v>72</v>
      </c>
      <c r="B86" s="1" t="s">
        <v>91</v>
      </c>
      <c r="C86" s="1">
        <v>6500000</v>
      </c>
      <c r="D86" s="1">
        <v>40200000</v>
      </c>
      <c r="E86" s="1">
        <v>3700000</v>
      </c>
      <c r="F86" s="1">
        <v>3100000</v>
      </c>
      <c r="G86" s="1">
        <v>9300000</v>
      </c>
      <c r="H86" s="1">
        <v>5400000</v>
      </c>
      <c r="I86" s="1">
        <v>5400000</v>
      </c>
      <c r="J86" s="45"/>
      <c r="K86" s="45"/>
      <c r="L86" s="45"/>
      <c r="M86" s="45"/>
      <c r="N86" s="45"/>
      <c r="O86" s="45"/>
      <c r="P86" s="38" t="s">
        <v>125</v>
      </c>
      <c r="Q86" s="46">
        <f>I17</f>
        <v>328400000</v>
      </c>
    </row>
    <row r="87" spans="1:17" ht="20" x14ac:dyDescent="0.25">
      <c r="A87" s="6" t="s">
        <v>73</v>
      </c>
      <c r="B87" s="10" t="s">
        <v>91</v>
      </c>
      <c r="C87" s="10">
        <v>51000000</v>
      </c>
      <c r="D87" s="10">
        <v>58300000</v>
      </c>
      <c r="E87" s="10">
        <v>92000000</v>
      </c>
      <c r="F87" s="10">
        <v>58100000</v>
      </c>
      <c r="G87" s="10">
        <v>6300000</v>
      </c>
      <c r="H87" s="10">
        <v>26400000</v>
      </c>
      <c r="I87" s="10">
        <v>454700000</v>
      </c>
      <c r="J87" s="45"/>
      <c r="K87" s="45"/>
      <c r="L87" s="45"/>
      <c r="M87" s="45"/>
      <c r="N87" s="45"/>
      <c r="O87" s="45"/>
      <c r="P87" s="38" t="s">
        <v>126</v>
      </c>
      <c r="Q87" s="46">
        <f>I56</f>
        <v>0</v>
      </c>
    </row>
    <row r="88" spans="1:17" ht="20" x14ac:dyDescent="0.25">
      <c r="A88" s="5" t="s">
        <v>74</v>
      </c>
      <c r="B88" s="1" t="s">
        <v>91</v>
      </c>
      <c r="C88" s="1">
        <v>-31300000</v>
      </c>
      <c r="D88" s="1">
        <v>-62500000</v>
      </c>
      <c r="E88" s="1">
        <v>-78400000</v>
      </c>
      <c r="F88" s="1">
        <v>-188800000</v>
      </c>
      <c r="G88" s="1">
        <v>-124000000</v>
      </c>
      <c r="H88" s="1">
        <v>-131900000</v>
      </c>
      <c r="I88" s="1">
        <v>-336900000</v>
      </c>
      <c r="J88" s="45"/>
      <c r="K88" s="45"/>
      <c r="L88" s="45"/>
      <c r="M88" s="45"/>
      <c r="N88" s="45"/>
      <c r="O88" s="45"/>
      <c r="P88" s="38" t="s">
        <v>127</v>
      </c>
      <c r="Q88" s="46">
        <f>I61</f>
        <v>241900000</v>
      </c>
    </row>
    <row r="89" spans="1:17" ht="20" customHeight="1" x14ac:dyDescent="0.25">
      <c r="A89" s="14" t="s">
        <v>104</v>
      </c>
      <c r="B89" s="15" t="e">
        <f t="shared" ref="B89:I89" si="20">(-1*B88)/B3</f>
        <v>#VALUE!</v>
      </c>
      <c r="C89" s="15">
        <f t="shared" si="20"/>
        <v>0.11851571374479364</v>
      </c>
      <c r="D89" s="15">
        <f t="shared" si="20"/>
        <v>0.17990788716177317</v>
      </c>
      <c r="E89" s="15">
        <f t="shared" si="20"/>
        <v>0.17717514124293784</v>
      </c>
      <c r="F89" s="15">
        <f t="shared" si="20"/>
        <v>0.48609680741503603</v>
      </c>
      <c r="G89" s="15">
        <f t="shared" si="20"/>
        <v>0.43025676613462871</v>
      </c>
      <c r="H89" s="15">
        <f t="shared" si="20"/>
        <v>0.31374881065651761</v>
      </c>
      <c r="I89" s="15">
        <f t="shared" si="20"/>
        <v>0.41428922774225285</v>
      </c>
      <c r="J89" s="45"/>
      <c r="K89" s="45"/>
      <c r="L89" s="45"/>
      <c r="M89" s="45"/>
      <c r="N89" s="45"/>
      <c r="O89" s="45"/>
      <c r="P89" s="39" t="s">
        <v>128</v>
      </c>
      <c r="Q89" s="47">
        <f>Q86/(Q87+Q88)</f>
        <v>1.3575857792476229</v>
      </c>
    </row>
    <row r="90" spans="1:17" ht="20" x14ac:dyDescent="0.25">
      <c r="A90" s="5" t="s">
        <v>75</v>
      </c>
      <c r="B90" s="1" t="s">
        <v>91</v>
      </c>
      <c r="C90" s="1" t="s">
        <v>91</v>
      </c>
      <c r="D90" s="1" t="s">
        <v>91</v>
      </c>
      <c r="E90" s="1" t="s">
        <v>91</v>
      </c>
      <c r="F90" s="1">
        <v>-800000</v>
      </c>
      <c r="G90" s="1">
        <v>-15000000</v>
      </c>
      <c r="H90" s="1">
        <v>-8000000</v>
      </c>
      <c r="I90" s="1">
        <v>-47100000</v>
      </c>
      <c r="J90" s="48"/>
      <c r="K90" s="48"/>
      <c r="L90" s="48"/>
      <c r="M90" s="48"/>
      <c r="N90" s="48"/>
      <c r="O90" s="48"/>
      <c r="P90" s="38" t="s">
        <v>105</v>
      </c>
      <c r="Q90" s="46">
        <f>I27</f>
        <v>61900000</v>
      </c>
    </row>
    <row r="91" spans="1:17" ht="20" x14ac:dyDescent="0.25">
      <c r="A91" s="5" t="s">
        <v>76</v>
      </c>
      <c r="B91" s="1" t="s">
        <v>91</v>
      </c>
      <c r="C91" s="1" t="s">
        <v>91</v>
      </c>
      <c r="D91" s="1" t="s">
        <v>91</v>
      </c>
      <c r="E91" s="1" t="s">
        <v>91</v>
      </c>
      <c r="F91" s="1">
        <v>-400000</v>
      </c>
      <c r="G91" s="1" t="s">
        <v>91</v>
      </c>
      <c r="H91" s="1">
        <v>-800000</v>
      </c>
      <c r="I91" s="1" t="s">
        <v>91</v>
      </c>
      <c r="J91" s="45"/>
      <c r="K91" s="45"/>
      <c r="L91" s="45"/>
      <c r="M91" s="45"/>
      <c r="N91" s="45"/>
      <c r="O91" s="45"/>
      <c r="P91" s="38" t="s">
        <v>19</v>
      </c>
      <c r="Q91" s="46">
        <f>I25</f>
        <v>335400000</v>
      </c>
    </row>
    <row r="92" spans="1:17" ht="20" x14ac:dyDescent="0.25">
      <c r="A92" s="5" t="s">
        <v>77</v>
      </c>
      <c r="B92" s="1" t="s">
        <v>91</v>
      </c>
      <c r="C92" s="1" t="s">
        <v>91</v>
      </c>
      <c r="D92" s="1" t="s">
        <v>91</v>
      </c>
      <c r="E92" s="1" t="s">
        <v>91</v>
      </c>
      <c r="F92" s="1" t="s">
        <v>91</v>
      </c>
      <c r="G92" s="1" t="s">
        <v>91</v>
      </c>
      <c r="H92" s="1" t="s">
        <v>91</v>
      </c>
      <c r="I92" s="1" t="s">
        <v>91</v>
      </c>
      <c r="J92" s="45"/>
      <c r="K92" s="45"/>
      <c r="L92" s="45"/>
      <c r="M92" s="45"/>
      <c r="N92" s="45"/>
      <c r="O92" s="45"/>
      <c r="P92" s="39" t="s">
        <v>129</v>
      </c>
      <c r="Q92" s="47">
        <f>Q90/Q91</f>
        <v>0.18455575432319618</v>
      </c>
    </row>
    <row r="93" spans="1:17" ht="19" customHeight="1" x14ac:dyDescent="0.25">
      <c r="A93" s="5" t="s">
        <v>78</v>
      </c>
      <c r="B93" s="1" t="s">
        <v>91</v>
      </c>
      <c r="C93" s="1">
        <v>-31300000</v>
      </c>
      <c r="D93" s="1">
        <v>-62500000</v>
      </c>
      <c r="E93" s="1">
        <v>-78400000</v>
      </c>
      <c r="F93" s="1">
        <v>-188800000</v>
      </c>
      <c r="G93" s="1">
        <v>-116100000</v>
      </c>
      <c r="H93" s="1">
        <v>-142500000</v>
      </c>
      <c r="I93" s="1">
        <v>-364700000</v>
      </c>
      <c r="J93" s="45"/>
      <c r="K93" s="45"/>
      <c r="L93" s="45"/>
      <c r="M93" s="45"/>
      <c r="N93" s="45"/>
      <c r="O93" s="45"/>
      <c r="P93" s="39" t="s">
        <v>130</v>
      </c>
      <c r="Q93" s="47">
        <f>Q89*(1-Q92)</f>
        <v>1.1070355117001338</v>
      </c>
    </row>
    <row r="94" spans="1:17" ht="21" customHeight="1" x14ac:dyDescent="0.25">
      <c r="A94" s="6" t="s">
        <v>79</v>
      </c>
      <c r="B94" s="10" t="s">
        <v>91</v>
      </c>
      <c r="C94" s="10">
        <v>-31300000</v>
      </c>
      <c r="D94" s="10">
        <v>-62500000</v>
      </c>
      <c r="E94" s="10">
        <v>-78400000</v>
      </c>
      <c r="F94" s="10">
        <v>-190000000</v>
      </c>
      <c r="G94" s="10">
        <v>-131100000</v>
      </c>
      <c r="H94" s="10">
        <v>-143300000</v>
      </c>
      <c r="I94" s="10">
        <v>-364700000</v>
      </c>
      <c r="J94" s="45"/>
      <c r="K94" s="45"/>
      <c r="L94" s="45"/>
      <c r="M94" s="45"/>
      <c r="N94" s="45"/>
      <c r="O94" s="45"/>
      <c r="P94" s="74" t="s">
        <v>131</v>
      </c>
      <c r="Q94" s="74"/>
    </row>
    <row r="95" spans="1:17" ht="20" x14ac:dyDescent="0.25">
      <c r="A95" s="5" t="s">
        <v>80</v>
      </c>
      <c r="B95" s="1" t="s">
        <v>91</v>
      </c>
      <c r="C95" s="1">
        <v>-10700000</v>
      </c>
      <c r="D95" s="1" t="s">
        <v>91</v>
      </c>
      <c r="E95" s="1" t="s">
        <v>91</v>
      </c>
      <c r="F95" s="1">
        <v>-111400000</v>
      </c>
      <c r="G95" s="1">
        <v>-296400000</v>
      </c>
      <c r="H95" s="1">
        <v>-75100000</v>
      </c>
      <c r="I95" s="1">
        <v>-13000000</v>
      </c>
      <c r="J95" s="45"/>
      <c r="K95" s="45"/>
      <c r="L95" s="45"/>
      <c r="M95" s="45"/>
      <c r="N95" s="45"/>
      <c r="O95" s="45"/>
      <c r="P95" s="38" t="s">
        <v>132</v>
      </c>
      <c r="Q95" s="50">
        <f>'[1]US Treasury Bonds'!$C$8</f>
        <v>4.845E-2</v>
      </c>
    </row>
    <row r="96" spans="1:17" ht="20" x14ac:dyDescent="0.25">
      <c r="A96" s="5" t="s">
        <v>81</v>
      </c>
      <c r="B96" s="1" t="s">
        <v>91</v>
      </c>
      <c r="C96" s="1" t="s">
        <v>91</v>
      </c>
      <c r="D96" s="1" t="s">
        <v>91</v>
      </c>
      <c r="E96" s="1">
        <v>368700000</v>
      </c>
      <c r="F96" s="1" t="s">
        <v>91</v>
      </c>
      <c r="G96" s="1" t="s">
        <v>91</v>
      </c>
      <c r="H96" s="1">
        <v>1500000</v>
      </c>
      <c r="I96" s="1">
        <v>3200000</v>
      </c>
      <c r="J96" s="45"/>
      <c r="K96" s="45"/>
      <c r="L96" s="45"/>
      <c r="M96" s="45"/>
      <c r="N96" s="45"/>
      <c r="O96" s="45"/>
      <c r="P96" s="40" t="s">
        <v>133</v>
      </c>
      <c r="Q96" s="49" cm="1">
        <f t="array" ref="Q96">_FV(A1,"Beta")</f>
        <v>1.8748</v>
      </c>
    </row>
    <row r="97" spans="1:17" ht="20" x14ac:dyDescent="0.25">
      <c r="A97" s="5" t="s">
        <v>82</v>
      </c>
      <c r="B97" s="1" t="s">
        <v>91</v>
      </c>
      <c r="C97" s="1" t="s">
        <v>91</v>
      </c>
      <c r="D97" s="1" t="s">
        <v>91</v>
      </c>
      <c r="E97" s="1" t="s">
        <v>91</v>
      </c>
      <c r="F97" s="1" t="s">
        <v>91</v>
      </c>
      <c r="G97" s="1" t="s">
        <v>91</v>
      </c>
      <c r="H97" s="1">
        <v>-100000</v>
      </c>
      <c r="I97" s="1" t="s">
        <v>91</v>
      </c>
      <c r="J97" s="45"/>
      <c r="K97" s="45"/>
      <c r="L97" s="45"/>
      <c r="M97" s="45"/>
      <c r="N97" s="45"/>
      <c r="O97" s="45"/>
      <c r="P97" s="38" t="s">
        <v>134</v>
      </c>
      <c r="Q97" s="50">
        <v>8.4000000000000005E-2</v>
      </c>
    </row>
    <row r="98" spans="1:17" ht="19" customHeight="1" x14ac:dyDescent="0.25">
      <c r="A98" s="5" t="s">
        <v>83</v>
      </c>
      <c r="B98" s="1" t="s">
        <v>91</v>
      </c>
      <c r="C98" s="1" t="s">
        <v>91</v>
      </c>
      <c r="D98" s="1" t="s">
        <v>91</v>
      </c>
      <c r="E98" s="1">
        <v>-365700000</v>
      </c>
      <c r="F98" s="1" t="s">
        <v>91</v>
      </c>
      <c r="G98" s="1" t="s">
        <v>91</v>
      </c>
      <c r="H98" s="1" t="s">
        <v>91</v>
      </c>
      <c r="I98" s="1">
        <v>0</v>
      </c>
      <c r="J98" s="45"/>
      <c r="K98" s="45"/>
      <c r="L98" s="45"/>
      <c r="M98" s="45"/>
      <c r="N98" s="45"/>
      <c r="O98" s="45"/>
      <c r="P98" s="39" t="s">
        <v>135</v>
      </c>
      <c r="Q98" s="47">
        <f>(Q95)+((Q96)*(Q97-Q95))</f>
        <v>0.11509914000000002</v>
      </c>
    </row>
    <row r="99" spans="1:17" ht="19" customHeight="1" x14ac:dyDescent="0.25">
      <c r="A99" s="5" t="s">
        <v>84</v>
      </c>
      <c r="B99" s="1" t="s">
        <v>91</v>
      </c>
      <c r="C99" s="1">
        <v>-7900000</v>
      </c>
      <c r="D99" s="1">
        <v>1500000</v>
      </c>
      <c r="E99" s="1">
        <v>10000000</v>
      </c>
      <c r="F99" s="1">
        <v>231900000</v>
      </c>
      <c r="G99" s="1">
        <v>119100000</v>
      </c>
      <c r="H99" s="1">
        <v>291700000</v>
      </c>
      <c r="I99" s="1">
        <v>-12500000</v>
      </c>
      <c r="J99" s="45"/>
      <c r="K99" s="45"/>
      <c r="L99" s="45"/>
      <c r="M99" s="45"/>
      <c r="N99" s="45"/>
      <c r="O99" s="45"/>
      <c r="P99" s="74" t="s">
        <v>136</v>
      </c>
      <c r="Q99" s="74"/>
    </row>
    <row r="100" spans="1:17" ht="20" x14ac:dyDescent="0.25">
      <c r="A100" s="6" t="s">
        <v>85</v>
      </c>
      <c r="B100" s="10" t="s">
        <v>91</v>
      </c>
      <c r="C100" s="10">
        <v>-18600000</v>
      </c>
      <c r="D100" s="10">
        <v>1500000</v>
      </c>
      <c r="E100" s="10">
        <v>13000000</v>
      </c>
      <c r="F100" s="10">
        <v>120500000</v>
      </c>
      <c r="G100" s="10">
        <v>119100000</v>
      </c>
      <c r="H100" s="10">
        <v>218000000</v>
      </c>
      <c r="I100" s="10">
        <v>-12500000</v>
      </c>
      <c r="J100" s="45"/>
      <c r="K100" s="45"/>
      <c r="L100" s="45"/>
      <c r="M100" s="45"/>
      <c r="N100" s="45"/>
      <c r="O100" s="45"/>
      <c r="P100" s="38" t="s">
        <v>137</v>
      </c>
      <c r="Q100" s="46">
        <f>Q87+Q88</f>
        <v>241900000</v>
      </c>
    </row>
    <row r="101" spans="1:17" ht="20" x14ac:dyDescent="0.25">
      <c r="A101" s="5" t="s">
        <v>86</v>
      </c>
      <c r="B101" s="1" t="s">
        <v>91</v>
      </c>
      <c r="C101" s="1" t="s">
        <v>91</v>
      </c>
      <c r="D101" s="1">
        <v>-100000</v>
      </c>
      <c r="E101" s="1">
        <v>500000</v>
      </c>
      <c r="F101" s="1">
        <v>-100000</v>
      </c>
      <c r="G101" s="1">
        <v>500000</v>
      </c>
      <c r="H101" s="1">
        <v>300000</v>
      </c>
      <c r="I101" s="1" t="s">
        <v>91</v>
      </c>
      <c r="J101" s="45"/>
      <c r="K101" s="45"/>
      <c r="L101" s="45"/>
      <c r="M101" s="45"/>
      <c r="N101" s="45"/>
      <c r="O101" s="45"/>
      <c r="P101" s="39" t="s">
        <v>138</v>
      </c>
      <c r="Q101" s="47">
        <f>Q100/Q104</f>
        <v>8.1794819774125921E-2</v>
      </c>
    </row>
    <row r="102" spans="1:17" ht="20" x14ac:dyDescent="0.25">
      <c r="A102" s="6" t="s">
        <v>87</v>
      </c>
      <c r="B102" s="10" t="s">
        <v>91</v>
      </c>
      <c r="C102" s="10">
        <v>1100000</v>
      </c>
      <c r="D102" s="10">
        <v>-2800000</v>
      </c>
      <c r="E102" s="10">
        <v>27100000</v>
      </c>
      <c r="F102" s="10">
        <v>-11500000</v>
      </c>
      <c r="G102" s="10">
        <v>-5200000</v>
      </c>
      <c r="H102" s="10">
        <v>101400000</v>
      </c>
      <c r="I102" s="10">
        <v>76000000</v>
      </c>
      <c r="J102" s="45"/>
      <c r="K102" s="45"/>
      <c r="L102" s="45"/>
      <c r="M102" s="45"/>
      <c r="N102" s="45"/>
      <c r="O102" s="45"/>
      <c r="P102" s="40" t="s">
        <v>139</v>
      </c>
      <c r="Q102" s="51" cm="1">
        <f t="array" ref="Q102">_FV(A1,"Market cap",TRUE)</f>
        <v>2715500000</v>
      </c>
    </row>
    <row r="103" spans="1:17" ht="20" x14ac:dyDescent="0.25">
      <c r="A103" s="5" t="s">
        <v>88</v>
      </c>
      <c r="B103" s="1" t="s">
        <v>91</v>
      </c>
      <c r="C103" s="1">
        <v>2900000</v>
      </c>
      <c r="D103" s="1">
        <v>4000000</v>
      </c>
      <c r="E103" s="1">
        <v>1200000</v>
      </c>
      <c r="F103" s="1">
        <v>28300000</v>
      </c>
      <c r="G103" s="1">
        <v>16800000</v>
      </c>
      <c r="H103" s="1">
        <v>11600000</v>
      </c>
      <c r="I103" s="1">
        <v>113000000</v>
      </c>
      <c r="J103" s="45"/>
      <c r="K103" s="45"/>
      <c r="L103" s="45"/>
      <c r="M103" s="45"/>
      <c r="N103" s="45"/>
      <c r="O103" s="45"/>
      <c r="P103" s="39" t="s">
        <v>140</v>
      </c>
      <c r="Q103" s="47">
        <f>Q102/Q104</f>
        <v>0.91820518022587405</v>
      </c>
    </row>
    <row r="104" spans="1:17" ht="20" customHeight="1" thickBot="1" x14ac:dyDescent="0.3">
      <c r="A104" s="7" t="s">
        <v>89</v>
      </c>
      <c r="B104" s="11" t="s">
        <v>91</v>
      </c>
      <c r="C104" s="11">
        <v>4000000</v>
      </c>
      <c r="D104" s="11">
        <v>1200000</v>
      </c>
      <c r="E104" s="11">
        <v>28300000</v>
      </c>
      <c r="F104" s="11">
        <v>16800000</v>
      </c>
      <c r="G104" s="11">
        <v>11600000</v>
      </c>
      <c r="H104" s="11">
        <v>113000000</v>
      </c>
      <c r="I104" s="11">
        <v>189000000</v>
      </c>
      <c r="J104" s="76" t="s">
        <v>114</v>
      </c>
      <c r="K104" s="76"/>
      <c r="L104" s="76"/>
      <c r="M104" s="76"/>
      <c r="N104" s="76"/>
      <c r="O104" s="45"/>
      <c r="P104" s="39" t="s">
        <v>141</v>
      </c>
      <c r="Q104" s="52">
        <f>Q100+Q102</f>
        <v>2957400000</v>
      </c>
    </row>
    <row r="105" spans="1:17" ht="21" customHeight="1" thickTop="1" x14ac:dyDescent="0.25">
      <c r="A105" s="14" t="s">
        <v>159</v>
      </c>
      <c r="C105" s="1">
        <f t="shared" ref="C105:I105" si="21">(C22*(1-$Q$92))+C77+C88+C81</f>
        <v>12526654.74060823</v>
      </c>
      <c r="D105" s="1">
        <f t="shared" si="21"/>
        <v>561955.87358377874</v>
      </c>
      <c r="E105" s="1">
        <f t="shared" si="21"/>
        <v>17129844.961240321</v>
      </c>
      <c r="F105" s="1">
        <f t="shared" si="21"/>
        <v>-129421914.13237925</v>
      </c>
      <c r="G105" s="1">
        <f t="shared" si="21"/>
        <v>-118147107.93082887</v>
      </c>
      <c r="H105" s="1">
        <f t="shared" si="21"/>
        <v>-103287328.56290996</v>
      </c>
      <c r="I105" s="1">
        <f t="shared" si="21"/>
        <v>413291890.28026235</v>
      </c>
      <c r="J105" s="69">
        <f>J107/J3</f>
        <v>6.3688212927756657E-2</v>
      </c>
      <c r="K105" s="69">
        <f>K107/K3</f>
        <v>5.8351568198395334E-2</v>
      </c>
      <c r="L105" s="69">
        <f>L107/L3</f>
        <v>0.15814266487213996</v>
      </c>
      <c r="M105" s="69">
        <f>M107/M3</f>
        <v>0.23348017621145375</v>
      </c>
      <c r="N105" s="69">
        <f>N107/N3</f>
        <v>0.4840819886611426</v>
      </c>
      <c r="O105" s="53" t="s">
        <v>163</v>
      </c>
      <c r="P105" s="74" t="s">
        <v>142</v>
      </c>
      <c r="Q105" s="74"/>
    </row>
    <row r="106" spans="1:17" ht="20" x14ac:dyDescent="0.25">
      <c r="A106" s="14" t="s">
        <v>158</v>
      </c>
      <c r="B106" s="1"/>
      <c r="C106" s="15" t="e">
        <f t="shared" ref="C106:I106" si="22">(C107/B107)-1</f>
        <v>#VALUE!</v>
      </c>
      <c r="D106" s="15">
        <f t="shared" si="22"/>
        <v>-0.62845849802371534</v>
      </c>
      <c r="E106" s="15">
        <f t="shared" si="22"/>
        <v>0.95744680851063824</v>
      </c>
      <c r="F106" s="15">
        <f t="shared" si="22"/>
        <v>-7.8586956521739131</v>
      </c>
      <c r="G106" s="15">
        <f t="shared" si="22"/>
        <v>-1.4754358161648178</v>
      </c>
      <c r="H106" s="15">
        <f t="shared" si="22"/>
        <v>3.333333333333333</v>
      </c>
      <c r="I106" s="15">
        <f t="shared" si="22"/>
        <v>0.74884615384615394</v>
      </c>
      <c r="J106" s="54">
        <f>(J107/I107)-1</f>
        <v>-0.85265009896635147</v>
      </c>
      <c r="K106" s="54">
        <f>(K107/J107)-1</f>
        <v>0.19402985074626855</v>
      </c>
      <c r="L106" s="54">
        <f>(L107/K107)-1</f>
        <v>1.9375</v>
      </c>
      <c r="M106" s="54">
        <f>(M107/L107)-1</f>
        <v>0.5787234042553191</v>
      </c>
      <c r="N106" s="54">
        <f>(N107/M107)-1</f>
        <v>1.9919137466307277</v>
      </c>
      <c r="O106" s="55">
        <f>SUM(J106:N106)/5</f>
        <v>0.76990338053319274</v>
      </c>
      <c r="P106" s="41" t="s">
        <v>106</v>
      </c>
      <c r="Q106" s="56">
        <f>(Q101*Q93)+(Q103*Q98)</f>
        <v>0.19623439675061283</v>
      </c>
    </row>
    <row r="107" spans="1:17" ht="19" x14ac:dyDescent="0.25">
      <c r="A107" s="35" t="s">
        <v>157</v>
      </c>
      <c r="B107" s="1" t="s">
        <v>91</v>
      </c>
      <c r="C107" s="1">
        <v>25300000</v>
      </c>
      <c r="D107" s="1">
        <v>9400000</v>
      </c>
      <c r="E107" s="1">
        <v>18400000</v>
      </c>
      <c r="F107" s="1">
        <v>-126200000</v>
      </c>
      <c r="G107" s="1">
        <v>60000000</v>
      </c>
      <c r="H107" s="1">
        <v>260000000</v>
      </c>
      <c r="I107" s="1">
        <v>454700000</v>
      </c>
      <c r="J107" s="57">
        <v>67000000</v>
      </c>
      <c r="K107" s="57">
        <v>80000000</v>
      </c>
      <c r="L107" s="57">
        <v>235000000</v>
      </c>
      <c r="M107" s="57">
        <v>371000000</v>
      </c>
      <c r="N107" s="57">
        <v>1110000000</v>
      </c>
      <c r="O107" s="53" t="s">
        <v>160</v>
      </c>
      <c r="P107" s="58" t="s">
        <v>143</v>
      </c>
      <c r="Q107" s="42">
        <f>(SUM(J4:N4)/5)</f>
        <v>0.23862531006461701</v>
      </c>
    </row>
    <row r="108" spans="1:17" ht="19" x14ac:dyDescent="0.2">
      <c r="J108" s="53"/>
      <c r="K108" s="53"/>
      <c r="L108" s="53"/>
      <c r="M108" s="53"/>
      <c r="N108" s="59">
        <f>N107*(1+Q108)/(Q109-Q108)</f>
        <v>6644401017.4954996</v>
      </c>
      <c r="O108" s="60" t="s">
        <v>144</v>
      </c>
      <c r="P108" s="61" t="s">
        <v>145</v>
      </c>
      <c r="Q108" s="43">
        <v>2.5000000000000001E-2</v>
      </c>
    </row>
    <row r="109" spans="1:17" ht="19" x14ac:dyDescent="0.2">
      <c r="J109" s="59">
        <f t="shared" ref="J109:M109" si="23">J108+J107</f>
        <v>67000000</v>
      </c>
      <c r="K109" s="59">
        <f t="shared" si="23"/>
        <v>80000000</v>
      </c>
      <c r="L109" s="59">
        <f t="shared" si="23"/>
        <v>235000000</v>
      </c>
      <c r="M109" s="59">
        <f t="shared" si="23"/>
        <v>371000000</v>
      </c>
      <c r="N109" s="59">
        <f>N108+N107</f>
        <v>7754401017.4954996</v>
      </c>
      <c r="O109" s="60" t="s">
        <v>141</v>
      </c>
      <c r="P109" s="62" t="s">
        <v>146</v>
      </c>
      <c r="Q109" s="42">
        <f>Q106</f>
        <v>0.19623439675061283</v>
      </c>
    </row>
    <row r="110" spans="1:17" ht="19" x14ac:dyDescent="0.2">
      <c r="J110" s="75" t="s">
        <v>147</v>
      </c>
      <c r="K110" s="75"/>
      <c r="L110" s="45"/>
      <c r="M110" s="45"/>
      <c r="N110" s="45"/>
      <c r="O110" s="45"/>
      <c r="P110" s="45"/>
      <c r="Q110" s="45"/>
    </row>
    <row r="111" spans="1:17" ht="20" x14ac:dyDescent="0.2">
      <c r="J111" s="63" t="s">
        <v>148</v>
      </c>
      <c r="K111" s="51">
        <f>NPV(Q109,J109,K109,L109,M109,N109)</f>
        <v>3596056692.5998731</v>
      </c>
      <c r="L111" s="45"/>
      <c r="M111" s="45"/>
      <c r="N111" s="45"/>
      <c r="O111" s="45"/>
      <c r="P111" s="45"/>
      <c r="Q111" s="45"/>
    </row>
    <row r="112" spans="1:17" ht="20" x14ac:dyDescent="0.2">
      <c r="J112" s="63" t="s">
        <v>149</v>
      </c>
      <c r="K112" s="51">
        <f>I40</f>
        <v>189000000</v>
      </c>
      <c r="L112" s="45"/>
      <c r="M112" s="45"/>
      <c r="N112" s="45"/>
      <c r="O112" s="45"/>
      <c r="P112" s="45"/>
      <c r="Q112" s="45"/>
    </row>
    <row r="113" spans="10:17" ht="20" x14ac:dyDescent="0.2">
      <c r="J113" s="63" t="s">
        <v>137</v>
      </c>
      <c r="K113" s="51">
        <f>Q100</f>
        <v>241900000</v>
      </c>
      <c r="L113" s="45"/>
      <c r="M113" s="45"/>
      <c r="N113" s="45"/>
      <c r="O113" s="45"/>
      <c r="P113" s="45"/>
      <c r="Q113" s="45"/>
    </row>
    <row r="114" spans="10:17" ht="20" x14ac:dyDescent="0.2">
      <c r="J114" s="63" t="s">
        <v>150</v>
      </c>
      <c r="K114" s="51">
        <f>K111+K112-K113</f>
        <v>3543156692.5998731</v>
      </c>
      <c r="L114" s="45"/>
      <c r="M114" s="45"/>
      <c r="N114" s="45"/>
      <c r="O114" s="45"/>
      <c r="P114" s="45"/>
      <c r="Q114" s="45"/>
    </row>
    <row r="115" spans="10:17" ht="20" x14ac:dyDescent="0.2">
      <c r="J115" s="63" t="s">
        <v>167</v>
      </c>
      <c r="K115" s="63">
        <f>J34*(1+(5*O16))</f>
        <v>225910680.38108733</v>
      </c>
      <c r="L115" s="45"/>
      <c r="M115" s="45"/>
      <c r="N115" s="45"/>
      <c r="O115" s="45"/>
      <c r="P115" s="45"/>
      <c r="Q115" s="45"/>
    </row>
    <row r="116" spans="10:17" ht="20" x14ac:dyDescent="0.2">
      <c r="J116" s="64" t="s">
        <v>151</v>
      </c>
      <c r="K116" s="65">
        <f>K114/K115</f>
        <v>15.683883057777276</v>
      </c>
      <c r="L116" s="45"/>
      <c r="M116" s="45"/>
      <c r="N116" s="45"/>
      <c r="O116" s="45"/>
      <c r="P116" s="45"/>
      <c r="Q116" s="45"/>
    </row>
    <row r="117" spans="10:17" ht="20" x14ac:dyDescent="0.2">
      <c r="J117" s="63" t="s">
        <v>152</v>
      </c>
      <c r="K117" s="66" cm="1">
        <f t="array" ref="K117">_FV(A1,"Previous close",TRUE)</f>
        <v>15.3</v>
      </c>
      <c r="L117" s="45"/>
      <c r="M117" s="45"/>
      <c r="N117" s="45"/>
      <c r="O117" s="45"/>
      <c r="P117" s="45"/>
      <c r="Q117" s="45"/>
    </row>
    <row r="118" spans="10:17" ht="20" x14ac:dyDescent="0.2">
      <c r="J118" s="64" t="s">
        <v>153</v>
      </c>
      <c r="K118" s="67">
        <f>K116/K117-1</f>
        <v>2.5090395933155207E-2</v>
      </c>
      <c r="L118" s="45"/>
      <c r="M118" s="45"/>
      <c r="N118" s="45"/>
      <c r="O118" s="45"/>
      <c r="P118" s="45"/>
      <c r="Q118" s="45"/>
    </row>
    <row r="119" spans="10:17" ht="20" x14ac:dyDescent="0.2">
      <c r="J119" s="64" t="s">
        <v>154</v>
      </c>
      <c r="K119" s="68" t="str">
        <f>IF(K116&gt;K117,"BUY","SELL")</f>
        <v>BUY</v>
      </c>
      <c r="L119" s="45"/>
      <c r="M119" s="45"/>
      <c r="N119" s="45"/>
      <c r="O119" s="45"/>
      <c r="P119" s="45"/>
      <c r="Q119" s="45"/>
    </row>
  </sheetData>
  <mergeCells count="7">
    <mergeCell ref="P84:Q84"/>
    <mergeCell ref="P85:Q85"/>
    <mergeCell ref="J110:K110"/>
    <mergeCell ref="J104:N104"/>
    <mergeCell ref="P105:Q105"/>
    <mergeCell ref="P99:Q99"/>
    <mergeCell ref="P94:Q9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7"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2023-03-13T00:14:48Z</dcterms:created>
  <dcterms:modified xsi:type="dcterms:W3CDTF">2023-10-30T06:58:54Z</dcterms:modified>
</cp:coreProperties>
</file>