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03C14D17-7FB4-9D48-B486-422E0D06006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G4" i="2"/>
  <c r="O21" i="2"/>
  <c r="O12" i="2"/>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<sst xmlns="http://schemas.openxmlformats.org/spreadsheetml/2006/main" count="1342" uniqueCount="250">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</sst>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0" fontId="14" fillId="12" borderId="1" xfId="0" applyFont="1" applyFill="1" applyBorder="1" applyAlignment="1">
      <alignment horizontal="lef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1771.32</v>
    <v>1.3603000000000001</v>
    <v>3.47</v>
    <v>1.2650000000000001E-3</v>
    <v>-3.6</v>
    <v>-1.3109999999999999E-3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2784.59</v>
    <v>Hotels &amp; Entertainment Services</v>
    <v>Stock</v>
    <v>45226.996915902346</v>
    <v>0</v>
    <v>2737.26</v>
    <v>98016380000</v>
    <v>BOOKING HOLDINGS INC.</v>
    <v>BOOKING HOLDINGS INC.</v>
    <v>2747.44</v>
    <v>23.7121</v>
    <v>2742.69</v>
    <v>2746.16</v>
    <v>2742.56</v>
    <v>35692160</v>
    <v>BKNG</v>
    <v>BOOKING HOLDINGS INC. (XNAS:BKNG)</v>
    <v>209810</v>
    <v>240098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C25" sqref="C25"/>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F20" sqref="F20"/>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98016380000</v>
      </c>
      <c r="B3" s="41" t="s">
        <v>201</v>
      </c>
      <c r="C3" s="42">
        <f>Financials!O8*0.01</f>
        <v>1</v>
      </c>
      <c r="D3" s="41" t="s">
        <v>202</v>
      </c>
      <c r="E3" s="42">
        <f>SUM(C11:E11)/3</f>
        <v>0.20769738086381898</v>
      </c>
      <c r="F3" s="43" t="s">
        <v>203</v>
      </c>
      <c r="G3" s="44">
        <f>SUM(Financials!K129:N129)/4</f>
        <v>-4.4701509234835485E-2</v>
      </c>
      <c r="H3" s="43" t="s">
        <v>204</v>
      </c>
      <c r="I3" s="45">
        <f>J14*(1+I7)/(I6-I7)</f>
        <v>141587504201.36783</v>
      </c>
      <c r="J3" s="41" t="s">
        <v>205</v>
      </c>
      <c r="K3" s="46"/>
      <c r="L3" s="47"/>
      <c r="M3" s="48"/>
      <c r="N3" s="118" t="s">
        <v>206</v>
      </c>
      <c r="O3" s="119"/>
      <c r="P3" s="48"/>
    </row>
    <row r="4" spans="1:16" ht="22" customHeight="1" x14ac:dyDescent="0.2">
      <c r="A4" s="49">
        <f>Financials!O56-Financials!O96-Financials!O105</f>
        <v>656000000</v>
      </c>
      <c r="B4" s="50" t="s">
        <v>207</v>
      </c>
      <c r="C4" s="51">
        <f>Financials!O17*0.01</f>
        <v>0.30049999999999999</v>
      </c>
      <c r="D4" s="50" t="s">
        <v>208</v>
      </c>
      <c r="E4" s="51">
        <f>SUM(C13:E13)/3</f>
        <v>6.4609276188771618</v>
      </c>
      <c r="F4" s="52" t="s">
        <v>209</v>
      </c>
      <c r="G4" s="53">
        <f>A5*(1+(5*G3))</f>
        <v>27714692.900743872</v>
      </c>
      <c r="H4" s="54" t="s">
        <v>210</v>
      </c>
      <c r="I4" s="55">
        <f>NPV(I6,F14,G14,H14,I14,(J14+I3))</f>
        <v>121903424320.94183</v>
      </c>
      <c r="J4" s="52" t="s">
        <v>211</v>
      </c>
      <c r="K4" s="44" cm="1">
        <f t="array" ref="K4">_FV(A1,"Change (%)",TRUE)</f>
        <v>1.2650000000000001E-3</v>
      </c>
      <c r="L4" s="43" t="s">
        <v>212</v>
      </c>
      <c r="M4" s="48"/>
      <c r="N4" s="120" t="s">
        <v>213</v>
      </c>
      <c r="O4" s="121"/>
      <c r="P4" s="48"/>
    </row>
    <row r="5" spans="1:16" ht="22" customHeight="1" x14ac:dyDescent="0.2">
      <c r="A5" s="53" cm="1">
        <f t="array" ref="A5">_FV(A1,"Shares outstanding",TRUE)</f>
        <v>35692160</v>
      </c>
      <c r="B5" s="50" t="s">
        <v>214</v>
      </c>
      <c r="C5" s="56">
        <f>Financials!O34*0.01</f>
        <v>0.23039999999999999</v>
      </c>
      <c r="D5" s="50" t="s">
        <v>215</v>
      </c>
      <c r="E5" s="51">
        <f>SUM(C15:E15)/3</f>
        <v>-5.8889573614110624</v>
      </c>
      <c r="F5" s="52" t="s">
        <v>216</v>
      </c>
      <c r="G5" s="53">
        <f>Financials!O56</f>
        <v>15242000000</v>
      </c>
      <c r="H5" s="54" t="s">
        <v>217</v>
      </c>
      <c r="I5" s="55">
        <f>I4+G5-G6</f>
        <v>122559424320.94183</v>
      </c>
      <c r="J5" s="52" t="s">
        <v>218</v>
      </c>
      <c r="K5" s="57" cm="1">
        <f t="array" ref="K5">_FV(A1,"Price")</f>
        <v>2746.16</v>
      </c>
      <c r="L5" s="50" t="s">
        <v>219</v>
      </c>
      <c r="M5" s="48"/>
      <c r="N5" s="58" t="s">
        <v>220</v>
      </c>
      <c r="O5" s="59">
        <f>Financials!O21</f>
        <v>682000000</v>
      </c>
      <c r="P5" s="48"/>
    </row>
    <row r="6" spans="1:16" ht="22" customHeight="1" x14ac:dyDescent="0.2">
      <c r="A6" s="60">
        <f>O20/F10</f>
        <v>4.6277799811142586</v>
      </c>
      <c r="B6" s="50" t="s">
        <v>221</v>
      </c>
      <c r="C6" s="51">
        <f>Financials!O190</f>
        <v>0.36170765260327803</v>
      </c>
      <c r="D6" s="61" t="s">
        <v>200</v>
      </c>
      <c r="E6" s="51">
        <f>Financials!O33/Financials!O126</f>
        <v>-6.7022556390977446</v>
      </c>
      <c r="F6" s="50" t="s">
        <v>222</v>
      </c>
      <c r="G6" s="55">
        <f>Financials!O96+Financials!O105</f>
        <v>14586000000</v>
      </c>
      <c r="H6" s="54" t="s">
        <v>223</v>
      </c>
      <c r="I6" s="62">
        <f>N25</f>
        <v>8.9133307887718782E-2</v>
      </c>
      <c r="J6" s="54" t="s">
        <v>224</v>
      </c>
      <c r="K6" s="63">
        <f>I5/G4</f>
        <v>4422.1822973060007</v>
      </c>
      <c r="L6" s="64" t="s">
        <v>225</v>
      </c>
      <c r="M6" s="48"/>
      <c r="N6" s="65" t="s">
        <v>226</v>
      </c>
      <c r="O6" s="66">
        <f>Financials!O96</f>
        <v>855000000</v>
      </c>
      <c r="P6" s="48"/>
    </row>
    <row r="7" spans="1:16" ht="22" customHeight="1" x14ac:dyDescent="0.2">
      <c r="A7" s="67">
        <f>O20/F12</f>
        <v>18.124330621301777</v>
      </c>
      <c r="B7" s="68" t="s">
        <v>227</v>
      </c>
      <c r="C7" s="69">
        <f>F14/A3</f>
        <v>6.8213088465417723E-2</v>
      </c>
      <c r="D7" s="70" t="s">
        <v>228</v>
      </c>
      <c r="E7" s="71">
        <f>(Financials!O16*(1-0.25))/(Financials!O126+Financials!O105+Financials!O96)</f>
        <v>0.3131240571798003</v>
      </c>
      <c r="F7" s="68" t="s">
        <v>196</v>
      </c>
      <c r="G7" s="72">
        <f>(Financials!O96+Financials!O105)/Financials!O126</f>
        <v>-21.933834586466165</v>
      </c>
      <c r="H7" s="73" t="s">
        <v>229</v>
      </c>
      <c r="I7" s="74">
        <v>2.5000000000000001E-2</v>
      </c>
      <c r="J7" s="75" t="s">
        <v>230</v>
      </c>
      <c r="K7" s="109">
        <f>K6/K5-1</f>
        <v>0.61031487506408988</v>
      </c>
      <c r="L7" s="76" t="s">
        <v>231</v>
      </c>
      <c r="M7" s="48"/>
      <c r="N7" s="65" t="s">
        <v>232</v>
      </c>
      <c r="O7" s="66">
        <f>Financials!O105</f>
        <v>13731000000</v>
      </c>
      <c r="P7" s="48"/>
    </row>
    <row r="8" spans="1:16" ht="22" customHeight="1" x14ac:dyDescent="0.2">
      <c r="A8" s="77"/>
      <c r="B8" s="48"/>
      <c r="C8" s="48"/>
      <c r="D8" s="48"/>
      <c r="E8" s="48"/>
      <c r="F8" s="48"/>
      <c r="G8" s="48"/>
      <c r="H8" s="48"/>
      <c r="I8" s="48"/>
      <c r="J8" s="48"/>
      <c r="K8" s="48"/>
      <c r="L8" s="48"/>
      <c r="M8" s="48"/>
      <c r="N8" s="78" t="s">
        <v>213</v>
      </c>
      <c r="O8" s="79">
        <f>O5/(O6+O7)</f>
        <v>4.6757164404223228E-2</v>
      </c>
      <c r="P8" s="48"/>
    </row>
    <row r="9" spans="1:16" ht="22" customHeight="1" x14ac:dyDescent="0.2">
      <c r="A9" s="80"/>
      <c r="B9" s="81">
        <v>2019</v>
      </c>
      <c r="C9" s="81">
        <v>2020</v>
      </c>
      <c r="D9" s="81">
        <v>2021</v>
      </c>
      <c r="E9" s="81">
        <v>2022</v>
      </c>
      <c r="F9" s="82">
        <v>2023</v>
      </c>
      <c r="G9" s="83">
        <v>2024</v>
      </c>
      <c r="H9" s="83">
        <v>2025</v>
      </c>
      <c r="I9" s="83">
        <v>2026</v>
      </c>
      <c r="J9" s="83">
        <v>2027</v>
      </c>
      <c r="K9" s="84"/>
      <c r="L9" s="85"/>
      <c r="M9" s="85"/>
      <c r="N9" s="65" t="s">
        <v>233</v>
      </c>
      <c r="O9" s="66">
        <f>Financials!O25</f>
        <v>1092000000</v>
      </c>
      <c r="P9" s="48"/>
    </row>
    <row r="10" spans="1:16" ht="22" customHeight="1" x14ac:dyDescent="0.2">
      <c r="A10" s="86" t="s">
        <v>234</v>
      </c>
      <c r="B10" s="87">
        <v>15066000000</v>
      </c>
      <c r="C10" s="87">
        <v>6796000000</v>
      </c>
      <c r="D10" s="87">
        <v>10958000000</v>
      </c>
      <c r="E10" s="87">
        <v>17090000000</v>
      </c>
      <c r="F10" s="88">
        <v>21180000000</v>
      </c>
      <c r="G10" s="87">
        <v>23490000000</v>
      </c>
      <c r="H10" s="87">
        <v>25800000000</v>
      </c>
      <c r="I10" s="87">
        <v>27970000000</v>
      </c>
      <c r="J10" s="87">
        <v>30160000000</v>
      </c>
      <c r="K10" s="89" t="s">
        <v>235</v>
      </c>
      <c r="N10" s="65" t="s">
        <v>236</v>
      </c>
      <c r="O10" s="66">
        <f>Financials!O24</f>
        <v>5549000000</v>
      </c>
      <c r="P10" s="48"/>
    </row>
    <row r="11" spans="1:16" ht="22" customHeight="1" x14ac:dyDescent="0.2">
      <c r="A11" s="90"/>
      <c r="B11" s="91"/>
      <c r="C11" s="91">
        <f t="shared" ref="C11:J11" si="0">(C10/B10)-1</f>
        <v>-0.54891809372096112</v>
      </c>
      <c r="D11" s="91">
        <f t="shared" si="0"/>
        <v>0.61241907004120066</v>
      </c>
      <c r="E11" s="91">
        <f t="shared" si="0"/>
        <v>0.55959116627121741</v>
      </c>
      <c r="F11" s="92">
        <f t="shared" si="0"/>
        <v>0.23932124049151549</v>
      </c>
      <c r="G11" s="91">
        <f t="shared" si="0"/>
        <v>0.10906515580736542</v>
      </c>
      <c r="H11" s="91">
        <f t="shared" si="0"/>
        <v>9.8339719029374217E-2</v>
      </c>
      <c r="I11" s="91">
        <f t="shared" si="0"/>
        <v>8.4108527131782962E-2</v>
      </c>
      <c r="J11" s="91">
        <f t="shared" si="0"/>
        <v>7.8298176617804804E-2</v>
      </c>
      <c r="K11" s="93">
        <f>SUM(F11:J11)/5</f>
        <v>0.12182656381556858</v>
      </c>
      <c r="L11" s="85"/>
      <c r="M11" s="85"/>
      <c r="N11" s="65" t="s">
        <v>237</v>
      </c>
      <c r="O11" s="94">
        <f>O9/O10</f>
        <v>0.19679221481347992</v>
      </c>
      <c r="P11" s="48"/>
    </row>
    <row r="12" spans="1:16" ht="22" customHeight="1" x14ac:dyDescent="0.2">
      <c r="A12" s="86" t="s">
        <v>142</v>
      </c>
      <c r="B12" s="87">
        <v>4865000000</v>
      </c>
      <c r="C12" s="87">
        <v>59000000</v>
      </c>
      <c r="D12" s="87">
        <v>1165000000</v>
      </c>
      <c r="E12" s="87">
        <v>3058000000</v>
      </c>
      <c r="F12" s="88">
        <v>5408000000</v>
      </c>
      <c r="G12" s="87">
        <v>6085000000</v>
      </c>
      <c r="H12" s="87">
        <v>6845000000</v>
      </c>
      <c r="I12" s="87">
        <v>6913000000</v>
      </c>
      <c r="J12" s="87">
        <v>7545000000</v>
      </c>
      <c r="K12" s="89" t="s">
        <v>238</v>
      </c>
      <c r="L12" s="85"/>
      <c r="M12" s="85"/>
      <c r="N12" s="95" t="s">
        <v>239</v>
      </c>
      <c r="O12" s="96">
        <f>O8*(1-O11)</f>
        <v>3.755571846271813E-2</v>
      </c>
      <c r="P12" s="48"/>
    </row>
    <row r="13" spans="1:16" ht="22" customHeight="1" x14ac:dyDescent="0.2">
      <c r="A13" s="90"/>
      <c r="B13" s="91"/>
      <c r="C13" s="91">
        <f t="shared" ref="C13:J13" si="1">(C12/B12)-1</f>
        <v>-0.98787255909558069</v>
      </c>
      <c r="D13" s="91">
        <f t="shared" si="1"/>
        <v>18.745762711864408</v>
      </c>
      <c r="E13" s="91">
        <f t="shared" si="1"/>
        <v>1.624892703862661</v>
      </c>
      <c r="F13" s="92">
        <f t="shared" si="1"/>
        <v>0.76847612818835831</v>
      </c>
      <c r="G13" s="91">
        <f t="shared" si="1"/>
        <v>0.12518491124260356</v>
      </c>
      <c r="H13" s="91">
        <f t="shared" si="1"/>
        <v>0.12489728841413306</v>
      </c>
      <c r="I13" s="91">
        <f t="shared" si="1"/>
        <v>9.9342585829071961E-3</v>
      </c>
      <c r="J13" s="91">
        <f t="shared" si="1"/>
        <v>9.1421958628670641E-2</v>
      </c>
      <c r="K13" s="93">
        <f>SUM(F13:J13)/5</f>
        <v>0.22398290901133455</v>
      </c>
      <c r="L13" s="85"/>
      <c r="M13" s="85"/>
      <c r="N13" s="120" t="s">
        <v>240</v>
      </c>
      <c r="O13" s="121"/>
      <c r="P13" s="48"/>
    </row>
    <row r="14" spans="1:16" ht="22" customHeight="1" x14ac:dyDescent="0.2">
      <c r="A14" s="86" t="s">
        <v>185</v>
      </c>
      <c r="B14" s="87">
        <v>4714202081</v>
      </c>
      <c r="C14" s="87">
        <v>-163955908</v>
      </c>
      <c r="D14" s="87">
        <v>2781604096</v>
      </c>
      <c r="E14" s="87">
        <v>6490786643</v>
      </c>
      <c r="F14" s="88">
        <v>6686000000</v>
      </c>
      <c r="G14" s="87">
        <v>6881000000</v>
      </c>
      <c r="H14" s="87">
        <v>7703000000</v>
      </c>
      <c r="I14" s="87">
        <v>8206000000</v>
      </c>
      <c r="J14" s="87">
        <v>8859000000</v>
      </c>
      <c r="K14" s="89" t="s">
        <v>241</v>
      </c>
      <c r="L14" s="85"/>
      <c r="M14" s="85"/>
      <c r="N14" s="65" t="s">
        <v>242</v>
      </c>
      <c r="O14" s="94">
        <f>'[1]US Treasury Bonds'!$C$8</f>
        <v>4.845E-2</v>
      </c>
      <c r="P14" s="48"/>
    </row>
    <row r="15" spans="1:16" ht="22" customHeight="1" x14ac:dyDescent="0.2">
      <c r="A15" s="97"/>
      <c r="B15" s="91"/>
      <c r="C15" s="91">
        <f t="shared" ref="C15:J15" si="2">(C14/B14)-1</f>
        <v>-1.0347791429350905</v>
      </c>
      <c r="D15" s="91">
        <f t="shared" si="2"/>
        <v>-17.965561838735326</v>
      </c>
      <c r="E15" s="91">
        <f t="shared" si="2"/>
        <v>1.3334688974372289</v>
      </c>
      <c r="F15" s="92">
        <f t="shared" si="2"/>
        <v>3.0075454291896619E-2</v>
      </c>
      <c r="G15" s="91">
        <f t="shared" si="2"/>
        <v>2.9165420281184629E-2</v>
      </c>
      <c r="H15" s="91">
        <f t="shared" si="2"/>
        <v>0.11945938090393837</v>
      </c>
      <c r="I15" s="91">
        <f t="shared" si="2"/>
        <v>6.5299234064650102E-2</v>
      </c>
      <c r="J15" s="91">
        <f t="shared" si="2"/>
        <v>7.9575920058493788E-2</v>
      </c>
      <c r="K15" s="93">
        <f>SUM(F15:J15)/5</f>
        <v>6.4715081920032697E-2</v>
      </c>
      <c r="L15" s="85"/>
      <c r="M15" s="85"/>
      <c r="N15" s="65" t="s">
        <v>243</v>
      </c>
      <c r="O15" s="98" cm="1">
        <f t="array" ref="O15">_FV(A1,"Beta")</f>
        <v>1.3603000000000001</v>
      </c>
      <c r="P15" s="48"/>
    </row>
    <row r="16" spans="1:16" ht="22" customHeight="1" x14ac:dyDescent="0.2">
      <c r="A16" s="86" t="s">
        <v>196</v>
      </c>
      <c r="B16" s="99">
        <v>0.26684084403913999</v>
      </c>
      <c r="C16" s="99">
        <v>2.5183812887164939E-2</v>
      </c>
      <c r="D16" s="99">
        <v>0.10780578630764824</v>
      </c>
      <c r="E16" s="99">
        <v>0.23245780390669449</v>
      </c>
      <c r="F16" s="100"/>
      <c r="G16" s="101"/>
      <c r="H16" s="101"/>
      <c r="I16" s="101"/>
      <c r="J16" s="101"/>
      <c r="K16" s="102"/>
      <c r="L16" s="85"/>
      <c r="M16" s="85"/>
      <c r="N16" s="65" t="s">
        <v>244</v>
      </c>
      <c r="O16" s="94">
        <v>8.4000000000000005E-2</v>
      </c>
      <c r="P16" s="48"/>
    </row>
    <row r="17" spans="1:16" ht="22" customHeight="1" x14ac:dyDescent="0.2">
      <c r="A17" s="85"/>
      <c r="B17" s="103"/>
      <c r="C17" s="103"/>
      <c r="D17" s="103"/>
      <c r="E17" s="103"/>
      <c r="F17" s="85"/>
      <c r="G17" s="85"/>
      <c r="H17" s="85"/>
      <c r="I17" s="85"/>
      <c r="J17" s="85"/>
      <c r="K17" s="85"/>
      <c r="L17" s="85"/>
      <c r="M17" s="85"/>
      <c r="N17" s="104" t="s">
        <v>240</v>
      </c>
      <c r="O17" s="105">
        <f>(O14)+((O15)*(O16-O14))</f>
        <v>9.6808665000000016E-2</v>
      </c>
      <c r="P17" s="48"/>
    </row>
    <row r="18" spans="1:16" ht="22" customHeight="1" x14ac:dyDescent="0.2">
      <c r="A18" s="85"/>
      <c r="B18" s="85"/>
      <c r="C18" s="85"/>
      <c r="D18" s="85"/>
      <c r="E18" s="85"/>
      <c r="F18" s="85"/>
      <c r="G18" s="85"/>
      <c r="H18" s="85"/>
      <c r="I18" s="85"/>
      <c r="J18" s="85"/>
      <c r="K18" s="85"/>
      <c r="L18" s="85"/>
      <c r="M18" s="85"/>
      <c r="N18" s="120" t="s">
        <v>245</v>
      </c>
      <c r="O18" s="121"/>
      <c r="P18" s="48"/>
    </row>
    <row r="19" spans="1:16" ht="22" customHeight="1" x14ac:dyDescent="0.2">
      <c r="A19" s="117" t="str" cm="1">
        <f t="array" ref="A19">_FV(A1,"Industry")</f>
        <v>Hotels &amp; Entertainment Services</v>
      </c>
      <c r="B19" s="117"/>
      <c r="C19" s="122" cm="1">
        <f t="array" ref="C19">_FV(A1,"Year incorporated",TRUE)</f>
        <v>1998</v>
      </c>
      <c r="D19" s="122"/>
      <c r="E19" s="110"/>
      <c r="F19" s="85"/>
      <c r="G19" s="85"/>
      <c r="H19" s="85"/>
      <c r="I19" s="85"/>
      <c r="J19" s="85"/>
      <c r="K19" s="85"/>
      <c r="L19" s="85"/>
      <c r="M19" s="85"/>
      <c r="N19" s="65" t="s">
        <v>223</v>
      </c>
      <c r="O19" s="106">
        <f>O6+O7</f>
        <v>14586000000</v>
      </c>
      <c r="P19" s="48"/>
    </row>
    <row r="20" spans="1:16" ht="22" customHeight="1" x14ac:dyDescent="0.2">
      <c r="A20" s="117" t="str" cm="1">
        <f t="array" ref="A20">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0" s="117"/>
      <c r="C20" s="117"/>
      <c r="D20" s="117"/>
      <c r="E20" s="117"/>
      <c r="F20" s="85"/>
      <c r="G20" s="85"/>
      <c r="H20" s="85"/>
      <c r="I20" s="85"/>
      <c r="J20" s="85"/>
      <c r="K20" s="85"/>
      <c r="L20" s="85"/>
      <c r="M20" s="85"/>
      <c r="N20" s="65" t="s">
        <v>201</v>
      </c>
      <c r="O20" s="106" cm="1">
        <f t="array" ref="O20">_FV(A1,"Market cap",TRUE)</f>
        <v>98016380000</v>
      </c>
      <c r="P20" s="48"/>
    </row>
    <row r="21" spans="1:16" ht="22" customHeight="1" x14ac:dyDescent="0.2">
      <c r="A21" s="117"/>
      <c r="B21" s="117"/>
      <c r="C21" s="117"/>
      <c r="D21" s="117"/>
      <c r="E21" s="117"/>
      <c r="F21" s="85"/>
      <c r="G21" s="85"/>
      <c r="H21" s="85"/>
      <c r="I21" s="85"/>
      <c r="J21" s="85"/>
      <c r="K21" s="85"/>
      <c r="M21" s="85"/>
      <c r="N21" s="65" t="s">
        <v>246</v>
      </c>
      <c r="O21" s="106">
        <f>O19+O20</f>
        <v>112602380000</v>
      </c>
      <c r="P21" s="48"/>
    </row>
    <row r="22" spans="1:16" ht="22" customHeight="1" x14ac:dyDescent="0.2">
      <c r="A22" s="117"/>
      <c r="B22" s="117"/>
      <c r="C22" s="117"/>
      <c r="D22" s="117"/>
      <c r="E22" s="117"/>
      <c r="F22" s="85"/>
      <c r="G22" s="85"/>
      <c r="H22" s="85"/>
      <c r="I22" s="85"/>
      <c r="J22" s="85"/>
      <c r="K22" s="85"/>
      <c r="L22" s="85"/>
      <c r="M22" s="85"/>
      <c r="N22" s="78" t="s">
        <v>247</v>
      </c>
      <c r="O22" s="107">
        <f>(O19/O21)</f>
        <v>0.12953545031641428</v>
      </c>
      <c r="P22" s="48"/>
    </row>
    <row r="23" spans="1:16" ht="22" customHeight="1" x14ac:dyDescent="0.2">
      <c r="A23" s="117"/>
      <c r="B23" s="117"/>
      <c r="C23" s="117"/>
      <c r="D23" s="117"/>
      <c r="E23" s="117"/>
      <c r="F23" s="85"/>
      <c r="G23" s="85"/>
      <c r="H23" s="85"/>
      <c r="I23" s="85"/>
      <c r="J23" s="85"/>
      <c r="K23" s="85"/>
      <c r="L23" s="85"/>
      <c r="M23" s="85"/>
      <c r="N23" s="104" t="s">
        <v>248</v>
      </c>
      <c r="O23" s="108">
        <f>O20/O21</f>
        <v>0.87046454968358578</v>
      </c>
      <c r="P23" s="48"/>
    </row>
    <row r="24" spans="1:16" ht="22" customHeight="1" x14ac:dyDescent="0.2">
      <c r="A24" s="117"/>
      <c r="B24" s="117"/>
      <c r="C24" s="117"/>
      <c r="D24" s="117"/>
      <c r="E24" s="117"/>
      <c r="F24" s="85"/>
      <c r="G24" s="85"/>
      <c r="H24" s="85"/>
      <c r="I24" s="85"/>
      <c r="J24" s="85"/>
      <c r="K24" s="85"/>
      <c r="L24" s="85"/>
      <c r="M24" s="85"/>
      <c r="N24" s="111" t="s">
        <v>249</v>
      </c>
      <c r="O24" s="112"/>
      <c r="P24" s="48"/>
    </row>
    <row r="25" spans="1:16" ht="22" customHeight="1" x14ac:dyDescent="0.2">
      <c r="A25" s="117"/>
      <c r="B25" s="117"/>
      <c r="C25" s="117"/>
      <c r="D25" s="117"/>
      <c r="E25" s="117"/>
      <c r="F25" s="85"/>
      <c r="G25" s="85"/>
      <c r="H25" s="85"/>
      <c r="I25" s="85"/>
      <c r="J25" s="85"/>
      <c r="K25" s="85"/>
      <c r="L25" s="85"/>
      <c r="M25" s="85"/>
      <c r="N25" s="113">
        <f>(O22*O12)+(O23*O17)</f>
        <v>8.9133307887718782E-2</v>
      </c>
      <c r="O25" s="114"/>
      <c r="P25" s="48"/>
    </row>
    <row r="26" spans="1:16" ht="22" customHeight="1" x14ac:dyDescent="0.2">
      <c r="A26" s="117"/>
      <c r="B26" s="117"/>
      <c r="C26" s="117"/>
      <c r="D26" s="117"/>
      <c r="E26" s="117"/>
      <c r="F26" s="85"/>
      <c r="G26" s="85"/>
      <c r="H26" s="85"/>
      <c r="I26" s="85"/>
      <c r="J26" s="85"/>
      <c r="K26" s="85"/>
      <c r="L26" s="85"/>
      <c r="M26" s="85"/>
      <c r="N26" s="85"/>
      <c r="O26" s="48"/>
      <c r="P26" s="48"/>
    </row>
    <row r="27" spans="1:16" ht="22" customHeight="1" x14ac:dyDescent="0.2">
      <c r="A27" s="85"/>
      <c r="B27" s="85"/>
      <c r="C27" s="85"/>
      <c r="D27" s="85"/>
      <c r="E27" s="85"/>
      <c r="F27" s="85"/>
      <c r="G27" s="85"/>
      <c r="H27" s="85"/>
      <c r="I27" s="85"/>
      <c r="J27" s="85"/>
      <c r="K27" s="85"/>
      <c r="L27" s="85"/>
      <c r="M27" s="85"/>
      <c r="N27" s="85"/>
      <c r="O27" s="48"/>
      <c r="P27" s="48"/>
    </row>
    <row r="28" spans="1:16" ht="22" customHeight="1" x14ac:dyDescent="0.2">
      <c r="A28" s="85"/>
      <c r="B28" s="85"/>
      <c r="C28" s="85"/>
      <c r="D28" s="85"/>
      <c r="E28" s="85"/>
      <c r="F28" s="85"/>
      <c r="G28" s="85"/>
      <c r="H28" s="85"/>
      <c r="I28" s="85"/>
      <c r="J28" s="85"/>
      <c r="K28" s="85"/>
      <c r="L28" s="85"/>
      <c r="M28" s="85"/>
      <c r="N28" s="85"/>
      <c r="O28" s="48"/>
      <c r="P28" s="48"/>
    </row>
    <row r="29" spans="1:16" ht="22" customHeight="1" x14ac:dyDescent="0.2">
      <c r="A29" s="85"/>
      <c r="B29" s="85"/>
      <c r="C29" s="85"/>
      <c r="D29" s="85"/>
      <c r="E29" s="85"/>
      <c r="F29" s="85"/>
      <c r="G29" s="85"/>
      <c r="H29" s="85"/>
      <c r="I29" s="85"/>
      <c r="J29" s="85"/>
      <c r="K29" s="85"/>
      <c r="L29" s="85"/>
      <c r="M29" s="85"/>
      <c r="N29" s="85"/>
      <c r="O29" s="48"/>
      <c r="P29" s="48"/>
    </row>
    <row r="30" spans="1:16" ht="22" customHeight="1" x14ac:dyDescent="0.2">
      <c r="A30" s="85"/>
      <c r="B30" s="85"/>
      <c r="C30" s="85"/>
      <c r="D30" s="85"/>
      <c r="E30" s="85"/>
      <c r="F30" s="85"/>
      <c r="G30" s="85"/>
      <c r="H30" s="85"/>
      <c r="I30" s="85"/>
      <c r="J30" s="85"/>
      <c r="K30" s="85"/>
      <c r="L30" s="85"/>
      <c r="M30" s="85"/>
      <c r="N30" s="85"/>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2023-10-30T06:55:15Z</dcterms:modified>
</cp:coreProperties>
</file>