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15A2560-2D2D-6D40-959A-3D057C0D34C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 l="1"/>
  <c r="O5" i="2"/>
  <c r="O10" i="2"/>
  <c r="O9" i="2"/>
  <c r="O7" i="2"/>
  <c r="G7" i="2"/>
  <c r="E7" i="2"/>
  <c r="O6" i="2"/>
  <c r="O19" i="2" s="1"/>
  <c r="G6" i="2"/>
  <c r="E6" i="2"/>
  <c r="C6"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K5" i="2" a="1"/>
  <c r="K5" i="2" s="1"/>
  <c r="A5" i="2" a="1"/>
  <c r="A5" i="2" s="1"/>
  <c r="A3" i="2" a="1"/>
  <c r="A3" i="2" s="1"/>
  <c r="K4"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E5" i="2"/>
  <c r="K11" i="2"/>
  <c r="G4" i="2"/>
  <c r="O8" i="2"/>
  <c r="O12" i="2" s="1"/>
  <c r="O21" i="2"/>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<sst xmlns="http://schemas.openxmlformats.org/spreadsheetml/2006/main" count="1348" uniqueCount="250">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</sst>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2175.0100000000002</v>
    <v>1344.05</v>
    <v>1.3408</v>
    <v>-13.22</v>
    <v>-7.1260000000000004E-3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1862</v>
    <v>Hotels &amp; Entertainment Services</v>
    <v>Stock</v>
    <v>45224.998578657032</v>
    <v>0</v>
    <v>1832.165</v>
    <v>50812791230</v>
    <v>CHIPOTLE MEXICAN GRILL, INC.</v>
    <v>CHIPOTLE MEXICAN GRILL, INC.</v>
    <v>1849.94</v>
    <v>46.012</v>
    <v>1855.09</v>
    <v>1841.87</v>
    <v>1830</v>
    <v>27587610</v>
    <v>CMG</v>
    <v>CHIPOTLE MEXICAN GRILL, INC. (XNYS:CMG)</v>
    <v>1</v>
    <v>230485</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M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M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workbookViewId="0">
      <pane xSplit="1" topLeftCell="K1" activePane="topRight" state="frozen"/>
      <selection pane="topRight" activeCell="O21" sqref="O21"/>
    </sheetView>
  </sheetViews>
  <sheetFormatPr baseColWidth="10" defaultRowHeight="16" x14ac:dyDescent="0.2"/>
  <cols>
    <col min="1" max="1" width="40.83203125" customWidth="1"/>
    <col min="2" max="20" width="15.83203125" customWidth="1"/>
  </cols>
  <sheetData>
    <row r="1" spans="1:30"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x14ac:dyDescent="0.2">
      <c r="A2" s="32" t="s">
        <v>18</v>
      </c>
      <c r="B2" s="30">
        <v>1835922000</v>
      </c>
      <c r="C2" s="30">
        <v>2269548000</v>
      </c>
      <c r="D2" s="30">
        <v>2731224000</v>
      </c>
      <c r="E2" s="30">
        <v>3214591000</v>
      </c>
      <c r="F2" s="30">
        <v>4108269000</v>
      </c>
      <c r="G2" s="30">
        <v>4501223000</v>
      </c>
      <c r="H2" s="30">
        <v>3904384000</v>
      </c>
      <c r="I2" s="30">
        <v>4476412000</v>
      </c>
      <c r="J2" s="30">
        <v>4864985000</v>
      </c>
      <c r="K2" s="30">
        <v>5586369000</v>
      </c>
      <c r="L2" s="30">
        <v>5984634000</v>
      </c>
      <c r="M2" s="30">
        <v>7547061000</v>
      </c>
      <c r="N2" s="30">
        <v>8634652000</v>
      </c>
      <c r="O2" s="31">
        <v>9284155000</v>
      </c>
      <c r="P2" s="30">
        <v>2220175000</v>
      </c>
      <c r="Q2" s="30">
        <v>2180599000</v>
      </c>
      <c r="R2" s="30">
        <v>2368580000</v>
      </c>
      <c r="S2" s="30">
        <v>2514801000</v>
      </c>
    </row>
    <row r="3" spans="1:30" ht="19" x14ac:dyDescent="0.25">
      <c r="A3" s="9" t="s">
        <v>191</v>
      </c>
      <c r="B3" s="10"/>
      <c r="C3" s="11">
        <f t="shared" ref="C3:O3" si="0">(C2/B2)-1</f>
        <v>0.23618977276812414</v>
      </c>
      <c r="D3" s="11">
        <f t="shared" si="0"/>
        <v>0.2034220029715168</v>
      </c>
      <c r="E3" s="11">
        <f t="shared" si="0"/>
        <v>0.17697816070743366</v>
      </c>
      <c r="F3" s="11">
        <f t="shared" si="0"/>
        <v>0.27800675109212958</v>
      </c>
      <c r="G3" s="11">
        <f t="shared" si="0"/>
        <v>9.5649530252279069E-2</v>
      </c>
      <c r="H3" s="11">
        <f t="shared" si="0"/>
        <v>-0.13259485255451686</v>
      </c>
      <c r="I3" s="11">
        <f t="shared" si="0"/>
        <v>0.14650915483722904</v>
      </c>
      <c r="J3" s="11">
        <f t="shared" si="0"/>
        <v>8.6804565799573519E-2</v>
      </c>
      <c r="K3" s="11">
        <f t="shared" si="0"/>
        <v>0.14828082717623992</v>
      </c>
      <c r="L3" s="11">
        <f t="shared" si="0"/>
        <v>7.1292283055415684E-2</v>
      </c>
      <c r="M3" s="11">
        <f t="shared" si="0"/>
        <v>0.26107310823017738</v>
      </c>
      <c r="N3" s="11">
        <f t="shared" si="0"/>
        <v>0.14410788517543449</v>
      </c>
      <c r="O3" s="11">
        <f t="shared" si="0"/>
        <v>7.5220518441275974E-2</v>
      </c>
      <c r="P3" s="11"/>
      <c r="Q3" s="11">
        <f>(Q2/P2)-1</f>
        <v>-1.7825621854133167E-2</v>
      </c>
      <c r="R3" s="11">
        <f>(R2/Q2)-1</f>
        <v>8.620612960016949E-2</v>
      </c>
      <c r="S3" s="11">
        <f>(S2/R2)-1</f>
        <v>6.1733612544224714E-2</v>
      </c>
      <c r="T3" s="12"/>
      <c r="U3" s="12"/>
      <c r="V3" s="12"/>
      <c r="W3" s="12"/>
      <c r="X3" s="12"/>
      <c r="Y3" s="12"/>
      <c r="Z3" s="12"/>
      <c r="AA3" s="13"/>
      <c r="AB3" s="13"/>
      <c r="AC3" s="13"/>
      <c r="AD3" s="13"/>
    </row>
    <row r="4" spans="1:30" x14ac:dyDescent="0.2">
      <c r="A4" s="2" t="s">
        <v>19</v>
      </c>
      <c r="B4" s="3">
        <v>1835922000</v>
      </c>
      <c r="C4" s="3">
        <v>2269548000</v>
      </c>
      <c r="D4" s="3">
        <v>2731224000</v>
      </c>
      <c r="E4" s="3">
        <v>3214591000</v>
      </c>
      <c r="F4" s="3">
        <v>4108269000</v>
      </c>
      <c r="G4" s="3">
        <v>4501223000</v>
      </c>
      <c r="H4" s="3">
        <v>3904384000</v>
      </c>
      <c r="I4" s="3">
        <v>4476412000</v>
      </c>
      <c r="J4" s="3">
        <v>4864985000</v>
      </c>
      <c r="K4" s="3">
        <v>5586369000</v>
      </c>
      <c r="L4" s="3">
        <v>5984634000</v>
      </c>
      <c r="M4" s="3">
        <v>7547061000</v>
      </c>
      <c r="N4" s="3">
        <v>8634652000</v>
      </c>
      <c r="O4" s="4">
        <v>9284155000</v>
      </c>
      <c r="P4" s="3">
        <v>2220175000</v>
      </c>
      <c r="Q4" s="3">
        <v>2180599000</v>
      </c>
      <c r="R4" s="3">
        <v>2368580000</v>
      </c>
      <c r="S4" s="3">
        <v>2514801000</v>
      </c>
    </row>
    <row r="5" spans="1:30" x14ac:dyDescent="0.2">
      <c r="A5" s="2" t="s">
        <v>20</v>
      </c>
      <c r="B5" s="3">
        <v>1346517000</v>
      </c>
      <c r="C5" s="3">
        <v>1680321000</v>
      </c>
      <c r="D5" s="3">
        <v>1990884000</v>
      </c>
      <c r="E5" s="3">
        <v>2359822000</v>
      </c>
      <c r="F5" s="3">
        <v>2990513000</v>
      </c>
      <c r="G5" s="3">
        <v>3326936000</v>
      </c>
      <c r="H5" s="3">
        <v>3406170000</v>
      </c>
      <c r="I5" s="3">
        <v>3720196000</v>
      </c>
      <c r="J5" s="3">
        <v>3953993000</v>
      </c>
      <c r="K5" s="3">
        <v>4443879000</v>
      </c>
      <c r="L5" s="3">
        <v>4943553000</v>
      </c>
      <c r="M5" s="3">
        <v>5840052000</v>
      </c>
      <c r="N5" s="3">
        <v>6572533000</v>
      </c>
      <c r="O5" s="4">
        <v>6901122000</v>
      </c>
      <c r="P5" s="3">
        <v>1657629000</v>
      </c>
      <c r="Q5" s="3">
        <v>1658057000</v>
      </c>
      <c r="R5" s="3">
        <v>1761490000</v>
      </c>
      <c r="S5" s="3">
        <v>1823946000</v>
      </c>
    </row>
    <row r="6" spans="1:30" x14ac:dyDescent="0.2">
      <c r="A6" s="2" t="s">
        <v>21</v>
      </c>
      <c r="B6" s="3">
        <v>1346517000</v>
      </c>
      <c r="C6" s="3">
        <v>1680321000</v>
      </c>
      <c r="D6" s="3">
        <v>1990884000</v>
      </c>
      <c r="E6" s="3">
        <v>2359822000</v>
      </c>
      <c r="F6" s="3">
        <v>2990513000</v>
      </c>
      <c r="G6" s="3">
        <v>3326936000</v>
      </c>
      <c r="H6" s="3">
        <v>3406170000</v>
      </c>
      <c r="I6" s="3">
        <v>3720196000</v>
      </c>
      <c r="J6" s="3">
        <v>3953993000</v>
      </c>
      <c r="K6" s="3">
        <v>4443879000</v>
      </c>
      <c r="L6" s="3">
        <v>4943553000</v>
      </c>
      <c r="M6" s="3">
        <v>5840052000</v>
      </c>
      <c r="N6" s="3">
        <v>6572533000</v>
      </c>
      <c r="O6" s="4">
        <v>6901122000</v>
      </c>
      <c r="P6" s="3">
        <v>1657629000</v>
      </c>
      <c r="Q6" s="3">
        <v>1658057000</v>
      </c>
      <c r="R6" s="3">
        <v>1761490000</v>
      </c>
      <c r="S6" s="3">
        <v>1823946000</v>
      </c>
    </row>
    <row r="7" spans="1:30" x14ac:dyDescent="0.2">
      <c r="A7" s="32" t="s">
        <v>22</v>
      </c>
      <c r="B7" s="30">
        <v>489405000</v>
      </c>
      <c r="C7" s="30">
        <v>589227000</v>
      </c>
      <c r="D7" s="30">
        <v>740340000</v>
      </c>
      <c r="E7" s="30">
        <v>854769000</v>
      </c>
      <c r="F7" s="30">
        <v>1117756000</v>
      </c>
      <c r="G7" s="30">
        <v>1174287000</v>
      </c>
      <c r="H7" s="30">
        <v>498214000</v>
      </c>
      <c r="I7" s="30">
        <v>756216000</v>
      </c>
      <c r="J7" s="30">
        <v>910992000</v>
      </c>
      <c r="K7" s="30">
        <v>1142490000</v>
      </c>
      <c r="L7" s="30">
        <v>1041081000</v>
      </c>
      <c r="M7" s="30">
        <v>1707009000</v>
      </c>
      <c r="N7" s="30">
        <v>2062119000</v>
      </c>
      <c r="O7" s="31">
        <v>2383033000</v>
      </c>
      <c r="P7" s="30">
        <v>562546000</v>
      </c>
      <c r="Q7" s="30">
        <v>522542000</v>
      </c>
      <c r="R7" s="30">
        <v>607090000</v>
      </c>
      <c r="S7" s="30">
        <v>690855000</v>
      </c>
    </row>
    <row r="8" spans="1:30" x14ac:dyDescent="0.2">
      <c r="A8" s="35" t="s">
        <v>58</v>
      </c>
      <c r="B8" s="36">
        <v>26.66</v>
      </c>
      <c r="C8" s="36">
        <v>25.96</v>
      </c>
      <c r="D8" s="36">
        <v>27.11</v>
      </c>
      <c r="E8" s="36">
        <v>26.59</v>
      </c>
      <c r="F8" s="36">
        <v>27.21</v>
      </c>
      <c r="G8" s="36">
        <v>26.09</v>
      </c>
      <c r="H8" s="36">
        <v>12.76</v>
      </c>
      <c r="I8" s="36">
        <v>16.89</v>
      </c>
      <c r="J8" s="36">
        <v>18.73</v>
      </c>
      <c r="K8" s="36">
        <v>20.45</v>
      </c>
      <c r="L8" s="36">
        <v>17.399999999999999</v>
      </c>
      <c r="M8" s="36">
        <v>22.62</v>
      </c>
      <c r="N8" s="36">
        <v>23.88</v>
      </c>
      <c r="O8" s="37">
        <v>25.67</v>
      </c>
      <c r="P8" s="36">
        <v>25.34</v>
      </c>
      <c r="Q8" s="36">
        <v>23.96</v>
      </c>
      <c r="R8" s="36">
        <v>25.63</v>
      </c>
      <c r="S8" s="36">
        <v>27.47</v>
      </c>
    </row>
    <row r="9" spans="1:30"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x14ac:dyDescent="0.2">
      <c r="A10" s="2" t="s">
        <v>25</v>
      </c>
      <c r="B10" s="3">
        <v>201574000</v>
      </c>
      <c r="C10" s="3">
        <v>232859000</v>
      </c>
      <c r="D10" s="3">
        <v>279448000</v>
      </c>
      <c r="E10" s="3">
        <v>315298000</v>
      </c>
      <c r="F10" s="3">
        <v>399980000</v>
      </c>
      <c r="G10" s="3">
        <v>397504000</v>
      </c>
      <c r="H10" s="3">
        <v>439770000</v>
      </c>
      <c r="I10" s="3">
        <v>472077000</v>
      </c>
      <c r="J10" s="3">
        <v>585985000</v>
      </c>
      <c r="K10" s="3">
        <v>675438000</v>
      </c>
      <c r="L10" s="3">
        <v>720340000</v>
      </c>
      <c r="M10" s="3">
        <v>882775000</v>
      </c>
      <c r="N10" s="3">
        <v>880577000</v>
      </c>
      <c r="O10" s="4">
        <v>914284000</v>
      </c>
      <c r="P10" s="3">
        <v>219930000</v>
      </c>
      <c r="Q10" s="3">
        <v>220426000</v>
      </c>
      <c r="R10" s="3">
        <v>231123000</v>
      </c>
      <c r="S10" s="3">
        <v>242805000</v>
      </c>
    </row>
    <row r="11" spans="1:30" x14ac:dyDescent="0.2">
      <c r="A11" s="2" t="s">
        <v>26</v>
      </c>
      <c r="B11" s="3">
        <v>126357000</v>
      </c>
      <c r="C11" s="3">
        <v>157921000</v>
      </c>
      <c r="D11" s="3">
        <v>183409000</v>
      </c>
      <c r="E11" s="3">
        <v>203733000</v>
      </c>
      <c r="F11" s="3">
        <v>273897000</v>
      </c>
      <c r="G11" s="3">
        <v>250214000</v>
      </c>
      <c r="H11" s="3">
        <v>276240000</v>
      </c>
      <c r="I11" s="3">
        <v>296388000</v>
      </c>
      <c r="J11" s="3">
        <v>375460000</v>
      </c>
      <c r="K11" s="3">
        <v>451552000</v>
      </c>
      <c r="L11" s="3">
        <v>466291000</v>
      </c>
      <c r="M11" s="3">
        <v>606854000</v>
      </c>
      <c r="N11" s="3">
        <v>564191000</v>
      </c>
      <c r="O11" s="4">
        <v>580805000</v>
      </c>
      <c r="P11" s="3">
        <v>140896000</v>
      </c>
      <c r="Q11" s="3">
        <v>135073000</v>
      </c>
      <c r="R11" s="3">
        <v>148340000</v>
      </c>
      <c r="S11" s="3">
        <v>156496000</v>
      </c>
    </row>
    <row r="12" spans="1:30" ht="19" x14ac:dyDescent="0.25">
      <c r="A12" s="14" t="s">
        <v>192</v>
      </c>
      <c r="B12" s="11">
        <f t="shared" ref="B12:S12" si="1">B11/B2</f>
        <v>6.8824819355070635E-2</v>
      </c>
      <c r="C12" s="11">
        <f t="shared" si="1"/>
        <v>6.9582577676259763E-2</v>
      </c>
      <c r="D12" s="11">
        <f t="shared" si="1"/>
        <v>6.715267586986641E-2</v>
      </c>
      <c r="E12" s="11">
        <f t="shared" si="1"/>
        <v>6.3377580538239539E-2</v>
      </c>
      <c r="F12" s="11">
        <f t="shared" si="1"/>
        <v>6.6669684969509049E-2</v>
      </c>
      <c r="G12" s="11">
        <f t="shared" si="1"/>
        <v>5.5588003527041428E-2</v>
      </c>
      <c r="H12" s="11">
        <f t="shared" si="1"/>
        <v>7.0751237583188534E-2</v>
      </c>
      <c r="I12" s="11">
        <f t="shared" si="1"/>
        <v>6.6211063682252658E-2</v>
      </c>
      <c r="J12" s="11">
        <f t="shared" si="1"/>
        <v>7.71759830708625E-2</v>
      </c>
      <c r="K12" s="11">
        <f t="shared" si="1"/>
        <v>8.0831037119101876E-2</v>
      </c>
      <c r="L12" s="11">
        <f t="shared" si="1"/>
        <v>7.7914706229319952E-2</v>
      </c>
      <c r="M12" s="11">
        <f t="shared" si="1"/>
        <v>8.0409314301288934E-2</v>
      </c>
      <c r="N12" s="11">
        <f t="shared" si="1"/>
        <v>6.5340328712726353E-2</v>
      </c>
      <c r="O12" s="11">
        <f t="shared" si="1"/>
        <v>6.2558735824638861E-2</v>
      </c>
      <c r="P12" s="11">
        <f t="shared" si="1"/>
        <v>6.3461664058013442E-2</v>
      </c>
      <c r="Q12" s="11">
        <f t="shared" si="1"/>
        <v>6.1943071605554255E-2</v>
      </c>
      <c r="R12" s="11">
        <f t="shared" si="1"/>
        <v>6.2628241393577588E-2</v>
      </c>
      <c r="S12" s="11">
        <f t="shared" si="1"/>
        <v>6.2229973663920128E-2</v>
      </c>
      <c r="T12" s="12"/>
      <c r="U12" s="12"/>
      <c r="V12" s="12"/>
      <c r="W12" s="12"/>
      <c r="X12" s="12"/>
      <c r="Y12" s="12"/>
      <c r="Z12" s="12"/>
      <c r="AA12" s="13"/>
      <c r="AB12" s="13"/>
      <c r="AC12" s="13"/>
      <c r="AD12" s="13"/>
    </row>
    <row r="13" spans="1:30" x14ac:dyDescent="0.2">
      <c r="A13" s="2" t="s">
        <v>27</v>
      </c>
      <c r="B13" s="3">
        <v>0</v>
      </c>
      <c r="C13" s="3">
        <v>0</v>
      </c>
      <c r="D13" s="3">
        <v>0</v>
      </c>
      <c r="E13" s="3">
        <v>0</v>
      </c>
      <c r="F13" s="3">
        <v>0</v>
      </c>
      <c r="G13" s="3">
        <v>0</v>
      </c>
      <c r="H13" s="3">
        <v>0</v>
      </c>
      <c r="I13" s="3">
        <v>0</v>
      </c>
      <c r="J13" s="3">
        <v>0</v>
      </c>
      <c r="K13" s="3">
        <v>0</v>
      </c>
      <c r="L13" s="3">
        <v>0</v>
      </c>
      <c r="M13" s="3">
        <v>0</v>
      </c>
      <c r="N13" s="3">
        <v>0</v>
      </c>
      <c r="O13" s="4">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x14ac:dyDescent="0.2">
      <c r="A15" s="2" t="s">
        <v>28</v>
      </c>
      <c r="B15" s="3">
        <v>75217000</v>
      </c>
      <c r="C15" s="3">
        <v>74938000</v>
      </c>
      <c r="D15" s="3">
        <v>96039000</v>
      </c>
      <c r="E15" s="3">
        <v>111565000</v>
      </c>
      <c r="F15" s="3">
        <v>126083000</v>
      </c>
      <c r="G15" s="3">
        <v>147290000</v>
      </c>
      <c r="H15" s="3">
        <v>163530000</v>
      </c>
      <c r="I15" s="3">
        <v>175689000</v>
      </c>
      <c r="J15" s="3">
        <v>210525000</v>
      </c>
      <c r="K15" s="3">
        <v>223886000</v>
      </c>
      <c r="L15" s="3">
        <v>254049000</v>
      </c>
      <c r="M15" s="3">
        <v>275921000</v>
      </c>
      <c r="N15" s="3">
        <v>316386000</v>
      </c>
      <c r="O15" s="4">
        <v>333479000</v>
      </c>
      <c r="P15" s="3">
        <v>79034000</v>
      </c>
      <c r="Q15" s="3">
        <v>85353000</v>
      </c>
      <c r="R15" s="3">
        <v>82783000</v>
      </c>
      <c r="S15" s="3">
        <v>86309000</v>
      </c>
    </row>
    <row r="16" spans="1:30" x14ac:dyDescent="0.2">
      <c r="A16" s="32" t="s">
        <v>29</v>
      </c>
      <c r="B16" s="30">
        <v>287831000</v>
      </c>
      <c r="C16" s="30">
        <v>356368000</v>
      </c>
      <c r="D16" s="30">
        <v>460892000</v>
      </c>
      <c r="E16" s="30">
        <v>539471000</v>
      </c>
      <c r="F16" s="30">
        <v>717776000</v>
      </c>
      <c r="G16" s="30">
        <v>776783000</v>
      </c>
      <c r="H16" s="30">
        <v>58444000</v>
      </c>
      <c r="I16" s="30">
        <v>284139000</v>
      </c>
      <c r="J16" s="30">
        <v>325007000</v>
      </c>
      <c r="K16" s="30">
        <v>467052000</v>
      </c>
      <c r="L16" s="30">
        <v>320741000</v>
      </c>
      <c r="M16" s="30">
        <v>824234000</v>
      </c>
      <c r="N16" s="30">
        <v>1181542000</v>
      </c>
      <c r="O16" s="31">
        <v>1468749000</v>
      </c>
      <c r="P16" s="30">
        <v>342616000</v>
      </c>
      <c r="Q16" s="30">
        <v>302116000</v>
      </c>
      <c r="R16" s="30">
        <v>375967000</v>
      </c>
      <c r="S16" s="30">
        <v>448050000</v>
      </c>
    </row>
    <row r="17" spans="1:30" x14ac:dyDescent="0.2">
      <c r="A17" s="25" t="s">
        <v>59</v>
      </c>
      <c r="B17" s="33">
        <v>15.68</v>
      </c>
      <c r="C17" s="33">
        <v>15.7</v>
      </c>
      <c r="D17" s="33">
        <v>16.87</v>
      </c>
      <c r="E17" s="33">
        <v>16.78</v>
      </c>
      <c r="F17" s="33">
        <v>17.47</v>
      </c>
      <c r="G17" s="33">
        <v>17.260000000000002</v>
      </c>
      <c r="H17" s="33">
        <v>1.5</v>
      </c>
      <c r="I17" s="33">
        <v>6.35</v>
      </c>
      <c r="J17" s="33">
        <v>6.68</v>
      </c>
      <c r="K17" s="33">
        <v>8.36</v>
      </c>
      <c r="L17" s="33">
        <v>5.36</v>
      </c>
      <c r="M17" s="33">
        <v>10.92</v>
      </c>
      <c r="N17" s="33">
        <v>13.68</v>
      </c>
      <c r="O17" s="34">
        <v>15.82</v>
      </c>
      <c r="P17" s="33">
        <v>15.43</v>
      </c>
      <c r="Q17" s="33">
        <v>13.85</v>
      </c>
      <c r="R17" s="33">
        <v>15.87</v>
      </c>
      <c r="S17" s="33">
        <v>17.82</v>
      </c>
    </row>
    <row r="18" spans="1:30" ht="19" x14ac:dyDescent="0.25">
      <c r="A18" s="15" t="s">
        <v>194</v>
      </c>
      <c r="B18" s="10"/>
      <c r="C18" s="11">
        <f>(C16/B16)-1</f>
        <v>0.23811542189687707</v>
      </c>
      <c r="D18" s="11">
        <f>(D16/C16)-1</f>
        <v>0.29330355138508502</v>
      </c>
      <c r="E18" s="11">
        <f>(E16/D16)-1</f>
        <v>0.17049330428820642</v>
      </c>
      <c r="F18" s="11">
        <f t="shared" ref="F18:N18" si="3">(F16/E16)-1</f>
        <v>0.33051822989558288</v>
      </c>
      <c r="G18" s="11">
        <f t="shared" si="3"/>
        <v>8.2208098348231173E-2</v>
      </c>
      <c r="H18" s="11">
        <f t="shared" si="3"/>
        <v>-0.92476148422403681</v>
      </c>
      <c r="I18" s="11">
        <f t="shared" si="3"/>
        <v>3.8617308876873588</v>
      </c>
      <c r="J18" s="11">
        <f t="shared" si="3"/>
        <v>0.14383101228624029</v>
      </c>
      <c r="K18" s="11">
        <f t="shared" si="3"/>
        <v>0.4370521250311532</v>
      </c>
      <c r="L18" s="11">
        <f t="shared" si="3"/>
        <v>-0.31326490412202501</v>
      </c>
      <c r="M18" s="11">
        <f t="shared" si="3"/>
        <v>1.5697806017939708</v>
      </c>
      <c r="N18" s="11">
        <f t="shared" si="3"/>
        <v>0.43350310712734497</v>
      </c>
      <c r="O18" s="11">
        <f>(O16/N16)-1</f>
        <v>0.2430781131775257</v>
      </c>
      <c r="P18" s="11"/>
      <c r="Q18" s="11">
        <f>(Q16/P16)-1</f>
        <v>-0.11820813972493982</v>
      </c>
      <c r="R18" s="11">
        <f>(R16/Q16)-1</f>
        <v>0.24444584199446573</v>
      </c>
      <c r="S18" s="11">
        <f>(S16/R16)-1</f>
        <v>0.191726933480864</v>
      </c>
      <c r="T18" s="12"/>
      <c r="U18" s="12"/>
      <c r="V18" s="12"/>
      <c r="W18" s="12"/>
      <c r="X18" s="12"/>
      <c r="Y18" s="12"/>
      <c r="Z18" s="12"/>
      <c r="AA18" s="13"/>
      <c r="AB18" s="13"/>
      <c r="AC18" s="13"/>
      <c r="AD18" s="13"/>
    </row>
    <row r="19" spans="1:30" x14ac:dyDescent="0.2">
      <c r="A19" s="2" t="s">
        <v>30</v>
      </c>
      <c r="B19" s="3">
        <v>-1230000</v>
      </c>
      <c r="C19" s="3">
        <v>6663000</v>
      </c>
      <c r="D19" s="3">
        <v>3207000</v>
      </c>
      <c r="E19" s="3">
        <v>5000000</v>
      </c>
      <c r="F19" s="3">
        <v>3473000</v>
      </c>
      <c r="G19" s="3">
        <v>6916000</v>
      </c>
      <c r="H19" s="3">
        <v>19705000</v>
      </c>
      <c r="I19" s="3">
        <v>8396000</v>
      </c>
      <c r="J19" s="3">
        <v>56571000</v>
      </c>
      <c r="K19" s="3">
        <v>8767000</v>
      </c>
      <c r="L19" s="3">
        <v>26960000</v>
      </c>
      <c r="M19" s="3">
        <v>11471000</v>
      </c>
      <c r="N19" s="3">
        <v>11000</v>
      </c>
      <c r="O19" s="4">
        <v>585000</v>
      </c>
      <c r="P19" s="3">
        <v>2651000</v>
      </c>
      <c r="Q19" s="3">
        <v>-1272000</v>
      </c>
      <c r="R19" s="3">
        <v>-588000</v>
      </c>
      <c r="S19" s="3">
        <v>-206000</v>
      </c>
    </row>
    <row r="20" spans="1:30" x14ac:dyDescent="0.2">
      <c r="A20" s="2" t="s">
        <v>31</v>
      </c>
      <c r="B20" s="3">
        <v>-1230000</v>
      </c>
      <c r="C20" s="3">
        <v>857000</v>
      </c>
      <c r="D20" s="3" t="s">
        <v>24</v>
      </c>
      <c r="E20" s="3" t="s">
        <v>24</v>
      </c>
      <c r="F20" s="3" t="s">
        <v>24</v>
      </c>
      <c r="G20" s="3" t="s">
        <v>24</v>
      </c>
      <c r="H20" s="3" t="s">
        <v>24</v>
      </c>
      <c r="I20" s="3" t="s">
        <v>24</v>
      </c>
      <c r="J20" s="3">
        <v>-10068000</v>
      </c>
      <c r="K20" s="3">
        <v>-14327000</v>
      </c>
      <c r="L20" s="3">
        <v>-3617000</v>
      </c>
      <c r="M20" s="3">
        <v>-7820000</v>
      </c>
      <c r="N20" s="3">
        <v>-21128000</v>
      </c>
      <c r="O20" s="4">
        <v>0</v>
      </c>
      <c r="P20" s="3" t="s">
        <v>24</v>
      </c>
      <c r="Q20" s="3" t="s">
        <v>24</v>
      </c>
      <c r="R20" s="3" t="s">
        <v>24</v>
      </c>
      <c r="S20" s="3" t="s">
        <v>24</v>
      </c>
    </row>
    <row r="21" spans="1:30" x14ac:dyDescent="0.2">
      <c r="A21" s="2" t="s">
        <v>32</v>
      </c>
      <c r="B21" s="3">
        <v>269000</v>
      </c>
      <c r="C21" s="3">
        <v>2945000</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30" x14ac:dyDescent="0.2">
      <c r="A22" s="2" t="s">
        <v>33</v>
      </c>
      <c r="B22" s="3">
        <v>1499000</v>
      </c>
      <c r="C22" s="3">
        <v>2088000</v>
      </c>
      <c r="D22" s="3" t="s">
        <v>24</v>
      </c>
      <c r="E22" s="3" t="s">
        <v>24</v>
      </c>
      <c r="F22" s="3" t="s">
        <v>24</v>
      </c>
      <c r="G22" s="3" t="s">
        <v>24</v>
      </c>
      <c r="H22" s="3" t="s">
        <v>24</v>
      </c>
      <c r="I22" s="3" t="s">
        <v>24</v>
      </c>
      <c r="J22" s="3">
        <v>10068000</v>
      </c>
      <c r="K22" s="3">
        <v>14327000</v>
      </c>
      <c r="L22" s="3">
        <v>3617000</v>
      </c>
      <c r="M22" s="3">
        <v>7820000</v>
      </c>
      <c r="N22" s="3">
        <v>21128000</v>
      </c>
      <c r="O22" s="4" t="s">
        <v>24</v>
      </c>
      <c r="P22" s="3" t="s">
        <v>24</v>
      </c>
      <c r="Q22" s="3" t="s">
        <v>24</v>
      </c>
      <c r="R22" s="3" t="s">
        <v>24</v>
      </c>
      <c r="S22" s="3" t="s">
        <v>24</v>
      </c>
    </row>
    <row r="23" spans="1:30" x14ac:dyDescent="0.2">
      <c r="A23" s="2" t="s">
        <v>34</v>
      </c>
      <c r="B23" s="3" t="s">
        <v>24</v>
      </c>
      <c r="C23" s="3">
        <v>5806000</v>
      </c>
      <c r="D23" s="3">
        <v>3207000</v>
      </c>
      <c r="E23" s="3">
        <v>5000000</v>
      </c>
      <c r="F23" s="3">
        <v>3473000</v>
      </c>
      <c r="G23" s="3">
        <v>6916000</v>
      </c>
      <c r="H23" s="3">
        <v>19705000</v>
      </c>
      <c r="I23" s="3">
        <v>8396000</v>
      </c>
      <c r="J23" s="3">
        <v>66639000</v>
      </c>
      <c r="K23" s="3">
        <v>23094000</v>
      </c>
      <c r="L23" s="3">
        <v>30577000</v>
      </c>
      <c r="M23" s="3">
        <v>19291000</v>
      </c>
      <c r="N23" s="3">
        <v>21139000</v>
      </c>
      <c r="O23" s="4">
        <v>585000</v>
      </c>
      <c r="P23" s="3">
        <v>2651000</v>
      </c>
      <c r="Q23" s="3">
        <v>-1272000</v>
      </c>
      <c r="R23" s="3">
        <v>-588000</v>
      </c>
      <c r="S23" s="3">
        <v>-206000</v>
      </c>
    </row>
    <row r="24" spans="1:30" x14ac:dyDescent="0.2">
      <c r="A24" s="2" t="s">
        <v>35</v>
      </c>
      <c r="B24" s="3">
        <v>289061000</v>
      </c>
      <c r="C24" s="3">
        <v>349705000</v>
      </c>
      <c r="D24" s="3">
        <v>457685000</v>
      </c>
      <c r="E24" s="3">
        <v>534471000</v>
      </c>
      <c r="F24" s="3">
        <v>714303000</v>
      </c>
      <c r="G24" s="3">
        <v>769867000</v>
      </c>
      <c r="H24" s="3">
        <v>38739000</v>
      </c>
      <c r="I24" s="3">
        <v>275743000</v>
      </c>
      <c r="J24" s="3">
        <v>268436000</v>
      </c>
      <c r="K24" s="3">
        <v>458285000</v>
      </c>
      <c r="L24" s="3">
        <v>293781000</v>
      </c>
      <c r="M24" s="3">
        <v>812763000</v>
      </c>
      <c r="N24" s="3">
        <v>1181531000</v>
      </c>
      <c r="O24" s="4">
        <v>1468164000</v>
      </c>
      <c r="P24" s="3">
        <v>339965000</v>
      </c>
      <c r="Q24" s="3">
        <v>303388000</v>
      </c>
      <c r="R24" s="3">
        <v>376555000</v>
      </c>
      <c r="S24" s="3">
        <v>448256000</v>
      </c>
    </row>
    <row r="25" spans="1:30" x14ac:dyDescent="0.2">
      <c r="A25" s="2" t="s">
        <v>36</v>
      </c>
      <c r="B25" s="3">
        <v>110080000</v>
      </c>
      <c r="C25" s="3">
        <v>134760000</v>
      </c>
      <c r="D25" s="3">
        <v>179685000</v>
      </c>
      <c r="E25" s="3">
        <v>207033000</v>
      </c>
      <c r="F25" s="3">
        <v>268929000</v>
      </c>
      <c r="G25" s="3">
        <v>294265000</v>
      </c>
      <c r="H25" s="3">
        <v>15801000</v>
      </c>
      <c r="I25" s="3">
        <v>99490000</v>
      </c>
      <c r="J25" s="3">
        <v>91883000</v>
      </c>
      <c r="K25" s="3">
        <v>108127000</v>
      </c>
      <c r="L25" s="3">
        <v>-61985000</v>
      </c>
      <c r="M25" s="3">
        <v>159779000</v>
      </c>
      <c r="N25" s="3">
        <v>282430000</v>
      </c>
      <c r="O25" s="4">
        <v>353865000</v>
      </c>
      <c r="P25" s="3">
        <v>82827000</v>
      </c>
      <c r="Q25" s="3">
        <v>79661000</v>
      </c>
      <c r="R25" s="3">
        <v>84911000</v>
      </c>
      <c r="S25" s="3">
        <v>106466000</v>
      </c>
    </row>
    <row r="26" spans="1:30"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x14ac:dyDescent="0.2">
      <c r="A27" s="2" t="s">
        <v>38</v>
      </c>
      <c r="B27" s="3">
        <v>178981000</v>
      </c>
      <c r="C27" s="3">
        <v>214945000</v>
      </c>
      <c r="D27" s="3">
        <v>278000000</v>
      </c>
      <c r="E27" s="3">
        <v>327438000</v>
      </c>
      <c r="F27" s="3">
        <v>445374000</v>
      </c>
      <c r="G27" s="3">
        <v>475602000</v>
      </c>
      <c r="H27" s="3">
        <v>22938000</v>
      </c>
      <c r="I27" s="3">
        <v>176253000</v>
      </c>
      <c r="J27" s="3">
        <v>176553000</v>
      </c>
      <c r="K27" s="3">
        <v>350158000</v>
      </c>
      <c r="L27" s="3">
        <v>355766000</v>
      </c>
      <c r="M27" s="3">
        <v>652984000</v>
      </c>
      <c r="N27" s="3">
        <v>899101000</v>
      </c>
      <c r="O27" s="4">
        <v>1114299000</v>
      </c>
      <c r="P27" s="3">
        <v>257138000</v>
      </c>
      <c r="Q27" s="3">
        <v>223727000</v>
      </c>
      <c r="R27" s="3">
        <v>291644000</v>
      </c>
      <c r="S27" s="3">
        <v>341790000</v>
      </c>
    </row>
    <row r="28" spans="1:30"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x14ac:dyDescent="0.2">
      <c r="A31" s="2" t="s">
        <v>42</v>
      </c>
      <c r="B31" s="3">
        <v>178981000</v>
      </c>
      <c r="C31" s="3">
        <v>214945000</v>
      </c>
      <c r="D31" s="3">
        <v>278000000</v>
      </c>
      <c r="E31" s="3">
        <v>327438000</v>
      </c>
      <c r="F31" s="3">
        <v>445374000</v>
      </c>
      <c r="G31" s="3">
        <v>475602000</v>
      </c>
      <c r="H31" s="3">
        <v>22938000</v>
      </c>
      <c r="I31" s="3">
        <v>176253000</v>
      </c>
      <c r="J31" s="3">
        <v>176553000</v>
      </c>
      <c r="K31" s="3">
        <v>350158000</v>
      </c>
      <c r="L31" s="3">
        <v>355766000</v>
      </c>
      <c r="M31" s="3">
        <v>652984000</v>
      </c>
      <c r="N31" s="3">
        <v>899101000</v>
      </c>
      <c r="O31" s="4">
        <v>1114299000</v>
      </c>
      <c r="P31" s="3">
        <v>257138000</v>
      </c>
      <c r="Q31" s="3">
        <v>223727000</v>
      </c>
      <c r="R31" s="3">
        <v>291644000</v>
      </c>
      <c r="S31" s="3">
        <v>341790000</v>
      </c>
    </row>
    <row r="32" spans="1:30"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x14ac:dyDescent="0.2">
      <c r="A33" s="32" t="s">
        <v>44</v>
      </c>
      <c r="B33" s="30">
        <v>178981000</v>
      </c>
      <c r="C33" s="30">
        <v>214945000</v>
      </c>
      <c r="D33" s="30">
        <v>278000000</v>
      </c>
      <c r="E33" s="30">
        <v>327438000</v>
      </c>
      <c r="F33" s="30">
        <v>445374000</v>
      </c>
      <c r="G33" s="30">
        <v>475602000</v>
      </c>
      <c r="H33" s="30">
        <v>22938000</v>
      </c>
      <c r="I33" s="30">
        <v>176253000</v>
      </c>
      <c r="J33" s="30">
        <v>176553000</v>
      </c>
      <c r="K33" s="30">
        <v>350158000</v>
      </c>
      <c r="L33" s="30">
        <v>355766000</v>
      </c>
      <c r="M33" s="30">
        <v>652984000</v>
      </c>
      <c r="N33" s="30">
        <v>899101000</v>
      </c>
      <c r="O33" s="31">
        <v>1114299000</v>
      </c>
      <c r="P33" s="30">
        <v>257138000</v>
      </c>
      <c r="Q33" s="30">
        <v>223727000</v>
      </c>
      <c r="R33" s="30">
        <v>291644000</v>
      </c>
      <c r="S33" s="30">
        <v>341790000</v>
      </c>
    </row>
    <row r="34" spans="1:30" x14ac:dyDescent="0.2">
      <c r="A34" s="25" t="s">
        <v>60</v>
      </c>
      <c r="B34" s="33">
        <v>9.75</v>
      </c>
      <c r="C34" s="33">
        <v>9.4700000000000006</v>
      </c>
      <c r="D34" s="33">
        <v>10.18</v>
      </c>
      <c r="E34" s="33">
        <v>10.19</v>
      </c>
      <c r="F34" s="33">
        <v>10.84</v>
      </c>
      <c r="G34" s="33">
        <v>10.57</v>
      </c>
      <c r="H34" s="33">
        <v>0.59</v>
      </c>
      <c r="I34" s="33">
        <v>3.94</v>
      </c>
      <c r="J34" s="33">
        <v>3.63</v>
      </c>
      <c r="K34" s="33">
        <v>6.27</v>
      </c>
      <c r="L34" s="33">
        <v>5.94</v>
      </c>
      <c r="M34" s="33">
        <v>8.65</v>
      </c>
      <c r="N34" s="33">
        <v>10.41</v>
      </c>
      <c r="O34" s="31">
        <v>12</v>
      </c>
      <c r="P34" s="33">
        <v>11.58</v>
      </c>
      <c r="Q34" s="33">
        <v>10.26</v>
      </c>
      <c r="R34" s="33">
        <v>12.31</v>
      </c>
      <c r="S34" s="33">
        <v>13.59</v>
      </c>
    </row>
    <row r="35" spans="1:30" ht="19" x14ac:dyDescent="0.25">
      <c r="A35" s="16" t="s">
        <v>195</v>
      </c>
      <c r="B35" s="17"/>
      <c r="C35" s="18">
        <f>(C33/B33)-1</f>
        <v>0.20093752968192158</v>
      </c>
      <c r="D35" s="18">
        <f>(D33/C33)-1</f>
        <v>0.29335411384307619</v>
      </c>
      <c r="E35" s="18">
        <f>(E33/D33)-1</f>
        <v>0.17783453237410063</v>
      </c>
      <c r="F35" s="18">
        <f t="shared" ref="F35:N35" si="4">(F33/E33)-1</f>
        <v>0.36017811005442257</v>
      </c>
      <c r="G35" s="18">
        <f t="shared" si="4"/>
        <v>6.7871047703727649E-2</v>
      </c>
      <c r="H35" s="18">
        <f t="shared" si="4"/>
        <v>-0.95177059810513831</v>
      </c>
      <c r="I35" s="18">
        <f t="shared" si="4"/>
        <v>6.6838869997384256</v>
      </c>
      <c r="J35" s="18">
        <f t="shared" si="4"/>
        <v>1.7020986876818966E-3</v>
      </c>
      <c r="K35" s="18">
        <f t="shared" si="4"/>
        <v>0.98330246441578439</v>
      </c>
      <c r="L35" s="18">
        <f t="shared" si="4"/>
        <v>1.6015627231135587E-2</v>
      </c>
      <c r="M35" s="18">
        <f t="shared" si="4"/>
        <v>0.83543115418561631</v>
      </c>
      <c r="N35" s="18">
        <f t="shared" si="4"/>
        <v>0.37691122600247473</v>
      </c>
      <c r="O35" s="18">
        <f>(O33/N33)-1</f>
        <v>0.2393479709176165</v>
      </c>
      <c r="P35" s="18"/>
      <c r="Q35" s="18">
        <f>(Q33/P33)-1</f>
        <v>-0.12993412097784074</v>
      </c>
      <c r="R35" s="18">
        <f>(R33/Q33)-1</f>
        <v>0.30357086985477832</v>
      </c>
      <c r="S35" s="18">
        <f>(S33/R33)-1</f>
        <v>0.17194250524612209</v>
      </c>
      <c r="T35" s="12"/>
      <c r="U35" s="12"/>
      <c r="V35" s="12"/>
      <c r="W35" s="12"/>
      <c r="X35" s="12"/>
      <c r="Y35" s="12"/>
      <c r="Z35" s="12"/>
      <c r="AA35" s="13"/>
      <c r="AB35" s="13"/>
      <c r="AC35" s="13"/>
      <c r="AD35" s="13"/>
    </row>
    <row r="36" spans="1:30" ht="19" customHeight="1" x14ac:dyDescent="0.2">
      <c r="A36" s="19" t="s">
        <v>196</v>
      </c>
      <c r="B36" s="20">
        <f t="shared" ref="B36:S36" si="5">(B16*(1-0.25))/(B126+B105+B96)</f>
        <v>0.26498732592324359</v>
      </c>
      <c r="C36" s="20">
        <f t="shared" si="5"/>
        <v>0.25506160963767122</v>
      </c>
      <c r="D36" s="20">
        <f t="shared" si="5"/>
        <v>0.27665582193836513</v>
      </c>
      <c r="E36" s="20" t="e">
        <f t="shared" si="5"/>
        <v>#VALUE!</v>
      </c>
      <c r="F36" s="20" t="e">
        <f t="shared" si="5"/>
        <v>#VALUE!</v>
      </c>
      <c r="G36" s="20" t="e">
        <f t="shared" si="5"/>
        <v>#VALUE!</v>
      </c>
      <c r="H36" s="20" t="e">
        <f t="shared" si="5"/>
        <v>#VALUE!</v>
      </c>
      <c r="I36" s="20" t="e">
        <f t="shared" si="5"/>
        <v>#VALUE!</v>
      </c>
      <c r="J36" s="20" t="e">
        <f t="shared" si="5"/>
        <v>#VALUE!</v>
      </c>
      <c r="K36" s="20">
        <f t="shared" si="5"/>
        <v>7.7249087503713162E-2</v>
      </c>
      <c r="L36" s="20">
        <f t="shared" si="5"/>
        <v>4.6464566568679089E-2</v>
      </c>
      <c r="M36" s="20">
        <f t="shared" si="5"/>
        <v>0.1062579327045383</v>
      </c>
      <c r="N36" s="20">
        <f t="shared" si="5"/>
        <v>0.14528506174262426</v>
      </c>
      <c r="O36" s="20">
        <f t="shared" si="5"/>
        <v>0.16552696383014084</v>
      </c>
      <c r="P36" s="20">
        <f t="shared" si="5"/>
        <v>4.2427131358138109E-2</v>
      </c>
      <c r="Q36" s="20">
        <f t="shared" si="5"/>
        <v>3.7148862853317678E-2</v>
      </c>
      <c r="R36" s="20">
        <f t="shared" si="5"/>
        <v>4.509237552132641E-2</v>
      </c>
      <c r="S36" s="20">
        <f t="shared" si="5"/>
        <v>5.0494915158474728E-2</v>
      </c>
    </row>
    <row r="37" spans="1:30"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x14ac:dyDescent="0.2">
      <c r="A39" s="2" t="s">
        <v>47</v>
      </c>
      <c r="B39" s="3">
        <v>178981000</v>
      </c>
      <c r="C39" s="3">
        <v>214945000</v>
      </c>
      <c r="D39" s="3">
        <v>278000000</v>
      </c>
      <c r="E39" s="3">
        <v>327438000</v>
      </c>
      <c r="F39" s="3">
        <v>445374000</v>
      </c>
      <c r="G39" s="3">
        <v>475602000</v>
      </c>
      <c r="H39" s="3">
        <v>22938000</v>
      </c>
      <c r="I39" s="3">
        <v>176253000</v>
      </c>
      <c r="J39" s="3">
        <v>176553000</v>
      </c>
      <c r="K39" s="3">
        <v>350158000</v>
      </c>
      <c r="L39" s="3">
        <v>355766000</v>
      </c>
      <c r="M39" s="3">
        <v>652984000</v>
      </c>
      <c r="N39" s="3">
        <v>899101000</v>
      </c>
      <c r="O39" s="4">
        <v>1114299000</v>
      </c>
      <c r="P39" s="3">
        <v>257138000</v>
      </c>
      <c r="Q39" s="3">
        <v>223727000</v>
      </c>
      <c r="R39" s="3">
        <v>291644000</v>
      </c>
      <c r="S39" s="3">
        <v>341790000</v>
      </c>
    </row>
    <row r="40" spans="1:30" x14ac:dyDescent="0.2">
      <c r="A40" s="2" t="s">
        <v>48</v>
      </c>
      <c r="B40" s="3">
        <v>31234000</v>
      </c>
      <c r="C40" s="3">
        <v>31217000</v>
      </c>
      <c r="D40" s="3">
        <v>31513000</v>
      </c>
      <c r="E40" s="3">
        <v>30957000</v>
      </c>
      <c r="F40" s="3">
        <v>31038000</v>
      </c>
      <c r="G40" s="3">
        <v>31092000</v>
      </c>
      <c r="H40" s="3">
        <v>29265000</v>
      </c>
      <c r="I40" s="3">
        <v>28491000</v>
      </c>
      <c r="J40" s="3">
        <v>27823000</v>
      </c>
      <c r="K40" s="3">
        <v>27740000</v>
      </c>
      <c r="L40" s="3">
        <v>27917000</v>
      </c>
      <c r="M40" s="3">
        <v>28132000</v>
      </c>
      <c r="N40" s="3">
        <v>27851000</v>
      </c>
      <c r="O40" s="4">
        <v>27671000</v>
      </c>
      <c r="P40" s="3">
        <v>27773000</v>
      </c>
      <c r="Q40" s="3">
        <v>27683000</v>
      </c>
      <c r="R40" s="3">
        <v>27624000</v>
      </c>
      <c r="S40" s="3">
        <v>27604000</v>
      </c>
    </row>
    <row r="41" spans="1:30" x14ac:dyDescent="0.2">
      <c r="A41" s="2" t="s">
        <v>49</v>
      </c>
      <c r="B41" s="5">
        <v>5.73</v>
      </c>
      <c r="C41" s="5">
        <v>6.89</v>
      </c>
      <c r="D41" s="5">
        <v>8.82</v>
      </c>
      <c r="E41" s="5">
        <v>10.58</v>
      </c>
      <c r="F41" s="5">
        <v>14.35</v>
      </c>
      <c r="G41" s="5">
        <v>15.3</v>
      </c>
      <c r="H41" s="5">
        <v>0.78</v>
      </c>
      <c r="I41" s="5">
        <v>6.19</v>
      </c>
      <c r="J41" s="5">
        <v>6.35</v>
      </c>
      <c r="K41" s="5">
        <v>12.62</v>
      </c>
      <c r="L41" s="5">
        <v>12.74</v>
      </c>
      <c r="M41" s="5">
        <v>23.21</v>
      </c>
      <c r="N41" s="5">
        <v>32.28</v>
      </c>
      <c r="O41" s="6">
        <v>40.270000000000003</v>
      </c>
      <c r="P41" s="5">
        <v>9.26</v>
      </c>
      <c r="Q41" s="5">
        <v>8.08</v>
      </c>
      <c r="R41" s="5">
        <v>10.56</v>
      </c>
      <c r="S41" s="5">
        <v>12.38</v>
      </c>
    </row>
    <row r="42" spans="1:30" x14ac:dyDescent="0.2">
      <c r="A42" s="2" t="s">
        <v>50</v>
      </c>
      <c r="B42" s="5">
        <v>5.73</v>
      </c>
      <c r="C42" s="5">
        <v>6.89</v>
      </c>
      <c r="D42" s="5">
        <v>8.82</v>
      </c>
      <c r="E42" s="5">
        <v>10.58</v>
      </c>
      <c r="F42" s="5">
        <v>14.35</v>
      </c>
      <c r="G42" s="5">
        <v>15.3</v>
      </c>
      <c r="H42" s="5">
        <v>0.78</v>
      </c>
      <c r="I42" s="5">
        <v>6.19</v>
      </c>
      <c r="J42" s="5">
        <v>6.35</v>
      </c>
      <c r="K42" s="5">
        <v>12.62</v>
      </c>
      <c r="L42" s="5">
        <v>12.74</v>
      </c>
      <c r="M42" s="5">
        <v>23.21</v>
      </c>
      <c r="N42" s="5">
        <v>32.28</v>
      </c>
      <c r="O42" s="6">
        <v>40.270000000000003</v>
      </c>
      <c r="P42" s="5">
        <v>9.26</v>
      </c>
      <c r="Q42" s="5">
        <v>8.08</v>
      </c>
      <c r="R42" s="5">
        <v>10.56</v>
      </c>
      <c r="S42" s="5">
        <v>12.38</v>
      </c>
    </row>
    <row r="43" spans="1:30" x14ac:dyDescent="0.2">
      <c r="A43" s="2" t="s">
        <v>51</v>
      </c>
      <c r="B43" s="3">
        <v>31735000</v>
      </c>
      <c r="C43" s="3">
        <v>31775000</v>
      </c>
      <c r="D43" s="3">
        <v>31783000</v>
      </c>
      <c r="E43" s="3">
        <v>31281000</v>
      </c>
      <c r="F43" s="3">
        <v>31512000</v>
      </c>
      <c r="G43" s="3">
        <v>31494000</v>
      </c>
      <c r="H43" s="3">
        <v>29770000</v>
      </c>
      <c r="I43" s="3">
        <v>28561000</v>
      </c>
      <c r="J43" s="3">
        <v>27962000</v>
      </c>
      <c r="K43" s="3">
        <v>28295000</v>
      </c>
      <c r="L43" s="3">
        <v>28416000</v>
      </c>
      <c r="M43" s="3">
        <v>28511000</v>
      </c>
      <c r="N43" s="3">
        <v>28062000</v>
      </c>
      <c r="O43" s="4">
        <v>27847750</v>
      </c>
      <c r="P43" s="3">
        <v>27956000</v>
      </c>
      <c r="Q43" s="3">
        <v>27900000</v>
      </c>
      <c r="R43" s="3">
        <v>27788000</v>
      </c>
      <c r="S43" s="3">
        <v>27747000</v>
      </c>
    </row>
    <row r="44" spans="1:30" x14ac:dyDescent="0.2">
      <c r="A44" s="2" t="s">
        <v>52</v>
      </c>
      <c r="B44" s="5">
        <v>5.64</v>
      </c>
      <c r="C44" s="5">
        <v>6.76</v>
      </c>
      <c r="D44" s="5">
        <v>8.75</v>
      </c>
      <c r="E44" s="5">
        <v>10.47</v>
      </c>
      <c r="F44" s="5">
        <v>14.13</v>
      </c>
      <c r="G44" s="5">
        <v>15.1</v>
      </c>
      <c r="H44" s="5">
        <v>0.77</v>
      </c>
      <c r="I44" s="5">
        <v>6.17</v>
      </c>
      <c r="J44" s="5">
        <v>6.31</v>
      </c>
      <c r="K44" s="5">
        <v>12.38</v>
      </c>
      <c r="L44" s="5">
        <v>12.52</v>
      </c>
      <c r="M44" s="5">
        <v>22.9</v>
      </c>
      <c r="N44" s="5">
        <v>32.04</v>
      </c>
      <c r="O44" s="6">
        <v>40.01</v>
      </c>
      <c r="P44" s="5">
        <v>9.1999999999999993</v>
      </c>
      <c r="Q44" s="5">
        <v>8.02</v>
      </c>
      <c r="R44" s="5">
        <v>10.5</v>
      </c>
      <c r="S44" s="5">
        <v>12.32</v>
      </c>
    </row>
    <row r="45" spans="1:30" x14ac:dyDescent="0.2">
      <c r="A45" s="2" t="s">
        <v>53</v>
      </c>
      <c r="B45" s="5">
        <v>5.64</v>
      </c>
      <c r="C45" s="5">
        <v>6.76</v>
      </c>
      <c r="D45" s="5">
        <v>8.75</v>
      </c>
      <c r="E45" s="5">
        <v>10.47</v>
      </c>
      <c r="F45" s="5">
        <v>14.13</v>
      </c>
      <c r="G45" s="5">
        <v>15.1</v>
      </c>
      <c r="H45" s="5">
        <v>0.77</v>
      </c>
      <c r="I45" s="5">
        <v>6.17</v>
      </c>
      <c r="J45" s="5">
        <v>6.31</v>
      </c>
      <c r="K45" s="5">
        <v>12.38</v>
      </c>
      <c r="L45" s="5">
        <v>12.52</v>
      </c>
      <c r="M45" s="5">
        <v>22.9</v>
      </c>
      <c r="N45" s="5">
        <v>32.04</v>
      </c>
      <c r="O45" s="6">
        <v>40.01</v>
      </c>
      <c r="P45" s="5">
        <v>9.1999999999999993</v>
      </c>
      <c r="Q45" s="5">
        <v>8.02</v>
      </c>
      <c r="R45" s="5">
        <v>10.5</v>
      </c>
      <c r="S45" s="5">
        <v>12.32</v>
      </c>
    </row>
    <row r="46" spans="1:30" x14ac:dyDescent="0.2">
      <c r="A46" s="2" t="s">
        <v>54</v>
      </c>
      <c r="B46" s="3">
        <v>356752000</v>
      </c>
      <c r="C46" s="3">
        <v>431306000</v>
      </c>
      <c r="D46" s="3">
        <v>545022000</v>
      </c>
      <c r="E46" s="3">
        <v>635525000</v>
      </c>
      <c r="F46" s="3">
        <v>828250000</v>
      </c>
      <c r="G46" s="3">
        <v>907151000</v>
      </c>
      <c r="H46" s="3">
        <v>204812000</v>
      </c>
      <c r="I46" s="3">
        <v>447487000</v>
      </c>
      <c r="J46" s="3">
        <v>526986000</v>
      </c>
      <c r="K46" s="3">
        <v>843782000</v>
      </c>
      <c r="L46" s="3">
        <v>743813000</v>
      </c>
      <c r="M46" s="3">
        <v>1078891000</v>
      </c>
      <c r="N46" s="3">
        <v>1468368000</v>
      </c>
      <c r="O46" s="4">
        <v>1769533000</v>
      </c>
      <c r="P46" s="3">
        <v>414032000</v>
      </c>
      <c r="Q46" s="3">
        <v>376128000</v>
      </c>
      <c r="R46" s="3">
        <v>452552000</v>
      </c>
      <c r="S46" s="3">
        <v>526821000</v>
      </c>
    </row>
    <row r="47" spans="1:30" x14ac:dyDescent="0.2">
      <c r="A47" s="2" t="s">
        <v>55</v>
      </c>
      <c r="B47" s="5">
        <v>19.43</v>
      </c>
      <c r="C47" s="3">
        <v>19</v>
      </c>
      <c r="D47" s="5">
        <v>19.96</v>
      </c>
      <c r="E47" s="5">
        <v>19.77</v>
      </c>
      <c r="F47" s="5">
        <v>20.16</v>
      </c>
      <c r="G47" s="5">
        <v>20.149999999999999</v>
      </c>
      <c r="H47" s="5">
        <v>5.25</v>
      </c>
      <c r="I47" s="3">
        <v>10</v>
      </c>
      <c r="J47" s="5">
        <v>10.83</v>
      </c>
      <c r="K47" s="5">
        <v>15.1</v>
      </c>
      <c r="L47" s="5">
        <v>12.43</v>
      </c>
      <c r="M47" s="5">
        <v>14.3</v>
      </c>
      <c r="N47" s="5">
        <v>17.010000000000002</v>
      </c>
      <c r="O47" s="6">
        <v>19.059999999999999</v>
      </c>
      <c r="P47" s="5">
        <v>15.7</v>
      </c>
      <c r="Q47" s="5">
        <v>17.010000000000002</v>
      </c>
      <c r="R47" s="5">
        <v>18.420000000000002</v>
      </c>
      <c r="S47" s="5">
        <v>19.059999999999999</v>
      </c>
    </row>
    <row r="48" spans="1:30" x14ac:dyDescent="0.2">
      <c r="A48" s="2" t="s">
        <v>56</v>
      </c>
      <c r="B48" s="3">
        <v>287831000</v>
      </c>
      <c r="C48" s="3">
        <v>356368000</v>
      </c>
      <c r="D48" s="3">
        <v>460892000</v>
      </c>
      <c r="E48" s="3">
        <v>539471000</v>
      </c>
      <c r="F48" s="3">
        <v>717776000</v>
      </c>
      <c r="G48" s="3">
        <v>776783000</v>
      </c>
      <c r="H48" s="3">
        <v>58444000</v>
      </c>
      <c r="I48" s="3">
        <v>284139000</v>
      </c>
      <c r="J48" s="3">
        <v>325007000</v>
      </c>
      <c r="K48" s="3">
        <v>467052000</v>
      </c>
      <c r="L48" s="3">
        <v>320741000</v>
      </c>
      <c r="M48" s="3">
        <v>824234000</v>
      </c>
      <c r="N48" s="3">
        <v>1181542000</v>
      </c>
      <c r="O48" s="4">
        <v>1468749000</v>
      </c>
      <c r="P48" s="3">
        <v>342616000</v>
      </c>
      <c r="Q48" s="3">
        <v>302116000</v>
      </c>
      <c r="R48" s="3">
        <v>375967000</v>
      </c>
      <c r="S48" s="3">
        <v>448050000</v>
      </c>
    </row>
    <row r="49" spans="1:19" x14ac:dyDescent="0.2">
      <c r="A49" s="2" t="s">
        <v>57</v>
      </c>
      <c r="B49" s="3">
        <v>287831000</v>
      </c>
      <c r="C49" s="3">
        <v>356368000</v>
      </c>
      <c r="D49" s="3">
        <v>460892000</v>
      </c>
      <c r="E49" s="3">
        <v>539471000</v>
      </c>
      <c r="F49" s="3">
        <v>717776000</v>
      </c>
      <c r="G49" s="3">
        <v>776783000</v>
      </c>
      <c r="H49" s="3">
        <v>58444000</v>
      </c>
      <c r="I49" s="3">
        <v>284139000</v>
      </c>
      <c r="J49" s="3">
        <v>325007000</v>
      </c>
      <c r="K49" s="3">
        <v>467052000</v>
      </c>
      <c r="L49" s="3">
        <v>320741000</v>
      </c>
      <c r="M49" s="3">
        <v>824234000</v>
      </c>
      <c r="N49" s="3">
        <v>1181542000</v>
      </c>
      <c r="O49" s="4">
        <v>1468749000</v>
      </c>
      <c r="P49" s="3">
        <v>342616000</v>
      </c>
      <c r="Q49" s="3">
        <v>302116000</v>
      </c>
      <c r="R49" s="3">
        <v>375967000</v>
      </c>
      <c r="S49" s="3">
        <v>448050000</v>
      </c>
    </row>
    <row r="50" spans="1:19" x14ac:dyDescent="0.2">
      <c r="A50" s="2" t="s">
        <v>61</v>
      </c>
      <c r="B50" s="3">
        <v>69280</v>
      </c>
      <c r="C50" s="3">
        <v>73353</v>
      </c>
      <c r="D50" s="3">
        <v>73204</v>
      </c>
      <c r="E50" s="3">
        <v>70900</v>
      </c>
      <c r="F50" s="3">
        <v>77383</v>
      </c>
      <c r="G50" s="3">
        <v>75868</v>
      </c>
      <c r="H50" s="3">
        <v>60467</v>
      </c>
      <c r="I50" s="3">
        <v>64979</v>
      </c>
      <c r="J50" s="3">
        <v>66644</v>
      </c>
      <c r="K50" s="3">
        <v>67306</v>
      </c>
      <c r="L50" s="3">
        <v>68007</v>
      </c>
      <c r="M50" s="3">
        <v>77279</v>
      </c>
      <c r="N50" s="3">
        <v>82268</v>
      </c>
      <c r="O50" s="4">
        <v>88456</v>
      </c>
      <c r="P50" s="3">
        <v>22734</v>
      </c>
      <c r="Q50" s="3">
        <v>20776</v>
      </c>
      <c r="R50" s="3">
        <v>22567</v>
      </c>
      <c r="S50" s="3">
        <v>23960</v>
      </c>
    </row>
    <row r="51" spans="1:19"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x14ac:dyDescent="0.2">
      <c r="A52" s="2" t="s">
        <v>63</v>
      </c>
      <c r="B52" s="3">
        <v>68921000</v>
      </c>
      <c r="C52" s="3">
        <v>74938000</v>
      </c>
      <c r="D52" s="3">
        <v>84130000</v>
      </c>
      <c r="E52" s="3">
        <v>96054000</v>
      </c>
      <c r="F52" s="3">
        <v>110474000</v>
      </c>
      <c r="G52" s="3">
        <v>130368000</v>
      </c>
      <c r="H52" s="3">
        <v>146368000</v>
      </c>
      <c r="I52" s="3">
        <v>163348000</v>
      </c>
      <c r="J52" s="3">
        <v>201979000</v>
      </c>
      <c r="K52" s="3">
        <v>376730000</v>
      </c>
      <c r="L52" s="3">
        <v>423072000</v>
      </c>
      <c r="M52" s="3">
        <v>254657000</v>
      </c>
      <c r="N52" s="3">
        <v>286826000</v>
      </c>
      <c r="O52" s="4">
        <v>300784000</v>
      </c>
      <c r="P52" s="3">
        <v>71416000</v>
      </c>
      <c r="Q52" s="3">
        <v>74012000</v>
      </c>
      <c r="R52" s="3">
        <v>76585000</v>
      </c>
      <c r="S52" s="3">
        <v>78771000</v>
      </c>
    </row>
    <row r="54" spans="1:19"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x14ac:dyDescent="0.2">
      <c r="A55" s="2" t="s">
        <v>64</v>
      </c>
      <c r="B55" s="3">
        <v>406221000</v>
      </c>
      <c r="C55" s="3">
        <v>501192000</v>
      </c>
      <c r="D55" s="3">
        <v>546607000</v>
      </c>
      <c r="E55" s="3">
        <v>666307000</v>
      </c>
      <c r="F55" s="3">
        <v>878479000</v>
      </c>
      <c r="G55" s="3">
        <v>814647000</v>
      </c>
      <c r="H55" s="3">
        <v>522374000</v>
      </c>
      <c r="I55" s="3">
        <v>629535000</v>
      </c>
      <c r="J55" s="3">
        <v>814794000</v>
      </c>
      <c r="K55" s="3">
        <v>1072204000</v>
      </c>
      <c r="L55" s="3">
        <v>1420237000</v>
      </c>
      <c r="M55" s="3">
        <v>1381564000</v>
      </c>
      <c r="N55" s="3">
        <v>1175837000</v>
      </c>
      <c r="O55" s="4">
        <v>1556419000</v>
      </c>
      <c r="P55" s="3">
        <v>1077432000</v>
      </c>
      <c r="Q55" s="3">
        <v>1175837000</v>
      </c>
      <c r="R55" s="3">
        <v>1261442000</v>
      </c>
      <c r="S55" s="3">
        <v>1556419000</v>
      </c>
    </row>
    <row r="56" spans="1:19" x14ac:dyDescent="0.2">
      <c r="A56" s="2" t="s">
        <v>65</v>
      </c>
      <c r="B56" s="3">
        <v>349604000</v>
      </c>
      <c r="C56" s="3">
        <v>456248000</v>
      </c>
      <c r="D56" s="3">
        <v>472859000</v>
      </c>
      <c r="E56" s="3">
        <v>578174000</v>
      </c>
      <c r="F56" s="3">
        <v>758057000</v>
      </c>
      <c r="G56" s="3">
        <v>663204000</v>
      </c>
      <c r="H56" s="3">
        <v>417716000</v>
      </c>
      <c r="I56" s="3">
        <v>508951000</v>
      </c>
      <c r="J56" s="3">
        <v>676798000</v>
      </c>
      <c r="K56" s="3">
        <v>880782000</v>
      </c>
      <c r="L56" s="3">
        <v>951603000</v>
      </c>
      <c r="M56" s="3">
        <v>1076319000</v>
      </c>
      <c r="N56" s="3">
        <v>899136000</v>
      </c>
      <c r="O56" s="4">
        <v>1356008000</v>
      </c>
      <c r="P56" s="3">
        <v>783901000</v>
      </c>
      <c r="Q56" s="3">
        <v>899136000</v>
      </c>
      <c r="R56" s="3">
        <v>1062585000</v>
      </c>
      <c r="S56" s="3">
        <v>1356008000</v>
      </c>
    </row>
    <row r="57" spans="1:19" x14ac:dyDescent="0.2">
      <c r="A57" s="2" t="s">
        <v>66</v>
      </c>
      <c r="B57" s="3">
        <v>224838000</v>
      </c>
      <c r="C57" s="3">
        <v>401243000</v>
      </c>
      <c r="D57" s="3">
        <v>322553000</v>
      </c>
      <c r="E57" s="3">
        <v>323203000</v>
      </c>
      <c r="F57" s="3">
        <v>419465000</v>
      </c>
      <c r="G57" s="3">
        <v>248005000</v>
      </c>
      <c r="H57" s="3">
        <v>87880000</v>
      </c>
      <c r="I57" s="3">
        <v>184569000</v>
      </c>
      <c r="J57" s="3">
        <v>249953000</v>
      </c>
      <c r="K57" s="3">
        <v>480626000</v>
      </c>
      <c r="L57" s="3">
        <v>607987000</v>
      </c>
      <c r="M57" s="3">
        <v>815374000</v>
      </c>
      <c r="N57" s="3">
        <v>384000000</v>
      </c>
      <c r="O57" s="4">
        <v>504866000</v>
      </c>
      <c r="P57" s="3">
        <v>366623000</v>
      </c>
      <c r="Q57" s="3">
        <v>384000000</v>
      </c>
      <c r="R57" s="3">
        <v>409727000</v>
      </c>
      <c r="S57" s="3">
        <v>504866000</v>
      </c>
    </row>
    <row r="58" spans="1:19" x14ac:dyDescent="0.2">
      <c r="A58" s="2" t="s">
        <v>67</v>
      </c>
      <c r="B58" s="3">
        <v>124766000</v>
      </c>
      <c r="C58" s="3">
        <v>55005000</v>
      </c>
      <c r="D58" s="3">
        <v>150306000</v>
      </c>
      <c r="E58" s="3">
        <v>254971000</v>
      </c>
      <c r="F58" s="3">
        <v>338592000</v>
      </c>
      <c r="G58" s="3">
        <v>415199000</v>
      </c>
      <c r="H58" s="3">
        <v>329836000</v>
      </c>
      <c r="I58" s="3">
        <v>324382000</v>
      </c>
      <c r="J58" s="3">
        <v>426845000</v>
      </c>
      <c r="K58" s="3">
        <v>400156000</v>
      </c>
      <c r="L58" s="3">
        <v>343616000</v>
      </c>
      <c r="M58" s="3">
        <v>260945000</v>
      </c>
      <c r="N58" s="3">
        <v>515136000</v>
      </c>
      <c r="O58" s="4">
        <v>851142000</v>
      </c>
      <c r="P58" s="3">
        <v>417278000</v>
      </c>
      <c r="Q58" s="3">
        <v>515136000</v>
      </c>
      <c r="R58" s="3">
        <v>652858000</v>
      </c>
      <c r="S58" s="3">
        <v>851142000</v>
      </c>
    </row>
    <row r="59" spans="1:19" x14ac:dyDescent="0.2">
      <c r="A59" s="2" t="s">
        <v>68</v>
      </c>
      <c r="B59" s="3">
        <v>29186000</v>
      </c>
      <c r="C59" s="3">
        <v>8389000</v>
      </c>
      <c r="D59" s="3">
        <v>26412000</v>
      </c>
      <c r="E59" s="3">
        <v>27673000</v>
      </c>
      <c r="F59" s="3">
        <v>51327000</v>
      </c>
      <c r="G59" s="3">
        <v>96435000</v>
      </c>
      <c r="H59" s="3">
        <v>45559000</v>
      </c>
      <c r="I59" s="3">
        <v>49806000</v>
      </c>
      <c r="J59" s="3">
        <v>62312000</v>
      </c>
      <c r="K59" s="3">
        <v>108250000</v>
      </c>
      <c r="L59" s="3">
        <v>387283000</v>
      </c>
      <c r="M59" s="3">
        <v>193663000</v>
      </c>
      <c r="N59" s="3">
        <v>154621000</v>
      </c>
      <c r="O59" s="4">
        <v>60985000</v>
      </c>
      <c r="P59" s="3">
        <v>183340000</v>
      </c>
      <c r="Q59" s="3">
        <v>154621000</v>
      </c>
      <c r="R59" s="3">
        <v>65869000</v>
      </c>
      <c r="S59" s="3">
        <v>60985000</v>
      </c>
    </row>
    <row r="60" spans="1:19" x14ac:dyDescent="0.2">
      <c r="A60" s="2" t="s">
        <v>69</v>
      </c>
      <c r="B60" s="3">
        <v>5658000</v>
      </c>
      <c r="C60" s="3">
        <v>8389000</v>
      </c>
      <c r="D60" s="3">
        <v>16800000</v>
      </c>
      <c r="E60" s="3">
        <v>24016000</v>
      </c>
      <c r="F60" s="3">
        <v>34839000</v>
      </c>
      <c r="G60" s="3">
        <v>38283000</v>
      </c>
      <c r="H60" s="3">
        <v>40451000</v>
      </c>
      <c r="I60" s="3">
        <v>40453000</v>
      </c>
      <c r="J60" s="3">
        <v>62312000</v>
      </c>
      <c r="K60" s="3">
        <v>80545000</v>
      </c>
      <c r="L60" s="3">
        <v>104500000</v>
      </c>
      <c r="M60" s="3">
        <v>99599000</v>
      </c>
      <c r="N60" s="3">
        <v>106880000</v>
      </c>
      <c r="O60" s="4">
        <v>60985000</v>
      </c>
      <c r="P60" s="3">
        <v>71276000</v>
      </c>
      <c r="Q60" s="3">
        <v>106880000</v>
      </c>
      <c r="R60" s="3">
        <v>65869000</v>
      </c>
      <c r="S60" s="3">
        <v>60985000</v>
      </c>
    </row>
    <row r="61" spans="1:19"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x14ac:dyDescent="0.2">
      <c r="A63" s="2" t="s">
        <v>72</v>
      </c>
      <c r="B63" s="3">
        <v>23528000</v>
      </c>
      <c r="C63" s="3" t="s">
        <v>24</v>
      </c>
      <c r="D63" s="3">
        <v>9612000</v>
      </c>
      <c r="E63" s="3">
        <v>3657000</v>
      </c>
      <c r="F63" s="3">
        <v>16488000</v>
      </c>
      <c r="G63" s="3">
        <v>58152000</v>
      </c>
      <c r="H63" s="3">
        <v>5108000</v>
      </c>
      <c r="I63" s="3">
        <v>9353000</v>
      </c>
      <c r="J63" s="3" t="s">
        <v>24</v>
      </c>
      <c r="K63" s="3">
        <v>27705000</v>
      </c>
      <c r="L63" s="3">
        <v>282783000</v>
      </c>
      <c r="M63" s="3">
        <v>94064000</v>
      </c>
      <c r="N63" s="3">
        <v>47741000</v>
      </c>
      <c r="O63" s="4" t="s">
        <v>24</v>
      </c>
      <c r="P63" s="3">
        <v>112064000</v>
      </c>
      <c r="Q63" s="3">
        <v>47741000</v>
      </c>
      <c r="R63" s="3" t="s">
        <v>24</v>
      </c>
      <c r="S63" s="3" t="s">
        <v>24</v>
      </c>
    </row>
    <row r="64" spans="1:19" x14ac:dyDescent="0.2">
      <c r="A64" s="2" t="s">
        <v>73</v>
      </c>
      <c r="B64" s="3">
        <v>7098000</v>
      </c>
      <c r="C64" s="3">
        <v>8913000</v>
      </c>
      <c r="D64" s="3">
        <v>11096000</v>
      </c>
      <c r="E64" s="3">
        <v>13044000</v>
      </c>
      <c r="F64" s="3">
        <v>15332000</v>
      </c>
      <c r="G64" s="3">
        <v>15043000</v>
      </c>
      <c r="H64" s="3">
        <v>15019000</v>
      </c>
      <c r="I64" s="3">
        <v>19860000</v>
      </c>
      <c r="J64" s="3">
        <v>21555000</v>
      </c>
      <c r="K64" s="3">
        <v>26096000</v>
      </c>
      <c r="L64" s="3">
        <v>26445000</v>
      </c>
      <c r="M64" s="3">
        <v>32826000</v>
      </c>
      <c r="N64" s="3">
        <v>35668000</v>
      </c>
      <c r="O64" s="4">
        <v>36004000</v>
      </c>
      <c r="P64" s="3">
        <v>33752000</v>
      </c>
      <c r="Q64" s="3">
        <v>35668000</v>
      </c>
      <c r="R64" s="3">
        <v>34599000</v>
      </c>
      <c r="S64" s="3">
        <v>36004000</v>
      </c>
    </row>
    <row r="65" spans="1:19"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x14ac:dyDescent="0.2">
      <c r="A69" s="2" t="s">
        <v>78</v>
      </c>
      <c r="B69" s="3">
        <v>7098000</v>
      </c>
      <c r="C69" s="3">
        <v>8913000</v>
      </c>
      <c r="D69" s="3">
        <v>11096000</v>
      </c>
      <c r="E69" s="3">
        <v>13044000</v>
      </c>
      <c r="F69" s="3">
        <v>15332000</v>
      </c>
      <c r="G69" s="3">
        <v>15043000</v>
      </c>
      <c r="H69" s="3">
        <v>15019000</v>
      </c>
      <c r="I69" s="3">
        <v>19860000</v>
      </c>
      <c r="J69" s="3">
        <v>21555000</v>
      </c>
      <c r="K69" s="3">
        <v>26096000</v>
      </c>
      <c r="L69" s="3">
        <v>26445000</v>
      </c>
      <c r="M69" s="3">
        <v>32826000</v>
      </c>
      <c r="N69" s="3">
        <v>35668000</v>
      </c>
      <c r="O69" s="4">
        <v>36004000</v>
      </c>
      <c r="P69" s="3">
        <v>33752000</v>
      </c>
      <c r="Q69" s="3">
        <v>35668000</v>
      </c>
      <c r="R69" s="3">
        <v>34599000</v>
      </c>
      <c r="S69" s="3">
        <v>36004000</v>
      </c>
    </row>
    <row r="70" spans="1:19" x14ac:dyDescent="0.2">
      <c r="A70" s="2" t="s">
        <v>79</v>
      </c>
      <c r="B70" s="3">
        <v>20333000</v>
      </c>
      <c r="C70" s="3">
        <v>27642000</v>
      </c>
      <c r="D70" s="3">
        <v>36240000</v>
      </c>
      <c r="E70" s="3">
        <v>47416000</v>
      </c>
      <c r="F70" s="3">
        <v>53763000</v>
      </c>
      <c r="G70" s="3">
        <v>39965000</v>
      </c>
      <c r="H70" s="3">
        <v>44080000</v>
      </c>
      <c r="I70" s="3">
        <v>50918000</v>
      </c>
      <c r="J70" s="3">
        <v>54129000</v>
      </c>
      <c r="K70" s="3">
        <v>57076000</v>
      </c>
      <c r="L70" s="3">
        <v>54906000</v>
      </c>
      <c r="M70" s="3">
        <v>78756000</v>
      </c>
      <c r="N70" s="3">
        <v>86412000</v>
      </c>
      <c r="O70" s="4">
        <v>103422000</v>
      </c>
      <c r="P70" s="3">
        <v>76439000</v>
      </c>
      <c r="Q70" s="3">
        <v>86412000</v>
      </c>
      <c r="R70" s="3">
        <v>98389000</v>
      </c>
      <c r="S70" s="3">
        <v>103422000</v>
      </c>
    </row>
    <row r="71" spans="1:19"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x14ac:dyDescent="0.2">
      <c r="A76" s="2" t="s">
        <v>85</v>
      </c>
      <c r="B76" s="3">
        <v>715384000</v>
      </c>
      <c r="C76" s="3">
        <v>924116000</v>
      </c>
      <c r="D76" s="3">
        <v>1122060000</v>
      </c>
      <c r="E76" s="3">
        <v>1342973000</v>
      </c>
      <c r="F76" s="3">
        <v>1667806000</v>
      </c>
      <c r="G76" s="3">
        <v>1910419000</v>
      </c>
      <c r="H76" s="3">
        <v>1503729000</v>
      </c>
      <c r="I76" s="3">
        <v>1416157000</v>
      </c>
      <c r="J76" s="3">
        <v>1450724000</v>
      </c>
      <c r="K76" s="3">
        <v>4032400000</v>
      </c>
      <c r="L76" s="3">
        <v>4562659000</v>
      </c>
      <c r="M76" s="3">
        <v>5271394000</v>
      </c>
      <c r="N76" s="3">
        <v>5751667000</v>
      </c>
      <c r="O76" s="4">
        <v>5996016000</v>
      </c>
      <c r="P76" s="3">
        <v>5740005000</v>
      </c>
      <c r="Q76" s="3">
        <v>5751667000</v>
      </c>
      <c r="R76" s="3">
        <v>5791930000</v>
      </c>
      <c r="S76" s="3">
        <v>5996016000</v>
      </c>
    </row>
    <row r="77" spans="1:19" x14ac:dyDescent="0.2">
      <c r="A77" s="2" t="s">
        <v>86</v>
      </c>
      <c r="B77" s="3">
        <v>676881000</v>
      </c>
      <c r="C77" s="3">
        <v>751951000</v>
      </c>
      <c r="D77" s="3">
        <v>421786000</v>
      </c>
      <c r="E77" s="3">
        <v>435841000</v>
      </c>
      <c r="F77" s="3">
        <v>493308000</v>
      </c>
      <c r="G77" s="3">
        <v>496345000</v>
      </c>
      <c r="H77" s="3">
        <v>458089000</v>
      </c>
      <c r="I77" s="3">
        <v>359442000</v>
      </c>
      <c r="J77" s="3">
        <v>295747000</v>
      </c>
      <c r="K77" s="3">
        <v>2762717000</v>
      </c>
      <c r="L77" s="3">
        <v>2971786000</v>
      </c>
      <c r="M77" s="3">
        <v>3351249000</v>
      </c>
      <c r="N77" s="3">
        <v>3518962000</v>
      </c>
      <c r="O77" s="4">
        <v>5455683000</v>
      </c>
      <c r="P77" s="3">
        <v>5180674000</v>
      </c>
      <c r="Q77" s="3">
        <v>3518962000</v>
      </c>
      <c r="R77" s="3">
        <v>5315606000</v>
      </c>
      <c r="S77" s="3">
        <v>5455683000</v>
      </c>
    </row>
    <row r="78" spans="1:19" x14ac:dyDescent="0.2">
      <c r="A78" s="2" t="s">
        <v>87</v>
      </c>
      <c r="B78" s="3">
        <v>982109000</v>
      </c>
      <c r="C78" s="3">
        <v>1122120000</v>
      </c>
      <c r="D78" s="3">
        <v>866703000</v>
      </c>
      <c r="E78" s="3">
        <v>963238000</v>
      </c>
      <c r="F78" s="3">
        <v>1106984000</v>
      </c>
      <c r="G78" s="3">
        <v>1217220000</v>
      </c>
      <c r="H78" s="3">
        <v>1303558000</v>
      </c>
      <c r="I78" s="3">
        <v>1338366000</v>
      </c>
      <c r="J78" s="3">
        <v>1379254000</v>
      </c>
      <c r="K78" s="3">
        <v>3964156000</v>
      </c>
      <c r="L78" s="3">
        <v>4351496000</v>
      </c>
      <c r="M78" s="3">
        <v>4887572000</v>
      </c>
      <c r="N78" s="3">
        <v>5253549000</v>
      </c>
      <c r="O78" s="4">
        <v>5455683000</v>
      </c>
      <c r="P78" s="3">
        <v>5180674000</v>
      </c>
      <c r="Q78" s="3">
        <v>5253549000</v>
      </c>
      <c r="R78" s="3">
        <v>5315606000</v>
      </c>
      <c r="S78" s="3">
        <v>5455683000</v>
      </c>
    </row>
    <row r="79" spans="1:19" x14ac:dyDescent="0.2">
      <c r="A79" s="2" t="s">
        <v>88</v>
      </c>
      <c r="B79" s="3">
        <v>305228000</v>
      </c>
      <c r="C79" s="3">
        <v>370169000</v>
      </c>
      <c r="D79" s="3">
        <v>444917000</v>
      </c>
      <c r="E79" s="3">
        <v>527397000</v>
      </c>
      <c r="F79" s="3">
        <v>613676000</v>
      </c>
      <c r="G79" s="3">
        <v>720875000</v>
      </c>
      <c r="H79" s="3">
        <v>845469000</v>
      </c>
      <c r="I79" s="3">
        <v>978924000</v>
      </c>
      <c r="J79" s="3">
        <v>1083507000</v>
      </c>
      <c r="K79" s="3">
        <v>1201439000</v>
      </c>
      <c r="L79" s="3">
        <v>1379710000</v>
      </c>
      <c r="M79" s="3">
        <v>1536323000</v>
      </c>
      <c r="N79" s="3">
        <v>1734587000</v>
      </c>
      <c r="O79" s="4" t="s">
        <v>24</v>
      </c>
      <c r="P79" s="3" t="s">
        <v>24</v>
      </c>
      <c r="Q79" s="3">
        <v>1734587000</v>
      </c>
      <c r="R79" s="3" t="s">
        <v>24</v>
      </c>
      <c r="S79" s="3" t="s">
        <v>24</v>
      </c>
    </row>
    <row r="80" spans="1:19" x14ac:dyDescent="0.2">
      <c r="A80" s="2" t="s">
        <v>89</v>
      </c>
      <c r="B80" s="3" t="s">
        <v>24</v>
      </c>
      <c r="C80" s="3">
        <v>128241000</v>
      </c>
      <c r="D80" s="3">
        <v>190868000</v>
      </c>
      <c r="E80" s="3">
        <v>313863000</v>
      </c>
      <c r="F80" s="3">
        <v>496106000</v>
      </c>
      <c r="G80" s="3">
        <v>622939000</v>
      </c>
      <c r="H80" s="3">
        <v>125055000</v>
      </c>
      <c r="I80" s="3" t="s">
        <v>24</v>
      </c>
      <c r="J80" s="3" t="s">
        <v>24</v>
      </c>
      <c r="K80" s="3" t="s">
        <v>24</v>
      </c>
      <c r="L80" s="3">
        <v>102328000</v>
      </c>
      <c r="M80" s="3">
        <v>274311000</v>
      </c>
      <c r="N80" s="3">
        <v>388055000</v>
      </c>
      <c r="O80" s="4">
        <v>430762000</v>
      </c>
      <c r="P80" s="3">
        <v>442620000</v>
      </c>
      <c r="Q80" s="3">
        <v>388055000</v>
      </c>
      <c r="R80" s="3">
        <v>368023000</v>
      </c>
      <c r="S80" s="3">
        <v>430762000</v>
      </c>
    </row>
    <row r="81" spans="1:19" x14ac:dyDescent="0.2">
      <c r="A81" s="2" t="s">
        <v>90</v>
      </c>
      <c r="B81" s="3" t="s">
        <v>24</v>
      </c>
      <c r="C81" s="3">
        <v>128241000</v>
      </c>
      <c r="D81" s="3">
        <v>190868000</v>
      </c>
      <c r="E81" s="3">
        <v>313863000</v>
      </c>
      <c r="F81" s="3">
        <v>496106000</v>
      </c>
      <c r="G81" s="3">
        <v>622939000</v>
      </c>
      <c r="H81" s="3">
        <v>125055000</v>
      </c>
      <c r="I81" s="3" t="s">
        <v>24</v>
      </c>
      <c r="J81" s="3" t="s">
        <v>24</v>
      </c>
      <c r="K81" s="3" t="s">
        <v>24</v>
      </c>
      <c r="L81" s="3">
        <v>102328000</v>
      </c>
      <c r="M81" s="3">
        <v>274311000</v>
      </c>
      <c r="N81" s="3">
        <v>388055000</v>
      </c>
      <c r="O81" s="4">
        <v>430762000</v>
      </c>
      <c r="P81" s="3">
        <v>442620000</v>
      </c>
      <c r="Q81" s="3">
        <v>388055000</v>
      </c>
      <c r="R81" s="3">
        <v>368023000</v>
      </c>
      <c r="S81" s="3">
        <v>430762000</v>
      </c>
    </row>
    <row r="82" spans="1:19"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x14ac:dyDescent="0.2">
      <c r="A83" s="2" t="s">
        <v>92</v>
      </c>
      <c r="B83" s="3">
        <v>38503000</v>
      </c>
      <c r="C83" s="3">
        <v>43924000</v>
      </c>
      <c r="D83" s="3">
        <v>509406000</v>
      </c>
      <c r="E83" s="3">
        <v>593269000</v>
      </c>
      <c r="F83" s="3">
        <v>678392000</v>
      </c>
      <c r="G83" s="3">
        <v>791135000</v>
      </c>
      <c r="H83" s="3">
        <v>920585000</v>
      </c>
      <c r="I83" s="3">
        <v>1056715000</v>
      </c>
      <c r="J83" s="3">
        <v>1154977000</v>
      </c>
      <c r="K83" s="3">
        <v>1269683000</v>
      </c>
      <c r="L83" s="3">
        <v>1488545000</v>
      </c>
      <c r="M83" s="3">
        <v>1645834000</v>
      </c>
      <c r="N83" s="3">
        <v>1844650000</v>
      </c>
      <c r="O83" s="4">
        <v>109571000</v>
      </c>
      <c r="P83" s="3">
        <v>116711000</v>
      </c>
      <c r="Q83" s="3">
        <v>1844650000</v>
      </c>
      <c r="R83" s="3">
        <v>108301000</v>
      </c>
      <c r="S83" s="3">
        <v>109571000</v>
      </c>
    </row>
    <row r="84" spans="1:19" x14ac:dyDescent="0.2">
      <c r="A84" s="2" t="s">
        <v>93</v>
      </c>
      <c r="B84" s="3">
        <v>21939000</v>
      </c>
      <c r="C84" s="3">
        <v>21939000</v>
      </c>
      <c r="D84" s="3">
        <v>21939000</v>
      </c>
      <c r="E84" s="3">
        <v>21939000</v>
      </c>
      <c r="F84" s="3">
        <v>21939000</v>
      </c>
      <c r="G84" s="3">
        <v>21939000</v>
      </c>
      <c r="H84" s="3">
        <v>21939000</v>
      </c>
      <c r="I84" s="3">
        <v>21939000</v>
      </c>
      <c r="J84" s="3">
        <v>21939000</v>
      </c>
      <c r="K84" s="3">
        <v>21939000</v>
      </c>
      <c r="L84" s="3">
        <v>21939000</v>
      </c>
      <c r="M84" s="3">
        <v>21939000</v>
      </c>
      <c r="N84" s="3">
        <v>21939000</v>
      </c>
      <c r="O84" s="4">
        <v>21939000</v>
      </c>
      <c r="P84" s="3">
        <v>21939000</v>
      </c>
      <c r="Q84" s="3">
        <v>21939000</v>
      </c>
      <c r="R84" s="3">
        <v>21939000</v>
      </c>
      <c r="S84" s="3">
        <v>21939000</v>
      </c>
    </row>
    <row r="85" spans="1:19" x14ac:dyDescent="0.2">
      <c r="A85" s="2" t="s">
        <v>94</v>
      </c>
      <c r="B85" s="3">
        <v>21939000</v>
      </c>
      <c r="C85" s="3">
        <v>21939000</v>
      </c>
      <c r="D85" s="3">
        <v>21939000</v>
      </c>
      <c r="E85" s="3">
        <v>21939000</v>
      </c>
      <c r="F85" s="3">
        <v>21939000</v>
      </c>
      <c r="G85" s="3">
        <v>21939000</v>
      </c>
      <c r="H85" s="3">
        <v>21939000</v>
      </c>
      <c r="I85" s="3">
        <v>21939000</v>
      </c>
      <c r="J85" s="3">
        <v>21939000</v>
      </c>
      <c r="K85" s="3">
        <v>21939000</v>
      </c>
      <c r="L85" s="3">
        <v>21939000</v>
      </c>
      <c r="M85" s="3">
        <v>21939000</v>
      </c>
      <c r="N85" s="3">
        <v>21939000</v>
      </c>
      <c r="O85" s="4">
        <v>21939000</v>
      </c>
      <c r="P85" s="3">
        <v>21939000</v>
      </c>
      <c r="Q85" s="3">
        <v>21939000</v>
      </c>
      <c r="R85" s="3">
        <v>21939000</v>
      </c>
      <c r="S85" s="3">
        <v>21939000</v>
      </c>
    </row>
    <row r="86" spans="1:19"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x14ac:dyDescent="0.2">
      <c r="A89" s="2" t="s">
        <v>98</v>
      </c>
      <c r="B89" s="3">
        <v>16564000</v>
      </c>
      <c r="C89" s="3">
        <v>21985000</v>
      </c>
      <c r="D89" s="3">
        <v>487467000</v>
      </c>
      <c r="E89" s="3">
        <v>571330000</v>
      </c>
      <c r="F89" s="3">
        <v>656453000</v>
      </c>
      <c r="G89" s="3">
        <v>769196000</v>
      </c>
      <c r="H89" s="3">
        <v>898646000</v>
      </c>
      <c r="I89" s="3">
        <v>1034776000</v>
      </c>
      <c r="J89" s="3">
        <v>1133038000</v>
      </c>
      <c r="K89" s="3">
        <v>1247744000</v>
      </c>
      <c r="L89" s="3">
        <v>1466606000</v>
      </c>
      <c r="M89" s="3">
        <v>1623895000</v>
      </c>
      <c r="N89" s="3">
        <v>1822711000</v>
      </c>
      <c r="O89" s="4">
        <v>87632000</v>
      </c>
      <c r="P89" s="3">
        <v>94772000</v>
      </c>
      <c r="Q89" s="3">
        <v>1822711000</v>
      </c>
      <c r="R89" s="3">
        <v>86362000</v>
      </c>
      <c r="S89" s="3">
        <v>87632000</v>
      </c>
    </row>
    <row r="90" spans="1:19" x14ac:dyDescent="0.2">
      <c r="A90" s="2" t="s">
        <v>99</v>
      </c>
      <c r="B90" s="3">
        <v>1121605000</v>
      </c>
      <c r="C90" s="3">
        <v>1425308000</v>
      </c>
      <c r="D90" s="3">
        <v>1668667000</v>
      </c>
      <c r="E90" s="3">
        <v>2009280000</v>
      </c>
      <c r="F90" s="3">
        <v>2546285000</v>
      </c>
      <c r="G90" s="3">
        <v>2725066000</v>
      </c>
      <c r="H90" s="3">
        <v>2026103000</v>
      </c>
      <c r="I90" s="3">
        <v>2045692000</v>
      </c>
      <c r="J90" s="3">
        <v>2265518000</v>
      </c>
      <c r="K90" s="3">
        <v>5104604000</v>
      </c>
      <c r="L90" s="3">
        <v>5982896000</v>
      </c>
      <c r="M90" s="3">
        <v>6652958000</v>
      </c>
      <c r="N90" s="3">
        <v>6927504000</v>
      </c>
      <c r="O90" s="4">
        <v>7552435000</v>
      </c>
      <c r="P90" s="3">
        <v>6817437000</v>
      </c>
      <c r="Q90" s="3">
        <v>6927504000</v>
      </c>
      <c r="R90" s="3">
        <v>7053372000</v>
      </c>
      <c r="S90" s="3">
        <v>7552435000</v>
      </c>
    </row>
    <row r="91" spans="1:19" x14ac:dyDescent="0.2">
      <c r="A91" s="2" t="s">
        <v>100</v>
      </c>
      <c r="B91" s="3">
        <v>122933000</v>
      </c>
      <c r="C91" s="3">
        <v>97079000</v>
      </c>
      <c r="D91" s="3">
        <v>186709000</v>
      </c>
      <c r="E91" s="3">
        <v>199228000</v>
      </c>
      <c r="F91" s="3">
        <v>245710000</v>
      </c>
      <c r="G91" s="3">
        <v>279942000</v>
      </c>
      <c r="H91" s="3">
        <v>281793000</v>
      </c>
      <c r="I91" s="3">
        <v>323893000</v>
      </c>
      <c r="J91" s="3">
        <v>379516000</v>
      </c>
      <c r="K91" s="3">
        <v>398259000</v>
      </c>
      <c r="L91" s="3">
        <v>489693000</v>
      </c>
      <c r="M91" s="3">
        <v>498618000</v>
      </c>
      <c r="N91" s="3">
        <v>502561000</v>
      </c>
      <c r="O91" s="4">
        <v>579230000</v>
      </c>
      <c r="P91" s="3">
        <v>452792000</v>
      </c>
      <c r="Q91" s="3">
        <v>502561000</v>
      </c>
      <c r="R91" s="3">
        <v>497165000</v>
      </c>
      <c r="S91" s="3">
        <v>579230000</v>
      </c>
    </row>
    <row r="92" spans="1:19" x14ac:dyDescent="0.2">
      <c r="A92" s="2" t="s">
        <v>101</v>
      </c>
      <c r="B92" s="3">
        <v>33705000</v>
      </c>
      <c r="C92" s="3">
        <v>46382000</v>
      </c>
      <c r="D92" s="3">
        <v>58700000</v>
      </c>
      <c r="E92" s="3">
        <v>59022000</v>
      </c>
      <c r="F92" s="3">
        <v>69613000</v>
      </c>
      <c r="G92" s="3">
        <v>85709000</v>
      </c>
      <c r="H92" s="3">
        <v>78363000</v>
      </c>
      <c r="I92" s="3">
        <v>82028000</v>
      </c>
      <c r="J92" s="3">
        <v>113071000</v>
      </c>
      <c r="K92" s="3">
        <v>115816000</v>
      </c>
      <c r="L92" s="3">
        <v>121990000</v>
      </c>
      <c r="M92" s="3">
        <v>163161000</v>
      </c>
      <c r="N92" s="3">
        <v>184566000</v>
      </c>
      <c r="O92" s="4">
        <v>162041000</v>
      </c>
      <c r="P92" s="3">
        <v>167842000</v>
      </c>
      <c r="Q92" s="3">
        <v>184566000</v>
      </c>
      <c r="R92" s="3">
        <v>182606000</v>
      </c>
      <c r="S92" s="3">
        <v>162041000</v>
      </c>
    </row>
    <row r="93" spans="1:19" x14ac:dyDescent="0.2">
      <c r="A93" s="2" t="s">
        <v>102</v>
      </c>
      <c r="B93" s="3">
        <v>10280000</v>
      </c>
      <c r="C93" s="3">
        <v>4241000</v>
      </c>
      <c r="D93" s="3">
        <v>13499000</v>
      </c>
      <c r="E93" s="3">
        <v>17541000</v>
      </c>
      <c r="F93" s="3">
        <v>22929000</v>
      </c>
      <c r="G93" s="3">
        <v>15634000</v>
      </c>
      <c r="H93" s="3">
        <v>20435000</v>
      </c>
      <c r="I93" s="3">
        <v>18920000</v>
      </c>
      <c r="J93" s="3">
        <v>5129000</v>
      </c>
      <c r="K93" s="3">
        <v>26484000</v>
      </c>
      <c r="L93" s="3">
        <v>26419000</v>
      </c>
      <c r="M93" s="3">
        <v>32004000</v>
      </c>
      <c r="N93" s="3">
        <v>35567000</v>
      </c>
      <c r="O93" s="4">
        <v>98423000</v>
      </c>
      <c r="P93" s="3" t="s">
        <v>24</v>
      </c>
      <c r="Q93" s="3">
        <v>35567000</v>
      </c>
      <c r="R93" s="3">
        <v>37658000</v>
      </c>
      <c r="S93" s="3">
        <v>98423000</v>
      </c>
    </row>
    <row r="94" spans="1:19"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x14ac:dyDescent="0.2">
      <c r="A95" s="2" t="s">
        <v>104</v>
      </c>
      <c r="B95" s="3">
        <v>78948000</v>
      </c>
      <c r="C95" s="3">
        <v>46456000</v>
      </c>
      <c r="D95" s="3">
        <v>114510000</v>
      </c>
      <c r="E95" s="3">
        <v>122665000</v>
      </c>
      <c r="F95" s="3">
        <v>153168000</v>
      </c>
      <c r="G95" s="3">
        <v>178599000</v>
      </c>
      <c r="H95" s="3">
        <v>182995000</v>
      </c>
      <c r="I95" s="3">
        <v>222945000</v>
      </c>
      <c r="J95" s="3">
        <v>261316000</v>
      </c>
      <c r="K95" s="3">
        <v>255959000</v>
      </c>
      <c r="L95" s="3">
        <v>341284000</v>
      </c>
      <c r="M95" s="3">
        <v>303453000</v>
      </c>
      <c r="N95" s="3">
        <v>282428000</v>
      </c>
      <c r="O95" s="4">
        <v>318766000</v>
      </c>
      <c r="P95" s="3">
        <v>284950000</v>
      </c>
      <c r="Q95" s="3">
        <v>282428000</v>
      </c>
      <c r="R95" s="3">
        <v>276901000</v>
      </c>
      <c r="S95" s="3">
        <v>318766000</v>
      </c>
    </row>
    <row r="96" spans="1:19" x14ac:dyDescent="0.2">
      <c r="A96" s="2" t="s">
        <v>105</v>
      </c>
      <c r="B96" s="3">
        <v>121000</v>
      </c>
      <c r="C96" s="3">
        <v>133000</v>
      </c>
      <c r="D96" s="3">
        <v>143000</v>
      </c>
      <c r="E96" s="3" t="s">
        <v>24</v>
      </c>
      <c r="F96" s="3" t="s">
        <v>24</v>
      </c>
      <c r="G96" s="3" t="s">
        <v>24</v>
      </c>
      <c r="H96" s="3" t="s">
        <v>24</v>
      </c>
      <c r="I96" s="3" t="s">
        <v>24</v>
      </c>
      <c r="J96" s="3" t="s">
        <v>24</v>
      </c>
      <c r="K96" s="3">
        <v>173139000</v>
      </c>
      <c r="L96" s="3">
        <v>204756000</v>
      </c>
      <c r="M96" s="3">
        <v>218713000</v>
      </c>
      <c r="N96" s="3">
        <v>236248000</v>
      </c>
      <c r="O96" s="4">
        <v>244061000</v>
      </c>
      <c r="P96" s="3">
        <v>231947000</v>
      </c>
      <c r="Q96" s="3">
        <v>236248000</v>
      </c>
      <c r="R96" s="3">
        <v>239029000</v>
      </c>
      <c r="S96" s="3">
        <v>244061000</v>
      </c>
    </row>
    <row r="97" spans="1:19"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x14ac:dyDescent="0.2">
      <c r="A98" s="2" t="s">
        <v>107</v>
      </c>
      <c r="B98" s="3">
        <v>121000</v>
      </c>
      <c r="C98" s="3">
        <v>133000</v>
      </c>
      <c r="D98" s="3">
        <v>143000</v>
      </c>
      <c r="E98" s="3" t="s">
        <v>24</v>
      </c>
      <c r="F98" s="3" t="s">
        <v>24</v>
      </c>
      <c r="G98" s="3" t="s">
        <v>24</v>
      </c>
      <c r="H98" s="3" t="s">
        <v>24</v>
      </c>
      <c r="I98" s="3" t="s">
        <v>24</v>
      </c>
      <c r="J98" s="3" t="s">
        <v>24</v>
      </c>
      <c r="K98" s="3">
        <v>173139000</v>
      </c>
      <c r="L98" s="3">
        <v>204756000</v>
      </c>
      <c r="M98" s="3">
        <v>218713000</v>
      </c>
      <c r="N98" s="3">
        <v>236248000</v>
      </c>
      <c r="O98" s="4">
        <v>244061000</v>
      </c>
      <c r="P98" s="3">
        <v>231947000</v>
      </c>
      <c r="Q98" s="3">
        <v>236248000</v>
      </c>
      <c r="R98" s="3">
        <v>239029000</v>
      </c>
      <c r="S98" s="3">
        <v>244061000</v>
      </c>
    </row>
    <row r="99" spans="1:19" x14ac:dyDescent="0.2">
      <c r="A99" s="2" t="s">
        <v>108</v>
      </c>
      <c r="B99" s="3" t="s">
        <v>24</v>
      </c>
      <c r="C99" s="3">
        <v>60241000</v>
      </c>
      <c r="D99" s="3" t="s">
        <v>24</v>
      </c>
      <c r="E99" s="3" t="s">
        <v>24</v>
      </c>
      <c r="F99" s="3" t="s">
        <v>24</v>
      </c>
      <c r="G99" s="3" t="s">
        <v>24</v>
      </c>
      <c r="H99" s="3" t="s">
        <v>24</v>
      </c>
      <c r="I99" s="3" t="s">
        <v>24</v>
      </c>
      <c r="J99" s="3">
        <v>70474000</v>
      </c>
      <c r="K99" s="3">
        <v>95195000</v>
      </c>
      <c r="L99" s="3">
        <v>127750000</v>
      </c>
      <c r="M99" s="3">
        <v>156351000</v>
      </c>
      <c r="N99" s="3">
        <v>183071000</v>
      </c>
      <c r="O99" s="4">
        <v>158959000</v>
      </c>
      <c r="P99" s="3">
        <v>133118000</v>
      </c>
      <c r="Q99" s="3">
        <v>183071000</v>
      </c>
      <c r="R99" s="3">
        <v>157898000</v>
      </c>
      <c r="S99" s="3">
        <v>158959000</v>
      </c>
    </row>
    <row r="100" spans="1:19" x14ac:dyDescent="0.2">
      <c r="A100" s="2" t="s">
        <v>109</v>
      </c>
      <c r="B100" s="3" t="s">
        <v>24</v>
      </c>
      <c r="C100" s="3">
        <v>18012000</v>
      </c>
      <c r="D100" s="3">
        <v>22736000</v>
      </c>
      <c r="E100" s="3">
        <v>31508000</v>
      </c>
      <c r="F100" s="3">
        <v>48105000</v>
      </c>
      <c r="G100" s="3">
        <v>51055000</v>
      </c>
      <c r="H100" s="3">
        <v>59438000</v>
      </c>
      <c r="I100" s="3">
        <v>63645000</v>
      </c>
      <c r="J100" s="3">
        <v>70474000</v>
      </c>
      <c r="K100" s="3">
        <v>95195000</v>
      </c>
      <c r="L100" s="3">
        <v>127750000</v>
      </c>
      <c r="M100" s="3">
        <v>156351000</v>
      </c>
      <c r="N100" s="3">
        <v>183071000</v>
      </c>
      <c r="O100" s="4">
        <v>158959000</v>
      </c>
      <c r="P100" s="3">
        <v>133118000</v>
      </c>
      <c r="Q100" s="3">
        <v>183071000</v>
      </c>
      <c r="R100" s="3">
        <v>157898000</v>
      </c>
      <c r="S100" s="3">
        <v>158959000</v>
      </c>
    </row>
    <row r="101" spans="1:19"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x14ac:dyDescent="0.2">
      <c r="A103" s="2" t="s">
        <v>112</v>
      </c>
      <c r="B103" s="3" t="s">
        <v>24</v>
      </c>
      <c r="C103" s="3">
        <v>42229000</v>
      </c>
      <c r="D103" s="3">
        <v>-22736000</v>
      </c>
      <c r="E103" s="3">
        <v>-31508000</v>
      </c>
      <c r="F103" s="3">
        <v>-48105000</v>
      </c>
      <c r="G103" s="3">
        <v>-51055000</v>
      </c>
      <c r="H103" s="3">
        <v>-59438000</v>
      </c>
      <c r="I103" s="3">
        <v>-63645000</v>
      </c>
      <c r="J103" s="3" t="s">
        <v>24</v>
      </c>
      <c r="K103" s="3" t="s">
        <v>24</v>
      </c>
      <c r="L103" s="3" t="s">
        <v>24</v>
      </c>
      <c r="M103" s="3" t="s">
        <v>24</v>
      </c>
      <c r="N103" s="3" t="s">
        <v>24</v>
      </c>
      <c r="O103" s="4" t="s">
        <v>24</v>
      </c>
      <c r="P103" s="3" t="s">
        <v>24</v>
      </c>
      <c r="Q103" s="3" t="s">
        <v>24</v>
      </c>
      <c r="R103" s="3" t="s">
        <v>24</v>
      </c>
      <c r="S103" s="3" t="s">
        <v>24</v>
      </c>
    </row>
    <row r="104" spans="1:19" x14ac:dyDescent="0.2">
      <c r="A104" s="2" t="s">
        <v>113</v>
      </c>
      <c r="B104" s="3">
        <v>123054000</v>
      </c>
      <c r="C104" s="3">
        <v>157453000</v>
      </c>
      <c r="D104" s="3">
        <v>186852000</v>
      </c>
      <c r="E104" s="3">
        <v>199228000</v>
      </c>
      <c r="F104" s="3">
        <v>245710000</v>
      </c>
      <c r="G104" s="3">
        <v>279942000</v>
      </c>
      <c r="H104" s="3">
        <v>281793000</v>
      </c>
      <c r="I104" s="3">
        <v>323893000</v>
      </c>
      <c r="J104" s="3">
        <v>449990000</v>
      </c>
      <c r="K104" s="3">
        <v>666593000</v>
      </c>
      <c r="L104" s="3">
        <v>822199000</v>
      </c>
      <c r="M104" s="3">
        <v>873682000</v>
      </c>
      <c r="N104" s="3">
        <v>921880000</v>
      </c>
      <c r="O104" s="4">
        <v>982250000</v>
      </c>
      <c r="P104" s="3">
        <v>817857000</v>
      </c>
      <c r="Q104" s="3">
        <v>921880000</v>
      </c>
      <c r="R104" s="3">
        <v>894092000</v>
      </c>
      <c r="S104" s="3">
        <v>982250000</v>
      </c>
    </row>
    <row r="105" spans="1:19" x14ac:dyDescent="0.2">
      <c r="A105" s="2" t="s">
        <v>114</v>
      </c>
      <c r="B105" s="3">
        <v>3661000</v>
      </c>
      <c r="C105" s="3">
        <v>3529000</v>
      </c>
      <c r="D105" s="3">
        <v>3386000</v>
      </c>
      <c r="E105" s="3" t="s">
        <v>24</v>
      </c>
      <c r="F105" s="3" t="s">
        <v>24</v>
      </c>
      <c r="G105" s="3" t="s">
        <v>24</v>
      </c>
      <c r="H105" s="3" t="s">
        <v>24</v>
      </c>
      <c r="I105" s="3" t="s">
        <v>24</v>
      </c>
      <c r="J105" s="3" t="s">
        <v>24</v>
      </c>
      <c r="K105" s="3">
        <v>2678374000</v>
      </c>
      <c r="L105" s="3">
        <v>2952296000</v>
      </c>
      <c r="M105" s="3">
        <v>3301601000</v>
      </c>
      <c r="N105" s="3">
        <v>3495162000</v>
      </c>
      <c r="O105" s="4">
        <v>3643931000</v>
      </c>
      <c r="P105" s="3">
        <v>3497221000</v>
      </c>
      <c r="Q105" s="3">
        <v>3495162000</v>
      </c>
      <c r="R105" s="3">
        <v>3532566000</v>
      </c>
      <c r="S105" s="3">
        <v>3643931000</v>
      </c>
    </row>
    <row r="106" spans="1:19"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x14ac:dyDescent="0.2">
      <c r="A107" s="2" t="s">
        <v>116</v>
      </c>
      <c r="B107" s="3">
        <v>3661000</v>
      </c>
      <c r="C107" s="3">
        <v>3529000</v>
      </c>
      <c r="D107" s="3">
        <v>3386000</v>
      </c>
      <c r="E107" s="3" t="s">
        <v>24</v>
      </c>
      <c r="F107" s="3" t="s">
        <v>24</v>
      </c>
      <c r="G107" s="3" t="s">
        <v>24</v>
      </c>
      <c r="H107" s="3" t="s">
        <v>24</v>
      </c>
      <c r="I107" s="3" t="s">
        <v>24</v>
      </c>
      <c r="J107" s="3" t="s">
        <v>24</v>
      </c>
      <c r="K107" s="3">
        <v>2678374000</v>
      </c>
      <c r="L107" s="3">
        <v>2952296000</v>
      </c>
      <c r="M107" s="3">
        <v>3301601000</v>
      </c>
      <c r="N107" s="3">
        <v>3495162000</v>
      </c>
      <c r="O107" s="4">
        <v>3643931000</v>
      </c>
      <c r="P107" s="3">
        <v>3497221000</v>
      </c>
      <c r="Q107" s="3">
        <v>3495162000</v>
      </c>
      <c r="R107" s="3">
        <v>3532566000</v>
      </c>
      <c r="S107" s="3">
        <v>3643931000</v>
      </c>
    </row>
    <row r="108" spans="1:19" x14ac:dyDescent="0.2">
      <c r="A108" s="2" t="s">
        <v>117</v>
      </c>
      <c r="B108" s="3">
        <v>184017000</v>
      </c>
      <c r="C108" s="3">
        <v>220100000</v>
      </c>
      <c r="D108" s="3">
        <v>232503000</v>
      </c>
      <c r="E108" s="3">
        <v>271764000</v>
      </c>
      <c r="F108" s="3">
        <v>288206000</v>
      </c>
      <c r="G108" s="3">
        <v>317150000</v>
      </c>
      <c r="H108" s="3">
        <v>341817000</v>
      </c>
      <c r="I108" s="3">
        <v>357354000</v>
      </c>
      <c r="J108" s="3">
        <v>374189000</v>
      </c>
      <c r="K108" s="3">
        <v>76611000</v>
      </c>
      <c r="L108" s="3">
        <v>188266000</v>
      </c>
      <c r="M108" s="3">
        <v>180301000</v>
      </c>
      <c r="N108" s="3">
        <v>142439000</v>
      </c>
      <c r="O108" s="4">
        <v>159368000</v>
      </c>
      <c r="P108" s="3">
        <v>174978000</v>
      </c>
      <c r="Q108" s="3">
        <v>142439000</v>
      </c>
      <c r="R108" s="3">
        <v>145029000</v>
      </c>
      <c r="S108" s="3">
        <v>159368000</v>
      </c>
    </row>
    <row r="109" spans="1:19" x14ac:dyDescent="0.2">
      <c r="A109" s="2" t="s">
        <v>118</v>
      </c>
      <c r="B109" s="3">
        <v>174192000</v>
      </c>
      <c r="C109" s="3">
        <v>207665000</v>
      </c>
      <c r="D109" s="3">
        <v>216004000</v>
      </c>
      <c r="E109" s="3">
        <v>248173000</v>
      </c>
      <c r="F109" s="3">
        <v>259943000</v>
      </c>
      <c r="G109" s="3">
        <v>284267000</v>
      </c>
      <c r="H109" s="3">
        <v>307871000</v>
      </c>
      <c r="I109" s="3">
        <v>317312000</v>
      </c>
      <c r="J109" s="3">
        <v>342551000</v>
      </c>
      <c r="K109" s="3">
        <v>37814000</v>
      </c>
      <c r="L109" s="3">
        <v>149422000</v>
      </c>
      <c r="M109" s="3">
        <v>141765000</v>
      </c>
      <c r="N109" s="3">
        <v>98623000</v>
      </c>
      <c r="O109" s="4">
        <v>106440000</v>
      </c>
      <c r="P109" s="3">
        <v>133255000</v>
      </c>
      <c r="Q109" s="3">
        <v>98623000</v>
      </c>
      <c r="R109" s="3">
        <v>98137000</v>
      </c>
      <c r="S109" s="3">
        <v>106440000</v>
      </c>
    </row>
    <row r="110" spans="1:19"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x14ac:dyDescent="0.2">
      <c r="A114" s="2" t="s">
        <v>120</v>
      </c>
      <c r="B114" s="3">
        <v>9825000</v>
      </c>
      <c r="C114" s="3">
        <v>12435000</v>
      </c>
      <c r="D114" s="3">
        <v>16499000</v>
      </c>
      <c r="E114" s="3">
        <v>23591000</v>
      </c>
      <c r="F114" s="3">
        <v>28263000</v>
      </c>
      <c r="G114" s="3">
        <v>32883000</v>
      </c>
      <c r="H114" s="3">
        <v>33946000</v>
      </c>
      <c r="I114" s="3">
        <v>40042000</v>
      </c>
      <c r="J114" s="3">
        <v>31638000</v>
      </c>
      <c r="K114" s="3">
        <v>38797000</v>
      </c>
      <c r="L114" s="3">
        <v>38844000</v>
      </c>
      <c r="M114" s="3">
        <v>38536000</v>
      </c>
      <c r="N114" s="3">
        <v>43816000</v>
      </c>
      <c r="O114" s="4">
        <v>52928000</v>
      </c>
      <c r="P114" s="3">
        <v>41723000</v>
      </c>
      <c r="Q114" s="3">
        <v>43816000</v>
      </c>
      <c r="R114" s="3">
        <v>46892000</v>
      </c>
      <c r="S114" s="3">
        <v>52928000</v>
      </c>
    </row>
    <row r="115" spans="1:19" x14ac:dyDescent="0.2">
      <c r="A115" s="2" t="s">
        <v>121</v>
      </c>
      <c r="B115" s="3">
        <v>187678000</v>
      </c>
      <c r="C115" s="3">
        <v>223629000</v>
      </c>
      <c r="D115" s="3">
        <v>235889000</v>
      </c>
      <c r="E115" s="3">
        <v>271764000</v>
      </c>
      <c r="F115" s="3">
        <v>288206000</v>
      </c>
      <c r="G115" s="3">
        <v>317150000</v>
      </c>
      <c r="H115" s="3">
        <v>341817000</v>
      </c>
      <c r="I115" s="3">
        <v>357354000</v>
      </c>
      <c r="J115" s="3">
        <v>374189000</v>
      </c>
      <c r="K115" s="3">
        <v>2754985000</v>
      </c>
      <c r="L115" s="3">
        <v>3140562000</v>
      </c>
      <c r="M115" s="3">
        <v>3481902000</v>
      </c>
      <c r="N115" s="3">
        <v>3637601000</v>
      </c>
      <c r="O115" s="4">
        <v>3803299000</v>
      </c>
      <c r="P115" s="3">
        <v>3672199000</v>
      </c>
      <c r="Q115" s="3">
        <v>3637601000</v>
      </c>
      <c r="R115" s="3">
        <v>3677595000</v>
      </c>
      <c r="S115" s="3">
        <v>3803299000</v>
      </c>
    </row>
    <row r="116" spans="1:19" x14ac:dyDescent="0.2">
      <c r="A116" s="2" t="s">
        <v>122</v>
      </c>
      <c r="B116" s="3">
        <v>310732000</v>
      </c>
      <c r="C116" s="3">
        <v>381082000</v>
      </c>
      <c r="D116" s="3">
        <v>422741000</v>
      </c>
      <c r="E116" s="3">
        <v>470992000</v>
      </c>
      <c r="F116" s="3">
        <v>533916000</v>
      </c>
      <c r="G116" s="3">
        <v>597092000</v>
      </c>
      <c r="H116" s="3">
        <v>623610000</v>
      </c>
      <c r="I116" s="3">
        <v>681247000</v>
      </c>
      <c r="J116" s="3">
        <v>824179000</v>
      </c>
      <c r="K116" s="3">
        <v>3421578000</v>
      </c>
      <c r="L116" s="3">
        <v>3962761000</v>
      </c>
      <c r="M116" s="3">
        <v>4355584000</v>
      </c>
      <c r="N116" s="3">
        <v>4559481000</v>
      </c>
      <c r="O116" s="4">
        <v>4785549000</v>
      </c>
      <c r="P116" s="3">
        <v>4490056000</v>
      </c>
      <c r="Q116" s="3">
        <v>4559481000</v>
      </c>
      <c r="R116" s="3">
        <v>4571687000</v>
      </c>
      <c r="S116" s="3">
        <v>4785549000</v>
      </c>
    </row>
    <row r="117" spans="1:19"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x14ac:dyDescent="0.2">
      <c r="A118" s="2" t="s">
        <v>124</v>
      </c>
      <c r="B118" s="3">
        <v>594671000</v>
      </c>
      <c r="C118" s="3">
        <v>676996000</v>
      </c>
      <c r="D118" s="3">
        <v>816961000</v>
      </c>
      <c r="E118" s="3">
        <v>920192000</v>
      </c>
      <c r="F118" s="3">
        <v>1039286000</v>
      </c>
      <c r="G118" s="3">
        <v>1172986000</v>
      </c>
      <c r="H118" s="3">
        <v>1239233000</v>
      </c>
      <c r="I118" s="3">
        <v>1305449000</v>
      </c>
      <c r="J118" s="3">
        <v>1374514000</v>
      </c>
      <c r="K118" s="3">
        <v>1466060000</v>
      </c>
      <c r="L118" s="3">
        <v>1550276000</v>
      </c>
      <c r="M118" s="3">
        <v>1729683000</v>
      </c>
      <c r="N118" s="3">
        <v>1829677000</v>
      </c>
      <c r="O118" s="4">
        <v>1881308000</v>
      </c>
      <c r="P118" s="3">
        <v>1808311000</v>
      </c>
      <c r="Q118" s="3">
        <v>1829677000</v>
      </c>
      <c r="R118" s="3">
        <v>1850057000</v>
      </c>
      <c r="S118" s="3">
        <v>1881308000</v>
      </c>
    </row>
    <row r="119" spans="1:19" x14ac:dyDescent="0.2">
      <c r="A119" s="2" t="s">
        <v>125</v>
      </c>
      <c r="B119" s="3">
        <v>340000</v>
      </c>
      <c r="C119" s="3">
        <v>344000</v>
      </c>
      <c r="D119" s="3">
        <v>349000</v>
      </c>
      <c r="E119" s="3">
        <v>352000</v>
      </c>
      <c r="F119" s="3">
        <v>354000</v>
      </c>
      <c r="G119" s="3">
        <v>358000</v>
      </c>
      <c r="H119" s="3">
        <v>358000</v>
      </c>
      <c r="I119" s="3">
        <v>359000</v>
      </c>
      <c r="J119" s="3">
        <v>360000</v>
      </c>
      <c r="K119" s="3">
        <v>363000</v>
      </c>
      <c r="L119" s="3">
        <v>367000</v>
      </c>
      <c r="M119" s="3">
        <v>371000</v>
      </c>
      <c r="N119" s="3">
        <v>373000</v>
      </c>
      <c r="O119" s="4">
        <v>375000</v>
      </c>
      <c r="P119" s="3">
        <v>373000</v>
      </c>
      <c r="Q119" s="3">
        <v>373000</v>
      </c>
      <c r="R119" s="3">
        <v>374000</v>
      </c>
      <c r="S119" s="3">
        <v>375000</v>
      </c>
    </row>
    <row r="120" spans="1:19" x14ac:dyDescent="0.2">
      <c r="A120" s="2" t="s">
        <v>126</v>
      </c>
      <c r="B120" s="3">
        <v>594331000</v>
      </c>
      <c r="C120" s="3">
        <v>676652000</v>
      </c>
      <c r="D120" s="3">
        <v>816612000</v>
      </c>
      <c r="E120" s="3">
        <v>919840000</v>
      </c>
      <c r="F120" s="3">
        <v>1038932000</v>
      </c>
      <c r="G120" s="3">
        <v>1172628000</v>
      </c>
      <c r="H120" s="3">
        <v>1238875000</v>
      </c>
      <c r="I120" s="3">
        <v>1305090000</v>
      </c>
      <c r="J120" s="3">
        <v>1374154000</v>
      </c>
      <c r="K120" s="3">
        <v>1465697000</v>
      </c>
      <c r="L120" s="3">
        <v>1549909000</v>
      </c>
      <c r="M120" s="3">
        <v>1729312000</v>
      </c>
      <c r="N120" s="3">
        <v>1829304000</v>
      </c>
      <c r="O120" s="4">
        <v>1880933000</v>
      </c>
      <c r="P120" s="3">
        <v>1807938000</v>
      </c>
      <c r="Q120" s="3">
        <v>1829304000</v>
      </c>
      <c r="R120" s="3">
        <v>1849683000</v>
      </c>
      <c r="S120" s="3">
        <v>1880933000</v>
      </c>
    </row>
    <row r="121" spans="1:19" x14ac:dyDescent="0.2">
      <c r="A121" s="2" t="s">
        <v>127</v>
      </c>
      <c r="B121" s="3">
        <v>240918000</v>
      </c>
      <c r="C121" s="3">
        <v>304426000</v>
      </c>
      <c r="D121" s="3">
        <v>521518000</v>
      </c>
      <c r="E121" s="3">
        <v>660421000</v>
      </c>
      <c r="F121" s="3">
        <v>748759000</v>
      </c>
      <c r="G121" s="3">
        <v>1234612000</v>
      </c>
      <c r="H121" s="3">
        <v>2049389000</v>
      </c>
      <c r="I121" s="3">
        <v>2334409000</v>
      </c>
      <c r="J121" s="3">
        <v>2500556000</v>
      </c>
      <c r="K121" s="3">
        <v>2699119000</v>
      </c>
      <c r="L121" s="3">
        <v>2802075000</v>
      </c>
      <c r="M121" s="3">
        <v>3356102000</v>
      </c>
      <c r="N121" s="3">
        <v>4282014000</v>
      </c>
      <c r="O121" s="4">
        <v>4569152000</v>
      </c>
      <c r="P121" s="3">
        <v>4076555000</v>
      </c>
      <c r="Q121" s="3">
        <v>4282014000</v>
      </c>
      <c r="R121" s="3">
        <v>4480833000</v>
      </c>
      <c r="S121" s="3">
        <v>4569152000</v>
      </c>
    </row>
    <row r="122" spans="1:19" x14ac:dyDescent="0.2">
      <c r="A122" s="2" t="s">
        <v>128</v>
      </c>
      <c r="B122" s="3">
        <v>456514000</v>
      </c>
      <c r="C122" s="3">
        <v>671459000</v>
      </c>
      <c r="D122" s="3">
        <v>949459000</v>
      </c>
      <c r="E122" s="3">
        <v>1276897000</v>
      </c>
      <c r="F122" s="3">
        <v>1722271000</v>
      </c>
      <c r="G122" s="3">
        <v>2197873000</v>
      </c>
      <c r="H122" s="3">
        <v>2220811000</v>
      </c>
      <c r="I122" s="3">
        <v>2397064000</v>
      </c>
      <c r="J122" s="3">
        <v>2573617000</v>
      </c>
      <c r="K122" s="3">
        <v>2921448000</v>
      </c>
      <c r="L122" s="3">
        <v>3276163000</v>
      </c>
      <c r="M122" s="3">
        <v>3929147000</v>
      </c>
      <c r="N122" s="3">
        <v>4828248000</v>
      </c>
      <c r="O122" s="4">
        <v>5461682000</v>
      </c>
      <c r="P122" s="3">
        <v>4604521000</v>
      </c>
      <c r="Q122" s="3">
        <v>4828248000</v>
      </c>
      <c r="R122" s="3">
        <v>5119892000</v>
      </c>
      <c r="S122" s="3">
        <v>5461682000</v>
      </c>
    </row>
    <row r="123" spans="1:19" x14ac:dyDescent="0.2">
      <c r="A123" s="2" t="s">
        <v>129</v>
      </c>
      <c r="B123" s="3">
        <v>606000</v>
      </c>
      <c r="C123" s="3">
        <v>197000</v>
      </c>
      <c r="D123" s="3">
        <v>1024000</v>
      </c>
      <c r="E123" s="3">
        <v>1620000</v>
      </c>
      <c r="F123" s="3">
        <v>-429000</v>
      </c>
      <c r="G123" s="3">
        <v>-8273000</v>
      </c>
      <c r="H123" s="3">
        <v>-8162000</v>
      </c>
      <c r="I123" s="3">
        <v>-3659000</v>
      </c>
      <c r="J123" s="3">
        <v>-6236000</v>
      </c>
      <c r="K123" s="3">
        <v>-5363000</v>
      </c>
      <c r="L123" s="3">
        <v>-4229000</v>
      </c>
      <c r="M123" s="3">
        <v>-5354000</v>
      </c>
      <c r="N123" s="3">
        <v>-7888000</v>
      </c>
      <c r="O123" s="4">
        <v>-6952000</v>
      </c>
      <c r="P123" s="3">
        <v>-8896000</v>
      </c>
      <c r="Q123" s="3">
        <v>-7888000</v>
      </c>
      <c r="R123" s="3">
        <v>-7431000</v>
      </c>
      <c r="S123" s="3">
        <v>-6952000</v>
      </c>
    </row>
    <row r="124" spans="1:19" x14ac:dyDescent="0.2">
      <c r="A124" s="2" t="s">
        <v>130</v>
      </c>
      <c r="B124" s="3">
        <v>810873000</v>
      </c>
      <c r="C124" s="3">
        <v>1044226000</v>
      </c>
      <c r="D124" s="3">
        <v>1245926000</v>
      </c>
      <c r="E124" s="3">
        <v>1538288000</v>
      </c>
      <c r="F124" s="3">
        <v>2012369000</v>
      </c>
      <c r="G124" s="3">
        <v>2127974000</v>
      </c>
      <c r="H124" s="3">
        <v>1402493000</v>
      </c>
      <c r="I124" s="3">
        <v>1364445000</v>
      </c>
      <c r="J124" s="3">
        <v>1441339000</v>
      </c>
      <c r="K124" s="3">
        <v>1683026000</v>
      </c>
      <c r="L124" s="3">
        <v>2020135000</v>
      </c>
      <c r="M124" s="3">
        <v>2297374000</v>
      </c>
      <c r="N124" s="3">
        <v>2368023000</v>
      </c>
      <c r="O124" s="4">
        <v>2766886000</v>
      </c>
      <c r="P124" s="3">
        <v>2327381000</v>
      </c>
      <c r="Q124" s="3">
        <v>2368023000</v>
      </c>
      <c r="R124" s="3">
        <v>2481685000</v>
      </c>
      <c r="S124" s="3">
        <v>2766886000</v>
      </c>
    </row>
    <row r="125" spans="1:19"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x14ac:dyDescent="0.2">
      <c r="A126" s="2" t="s">
        <v>132</v>
      </c>
      <c r="B126" s="3">
        <v>810873000</v>
      </c>
      <c r="C126" s="3">
        <v>1044226000</v>
      </c>
      <c r="D126" s="3">
        <v>1245926000</v>
      </c>
      <c r="E126" s="3">
        <v>1538288000</v>
      </c>
      <c r="F126" s="3">
        <v>2012369000</v>
      </c>
      <c r="G126" s="3">
        <v>2127974000</v>
      </c>
      <c r="H126" s="3">
        <v>1402493000</v>
      </c>
      <c r="I126" s="3">
        <v>1364445000</v>
      </c>
      <c r="J126" s="3">
        <v>1441339000</v>
      </c>
      <c r="K126" s="3">
        <v>1683026000</v>
      </c>
      <c r="L126" s="3">
        <v>2020135000</v>
      </c>
      <c r="M126" s="3">
        <v>2297374000</v>
      </c>
      <c r="N126" s="3">
        <v>2368023000</v>
      </c>
      <c r="O126" s="4">
        <v>2766886000</v>
      </c>
      <c r="P126" s="3">
        <v>2327381000</v>
      </c>
      <c r="Q126" s="3">
        <v>2368023000</v>
      </c>
      <c r="R126" s="3">
        <v>2481685000</v>
      </c>
      <c r="S126" s="3">
        <v>2766886000</v>
      </c>
    </row>
    <row r="127" spans="1:19" x14ac:dyDescent="0.2">
      <c r="A127" s="2" t="s">
        <v>133</v>
      </c>
      <c r="B127" s="3">
        <v>1121605000</v>
      </c>
      <c r="C127" s="3">
        <v>1425308000</v>
      </c>
      <c r="D127" s="3">
        <v>1668667000</v>
      </c>
      <c r="E127" s="3">
        <v>2009280000</v>
      </c>
      <c r="F127" s="3">
        <v>2546285000</v>
      </c>
      <c r="G127" s="3">
        <v>2725066000</v>
      </c>
      <c r="H127" s="3">
        <v>2026103000</v>
      </c>
      <c r="I127" s="3">
        <v>2045692000</v>
      </c>
      <c r="J127" s="3">
        <v>2265518000</v>
      </c>
      <c r="K127" s="3">
        <v>5104604000</v>
      </c>
      <c r="L127" s="3">
        <v>5982896000</v>
      </c>
      <c r="M127" s="3">
        <v>6652958000</v>
      </c>
      <c r="N127" s="3">
        <v>6927504000</v>
      </c>
      <c r="O127" s="4">
        <v>7552435000</v>
      </c>
      <c r="P127" s="3">
        <v>6817437000</v>
      </c>
      <c r="Q127" s="3">
        <v>6927504000</v>
      </c>
      <c r="R127" s="3">
        <v>7053372000</v>
      </c>
      <c r="S127" s="3">
        <v>7552435000</v>
      </c>
    </row>
    <row r="128" spans="1:19" x14ac:dyDescent="0.2">
      <c r="A128" s="32" t="s">
        <v>134</v>
      </c>
      <c r="B128" s="30">
        <v>31074000</v>
      </c>
      <c r="C128" s="30">
        <v>31252000</v>
      </c>
      <c r="D128" s="30">
        <v>31093000</v>
      </c>
      <c r="E128" s="30">
        <v>31033000</v>
      </c>
      <c r="F128" s="30">
        <v>31027000</v>
      </c>
      <c r="G128" s="30">
        <v>30584000</v>
      </c>
      <c r="H128" s="30">
        <v>28814000</v>
      </c>
      <c r="I128" s="30">
        <v>28026000</v>
      </c>
      <c r="J128" s="30">
        <v>27697000</v>
      </c>
      <c r="K128" s="30">
        <v>27755000</v>
      </c>
      <c r="L128" s="30">
        <v>28001000</v>
      </c>
      <c r="M128" s="30">
        <v>28080000</v>
      </c>
      <c r="N128" s="30">
        <v>27627000</v>
      </c>
      <c r="O128" s="31">
        <v>27596000</v>
      </c>
      <c r="P128" s="30">
        <v>27751000</v>
      </c>
      <c r="Q128" s="30">
        <v>27627000</v>
      </c>
      <c r="R128" s="30">
        <v>27601000</v>
      </c>
      <c r="S128" s="30">
        <v>27596000</v>
      </c>
    </row>
    <row r="129" spans="1:30" ht="19" x14ac:dyDescent="0.25">
      <c r="A129" s="15" t="s">
        <v>197</v>
      </c>
      <c r="B129" s="10"/>
      <c r="C129" s="21">
        <f>(C128/B128)-1</f>
        <v>5.7282615691574001E-3</v>
      </c>
      <c r="D129" s="21">
        <f>(D128/C128)-1</f>
        <v>-5.0876743888391696E-3</v>
      </c>
      <c r="E129" s="21">
        <f>(E128/D128)-1</f>
        <v>-1.9296947866078717E-3</v>
      </c>
      <c r="F129" s="21">
        <f t="shared" ref="F129:N129" si="6">(F128/E128)-1</f>
        <v>-1.9334257081171646E-4</v>
      </c>
      <c r="G129" s="21">
        <f t="shared" si="6"/>
        <v>-1.4277887001643674E-2</v>
      </c>
      <c r="H129" s="21">
        <f t="shared" si="6"/>
        <v>-5.7873397855087605E-2</v>
      </c>
      <c r="I129" s="21">
        <f t="shared" si="6"/>
        <v>-2.7347817033386512E-2</v>
      </c>
      <c r="J129" s="21">
        <f t="shared" si="6"/>
        <v>-1.173909940769291E-2</v>
      </c>
      <c r="K129" s="21">
        <f t="shared" si="6"/>
        <v>2.0940896125933861E-3</v>
      </c>
      <c r="L129" s="21">
        <f t="shared" si="6"/>
        <v>8.8632678796614073E-3</v>
      </c>
      <c r="M129" s="21">
        <f t="shared" si="6"/>
        <v>2.8213278097211081E-3</v>
      </c>
      <c r="N129" s="21">
        <f t="shared" si="6"/>
        <v>-1.6132478632478686E-2</v>
      </c>
      <c r="O129" s="21">
        <f>(O128/N128)-1</f>
        <v>-1.1220907083649978E-3</v>
      </c>
      <c r="P129" s="21"/>
      <c r="Q129" s="21">
        <f>(Q128/P128)-1</f>
        <v>-4.4683074483802265E-3</v>
      </c>
      <c r="R129" s="21">
        <f>(R128/Q128)-1</f>
        <v>-9.4110833604810207E-4</v>
      </c>
      <c r="S129" s="21">
        <f>(S128/R128)-1</f>
        <v>-1.8115285678055315E-4</v>
      </c>
      <c r="T129" s="12"/>
      <c r="U129" s="12"/>
      <c r="V129" s="12"/>
      <c r="W129" s="12"/>
      <c r="X129" s="12"/>
      <c r="Y129" s="12"/>
      <c r="Z129" s="12"/>
      <c r="AA129" s="13"/>
      <c r="AB129" s="13"/>
      <c r="AC129" s="13"/>
      <c r="AD129" s="13"/>
    </row>
    <row r="130" spans="1:30" x14ac:dyDescent="0.2">
      <c r="A130" s="2" t="s">
        <v>135</v>
      </c>
      <c r="B130" s="3">
        <v>3782000</v>
      </c>
      <c r="C130" s="3">
        <v>3662000</v>
      </c>
      <c r="D130" s="3">
        <v>3529000</v>
      </c>
      <c r="E130" s="3" t="s">
        <v>24</v>
      </c>
      <c r="F130" s="3" t="s">
        <v>24</v>
      </c>
      <c r="G130" s="3" t="s">
        <v>24</v>
      </c>
      <c r="H130" s="3" t="s">
        <v>24</v>
      </c>
      <c r="I130" s="3" t="s">
        <v>24</v>
      </c>
      <c r="J130" s="3" t="s">
        <v>24</v>
      </c>
      <c r="K130" s="3">
        <v>2851513000</v>
      </c>
      <c r="L130" s="3">
        <v>3157052000</v>
      </c>
      <c r="M130" s="3">
        <v>3520314000</v>
      </c>
      <c r="N130" s="3">
        <v>3731410000</v>
      </c>
      <c r="O130" s="4">
        <v>3887992000</v>
      </c>
      <c r="P130" s="3">
        <v>3729168000</v>
      </c>
      <c r="Q130" s="3">
        <v>3731410000</v>
      </c>
      <c r="R130" s="3">
        <v>3771595000</v>
      </c>
      <c r="S130" s="3">
        <v>3887992000</v>
      </c>
    </row>
    <row r="131" spans="1:30" x14ac:dyDescent="0.2">
      <c r="A131" s="2" t="s">
        <v>136</v>
      </c>
      <c r="B131" s="3">
        <v>-224838000</v>
      </c>
      <c r="C131" s="3">
        <v>-401243000</v>
      </c>
      <c r="D131" s="3">
        <v>-322553000</v>
      </c>
      <c r="E131" s="3">
        <v>-323203000</v>
      </c>
      <c r="F131" s="3">
        <v>-419465000</v>
      </c>
      <c r="G131" s="3">
        <v>-248005000</v>
      </c>
      <c r="H131" s="3">
        <v>-87880000</v>
      </c>
      <c r="I131" s="3">
        <v>-184569000</v>
      </c>
      <c r="J131" s="3">
        <v>-249953000</v>
      </c>
      <c r="K131" s="3">
        <v>-480626000</v>
      </c>
      <c r="L131" s="3">
        <v>-607987000</v>
      </c>
      <c r="M131" s="3">
        <v>-815374000</v>
      </c>
      <c r="N131" s="3">
        <v>-384000000</v>
      </c>
      <c r="O131" s="4">
        <v>-504866000</v>
      </c>
      <c r="P131" s="3">
        <v>-366623000</v>
      </c>
      <c r="Q131" s="3">
        <v>-384000000</v>
      </c>
      <c r="R131" s="3">
        <v>-409727000</v>
      </c>
      <c r="S131" s="3">
        <v>-504866000</v>
      </c>
    </row>
    <row r="132" spans="1:30" x14ac:dyDescent="0.2">
      <c r="A132" s="2" t="s">
        <v>137</v>
      </c>
      <c r="B132" s="5">
        <v>-27.73</v>
      </c>
      <c r="C132" s="5">
        <v>-38.42</v>
      </c>
      <c r="D132" s="5">
        <v>-25.89</v>
      </c>
      <c r="E132" s="5">
        <v>-21.01</v>
      </c>
      <c r="F132" s="5">
        <v>-20.84</v>
      </c>
      <c r="G132" s="5">
        <v>-11.65</v>
      </c>
      <c r="H132" s="5">
        <v>-6.27</v>
      </c>
      <c r="I132" s="5">
        <v>-13.53</v>
      </c>
      <c r="J132" s="5">
        <v>-17.34</v>
      </c>
      <c r="K132" s="5">
        <v>-28.56</v>
      </c>
      <c r="L132" s="5">
        <v>-30.1</v>
      </c>
      <c r="M132" s="5">
        <v>-35.49</v>
      </c>
      <c r="N132" s="5">
        <v>-16.22</v>
      </c>
      <c r="O132" s="6">
        <v>-18.25</v>
      </c>
      <c r="P132" s="5">
        <v>-15.75</v>
      </c>
      <c r="Q132" s="5">
        <v>-16.22</v>
      </c>
      <c r="R132" s="5">
        <v>-16.510000000000002</v>
      </c>
      <c r="S132" s="5">
        <v>-18.25</v>
      </c>
    </row>
    <row r="133" spans="1:30" x14ac:dyDescent="0.2">
      <c r="A133" s="2" t="s">
        <v>138</v>
      </c>
      <c r="B133" s="5">
        <v>71.739999999999995</v>
      </c>
      <c r="C133" s="5">
        <v>72.849999999999994</v>
      </c>
      <c r="D133" s="5">
        <v>74.33</v>
      </c>
      <c r="E133" s="5">
        <v>76.3</v>
      </c>
      <c r="F133" s="5">
        <v>78.849999999999994</v>
      </c>
      <c r="G133" s="5">
        <v>77.91</v>
      </c>
      <c r="H133" s="5">
        <v>68.88</v>
      </c>
      <c r="I133" s="5">
        <v>66.34</v>
      </c>
      <c r="J133" s="5">
        <v>63.26</v>
      </c>
      <c r="K133" s="5">
        <v>32.68</v>
      </c>
      <c r="L133" s="5">
        <v>33.520000000000003</v>
      </c>
      <c r="M133" s="5">
        <v>34.32</v>
      </c>
      <c r="N133" s="5">
        <v>33.97</v>
      </c>
      <c r="O133" s="6">
        <v>36.450000000000003</v>
      </c>
      <c r="P133" s="5">
        <v>33.93</v>
      </c>
      <c r="Q133" s="5">
        <v>33.97</v>
      </c>
      <c r="R133" s="5">
        <v>34.979999999999997</v>
      </c>
      <c r="S133" s="5">
        <v>36.450000000000003</v>
      </c>
    </row>
    <row r="134" spans="1:30" x14ac:dyDescent="0.2">
      <c r="A134" s="2" t="s">
        <v>139</v>
      </c>
      <c r="B134" s="5">
        <v>3.3</v>
      </c>
      <c r="C134" s="5">
        <v>3.18</v>
      </c>
      <c r="D134" s="5">
        <v>2.93</v>
      </c>
      <c r="E134" s="5">
        <v>3.34</v>
      </c>
      <c r="F134" s="5">
        <v>3.58</v>
      </c>
      <c r="G134" s="5">
        <v>2.91</v>
      </c>
      <c r="H134" s="5">
        <v>1.85</v>
      </c>
      <c r="I134" s="5">
        <v>1.94</v>
      </c>
      <c r="J134" s="5">
        <v>1.81</v>
      </c>
      <c r="K134" s="5">
        <v>1.61</v>
      </c>
      <c r="L134" s="5">
        <v>1.73</v>
      </c>
      <c r="M134" s="5">
        <v>1.58</v>
      </c>
      <c r="N134" s="5">
        <v>1.28</v>
      </c>
      <c r="O134" s="6">
        <v>1.58</v>
      </c>
      <c r="P134" s="5">
        <v>1.32</v>
      </c>
      <c r="Q134" s="5">
        <v>1.28</v>
      </c>
      <c r="R134" s="5">
        <v>1.41</v>
      </c>
      <c r="S134" s="5">
        <v>1.58</v>
      </c>
    </row>
    <row r="135" spans="1:30" x14ac:dyDescent="0.2">
      <c r="A135" s="2" t="s">
        <v>140</v>
      </c>
      <c r="B135" s="5">
        <v>-5.22</v>
      </c>
      <c r="C135" s="5">
        <v>-5.82</v>
      </c>
      <c r="D135" s="5">
        <v>-6.1</v>
      </c>
      <c r="E135" s="5">
        <v>-4.91</v>
      </c>
      <c r="F135" s="5">
        <v>-3.5</v>
      </c>
      <c r="G135" s="5">
        <v>-3.89</v>
      </c>
      <c r="H135" s="5">
        <v>-3.5</v>
      </c>
      <c r="I135" s="5">
        <v>-2.85</v>
      </c>
      <c r="J135" s="5">
        <v>-3.23</v>
      </c>
      <c r="K135" s="5">
        <v>-2.77</v>
      </c>
      <c r="L135" s="5">
        <v>-1.2</v>
      </c>
      <c r="M135" s="5">
        <v>-2.11</v>
      </c>
      <c r="N135" s="5">
        <v>-3.39</v>
      </c>
      <c r="O135" s="6">
        <v>-3.9</v>
      </c>
      <c r="P135" s="5">
        <v>-4.6100000000000003</v>
      </c>
      <c r="Q135" s="5">
        <v>-3.39</v>
      </c>
      <c r="R135" s="5">
        <v>-4.62</v>
      </c>
      <c r="S135" s="5">
        <v>-3.9</v>
      </c>
    </row>
    <row r="136" spans="1:30" x14ac:dyDescent="0.2">
      <c r="A136" s="2" t="s">
        <v>141</v>
      </c>
      <c r="B136" s="3">
        <v>26500</v>
      </c>
      <c r="C136" s="3">
        <v>30940</v>
      </c>
      <c r="D136" s="3">
        <v>37310</v>
      </c>
      <c r="E136" s="3">
        <v>45340</v>
      </c>
      <c r="F136" s="3">
        <v>53090</v>
      </c>
      <c r="G136" s="3">
        <v>59330</v>
      </c>
      <c r="H136" s="3">
        <v>64570</v>
      </c>
      <c r="I136" s="3">
        <v>68890</v>
      </c>
      <c r="J136" s="3">
        <v>73000</v>
      </c>
      <c r="K136" s="3">
        <v>83000</v>
      </c>
      <c r="L136" s="3">
        <v>88000</v>
      </c>
      <c r="M136" s="3">
        <v>97660</v>
      </c>
      <c r="N136" s="3">
        <v>104958</v>
      </c>
      <c r="O136" s="4">
        <v>104958</v>
      </c>
      <c r="P136" s="3">
        <v>97660</v>
      </c>
      <c r="Q136" s="3">
        <v>104958</v>
      </c>
      <c r="R136" s="3">
        <v>104958</v>
      </c>
      <c r="S136" s="3">
        <v>104958</v>
      </c>
    </row>
    <row r="138" spans="1:30"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x14ac:dyDescent="0.2">
      <c r="A139" s="2" t="s">
        <v>142</v>
      </c>
      <c r="B139" s="3">
        <v>178981000</v>
      </c>
      <c r="C139" s="3">
        <v>214945000</v>
      </c>
      <c r="D139" s="3">
        <v>278000000</v>
      </c>
      <c r="E139" s="3">
        <v>327438000</v>
      </c>
      <c r="F139" s="3">
        <v>445374000</v>
      </c>
      <c r="G139" s="3">
        <v>475602000</v>
      </c>
      <c r="H139" s="3">
        <v>22938000</v>
      </c>
      <c r="I139" s="3">
        <v>176253000</v>
      </c>
      <c r="J139" s="3">
        <v>176553000</v>
      </c>
      <c r="K139" s="3">
        <v>350158000</v>
      </c>
      <c r="L139" s="3">
        <v>355766000</v>
      </c>
      <c r="M139" s="3">
        <v>652984000</v>
      </c>
      <c r="N139" s="3">
        <v>899101000</v>
      </c>
      <c r="O139" s="4">
        <v>1114299000</v>
      </c>
      <c r="P139" s="3">
        <v>257138000</v>
      </c>
      <c r="Q139" s="3">
        <v>223727000</v>
      </c>
      <c r="R139" s="3">
        <v>291644000</v>
      </c>
      <c r="S139" s="3">
        <v>341790000</v>
      </c>
    </row>
    <row r="140" spans="1:30" x14ac:dyDescent="0.2">
      <c r="A140" s="2" t="s">
        <v>143</v>
      </c>
      <c r="B140" s="3">
        <v>68921000</v>
      </c>
      <c r="C140" s="3">
        <v>74938000</v>
      </c>
      <c r="D140" s="3">
        <v>84130000</v>
      </c>
      <c r="E140" s="3">
        <v>96054000</v>
      </c>
      <c r="F140" s="3">
        <v>110474000</v>
      </c>
      <c r="G140" s="3">
        <v>130368000</v>
      </c>
      <c r="H140" s="3">
        <v>146368000</v>
      </c>
      <c r="I140" s="3">
        <v>163348000</v>
      </c>
      <c r="J140" s="3">
        <v>201979000</v>
      </c>
      <c r="K140" s="3">
        <v>376730000</v>
      </c>
      <c r="L140" s="3">
        <v>423072000</v>
      </c>
      <c r="M140" s="3">
        <v>254657000</v>
      </c>
      <c r="N140" s="3">
        <v>286826000</v>
      </c>
      <c r="O140" s="4">
        <v>300784000</v>
      </c>
      <c r="P140" s="3">
        <v>71416000</v>
      </c>
      <c r="Q140" s="3">
        <v>74012000</v>
      </c>
      <c r="R140" s="3">
        <v>76585000</v>
      </c>
      <c r="S140" s="3">
        <v>78771000</v>
      </c>
    </row>
    <row r="141" spans="1:30" x14ac:dyDescent="0.2">
      <c r="A141" s="2" t="s">
        <v>144</v>
      </c>
      <c r="B141" s="3">
        <v>23479000</v>
      </c>
      <c r="C141" s="3">
        <v>23077000</v>
      </c>
      <c r="D141" s="3">
        <v>-20396000</v>
      </c>
      <c r="E141" s="3">
        <v>34658000</v>
      </c>
      <c r="F141" s="3">
        <v>61191000</v>
      </c>
      <c r="G141" s="3">
        <v>8888000</v>
      </c>
      <c r="H141" s="3">
        <v>71650000</v>
      </c>
      <c r="I141" s="3">
        <v>60570000</v>
      </c>
      <c r="J141" s="3">
        <v>138943000</v>
      </c>
      <c r="K141" s="3">
        <v>126201000</v>
      </c>
      <c r="L141" s="3">
        <v>223657000</v>
      </c>
      <c r="M141" s="3">
        <v>177015000</v>
      </c>
      <c r="N141" s="3">
        <v>58611000</v>
      </c>
      <c r="O141" s="4">
        <v>99692000</v>
      </c>
      <c r="P141" s="3">
        <v>37167000</v>
      </c>
      <c r="Q141" s="3">
        <v>-11306000</v>
      </c>
      <c r="R141" s="3">
        <v>25440000</v>
      </c>
      <c r="S141" s="3">
        <v>48391000</v>
      </c>
    </row>
    <row r="142" spans="1:30" x14ac:dyDescent="0.2">
      <c r="A142" s="32" t="s">
        <v>145</v>
      </c>
      <c r="B142" s="30">
        <v>21381000</v>
      </c>
      <c r="C142" s="30">
        <v>41382000</v>
      </c>
      <c r="D142" s="30">
        <v>64276000</v>
      </c>
      <c r="E142" s="30">
        <v>63657000</v>
      </c>
      <c r="F142" s="30">
        <v>96440000</v>
      </c>
      <c r="G142" s="30">
        <v>57911000</v>
      </c>
      <c r="H142" s="30">
        <v>64166000</v>
      </c>
      <c r="I142" s="30">
        <v>65255000</v>
      </c>
      <c r="J142" s="30">
        <v>69164000</v>
      </c>
      <c r="K142" s="30">
        <v>91396000</v>
      </c>
      <c r="L142" s="30">
        <v>82626000</v>
      </c>
      <c r="M142" s="30">
        <v>176392000</v>
      </c>
      <c r="N142" s="30">
        <v>98030000</v>
      </c>
      <c r="O142" s="31">
        <v>96565000</v>
      </c>
      <c r="P142" s="30">
        <v>25150000</v>
      </c>
      <c r="Q142" s="30">
        <v>20659000</v>
      </c>
      <c r="R142" s="30">
        <v>20084000</v>
      </c>
      <c r="S142" s="30">
        <v>30672000</v>
      </c>
    </row>
    <row r="143" spans="1:30" ht="19" x14ac:dyDescent="0.25">
      <c r="A143" s="14" t="s">
        <v>198</v>
      </c>
      <c r="B143" s="21">
        <f t="shared" ref="B143:S143" si="7">B142/B2</f>
        <v>1.1645919597891413E-2</v>
      </c>
      <c r="C143" s="21">
        <f t="shared" si="7"/>
        <v>1.823358659962248E-2</v>
      </c>
      <c r="D143" s="21">
        <f t="shared" si="7"/>
        <v>2.3533770939329766E-2</v>
      </c>
      <c r="E143" s="21">
        <f t="shared" si="7"/>
        <v>1.9802519200731911E-2</v>
      </c>
      <c r="F143" s="21">
        <f t="shared" si="7"/>
        <v>2.3474606945163522E-2</v>
      </c>
      <c r="G143" s="21">
        <f t="shared" si="7"/>
        <v>1.2865614522986308E-2</v>
      </c>
      <c r="H143" s="21">
        <f t="shared" si="7"/>
        <v>1.6434346621643774E-2</v>
      </c>
      <c r="I143" s="21">
        <f t="shared" si="7"/>
        <v>1.4577523248530296E-2</v>
      </c>
      <c r="J143" s="21">
        <f t="shared" si="7"/>
        <v>1.4216693371099808E-2</v>
      </c>
      <c r="K143" s="21">
        <f t="shared" si="7"/>
        <v>1.6360537587116069E-2</v>
      </c>
      <c r="L143" s="21">
        <f t="shared" si="7"/>
        <v>1.3806358083050693E-2</v>
      </c>
      <c r="M143" s="21">
        <f t="shared" si="7"/>
        <v>2.3372276969803211E-2</v>
      </c>
      <c r="N143" s="21">
        <f t="shared" si="7"/>
        <v>1.1353092168624747E-2</v>
      </c>
      <c r="O143" s="21">
        <f t="shared" si="7"/>
        <v>1.0401054269343844E-2</v>
      </c>
      <c r="P143" s="21">
        <f t="shared" si="7"/>
        <v>1.1327935860911865E-2</v>
      </c>
      <c r="Q143" s="21">
        <f t="shared" si="7"/>
        <v>9.4740023268835762E-3</v>
      </c>
      <c r="R143" s="21">
        <f t="shared" si="7"/>
        <v>8.4793420530444395E-3</v>
      </c>
      <c r="S143" s="21">
        <f t="shared" si="7"/>
        <v>1.2196591300862375E-2</v>
      </c>
      <c r="T143" s="12"/>
      <c r="U143" s="12"/>
      <c r="V143" s="12"/>
      <c r="W143" s="12"/>
      <c r="X143" s="12"/>
      <c r="Y143" s="12"/>
      <c r="Z143" s="12"/>
      <c r="AA143" s="13"/>
      <c r="AB143" s="13"/>
      <c r="AC143" s="13"/>
      <c r="AD143" s="13"/>
    </row>
    <row r="144" spans="1:30" x14ac:dyDescent="0.2">
      <c r="A144" s="2" t="s">
        <v>146</v>
      </c>
      <c r="B144" s="3">
        <v>10479000</v>
      </c>
      <c r="C144" s="3">
        <v>11319000</v>
      </c>
      <c r="D144" s="3">
        <v>-18057000</v>
      </c>
      <c r="E144" s="3">
        <v>2103000</v>
      </c>
      <c r="F144" s="3">
        <v>-20671000</v>
      </c>
      <c r="G144" s="3">
        <v>11666000</v>
      </c>
      <c r="H144" s="3">
        <v>-14207000</v>
      </c>
      <c r="I144" s="3">
        <v>-18026000</v>
      </c>
      <c r="J144" s="3">
        <v>10585000</v>
      </c>
      <c r="K144" s="3">
        <v>29962000</v>
      </c>
      <c r="L144" s="3">
        <v>108350000</v>
      </c>
      <c r="M144" s="3">
        <v>-12357000</v>
      </c>
      <c r="N144" s="3">
        <v>-43195000</v>
      </c>
      <c r="O144" s="4">
        <v>-19831000</v>
      </c>
      <c r="P144" s="3">
        <v>6970000</v>
      </c>
      <c r="Q144" s="3">
        <v>-34628000</v>
      </c>
      <c r="R144" s="3">
        <v>-486000</v>
      </c>
      <c r="S144" s="3">
        <v>8313000</v>
      </c>
    </row>
    <row r="145" spans="1:19" x14ac:dyDescent="0.2">
      <c r="A145" s="2" t="s">
        <v>147</v>
      </c>
      <c r="B145" s="3" t="s">
        <v>24</v>
      </c>
      <c r="C145" s="3" t="s">
        <v>24</v>
      </c>
      <c r="D145" s="3" t="s">
        <v>24</v>
      </c>
      <c r="E145" s="3" t="s">
        <v>24</v>
      </c>
      <c r="F145" s="3" t="s">
        <v>24</v>
      </c>
      <c r="G145" s="3" t="s">
        <v>24</v>
      </c>
      <c r="H145" s="3">
        <v>23877000</v>
      </c>
      <c r="I145" s="3">
        <v>13345000</v>
      </c>
      <c r="J145" s="3">
        <v>61987000</v>
      </c>
      <c r="K145" s="3">
        <v>15402000</v>
      </c>
      <c r="L145" s="3">
        <v>28874000</v>
      </c>
      <c r="M145" s="3">
        <v>17086000</v>
      </c>
      <c r="N145" s="3">
        <v>20738000</v>
      </c>
      <c r="O145" s="4">
        <v>36060000</v>
      </c>
      <c r="P145" s="3">
        <v>6276000</v>
      </c>
      <c r="Q145" s="3">
        <v>5611000</v>
      </c>
      <c r="R145" s="3">
        <v>8152000</v>
      </c>
      <c r="S145" s="3">
        <v>16021000</v>
      </c>
    </row>
    <row r="146" spans="1:19" x14ac:dyDescent="0.2">
      <c r="A146" s="2" t="s">
        <v>148</v>
      </c>
      <c r="B146" s="3">
        <v>-8381000</v>
      </c>
      <c r="C146" s="3">
        <v>-29624000</v>
      </c>
      <c r="D146" s="3">
        <v>-66615000</v>
      </c>
      <c r="E146" s="3">
        <v>-31102000</v>
      </c>
      <c r="F146" s="3">
        <v>-14578000</v>
      </c>
      <c r="G146" s="3">
        <v>-60689000</v>
      </c>
      <c r="H146" s="3">
        <v>-2186000</v>
      </c>
      <c r="I146" s="3">
        <v>-4000</v>
      </c>
      <c r="J146" s="3">
        <v>-2793000</v>
      </c>
      <c r="K146" s="3">
        <v>-10559000</v>
      </c>
      <c r="L146" s="3">
        <v>3807000</v>
      </c>
      <c r="M146" s="3">
        <v>-4106000</v>
      </c>
      <c r="N146" s="3">
        <v>-16962000</v>
      </c>
      <c r="O146" s="4">
        <v>-13102000</v>
      </c>
      <c r="P146" s="3">
        <v>-1229000</v>
      </c>
      <c r="Q146" s="3">
        <v>-2948000</v>
      </c>
      <c r="R146" s="3">
        <v>-2310000</v>
      </c>
      <c r="S146" s="3">
        <v>-6615000</v>
      </c>
    </row>
    <row r="147" spans="1:19" x14ac:dyDescent="0.2">
      <c r="A147" s="2" t="s">
        <v>149</v>
      </c>
      <c r="B147" s="3">
        <v>17810000</v>
      </c>
      <c r="C147" s="3">
        <v>98136000</v>
      </c>
      <c r="D147" s="3">
        <v>78229000</v>
      </c>
      <c r="E147" s="3">
        <v>70630000</v>
      </c>
      <c r="F147" s="3">
        <v>65028000</v>
      </c>
      <c r="G147" s="3">
        <v>68458000</v>
      </c>
      <c r="H147" s="3">
        <v>108286000</v>
      </c>
      <c r="I147" s="3">
        <v>66934000</v>
      </c>
      <c r="J147" s="3">
        <v>104077000</v>
      </c>
      <c r="K147" s="3">
        <v>-131457000</v>
      </c>
      <c r="L147" s="3">
        <v>-338648000</v>
      </c>
      <c r="M147" s="3">
        <v>197425000</v>
      </c>
      <c r="N147" s="3">
        <v>78641000</v>
      </c>
      <c r="O147" s="4">
        <v>276262000</v>
      </c>
      <c r="P147" s="3">
        <v>-13803000</v>
      </c>
      <c r="Q147" s="3">
        <v>115140000</v>
      </c>
      <c r="R147" s="3">
        <v>61367000</v>
      </c>
      <c r="S147" s="3">
        <v>113558000</v>
      </c>
    </row>
    <row r="148" spans="1:19" x14ac:dyDescent="0.2">
      <c r="A148" s="2" t="s">
        <v>150</v>
      </c>
      <c r="B148" s="3">
        <v>-743000</v>
      </c>
      <c r="C148" s="3">
        <v>-2970000</v>
      </c>
      <c r="D148" s="3">
        <v>-9438000</v>
      </c>
      <c r="E148" s="3">
        <v>-7238000</v>
      </c>
      <c r="F148" s="3">
        <v>-10966000</v>
      </c>
      <c r="G148" s="3">
        <v>-3504000</v>
      </c>
      <c r="H148" s="3">
        <v>-1923000</v>
      </c>
      <c r="I148" s="3">
        <v>-140000</v>
      </c>
      <c r="J148" s="3">
        <v>-8298000</v>
      </c>
      <c r="K148" s="3">
        <v>-2630000</v>
      </c>
      <c r="L148" s="3">
        <v>3010000</v>
      </c>
      <c r="M148" s="3">
        <v>-1687000</v>
      </c>
      <c r="N148" s="3">
        <v>-14026000</v>
      </c>
      <c r="O148" s="4">
        <v>17648000</v>
      </c>
      <c r="P148" s="3">
        <v>10538000</v>
      </c>
      <c r="Q148" s="3">
        <v>-36917000</v>
      </c>
      <c r="R148" s="3">
        <v>39659000</v>
      </c>
      <c r="S148" s="3">
        <v>4368000</v>
      </c>
    </row>
    <row r="149" spans="1:19" x14ac:dyDescent="0.2">
      <c r="A149" s="2" t="s">
        <v>151</v>
      </c>
      <c r="B149" s="3">
        <v>-1481000</v>
      </c>
      <c r="C149" s="3">
        <v>-1816000</v>
      </c>
      <c r="D149" s="3">
        <v>-2180000</v>
      </c>
      <c r="E149" s="3">
        <v>-1950000</v>
      </c>
      <c r="F149" s="3">
        <v>-2307000</v>
      </c>
      <c r="G149" s="3">
        <v>262000</v>
      </c>
      <c r="H149" s="3">
        <v>-91000</v>
      </c>
      <c r="I149" s="3">
        <v>-5250000</v>
      </c>
      <c r="J149" s="3">
        <v>-1722000</v>
      </c>
      <c r="K149" s="3">
        <v>-4530000</v>
      </c>
      <c r="L149" s="3">
        <v>-394000</v>
      </c>
      <c r="M149" s="3">
        <v>-6392000</v>
      </c>
      <c r="N149" s="3">
        <v>-3011000</v>
      </c>
      <c r="O149" s="4">
        <v>-6644000</v>
      </c>
      <c r="P149" s="3">
        <v>-4376000</v>
      </c>
      <c r="Q149" s="3">
        <v>-1955000</v>
      </c>
      <c r="R149" s="3">
        <v>1086000</v>
      </c>
      <c r="S149" s="3">
        <v>-1399000</v>
      </c>
    </row>
    <row r="150" spans="1:19" x14ac:dyDescent="0.2">
      <c r="A150" s="2" t="s">
        <v>152</v>
      </c>
      <c r="B150" s="3">
        <v>-1632000</v>
      </c>
      <c r="C150" s="3">
        <v>-5399000</v>
      </c>
      <c r="D150" s="3">
        <v>-5954000</v>
      </c>
      <c r="E150" s="3">
        <v>-6806000</v>
      </c>
      <c r="F150" s="3">
        <v>-658000</v>
      </c>
      <c r="G150" s="3">
        <v>-5259000</v>
      </c>
      <c r="H150" s="3">
        <v>-4259000</v>
      </c>
      <c r="I150" s="3">
        <v>-6710000</v>
      </c>
      <c r="J150" s="3">
        <v>-3811000</v>
      </c>
      <c r="K150" s="3">
        <v>-23066000</v>
      </c>
      <c r="L150" s="3">
        <v>-11442000</v>
      </c>
      <c r="M150" s="3">
        <v>-26826000</v>
      </c>
      <c r="N150" s="3">
        <v>-14660000</v>
      </c>
      <c r="O150" s="4">
        <v>-36973000</v>
      </c>
      <c r="P150" s="3">
        <v>-4117000</v>
      </c>
      <c r="Q150" s="3">
        <v>-11491000</v>
      </c>
      <c r="R150" s="3">
        <v>-14569000</v>
      </c>
      <c r="S150" s="3">
        <v>-6796000</v>
      </c>
    </row>
    <row r="151" spans="1:19" x14ac:dyDescent="0.2">
      <c r="A151" s="2" t="s">
        <v>153</v>
      </c>
      <c r="B151" s="3">
        <v>23596000</v>
      </c>
      <c r="C151" s="3">
        <v>93438000</v>
      </c>
      <c r="D151" s="3">
        <v>29156000</v>
      </c>
      <c r="E151" s="3">
        <v>14072000</v>
      </c>
      <c r="F151" s="3">
        <v>37187000</v>
      </c>
      <c r="G151" s="3">
        <v>12085000</v>
      </c>
      <c r="H151" s="3">
        <v>26757000</v>
      </c>
      <c r="I151" s="3">
        <v>49482000</v>
      </c>
      <c r="J151" s="3">
        <v>76479000</v>
      </c>
      <c r="K151" s="3">
        <v>47329000</v>
      </c>
      <c r="L151" s="3">
        <v>78420000</v>
      </c>
      <c r="M151" s="3">
        <v>-12118000</v>
      </c>
      <c r="N151" s="3">
        <v>108000</v>
      </c>
      <c r="O151" s="4">
        <v>22704000</v>
      </c>
      <c r="P151" s="3">
        <v>-12801000</v>
      </c>
      <c r="Q151" s="3">
        <v>38757000</v>
      </c>
      <c r="R151" s="3">
        <v>-39151000</v>
      </c>
      <c r="S151" s="3">
        <v>35899000</v>
      </c>
    </row>
    <row r="152" spans="1:19" x14ac:dyDescent="0.2">
      <c r="A152" s="2" t="s">
        <v>154</v>
      </c>
      <c r="B152" s="3">
        <v>-1930000</v>
      </c>
      <c r="C152" s="3">
        <v>14883000</v>
      </c>
      <c r="D152" s="3">
        <v>66645000</v>
      </c>
      <c r="E152" s="3">
        <v>72552000</v>
      </c>
      <c r="F152" s="3">
        <v>41772000</v>
      </c>
      <c r="G152" s="3">
        <v>64874000</v>
      </c>
      <c r="H152" s="3">
        <v>87802000</v>
      </c>
      <c r="I152" s="3">
        <v>29552000</v>
      </c>
      <c r="J152" s="3">
        <v>41429000</v>
      </c>
      <c r="K152" s="3">
        <v>-148560000</v>
      </c>
      <c r="L152" s="3">
        <v>-408242000</v>
      </c>
      <c r="M152" s="3">
        <v>244448000</v>
      </c>
      <c r="N152" s="3">
        <v>110230000</v>
      </c>
      <c r="O152" s="4">
        <v>279527000</v>
      </c>
      <c r="P152" s="3">
        <v>-3047000</v>
      </c>
      <c r="Q152" s="3">
        <v>126746000</v>
      </c>
      <c r="R152" s="3">
        <v>74342000</v>
      </c>
      <c r="S152" s="3">
        <v>81486000</v>
      </c>
    </row>
    <row r="153" spans="1:19"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x14ac:dyDescent="0.2">
      <c r="A154" s="2" t="s">
        <v>156</v>
      </c>
      <c r="B154" s="3">
        <v>289191000</v>
      </c>
      <c r="C154" s="3">
        <v>411096000</v>
      </c>
      <c r="D154" s="3">
        <v>419963000</v>
      </c>
      <c r="E154" s="3">
        <v>528780000</v>
      </c>
      <c r="F154" s="3">
        <v>682067000</v>
      </c>
      <c r="G154" s="3">
        <v>683316000</v>
      </c>
      <c r="H154" s="3">
        <v>349242000</v>
      </c>
      <c r="I154" s="3">
        <v>467105000</v>
      </c>
      <c r="J154" s="3">
        <v>621552000</v>
      </c>
      <c r="K154" s="3">
        <v>721632000</v>
      </c>
      <c r="L154" s="3">
        <v>663847000</v>
      </c>
      <c r="M154" s="3">
        <v>1282081000</v>
      </c>
      <c r="N154" s="3">
        <v>1323179000</v>
      </c>
      <c r="O154" s="4">
        <v>1791037000</v>
      </c>
      <c r="P154" s="3">
        <v>351918000</v>
      </c>
      <c r="Q154" s="3">
        <v>401573000</v>
      </c>
      <c r="R154" s="3">
        <v>455036000</v>
      </c>
      <c r="S154" s="3">
        <v>582510000</v>
      </c>
    </row>
    <row r="155" spans="1:19"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x14ac:dyDescent="0.2">
      <c r="A156" s="2" t="s">
        <v>158</v>
      </c>
      <c r="B156" s="3" t="s">
        <v>24</v>
      </c>
      <c r="C156" s="3" t="s">
        <v>24</v>
      </c>
      <c r="D156" s="3" t="s">
        <v>24</v>
      </c>
      <c r="E156" s="3" t="s">
        <v>24</v>
      </c>
      <c r="F156" s="3" t="s">
        <v>24</v>
      </c>
      <c r="G156" s="3" t="s">
        <v>24</v>
      </c>
      <c r="H156" s="3" t="s">
        <v>24</v>
      </c>
      <c r="I156" s="3" t="s">
        <v>24</v>
      </c>
      <c r="J156" s="3" t="s">
        <v>24</v>
      </c>
      <c r="K156" s="3">
        <v>13969000</v>
      </c>
      <c r="L156" s="3" t="s">
        <v>24</v>
      </c>
      <c r="M156" s="3">
        <v>4035000</v>
      </c>
      <c r="N156" s="3" t="s">
        <v>24</v>
      </c>
      <c r="O156" s="4" t="s">
        <v>24</v>
      </c>
      <c r="P156" s="3" t="s">
        <v>24</v>
      </c>
      <c r="Q156" s="3" t="s">
        <v>24</v>
      </c>
      <c r="R156" s="3" t="s">
        <v>24</v>
      </c>
      <c r="S156" s="3" t="s">
        <v>24</v>
      </c>
    </row>
    <row r="157" spans="1:19" x14ac:dyDescent="0.2">
      <c r="A157" s="2" t="s">
        <v>159</v>
      </c>
      <c r="B157" s="3" t="s">
        <v>24</v>
      </c>
      <c r="C157" s="3" t="s">
        <v>24</v>
      </c>
      <c r="D157" s="3" t="s">
        <v>24</v>
      </c>
      <c r="E157" s="3" t="s">
        <v>24</v>
      </c>
      <c r="F157" s="3" t="s">
        <v>24</v>
      </c>
      <c r="G157" s="3" t="s">
        <v>24</v>
      </c>
      <c r="H157" s="3" t="s">
        <v>24</v>
      </c>
      <c r="I157" s="3" t="s">
        <v>24</v>
      </c>
      <c r="J157" s="3" t="s">
        <v>24</v>
      </c>
      <c r="K157" s="3">
        <v>13969000</v>
      </c>
      <c r="L157" s="3" t="s">
        <v>24</v>
      </c>
      <c r="M157" s="3">
        <v>4035000</v>
      </c>
      <c r="N157" s="3" t="s">
        <v>24</v>
      </c>
      <c r="O157" s="4" t="s">
        <v>24</v>
      </c>
      <c r="P157" s="3" t="s">
        <v>24</v>
      </c>
      <c r="Q157" s="3" t="s">
        <v>24</v>
      </c>
      <c r="R157" s="3" t="s">
        <v>24</v>
      </c>
      <c r="S157" s="3" t="s">
        <v>24</v>
      </c>
    </row>
    <row r="158" spans="1:19"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x14ac:dyDescent="0.2">
      <c r="A159" s="2" t="s">
        <v>161</v>
      </c>
      <c r="B159" s="3">
        <v>-113215000</v>
      </c>
      <c r="C159" s="3">
        <v>-151147000</v>
      </c>
      <c r="D159" s="3">
        <v>-197037000</v>
      </c>
      <c r="E159" s="3">
        <v>-199926000</v>
      </c>
      <c r="F159" s="3">
        <v>-252590000</v>
      </c>
      <c r="G159" s="3">
        <v>-257418000</v>
      </c>
      <c r="H159" s="3">
        <v>-258842000</v>
      </c>
      <c r="I159" s="3">
        <v>-216777000</v>
      </c>
      <c r="J159" s="3">
        <v>-287390000</v>
      </c>
      <c r="K159" s="3">
        <v>-333912000</v>
      </c>
      <c r="L159" s="3">
        <v>-373352000</v>
      </c>
      <c r="M159" s="3">
        <v>-442475000</v>
      </c>
      <c r="N159" s="3">
        <v>-479164000</v>
      </c>
      <c r="O159" s="4">
        <v>-540270000</v>
      </c>
      <c r="P159" s="3">
        <v>-139023000</v>
      </c>
      <c r="Q159" s="3">
        <v>-143646000</v>
      </c>
      <c r="R159" s="3">
        <v>-120369000</v>
      </c>
      <c r="S159" s="3">
        <v>-137232000</v>
      </c>
    </row>
    <row r="160" spans="1:19" x14ac:dyDescent="0.2">
      <c r="A160" s="2" t="s">
        <v>162</v>
      </c>
      <c r="B160" s="3">
        <v>-113215000</v>
      </c>
      <c r="C160" s="3">
        <v>-151147000</v>
      </c>
      <c r="D160" s="3">
        <v>-197037000</v>
      </c>
      <c r="E160" s="3">
        <v>-199926000</v>
      </c>
      <c r="F160" s="3">
        <v>-252590000</v>
      </c>
      <c r="G160" s="3">
        <v>-257418000</v>
      </c>
      <c r="H160" s="3">
        <v>-258842000</v>
      </c>
      <c r="I160" s="3">
        <v>-216777000</v>
      </c>
      <c r="J160" s="3">
        <v>-287390000</v>
      </c>
      <c r="K160" s="3">
        <v>-333912000</v>
      </c>
      <c r="L160" s="3">
        <v>-373352000</v>
      </c>
      <c r="M160" s="3">
        <v>-442475000</v>
      </c>
      <c r="N160" s="3">
        <v>-479164000</v>
      </c>
      <c r="O160" s="4">
        <v>-540270000</v>
      </c>
      <c r="P160" s="3">
        <v>-139023000</v>
      </c>
      <c r="Q160" s="3">
        <v>-143646000</v>
      </c>
      <c r="R160" s="3">
        <v>-120369000</v>
      </c>
      <c r="S160" s="3">
        <v>-137232000</v>
      </c>
    </row>
    <row r="161" spans="1:19"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x14ac:dyDescent="0.2">
      <c r="A162" s="2" t="s">
        <v>164</v>
      </c>
      <c r="B162" s="3">
        <v>-76666000</v>
      </c>
      <c r="C162" s="3">
        <v>-59071000</v>
      </c>
      <c r="D162" s="3">
        <v>-158462000</v>
      </c>
      <c r="E162" s="3">
        <v>-228389000</v>
      </c>
      <c r="F162" s="3">
        <v>-266254000</v>
      </c>
      <c r="G162" s="3">
        <v>-206722000</v>
      </c>
      <c r="H162" s="3">
        <v>585648000</v>
      </c>
      <c r="I162" s="3">
        <v>130199000</v>
      </c>
      <c r="J162" s="3">
        <v>-100188000</v>
      </c>
      <c r="K162" s="3">
        <v>27969000</v>
      </c>
      <c r="L162" s="3">
        <v>-49340000</v>
      </c>
      <c r="M162" s="3">
        <v>-83602000</v>
      </c>
      <c r="N162" s="3">
        <v>-350868000</v>
      </c>
      <c r="O162" s="4">
        <v>-668257000</v>
      </c>
      <c r="P162" s="3">
        <v>-258114000</v>
      </c>
      <c r="Q162" s="3">
        <v>-40052000</v>
      </c>
      <c r="R162" s="3">
        <v>-115180000</v>
      </c>
      <c r="S162" s="3">
        <v>-254911000</v>
      </c>
    </row>
    <row r="163" spans="1:19" x14ac:dyDescent="0.2">
      <c r="A163" s="2" t="s">
        <v>165</v>
      </c>
      <c r="B163" s="3">
        <v>50234000</v>
      </c>
      <c r="C163" s="3">
        <v>124766000</v>
      </c>
      <c r="D163" s="3">
        <v>55000000</v>
      </c>
      <c r="E163" s="3">
        <v>159250000</v>
      </c>
      <c r="F163" s="3">
        <v>254750000</v>
      </c>
      <c r="G163" s="3">
        <v>352650000</v>
      </c>
      <c r="H163" s="3">
        <v>585648000</v>
      </c>
      <c r="I163" s="3">
        <v>330000000</v>
      </c>
      <c r="J163" s="3">
        <v>385000000</v>
      </c>
      <c r="K163" s="3">
        <v>476723000</v>
      </c>
      <c r="L163" s="3">
        <v>419078000</v>
      </c>
      <c r="M163" s="3">
        <v>345748000</v>
      </c>
      <c r="N163" s="3">
        <v>263548000</v>
      </c>
      <c r="O163" s="4">
        <v>341573000</v>
      </c>
      <c r="P163" s="3">
        <v>60457000</v>
      </c>
      <c r="Q163" s="3">
        <v>60551000</v>
      </c>
      <c r="R163" s="3">
        <v>99639000</v>
      </c>
      <c r="S163" s="3">
        <v>120926000</v>
      </c>
    </row>
    <row r="164" spans="1:19" x14ac:dyDescent="0.2">
      <c r="A164" s="2" t="s">
        <v>166</v>
      </c>
      <c r="B164" s="3">
        <v>-126900000</v>
      </c>
      <c r="C164" s="3">
        <v>-183837000</v>
      </c>
      <c r="D164" s="3">
        <v>-213462000</v>
      </c>
      <c r="E164" s="3">
        <v>-387639000</v>
      </c>
      <c r="F164" s="3">
        <v>-521004000</v>
      </c>
      <c r="G164" s="3">
        <v>-559372000</v>
      </c>
      <c r="H164" s="3" t="s">
        <v>24</v>
      </c>
      <c r="I164" s="3">
        <v>-199801000</v>
      </c>
      <c r="J164" s="3">
        <v>-485188000</v>
      </c>
      <c r="K164" s="3">
        <v>-448754000</v>
      </c>
      <c r="L164" s="3">
        <v>-468418000</v>
      </c>
      <c r="M164" s="3">
        <v>-429350000</v>
      </c>
      <c r="N164" s="3">
        <v>-614416000</v>
      </c>
      <c r="O164" s="4">
        <v>-1009830000</v>
      </c>
      <c r="P164" s="3">
        <v>-318571000</v>
      </c>
      <c r="Q164" s="3">
        <v>-100603000</v>
      </c>
      <c r="R164" s="3">
        <v>-214819000</v>
      </c>
      <c r="S164" s="3">
        <v>-375837000</v>
      </c>
    </row>
    <row r="165" spans="1:19" x14ac:dyDescent="0.2">
      <c r="A165" s="2" t="s">
        <v>167</v>
      </c>
      <c r="B165" s="3">
        <v>-1900000</v>
      </c>
      <c r="C165" s="3">
        <v>-586000</v>
      </c>
      <c r="D165" s="3" t="s">
        <v>24</v>
      </c>
      <c r="E165" s="3" t="s">
        <v>24</v>
      </c>
      <c r="F165" s="3" t="s">
        <v>24</v>
      </c>
      <c r="G165" s="3" t="s">
        <v>24</v>
      </c>
      <c r="H165" s="3" t="s">
        <v>24</v>
      </c>
      <c r="I165" s="3" t="s">
        <v>24</v>
      </c>
      <c r="J165" s="3" t="s">
        <v>24</v>
      </c>
      <c r="K165" s="3" t="s">
        <v>24</v>
      </c>
      <c r="L165" s="3">
        <v>-10025000</v>
      </c>
      <c r="M165" s="3" t="s">
        <v>24</v>
      </c>
      <c r="N165" s="3" t="s">
        <v>24</v>
      </c>
      <c r="O165" s="4" t="s">
        <v>24</v>
      </c>
      <c r="P165" s="3" t="s">
        <v>24</v>
      </c>
      <c r="Q165" s="3" t="s">
        <v>24</v>
      </c>
      <c r="R165" s="3" t="s">
        <v>24</v>
      </c>
      <c r="S165" s="3" t="s">
        <v>24</v>
      </c>
    </row>
    <row r="166" spans="1:19"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x14ac:dyDescent="0.2">
      <c r="A167" s="2" t="s">
        <v>169</v>
      </c>
      <c r="B167" s="3">
        <v>-1900000</v>
      </c>
      <c r="C167" s="3">
        <v>-586000</v>
      </c>
      <c r="D167" s="3" t="s">
        <v>24</v>
      </c>
      <c r="E167" s="3" t="s">
        <v>24</v>
      </c>
      <c r="F167" s="3" t="s">
        <v>24</v>
      </c>
      <c r="G167" s="3" t="s">
        <v>24</v>
      </c>
      <c r="H167" s="3" t="s">
        <v>24</v>
      </c>
      <c r="I167" s="3" t="s">
        <v>24</v>
      </c>
      <c r="J167" s="3" t="s">
        <v>24</v>
      </c>
      <c r="K167" s="3" t="s">
        <v>24</v>
      </c>
      <c r="L167" s="3">
        <v>-10025000</v>
      </c>
      <c r="M167" s="3" t="s">
        <v>24</v>
      </c>
      <c r="N167" s="3" t="s">
        <v>24</v>
      </c>
      <c r="O167" s="4" t="s">
        <v>24</v>
      </c>
      <c r="P167" s="3" t="s">
        <v>24</v>
      </c>
      <c r="Q167" s="3" t="s">
        <v>24</v>
      </c>
      <c r="R167" s="3" t="s">
        <v>24</v>
      </c>
      <c r="S167" s="3" t="s">
        <v>24</v>
      </c>
    </row>
    <row r="168" spans="1:19"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x14ac:dyDescent="0.2">
      <c r="A169" s="2" t="s">
        <v>171</v>
      </c>
      <c r="B169" s="3">
        <v>1900000</v>
      </c>
      <c r="C169" s="3">
        <v>586000</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x14ac:dyDescent="0.2">
      <c r="A171" s="2" t="s">
        <v>172</v>
      </c>
      <c r="B171" s="3">
        <v>-189881000</v>
      </c>
      <c r="C171" s="3">
        <v>-210218000</v>
      </c>
      <c r="D171" s="3">
        <v>-355499000</v>
      </c>
      <c r="E171" s="3">
        <v>-428315000</v>
      </c>
      <c r="F171" s="3">
        <v>-518844000</v>
      </c>
      <c r="G171" s="3">
        <v>-464140000</v>
      </c>
      <c r="H171" s="3">
        <v>326806000</v>
      </c>
      <c r="I171" s="3">
        <v>-86578000</v>
      </c>
      <c r="J171" s="3">
        <v>-387578000</v>
      </c>
      <c r="K171" s="3">
        <v>-291974000</v>
      </c>
      <c r="L171" s="3">
        <v>-432717000</v>
      </c>
      <c r="M171" s="3">
        <v>-522042000</v>
      </c>
      <c r="N171" s="3">
        <v>-830032000</v>
      </c>
      <c r="O171" s="4">
        <v>-1208527000</v>
      </c>
      <c r="P171" s="3">
        <v>-397137000</v>
      </c>
      <c r="Q171" s="3">
        <v>-183698000</v>
      </c>
      <c r="R171" s="3">
        <v>-235549000</v>
      </c>
      <c r="S171" s="3">
        <v>-392143000</v>
      </c>
    </row>
    <row r="172" spans="1:19" x14ac:dyDescent="0.2">
      <c r="A172" s="2" t="s">
        <v>173</v>
      </c>
      <c r="B172" s="4">
        <v>0</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row>
    <row r="173" spans="1:19" x14ac:dyDescent="0.2">
      <c r="A173" s="2" t="s">
        <v>174</v>
      </c>
      <c r="B173" s="3">
        <v>-96000</v>
      </c>
      <c r="C173" s="3">
        <v>-120000</v>
      </c>
      <c r="D173" s="3">
        <v>-133000</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x14ac:dyDescent="0.2">
      <c r="A175" s="2" t="s">
        <v>176</v>
      </c>
      <c r="B175" s="3">
        <v>-96000</v>
      </c>
      <c r="C175" s="3">
        <v>-120000</v>
      </c>
      <c r="D175" s="3">
        <v>-133000</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x14ac:dyDescent="0.2">
      <c r="A176" s="2" t="s">
        <v>177</v>
      </c>
      <c r="B176" s="3">
        <v>-126602000</v>
      </c>
      <c r="C176" s="3">
        <v>-63508000</v>
      </c>
      <c r="D176" s="3">
        <v>-217092000</v>
      </c>
      <c r="E176" s="3">
        <v>-138903000</v>
      </c>
      <c r="F176" s="3">
        <v>-88338000</v>
      </c>
      <c r="G176" s="3">
        <v>-460675000</v>
      </c>
      <c r="H176" s="3">
        <v>-837655000</v>
      </c>
      <c r="I176" s="3">
        <v>-285920000</v>
      </c>
      <c r="J176" s="3">
        <v>-160937000</v>
      </c>
      <c r="K176" s="3">
        <v>-190617000</v>
      </c>
      <c r="L176" s="3">
        <v>-54401000</v>
      </c>
      <c r="M176" s="3">
        <v>-466462000</v>
      </c>
      <c r="N176" s="3">
        <v>-830140000</v>
      </c>
      <c r="O176" s="4">
        <v>-529984000</v>
      </c>
      <c r="P176" s="3">
        <v>-107865000</v>
      </c>
      <c r="Q176" s="3">
        <v>-200365000</v>
      </c>
      <c r="R176" s="3">
        <v>-126709000</v>
      </c>
      <c r="S176" s="3">
        <v>-95045000</v>
      </c>
    </row>
    <row r="177" spans="1:1022 1027:2048 2053:3060 3074:4086 4100:5112 5126:6138 6152:7164 7178:8190 8204:9216 9230:10237 10242:11263 11268:12275 12289:13301 13315:14327 14341:15353 15367:16379"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x14ac:dyDescent="0.2">
      <c r="A178" s="2" t="s">
        <v>179</v>
      </c>
      <c r="B178" s="3">
        <v>-126602000</v>
      </c>
      <c r="C178" s="3">
        <v>-63508000</v>
      </c>
      <c r="D178" s="3">
        <v>-217092000</v>
      </c>
      <c r="E178" s="3">
        <v>-138903000</v>
      </c>
      <c r="F178" s="3">
        <v>-88338000</v>
      </c>
      <c r="G178" s="3">
        <v>-460675000</v>
      </c>
      <c r="H178" s="3">
        <v>-837655000</v>
      </c>
      <c r="I178" s="3">
        <v>-285920000</v>
      </c>
      <c r="J178" s="3">
        <v>-160937000</v>
      </c>
      <c r="K178" s="3">
        <v>-190617000</v>
      </c>
      <c r="L178" s="3">
        <v>-54401000</v>
      </c>
      <c r="M178" s="3">
        <v>-466462000</v>
      </c>
      <c r="N178" s="3">
        <v>-830140000</v>
      </c>
      <c r="O178" s="4">
        <v>-529984000</v>
      </c>
      <c r="P178" s="3">
        <v>-107865000</v>
      </c>
      <c r="Q178" s="3">
        <v>-200365000</v>
      </c>
      <c r="R178" s="3">
        <v>-126709000</v>
      </c>
      <c r="S178" s="3">
        <v>-95045000</v>
      </c>
    </row>
    <row r="179" spans="1:1022 1027:2048 2053:3060 3074:4086 4100:5112 5126:6138 6152:7164 7178:8190 8204:9216 9230:10237 10242:11263 11268:12275 12289:13301 13315:14327 14341:15353 15367:16379" x14ac:dyDescent="0.2">
      <c r="A179" s="2" t="s">
        <v>180</v>
      </c>
      <c r="B179" s="3">
        <v>32176000</v>
      </c>
      <c r="C179" s="3">
        <v>39360000</v>
      </c>
      <c r="D179" s="3">
        <v>73691000</v>
      </c>
      <c r="E179" s="3">
        <v>38552000</v>
      </c>
      <c r="F179" s="3">
        <v>21601000</v>
      </c>
      <c r="G179" s="3">
        <v>74235000</v>
      </c>
      <c r="H179" s="3">
        <v>1372000</v>
      </c>
      <c r="I179" s="3">
        <v>26000</v>
      </c>
      <c r="J179" s="3">
        <v>-5598000</v>
      </c>
      <c r="K179" s="3">
        <v>-11118000</v>
      </c>
      <c r="L179" s="3">
        <v>-50450000</v>
      </c>
      <c r="M179" s="3">
        <v>-82144000</v>
      </c>
      <c r="N179" s="3">
        <v>-99264000</v>
      </c>
      <c r="O179" s="4">
        <v>-74130000</v>
      </c>
      <c r="P179" s="3">
        <v>-467000</v>
      </c>
      <c r="Q179" s="3">
        <v>-6304000</v>
      </c>
      <c r="R179" s="3">
        <v>-67174000</v>
      </c>
      <c r="S179" s="3">
        <v>-185000</v>
      </c>
    </row>
    <row r="180" spans="1:1022 1027:2048 2053:3060 3074:4086 4100:5112 5126:6138 6152:7164 7178:8190 8204:9216 9230:10237 10242:11263 11268:12275 12289:13301 13315:14327 14341:15353 15367:16379"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x14ac:dyDescent="0.2">
      <c r="A181" s="2" t="s">
        <v>181</v>
      </c>
      <c r="B181" s="3">
        <v>-94522000</v>
      </c>
      <c r="C181" s="3">
        <v>-24268000</v>
      </c>
      <c r="D181" s="3">
        <v>-143534000</v>
      </c>
      <c r="E181" s="3">
        <v>-100351000</v>
      </c>
      <c r="F181" s="3">
        <v>-66737000</v>
      </c>
      <c r="G181" s="3">
        <v>-386440000</v>
      </c>
      <c r="H181" s="3">
        <v>-836283000</v>
      </c>
      <c r="I181" s="3">
        <v>-285894000</v>
      </c>
      <c r="J181" s="3">
        <v>-166535000</v>
      </c>
      <c r="K181" s="3">
        <v>-201735000</v>
      </c>
      <c r="L181" s="3">
        <v>-104851000</v>
      </c>
      <c r="M181" s="3">
        <v>-548606000</v>
      </c>
      <c r="N181" s="3">
        <v>-929404000</v>
      </c>
      <c r="O181" s="4">
        <v>-604114000</v>
      </c>
      <c r="P181" s="3">
        <v>-108332000</v>
      </c>
      <c r="Q181" s="3">
        <v>-206669000</v>
      </c>
      <c r="R181" s="3">
        <v>-193883000</v>
      </c>
      <c r="S181" s="3">
        <v>-95230000</v>
      </c>
    </row>
    <row r="182" spans="1:1022 1027:2048 2053:3060 3074:4086 4100:5112 5126:6138 6152:7164 7178:8190 8204:9216 9230:10237 10242:11263 11268:12275 12289:13301 13315:14327 14341:15353 15367:16379" x14ac:dyDescent="0.2">
      <c r="A182" s="2" t="s">
        <v>182</v>
      </c>
      <c r="B182" s="3">
        <v>484000</v>
      </c>
      <c r="C182" s="3">
        <v>-205000</v>
      </c>
      <c r="D182" s="3">
        <v>380000</v>
      </c>
      <c r="E182" s="3">
        <v>536000</v>
      </c>
      <c r="F182" s="3">
        <v>-224000</v>
      </c>
      <c r="G182" s="3">
        <v>-4196000</v>
      </c>
      <c r="H182" s="3">
        <v>110000</v>
      </c>
      <c r="I182" s="3">
        <v>2056000</v>
      </c>
      <c r="J182" s="3">
        <v>-1457000</v>
      </c>
      <c r="K182" s="3">
        <v>406000</v>
      </c>
      <c r="L182" s="3">
        <v>1076000</v>
      </c>
      <c r="M182" s="3">
        <v>-1039000</v>
      </c>
      <c r="N182" s="3">
        <v>-1007000</v>
      </c>
      <c r="O182" s="4">
        <v>-252000</v>
      </c>
      <c r="P182" s="3">
        <v>-680000</v>
      </c>
      <c r="Q182" s="3">
        <v>163000</v>
      </c>
      <c r="R182" s="3">
        <v>290000</v>
      </c>
      <c r="S182" s="3">
        <v>-25000</v>
      </c>
    </row>
    <row r="183" spans="1:1022 1027:2048 2053:3060 3074:4086 4100:5112 5126:6138 6152:7164 7178:8190 8204:9216 9230:10237 10242:11263 11268:12275 12289:13301 13315:14327 14341:15353 15367:16379" x14ac:dyDescent="0.2">
      <c r="A183" s="2" t="s">
        <v>183</v>
      </c>
      <c r="B183" s="3">
        <v>4788000</v>
      </c>
      <c r="C183" s="3">
        <v>176610000</v>
      </c>
      <c r="D183" s="3">
        <v>-79070000</v>
      </c>
      <c r="E183" s="3">
        <v>114000</v>
      </c>
      <c r="F183" s="3">
        <v>96486000</v>
      </c>
      <c r="G183" s="3">
        <v>-167264000</v>
      </c>
      <c r="H183" s="3">
        <v>-160235000</v>
      </c>
      <c r="I183" s="3">
        <v>94633000</v>
      </c>
      <c r="J183" s="3">
        <v>67439000</v>
      </c>
      <c r="K183" s="3">
        <v>227923000</v>
      </c>
      <c r="L183" s="3">
        <v>126279000</v>
      </c>
      <c r="M183" s="3">
        <v>211433000</v>
      </c>
      <c r="N183" s="3">
        <v>-436257000</v>
      </c>
      <c r="O183" s="4">
        <v>-21604000</v>
      </c>
      <c r="P183" s="3">
        <v>-153551000</v>
      </c>
      <c r="Q183" s="3">
        <v>11206000</v>
      </c>
      <c r="R183" s="3">
        <v>25604000</v>
      </c>
      <c r="S183" s="3">
        <v>95137000</v>
      </c>
    </row>
    <row r="184" spans="1:1022 1027:2048 2053:3060 3074:4086 4100:5112 5126:6138 6152:7164 7178:8190 8204:9216 9230:10237 10242:11263 11268:12275 12289:13301 13315:14327 14341:15353 15367:16379" x14ac:dyDescent="0.2">
      <c r="A184" s="2" t="s">
        <v>54</v>
      </c>
      <c r="B184" s="3">
        <v>356752000</v>
      </c>
      <c r="C184" s="3">
        <v>431306000</v>
      </c>
      <c r="D184" s="3">
        <v>545022000</v>
      </c>
      <c r="E184" s="3">
        <v>635525000</v>
      </c>
      <c r="F184" s="3">
        <v>828250000</v>
      </c>
      <c r="G184" s="3">
        <v>907151000</v>
      </c>
      <c r="H184" s="3">
        <v>204812000</v>
      </c>
      <c r="I184" s="3">
        <v>447487000</v>
      </c>
      <c r="J184" s="3">
        <v>526986000</v>
      </c>
      <c r="K184" s="3">
        <v>843782000</v>
      </c>
      <c r="L184" s="3">
        <v>743813000</v>
      </c>
      <c r="M184" s="3">
        <v>1078891000</v>
      </c>
      <c r="N184" s="3">
        <v>1468368000</v>
      </c>
      <c r="O184" s="4">
        <v>1769533000</v>
      </c>
      <c r="P184" s="3">
        <v>414032000</v>
      </c>
      <c r="Q184" s="3">
        <v>376128000</v>
      </c>
      <c r="R184" s="3">
        <v>452552000</v>
      </c>
      <c r="S184" s="3">
        <v>526821000</v>
      </c>
    </row>
    <row r="185" spans="1:1022 1027:2048 2053:3060 3074:4086 4100:5112 5126:6138 6152:7164 7178:8190 8204:9216 9230:10237 10242:11263 11268:12275 12289:13301 13315:14327 14341:15353 15367:16379" x14ac:dyDescent="0.2">
      <c r="A185" s="2" t="s">
        <v>55</v>
      </c>
      <c r="B185" s="5">
        <v>19.43</v>
      </c>
      <c r="C185" s="3">
        <v>19</v>
      </c>
      <c r="D185" s="5">
        <v>19.96</v>
      </c>
      <c r="E185" s="5">
        <v>19.77</v>
      </c>
      <c r="F185" s="5">
        <v>20.16</v>
      </c>
      <c r="G185" s="5">
        <v>20.149999999999999</v>
      </c>
      <c r="H185" s="5">
        <v>5.25</v>
      </c>
      <c r="I185" s="3">
        <v>10</v>
      </c>
      <c r="J185" s="5">
        <v>10.83</v>
      </c>
      <c r="K185" s="5">
        <v>15.1</v>
      </c>
      <c r="L185" s="5">
        <v>12.43</v>
      </c>
      <c r="M185" s="5">
        <v>14.3</v>
      </c>
      <c r="N185" s="5">
        <v>17.010000000000002</v>
      </c>
      <c r="O185" s="6">
        <v>19.059999999999999</v>
      </c>
      <c r="P185" s="5">
        <v>15.7</v>
      </c>
      <c r="Q185" s="5">
        <v>17.010000000000002</v>
      </c>
      <c r="R185" s="5">
        <v>18.420000000000002</v>
      </c>
      <c r="S185" s="5">
        <v>19.059999999999999</v>
      </c>
    </row>
    <row r="186" spans="1:1022 1027:2048 2053:3060 3074:4086 4100:5112 5126:6138 6152:7164 7178:8190 8204:9216 9230:10237 10242:11263 11268:12275 12289:13301 13315:14327 14341:15353 15367:16379" x14ac:dyDescent="0.2">
      <c r="A186" s="2" t="s">
        <v>184</v>
      </c>
      <c r="B186" s="3">
        <v>1900000</v>
      </c>
      <c r="C186" s="3">
        <v>586000</v>
      </c>
      <c r="D186" s="3" t="s">
        <v>24</v>
      </c>
      <c r="E186" s="3" t="s">
        <v>24</v>
      </c>
      <c r="F186" s="3" t="s">
        <v>24</v>
      </c>
      <c r="G186" s="3" t="s">
        <v>24</v>
      </c>
      <c r="H186" s="3" t="s">
        <v>24</v>
      </c>
      <c r="I186" s="3" t="s">
        <v>24</v>
      </c>
      <c r="J186" s="3" t="s">
        <v>24</v>
      </c>
      <c r="K186" s="3" t="s">
        <v>24</v>
      </c>
      <c r="L186" s="3">
        <v>10025000</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x14ac:dyDescent="0.2">
      <c r="A187" s="2" t="s">
        <v>185</v>
      </c>
      <c r="B187" s="3">
        <v>175976000</v>
      </c>
      <c r="C187" s="3">
        <v>259949000</v>
      </c>
      <c r="D187" s="3">
        <v>222926000</v>
      </c>
      <c r="E187" s="3">
        <v>328854000</v>
      </c>
      <c r="F187" s="3">
        <v>429477000</v>
      </c>
      <c r="G187" s="3">
        <v>425898000</v>
      </c>
      <c r="H187" s="3">
        <v>90400000</v>
      </c>
      <c r="I187" s="3">
        <v>250328000</v>
      </c>
      <c r="J187" s="3">
        <v>334162000</v>
      </c>
      <c r="K187" s="3">
        <v>387720000</v>
      </c>
      <c r="L187" s="3">
        <v>290495000</v>
      </c>
      <c r="M187" s="3">
        <v>839606000</v>
      </c>
      <c r="N187" s="3">
        <v>844015000</v>
      </c>
      <c r="O187" s="4">
        <v>1250767000</v>
      </c>
      <c r="P187" s="3">
        <v>212895000</v>
      </c>
      <c r="Q187" s="3">
        <v>257927000</v>
      </c>
      <c r="R187" s="3">
        <v>334667000</v>
      </c>
      <c r="S187" s="3">
        <v>445278000</v>
      </c>
    </row>
    <row r="188" spans="1:1022 1027:2048 2053:3060 3074:4086 4100:5112 5126:6138 6152:7164 7178:8190 8204:9216 9230:10237 10242:11263 11268:12275 12289:13301 13315:14327 14341:15353 15367:16379" x14ac:dyDescent="0.2">
      <c r="A188" s="32" t="s">
        <v>186</v>
      </c>
      <c r="B188" s="30">
        <v>176142560</v>
      </c>
      <c r="C188" s="30">
        <v>261759134</v>
      </c>
      <c r="D188" s="30">
        <v>222926000</v>
      </c>
      <c r="E188" s="30">
        <v>328854000</v>
      </c>
      <c r="F188" s="30">
        <v>429477000</v>
      </c>
      <c r="G188" s="30">
        <v>425898000</v>
      </c>
      <c r="H188" s="30">
        <v>90400000</v>
      </c>
      <c r="I188" s="30">
        <v>250328000</v>
      </c>
      <c r="J188" s="30">
        <v>334162000</v>
      </c>
      <c r="K188" s="30">
        <v>387720000</v>
      </c>
      <c r="L188" s="30">
        <v>290495000</v>
      </c>
      <c r="M188" s="30">
        <v>839606000</v>
      </c>
      <c r="N188" s="30">
        <v>844015000</v>
      </c>
      <c r="O188" s="31">
        <v>1250767000</v>
      </c>
      <c r="P188" s="30">
        <v>212895000</v>
      </c>
      <c r="Q188" s="30">
        <v>257927000</v>
      </c>
      <c r="R188" s="30">
        <v>334667000</v>
      </c>
      <c r="S188" s="30">
        <v>445278000</v>
      </c>
    </row>
    <row r="189" spans="1:1022 1027:2048 2053:3060 3074:4086 4100:5112 5126:6138 6152:7164 7178:8190 8204:9216 9230:10237 10242:11263 11268:12275 12289:13301 13315:14327 14341:15353 15367:16379" ht="19" x14ac:dyDescent="0.25">
      <c r="A189" s="22" t="s">
        <v>199</v>
      </c>
      <c r="B189" s="23"/>
      <c r="C189" s="24">
        <f>(C188/B188)-1</f>
        <v>0.48606409490131175</v>
      </c>
      <c r="D189" s="24">
        <f>(D188/C188)-1</f>
        <v>-0.14835445627658594</v>
      </c>
      <c r="E189" s="24">
        <f>(E188/D188)-1</f>
        <v>0.47517113302172032</v>
      </c>
      <c r="F189" s="24">
        <f t="shared" ref="F189:N189" si="8">(F188/E188)-1</f>
        <v>0.30598076958163811</v>
      </c>
      <c r="G189" s="24">
        <f t="shared" si="8"/>
        <v>-8.3333915436681893E-3</v>
      </c>
      <c r="H189" s="24">
        <f t="shared" si="8"/>
        <v>-0.78774260503688676</v>
      </c>
      <c r="I189" s="24">
        <f t="shared" si="8"/>
        <v>1.7691150442477874</v>
      </c>
      <c r="J189" s="24">
        <f t="shared" si="8"/>
        <v>0.33489661564027995</v>
      </c>
      <c r="K189" s="24">
        <f t="shared" si="8"/>
        <v>0.16027555497034363</v>
      </c>
      <c r="L189" s="24">
        <f t="shared" si="8"/>
        <v>-0.25076085835138762</v>
      </c>
      <c r="M189" s="24">
        <f t="shared" si="8"/>
        <v>1.8902597290831169</v>
      </c>
      <c r="N189" s="24">
        <f t="shared" si="8"/>
        <v>5.2512726207292193E-3</v>
      </c>
      <c r="O189" s="24">
        <f>(O188/N188)-1</f>
        <v>0.48192508426982927</v>
      </c>
      <c r="P189" s="24"/>
      <c r="Q189" s="24">
        <f>(Q188/P188)-1</f>
        <v>0.21152211183916947</v>
      </c>
      <c r="R189" s="24">
        <f>(R188/Q188)-1</f>
        <v>0.29752604419079809</v>
      </c>
      <c r="S189" s="24">
        <f>(S188/R188)-1</f>
        <v>0.33051062698144729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9.5942289487244009E-2</v>
      </c>
      <c r="C190" s="26">
        <f t="shared" si="9"/>
        <v>0.11533535928739996</v>
      </c>
      <c r="D190" s="26">
        <f t="shared" si="9"/>
        <v>8.1621280422257567E-2</v>
      </c>
      <c r="E190" s="26">
        <f t="shared" si="9"/>
        <v>0.10230041706705456</v>
      </c>
      <c r="F190" s="26">
        <f t="shared" si="9"/>
        <v>0.10453964918071333</v>
      </c>
      <c r="G190" s="26">
        <f t="shared" si="9"/>
        <v>9.4618284852805559E-2</v>
      </c>
      <c r="H190" s="26">
        <f t="shared" si="9"/>
        <v>2.3153460315378814E-2</v>
      </c>
      <c r="I190" s="26">
        <f t="shared" si="9"/>
        <v>5.5921572902583587E-2</v>
      </c>
      <c r="J190" s="26">
        <f t="shared" si="9"/>
        <v>6.868715936431459E-2</v>
      </c>
      <c r="K190" s="26">
        <f t="shared" si="9"/>
        <v>6.940465264646857E-2</v>
      </c>
      <c r="L190" s="26">
        <f t="shared" si="9"/>
        <v>4.854014464376602E-2</v>
      </c>
      <c r="M190" s="26">
        <f t="shared" si="9"/>
        <v>0.11124939893820919</v>
      </c>
      <c r="N190" s="26">
        <f t="shared" si="9"/>
        <v>9.7747425142321889E-2</v>
      </c>
      <c r="O190" s="27">
        <f t="shared" si="9"/>
        <v>0.13472060731428978</v>
      </c>
      <c r="P190" s="26">
        <f t="shared" si="9"/>
        <v>9.5891089666355137E-2</v>
      </c>
      <c r="Q190" s="26">
        <f t="shared" si="9"/>
        <v>0.11828263701854398</v>
      </c>
      <c r="R190" s="26">
        <f t="shared" si="9"/>
        <v>0.14129436202281537</v>
      </c>
      <c r="S190" s="26">
        <f t="shared" si="9"/>
        <v>0.17706291670792243</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x14ac:dyDescent="0.2">
      <c r="A191" s="2" t="s">
        <v>187</v>
      </c>
      <c r="B191" s="3">
        <v>175880000</v>
      </c>
      <c r="C191" s="3">
        <v>259829000</v>
      </c>
      <c r="D191" s="3">
        <v>222793000</v>
      </c>
      <c r="E191" s="3">
        <v>328854000</v>
      </c>
      <c r="F191" s="3">
        <v>429477000</v>
      </c>
      <c r="G191" s="3">
        <v>425898000</v>
      </c>
      <c r="H191" s="3">
        <v>90400000</v>
      </c>
      <c r="I191" s="3">
        <v>250328000</v>
      </c>
      <c r="J191" s="3">
        <v>334162000</v>
      </c>
      <c r="K191" s="3">
        <v>401689000</v>
      </c>
      <c r="L191" s="3">
        <v>290495000</v>
      </c>
      <c r="M191" s="3">
        <v>843641000</v>
      </c>
      <c r="N191" s="3">
        <v>844015000</v>
      </c>
      <c r="O191" s="4">
        <v>1250767000</v>
      </c>
      <c r="P191" s="3">
        <v>212895000</v>
      </c>
      <c r="Q191" s="3">
        <v>257927000</v>
      </c>
      <c r="R191" s="3">
        <v>334667000</v>
      </c>
      <c r="S191" s="3">
        <v>445278000</v>
      </c>
    </row>
    <row r="192" spans="1:1022 1027:2048 2053:3060 3074:4086 4100:5112 5126:6138 6152:7164 7178:8190 8204:9216 9230:10237 10242:11263 11268:12275 12289:13301 13315:14327 14341:15353 15367:16379" x14ac:dyDescent="0.2">
      <c r="A192" s="2" t="s">
        <v>188</v>
      </c>
      <c r="B192" s="5">
        <v>5.63</v>
      </c>
      <c r="C192" s="5">
        <v>8.33</v>
      </c>
      <c r="D192" s="5">
        <v>7.07</v>
      </c>
      <c r="E192" s="5">
        <v>10.62</v>
      </c>
      <c r="F192" s="5">
        <v>13.84</v>
      </c>
      <c r="G192" s="5">
        <v>13.7</v>
      </c>
      <c r="H192" s="5">
        <v>3.09</v>
      </c>
      <c r="I192" s="5">
        <v>8.7899999999999991</v>
      </c>
      <c r="J192" s="5">
        <v>12.01</v>
      </c>
      <c r="K192" s="5">
        <v>13.98</v>
      </c>
      <c r="L192" s="5">
        <v>10.41</v>
      </c>
      <c r="M192" s="5">
        <v>29.85</v>
      </c>
      <c r="N192" s="5">
        <v>30.3</v>
      </c>
      <c r="O192" s="6">
        <v>45.2</v>
      </c>
      <c r="P192" s="5">
        <v>7.67</v>
      </c>
      <c r="Q192" s="5">
        <v>9.32</v>
      </c>
      <c r="R192" s="5">
        <v>12.12</v>
      </c>
      <c r="S192" s="5">
        <v>16.13</v>
      </c>
    </row>
    <row r="193" spans="1:19" x14ac:dyDescent="0.2">
      <c r="A193" s="2" t="s">
        <v>189</v>
      </c>
      <c r="B193" s="5">
        <v>16.77</v>
      </c>
      <c r="C193" s="5">
        <v>19.09</v>
      </c>
      <c r="D193" s="5">
        <v>15.32</v>
      </c>
      <c r="E193" s="5">
        <v>22.87</v>
      </c>
      <c r="F193" s="5">
        <v>23.08</v>
      </c>
      <c r="G193" s="5">
        <v>16.059999999999999</v>
      </c>
      <c r="H193" s="5">
        <v>18.47</v>
      </c>
      <c r="I193" s="5">
        <v>12.07</v>
      </c>
      <c r="J193" s="5">
        <v>13.28</v>
      </c>
      <c r="K193" s="5">
        <v>22.44</v>
      </c>
      <c r="L193" s="5">
        <v>37.99</v>
      </c>
      <c r="M193" s="5">
        <v>28.9</v>
      </c>
      <c r="N193" s="5">
        <v>21.6</v>
      </c>
      <c r="O193" s="6">
        <v>25.55</v>
      </c>
      <c r="P193" s="3">
        <v>25</v>
      </c>
      <c r="Q193" s="5">
        <v>22.82</v>
      </c>
      <c r="R193" s="5">
        <v>25.14</v>
      </c>
      <c r="S193" s="5">
        <v>27.17</v>
      </c>
    </row>
    <row r="194" spans="1:19" x14ac:dyDescent="0.2">
      <c r="A194" s="2" t="s">
        <v>190</v>
      </c>
      <c r="B194" s="5">
        <v>1.62</v>
      </c>
      <c r="C194" s="5">
        <v>1.91</v>
      </c>
      <c r="D194" s="5">
        <v>1.51</v>
      </c>
      <c r="E194" s="5">
        <v>1.61</v>
      </c>
      <c r="F194" s="5">
        <v>1.53</v>
      </c>
      <c r="G194" s="5">
        <v>1.44</v>
      </c>
      <c r="H194" s="5">
        <v>15.23</v>
      </c>
      <c r="I194" s="5">
        <v>2.65</v>
      </c>
      <c r="J194" s="5">
        <v>3.52</v>
      </c>
      <c r="K194" s="5">
        <v>2.06</v>
      </c>
      <c r="L194" s="5">
        <v>1.87</v>
      </c>
      <c r="M194" s="5">
        <v>1.96</v>
      </c>
      <c r="N194" s="5">
        <v>1.47</v>
      </c>
      <c r="O194" s="6">
        <v>1.61</v>
      </c>
      <c r="P194" s="5">
        <v>1.37</v>
      </c>
      <c r="Q194" s="5">
        <v>1.79</v>
      </c>
      <c r="R194" s="5">
        <v>1.56</v>
      </c>
      <c r="S194" s="5">
        <v>1.7</v>
      </c>
    </row>
    <row r="196" spans="1:19" x14ac:dyDescent="0.2">
      <c r="A196" s="7"/>
    </row>
    <row r="197" spans="1:19" ht="15" x14ac:dyDescent="0.2"/>
    <row r="198" spans="1:19" ht="15" x14ac:dyDescent="0.2"/>
    <row r="199" spans="1:19" ht="15" x14ac:dyDescent="0.2"/>
  </sheetData>
  <hyperlinks>
    <hyperlink ref="A1" r:id="rId1" tooltip="ROIC AI" display="ROIC AI" xr:uid="{00000000-0004-0000-0000-000000000000}"/>
  </hyperlinks>
  <pageMargins left="0.7" right="0.7" top="0.75" bottom="0.75" header="0.3" footer="0.3"/>
  <ignoredErrors>
    <ignoredError sqref="B1:S1 A4:S7 A15:S16 A19:S19 A191:S195 A2:S2 A9:S11 A13 A37:S128 A130:S142 A144:S171 A188:K188 A187:K187 M187:S187 M188:S188 A173:S186 A172 A21:S33 A20:N20 P20:S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FEC1-9E28-6A4C-9056-88538F76A38E}">
  <dimension ref="A1:P110"/>
  <sheetViews>
    <sheetView tabSelected="1" workbookViewId="0">
      <selection activeCell="F21" sqref="F21"/>
    </sheetView>
  </sheetViews>
  <sheetFormatPr baseColWidth="10" defaultRowHeight="15" x14ac:dyDescent="0.2"/>
  <cols>
    <col min="1" max="16" width="18.83203125" customWidth="1"/>
  </cols>
  <sheetData>
    <row r="1" spans="1:16" s="121" customFormat="1" ht="22" customHeight="1" x14ac:dyDescent="0.2">
      <c r="A1" s="120" t="e" vm="1">
        <v>#VALUE!</v>
      </c>
      <c r="B1" s="120"/>
      <c r="C1" s="120"/>
      <c r="D1" s="120"/>
      <c r="E1" s="120"/>
      <c r="F1" s="120"/>
      <c r="G1" s="120"/>
      <c r="H1" s="120"/>
      <c r="I1" s="120"/>
      <c r="J1" s="120"/>
      <c r="K1" s="120"/>
      <c r="L1" s="120"/>
      <c r="M1" s="120"/>
      <c r="N1" s="120"/>
      <c r="O1" s="120"/>
      <c r="P1" s="120"/>
    </row>
    <row r="2" spans="1:16" s="121" customFormat="1" ht="22" customHeight="1" x14ac:dyDescent="0.2">
      <c r="A2" s="120"/>
      <c r="B2" s="120"/>
      <c r="C2" s="120"/>
      <c r="D2" s="120"/>
      <c r="E2" s="120"/>
      <c r="F2" s="120"/>
      <c r="G2" s="120"/>
      <c r="H2" s="120"/>
      <c r="I2" s="120"/>
      <c r="J2" s="120"/>
      <c r="K2" s="120"/>
      <c r="L2" s="120"/>
      <c r="M2" s="120"/>
      <c r="N2" s="120"/>
      <c r="O2" s="120"/>
      <c r="P2" s="120"/>
    </row>
    <row r="3" spans="1:16" ht="22" customHeight="1" x14ac:dyDescent="0.2">
      <c r="A3" s="38" cm="1">
        <f t="array" ref="A3">_FV(A1,"Market cap",TRUE)</f>
        <v>50812791230</v>
      </c>
      <c r="B3" s="39" t="s">
        <v>201</v>
      </c>
      <c r="C3" s="40">
        <f>Financials!O8*0.01</f>
        <v>0.25670000000000004</v>
      </c>
      <c r="D3" s="39" t="s">
        <v>202</v>
      </c>
      <c r="E3" s="40">
        <f>SUM(C11:E11)/3</f>
        <v>0.15882442548700917</v>
      </c>
      <c r="F3" s="41" t="s">
        <v>203</v>
      </c>
      <c r="G3" s="42">
        <f>SUM(Financials!K129:N129)/4</f>
        <v>-5.8844833262569618E-4</v>
      </c>
      <c r="H3" s="41" t="s">
        <v>204</v>
      </c>
      <c r="I3" s="43">
        <f>J14*(1+I7)/(I6-I7)</f>
        <v>35197714866.814903</v>
      </c>
      <c r="J3" s="39" t="s">
        <v>205</v>
      </c>
      <c r="K3" s="44"/>
      <c r="L3" s="45"/>
      <c r="M3" s="46"/>
      <c r="N3" s="47" t="s">
        <v>206</v>
      </c>
      <c r="O3" s="48"/>
      <c r="P3" s="46"/>
    </row>
    <row r="4" spans="1:16" ht="22" customHeight="1" x14ac:dyDescent="0.2">
      <c r="A4" s="49">
        <f>Financials!O56-Financials!O96-Financials!O105</f>
        <v>-2531984000</v>
      </c>
      <c r="B4" s="50" t="s">
        <v>207</v>
      </c>
      <c r="C4" s="51">
        <f>Financials!O17*0.01</f>
        <v>0.15820000000000001</v>
      </c>
      <c r="D4" s="50" t="s">
        <v>208</v>
      </c>
      <c r="E4" s="51">
        <f>SUM(C13:E13)/3</f>
        <v>0.40945266913974221</v>
      </c>
      <c r="F4" s="52" t="s">
        <v>209</v>
      </c>
      <c r="G4" s="53">
        <f>A5*(1+(5*G3))</f>
        <v>27506440.584471859</v>
      </c>
      <c r="H4" s="54" t="s">
        <v>210</v>
      </c>
      <c r="I4" s="55">
        <f>NPV(I6,F14,G14,H14,I14,(J14+I3))</f>
        <v>28834553345.716854</v>
      </c>
      <c r="J4" s="52" t="s">
        <v>211</v>
      </c>
      <c r="K4" s="56">
        <f>(Financials!O172*-1)/Model!A3</f>
        <v>0</v>
      </c>
      <c r="L4" s="41" t="s">
        <v>212</v>
      </c>
      <c r="M4" s="46"/>
      <c r="N4" s="57" t="s">
        <v>213</v>
      </c>
      <c r="O4" s="58"/>
      <c r="P4" s="46"/>
    </row>
    <row r="5" spans="1:16" ht="22" customHeight="1" x14ac:dyDescent="0.2">
      <c r="A5" s="53" cm="1">
        <f t="array" ref="A5">_FV(A1,"Shares outstanding",TRUE)</f>
        <v>27587610</v>
      </c>
      <c r="B5" s="50" t="s">
        <v>214</v>
      </c>
      <c r="C5" s="59">
        <f>Financials!O34*0.01</f>
        <v>0.12</v>
      </c>
      <c r="D5" s="50" t="s">
        <v>215</v>
      </c>
      <c r="E5" s="51">
        <f>SUM(C15:E15)/3</f>
        <v>0.54825004778415287</v>
      </c>
      <c r="F5" s="52" t="s">
        <v>216</v>
      </c>
      <c r="G5" s="53">
        <f>Financials!O56</f>
        <v>1356008000</v>
      </c>
      <c r="H5" s="54" t="s">
        <v>217</v>
      </c>
      <c r="I5" s="55">
        <f>I4+G5-G6</f>
        <v>26302569345.716854</v>
      </c>
      <c r="J5" s="52" t="s">
        <v>218</v>
      </c>
      <c r="K5" s="60" cm="1">
        <f t="array" ref="K5">_FV(A1,"Price")</f>
        <v>1841.87</v>
      </c>
      <c r="L5" s="39" t="s">
        <v>219</v>
      </c>
      <c r="M5" s="46"/>
      <c r="N5" s="61" t="s">
        <v>220</v>
      </c>
      <c r="O5" s="62">
        <f>Financials!O20</f>
        <v>0</v>
      </c>
      <c r="P5" s="46"/>
    </row>
    <row r="6" spans="1:16" ht="22" customHeight="1" x14ac:dyDescent="0.2">
      <c r="A6" s="63">
        <f>O20/F10</f>
        <v>5.1770546337238921</v>
      </c>
      <c r="B6" s="50" t="s">
        <v>221</v>
      </c>
      <c r="C6" s="51">
        <f>Financials!O190</f>
        <v>0.13472060731428978</v>
      </c>
      <c r="D6" s="64" t="s">
        <v>200</v>
      </c>
      <c r="E6" s="51">
        <f>Financials!O33/Financials!O126</f>
        <v>0.40272674768674965</v>
      </c>
      <c r="F6" s="50" t="s">
        <v>222</v>
      </c>
      <c r="G6" s="55">
        <f>Financials!O96+Financials!O105</f>
        <v>3887992000</v>
      </c>
      <c r="H6" s="54" t="s">
        <v>223</v>
      </c>
      <c r="I6" s="65">
        <f>N25</f>
        <v>8.9299628784531959E-2</v>
      </c>
      <c r="J6" s="54" t="s">
        <v>224</v>
      </c>
      <c r="K6" s="66">
        <f>I5/G4</f>
        <v>956.23311438432268</v>
      </c>
      <c r="L6" s="67" t="s">
        <v>225</v>
      </c>
      <c r="M6" s="46"/>
      <c r="N6" s="68" t="s">
        <v>226</v>
      </c>
      <c r="O6" s="69">
        <f>Financials!O96</f>
        <v>244061000</v>
      </c>
      <c r="P6" s="46"/>
    </row>
    <row r="7" spans="1:16" ht="22" customHeight="1" x14ac:dyDescent="0.2">
      <c r="A7" s="70">
        <f>O20/F12</f>
        <v>42.238396699916876</v>
      </c>
      <c r="B7" s="71" t="s">
        <v>227</v>
      </c>
      <c r="C7" s="72">
        <f>F14/A3</f>
        <v>1.9640723838268075E-2</v>
      </c>
      <c r="D7" s="73" t="s">
        <v>228</v>
      </c>
      <c r="E7" s="74">
        <f>(Financials!O16*(1-0.25))/(Financials!O126+Financials!O105+Financials!O96)</f>
        <v>0.16552696383014084</v>
      </c>
      <c r="F7" s="71" t="s">
        <v>196</v>
      </c>
      <c r="G7" s="75">
        <f>(Financials!O96+Financials!O105)/Financials!O126</f>
        <v>1.4051869140976534</v>
      </c>
      <c r="H7" s="76" t="s">
        <v>229</v>
      </c>
      <c r="I7" s="77">
        <v>2.5000000000000001E-2</v>
      </c>
      <c r="J7" s="78" t="s">
        <v>230</v>
      </c>
      <c r="K7" s="79">
        <f>K6/K5-1</f>
        <v>-0.48083571892461319</v>
      </c>
      <c r="L7" s="80" t="s">
        <v>231</v>
      </c>
      <c r="M7" s="46"/>
      <c r="N7" s="68" t="s">
        <v>232</v>
      </c>
      <c r="O7" s="69">
        <f>Financials!O105</f>
        <v>3643931000</v>
      </c>
      <c r="P7" s="46"/>
    </row>
    <row r="8" spans="1:16" ht="22" customHeight="1" x14ac:dyDescent="0.2">
      <c r="A8" s="81"/>
      <c r="B8" s="46"/>
      <c r="C8" s="46"/>
      <c r="D8" s="46"/>
      <c r="E8" s="46"/>
      <c r="F8" s="46"/>
      <c r="G8" s="46"/>
      <c r="H8" s="46"/>
      <c r="I8" s="46"/>
      <c r="J8" s="46"/>
      <c r="K8" s="46"/>
      <c r="L8" s="46"/>
      <c r="M8" s="46"/>
      <c r="N8" s="82" t="s">
        <v>213</v>
      </c>
      <c r="O8" s="83">
        <f>O5/(O6+O7)</f>
        <v>0</v>
      </c>
      <c r="P8" s="46"/>
    </row>
    <row r="9" spans="1:16" ht="22" customHeight="1" x14ac:dyDescent="0.2">
      <c r="A9" s="84"/>
      <c r="B9" s="85">
        <v>2019</v>
      </c>
      <c r="C9" s="85">
        <v>2020</v>
      </c>
      <c r="D9" s="85">
        <v>2021</v>
      </c>
      <c r="E9" s="85">
        <v>2022</v>
      </c>
      <c r="F9" s="86">
        <v>2023</v>
      </c>
      <c r="G9" s="87">
        <v>2024</v>
      </c>
      <c r="H9" s="87">
        <v>2025</v>
      </c>
      <c r="I9" s="87">
        <v>2026</v>
      </c>
      <c r="J9" s="87">
        <v>2027</v>
      </c>
      <c r="K9" s="88"/>
      <c r="L9" s="89"/>
      <c r="M9" s="89"/>
      <c r="N9" s="68" t="s">
        <v>233</v>
      </c>
      <c r="O9" s="69">
        <f>Financials!O25</f>
        <v>353865000</v>
      </c>
      <c r="P9" s="46"/>
    </row>
    <row r="10" spans="1:16" ht="22" customHeight="1" x14ac:dyDescent="0.2">
      <c r="A10" s="90" t="s">
        <v>234</v>
      </c>
      <c r="B10" s="91">
        <v>5586369000</v>
      </c>
      <c r="C10" s="91">
        <v>5984634000</v>
      </c>
      <c r="D10" s="91">
        <v>7547061000</v>
      </c>
      <c r="E10" s="91">
        <v>8634652000</v>
      </c>
      <c r="F10" s="92">
        <v>9815000000</v>
      </c>
      <c r="G10" s="91">
        <v>11085000000</v>
      </c>
      <c r="H10" s="91">
        <v>12503000000</v>
      </c>
      <c r="I10" s="91">
        <v>14330000000</v>
      </c>
      <c r="J10" s="91">
        <v>16197000000</v>
      </c>
      <c r="K10" s="93" t="s">
        <v>235</v>
      </c>
      <c r="N10" s="68" t="s">
        <v>236</v>
      </c>
      <c r="O10" s="69">
        <f>Financials!O24</f>
        <v>1468164000</v>
      </c>
      <c r="P10" s="46"/>
    </row>
    <row r="11" spans="1:16" ht="22" customHeight="1" x14ac:dyDescent="0.2">
      <c r="A11" s="94"/>
      <c r="B11" s="95"/>
      <c r="C11" s="95">
        <f t="shared" ref="C11:J11" si="0">(C10/B10)-1</f>
        <v>7.1292283055415684E-2</v>
      </c>
      <c r="D11" s="95">
        <f t="shared" si="0"/>
        <v>0.26107310823017738</v>
      </c>
      <c r="E11" s="95">
        <f t="shared" si="0"/>
        <v>0.14410788517543449</v>
      </c>
      <c r="F11" s="96">
        <f t="shared" si="0"/>
        <v>0.13669896598033127</v>
      </c>
      <c r="G11" s="95">
        <f t="shared" si="0"/>
        <v>0.12939378502292409</v>
      </c>
      <c r="H11" s="95">
        <f t="shared" si="0"/>
        <v>0.12792061344158778</v>
      </c>
      <c r="I11" s="95">
        <f t="shared" si="0"/>
        <v>0.14612493001679594</v>
      </c>
      <c r="J11" s="95">
        <f t="shared" si="0"/>
        <v>0.13028611304954651</v>
      </c>
      <c r="K11" s="97">
        <f>SUM(F11:J11)/5</f>
        <v>0.13408488150223713</v>
      </c>
      <c r="L11" s="89"/>
      <c r="M11" s="89"/>
      <c r="N11" s="68" t="s">
        <v>237</v>
      </c>
      <c r="O11" s="98">
        <f>O9/O10</f>
        <v>0.2410255257587027</v>
      </c>
      <c r="P11" s="46"/>
    </row>
    <row r="12" spans="1:16" ht="22" customHeight="1" x14ac:dyDescent="0.2">
      <c r="A12" s="90" t="s">
        <v>142</v>
      </c>
      <c r="B12" s="91">
        <v>350158000</v>
      </c>
      <c r="C12" s="91">
        <v>355766000</v>
      </c>
      <c r="D12" s="91">
        <v>652984000</v>
      </c>
      <c r="E12" s="91">
        <v>899101000</v>
      </c>
      <c r="F12" s="92">
        <v>1203000000</v>
      </c>
      <c r="G12" s="91">
        <v>1442000000</v>
      </c>
      <c r="H12" s="91">
        <v>1743000000</v>
      </c>
      <c r="I12" s="91">
        <v>2102000000</v>
      </c>
      <c r="J12" s="91">
        <v>2457000000</v>
      </c>
      <c r="K12" s="93" t="s">
        <v>238</v>
      </c>
      <c r="L12" s="89"/>
      <c r="M12" s="89"/>
      <c r="N12" s="99" t="s">
        <v>239</v>
      </c>
      <c r="O12" s="100">
        <f>O8*(1-O11)</f>
        <v>0</v>
      </c>
      <c r="P12" s="46"/>
    </row>
    <row r="13" spans="1:16" ht="22" customHeight="1" x14ac:dyDescent="0.2">
      <c r="A13" s="94"/>
      <c r="B13" s="95"/>
      <c r="C13" s="95">
        <f t="shared" ref="C13:J13" si="1">(C12/B12)-1</f>
        <v>1.6015627231135587E-2</v>
      </c>
      <c r="D13" s="95">
        <f t="shared" si="1"/>
        <v>0.83543115418561631</v>
      </c>
      <c r="E13" s="95">
        <f t="shared" si="1"/>
        <v>0.37691122600247473</v>
      </c>
      <c r="F13" s="96">
        <f t="shared" si="1"/>
        <v>0.33800318317964284</v>
      </c>
      <c r="G13" s="95">
        <f t="shared" si="1"/>
        <v>0.19866999168744814</v>
      </c>
      <c r="H13" s="95">
        <f t="shared" si="1"/>
        <v>0.20873786407766981</v>
      </c>
      <c r="I13" s="95">
        <f t="shared" si="1"/>
        <v>0.20596672403901328</v>
      </c>
      <c r="J13" s="95">
        <f t="shared" si="1"/>
        <v>0.16888677450047584</v>
      </c>
      <c r="K13" s="97">
        <f>SUM(F13:J13)/5</f>
        <v>0.22405290749684997</v>
      </c>
      <c r="L13" s="89"/>
      <c r="M13" s="89"/>
      <c r="N13" s="57" t="s">
        <v>240</v>
      </c>
      <c r="O13" s="58"/>
      <c r="P13" s="46"/>
    </row>
    <row r="14" spans="1:16" ht="22" customHeight="1" x14ac:dyDescent="0.2">
      <c r="A14" s="90" t="s">
        <v>185</v>
      </c>
      <c r="B14" s="91">
        <v>387720000</v>
      </c>
      <c r="C14" s="91">
        <v>290495000</v>
      </c>
      <c r="D14" s="91">
        <v>839606000</v>
      </c>
      <c r="E14" s="91">
        <v>844015000</v>
      </c>
      <c r="F14" s="92">
        <v>998000000</v>
      </c>
      <c r="G14" s="91">
        <v>1259000000</v>
      </c>
      <c r="H14" s="91">
        <v>1464000000</v>
      </c>
      <c r="I14" s="91">
        <v>1880000000</v>
      </c>
      <c r="J14" s="91">
        <v>2208000000</v>
      </c>
      <c r="K14" s="93" t="s">
        <v>241</v>
      </c>
      <c r="L14" s="89"/>
      <c r="M14" s="89"/>
      <c r="N14" s="68" t="s">
        <v>242</v>
      </c>
      <c r="O14" s="98">
        <f>'[1]US Treasury Bonds'!$C$8</f>
        <v>4.8399999999999999E-2</v>
      </c>
      <c r="P14" s="46"/>
    </row>
    <row r="15" spans="1:16" ht="22" customHeight="1" x14ac:dyDescent="0.2">
      <c r="A15" s="101"/>
      <c r="B15" s="95"/>
      <c r="C15" s="95">
        <f t="shared" ref="C15:J15" si="2">(C14/B14)-1</f>
        <v>-0.25076085835138762</v>
      </c>
      <c r="D15" s="95">
        <f t="shared" si="2"/>
        <v>1.8902597290831169</v>
      </c>
      <c r="E15" s="95">
        <f t="shared" si="2"/>
        <v>5.2512726207292193E-3</v>
      </c>
      <c r="F15" s="96">
        <f t="shared" si="2"/>
        <v>0.18244343998625623</v>
      </c>
      <c r="G15" s="95">
        <f t="shared" si="2"/>
        <v>0.26152304609218446</v>
      </c>
      <c r="H15" s="95">
        <f t="shared" si="2"/>
        <v>0.16282764098490876</v>
      </c>
      <c r="I15" s="95">
        <f t="shared" si="2"/>
        <v>0.28415300546448097</v>
      </c>
      <c r="J15" s="95">
        <f t="shared" si="2"/>
        <v>0.1744680851063829</v>
      </c>
      <c r="K15" s="97">
        <f>SUM(F15:J15)/5</f>
        <v>0.21308304352684265</v>
      </c>
      <c r="L15" s="89"/>
      <c r="M15" s="89"/>
      <c r="N15" s="68" t="s">
        <v>243</v>
      </c>
      <c r="O15" s="102" cm="1">
        <f t="array" ref="O15">_FV(A1,"Beta")</f>
        <v>1.3408</v>
      </c>
      <c r="P15" s="46"/>
    </row>
    <row r="16" spans="1:16" ht="22" customHeight="1" x14ac:dyDescent="0.2">
      <c r="A16" s="90" t="s">
        <v>196</v>
      </c>
      <c r="B16" s="103">
        <v>7.7249087503713162E-2</v>
      </c>
      <c r="C16" s="103">
        <v>4.6464566568679089E-2</v>
      </c>
      <c r="D16" s="103">
        <v>0.1062579327045383</v>
      </c>
      <c r="E16" s="103">
        <v>0.14528506174262426</v>
      </c>
      <c r="F16" s="104"/>
      <c r="G16" s="105"/>
      <c r="H16" s="105"/>
      <c r="I16" s="105"/>
      <c r="J16" s="105"/>
      <c r="K16" s="106"/>
      <c r="L16" s="89"/>
      <c r="M16" s="89"/>
      <c r="N16" s="68" t="s">
        <v>244</v>
      </c>
      <c r="O16" s="98">
        <v>8.4000000000000005E-2</v>
      </c>
      <c r="P16" s="46"/>
    </row>
    <row r="17" spans="1:16" ht="22" customHeight="1" x14ac:dyDescent="0.2">
      <c r="A17" s="89"/>
      <c r="B17" s="107"/>
      <c r="C17" s="107"/>
      <c r="D17" s="107"/>
      <c r="E17" s="107"/>
      <c r="F17" s="89"/>
      <c r="G17" s="89"/>
      <c r="H17" s="89"/>
      <c r="I17" s="89"/>
      <c r="J17" s="89"/>
      <c r="K17" s="89"/>
      <c r="L17" s="89"/>
      <c r="M17" s="89"/>
      <c r="N17" s="108" t="s">
        <v>240</v>
      </c>
      <c r="O17" s="109">
        <f>(O14)+((O15)*(O16-O14))</f>
        <v>9.6132480000000006E-2</v>
      </c>
      <c r="P17" s="46"/>
    </row>
    <row r="18" spans="1:16" ht="22" customHeight="1" x14ac:dyDescent="0.2">
      <c r="A18" s="89"/>
      <c r="B18" s="89"/>
      <c r="C18" s="89"/>
      <c r="D18" s="89"/>
      <c r="E18" s="89"/>
      <c r="F18" s="89"/>
      <c r="G18" s="89"/>
      <c r="H18" s="89"/>
      <c r="I18" s="89"/>
      <c r="J18" s="89"/>
      <c r="K18" s="89"/>
      <c r="L18" s="89"/>
      <c r="M18" s="89"/>
      <c r="N18" s="57" t="s">
        <v>245</v>
      </c>
      <c r="O18" s="58"/>
      <c r="P18" s="46"/>
    </row>
    <row r="19" spans="1:16" ht="22" customHeight="1" x14ac:dyDescent="0.2">
      <c r="A19" s="110" t="str" cm="1">
        <f t="array" ref="A19">_FV(A1,"Industry")</f>
        <v>Hotels &amp; Entertainment Services</v>
      </c>
      <c r="B19" s="110"/>
      <c r="C19" s="111" cm="1">
        <f t="array" ref="C19">_FV(A1,"Year incorporated",TRUE)</f>
        <v>1998</v>
      </c>
      <c r="D19" s="111"/>
      <c r="E19" s="112"/>
      <c r="F19" s="89"/>
      <c r="G19" s="89"/>
      <c r="H19" s="89"/>
      <c r="I19" s="89"/>
      <c r="J19" s="89"/>
      <c r="K19" s="89"/>
      <c r="L19" s="89"/>
      <c r="M19" s="89"/>
      <c r="N19" s="68" t="s">
        <v>223</v>
      </c>
      <c r="O19" s="113">
        <f>O6+O7</f>
        <v>3887992000</v>
      </c>
      <c r="P19" s="46"/>
    </row>
    <row r="20" spans="1:16" ht="22" customHeight="1" x14ac:dyDescent="0.2">
      <c r="A20" s="110" t="str" cm="1">
        <f t="array" ref="A20">_FV(A1,"Description")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B20" s="110"/>
      <c r="C20" s="110"/>
      <c r="D20" s="110"/>
      <c r="E20" s="110"/>
      <c r="F20" s="89"/>
      <c r="G20" s="89"/>
      <c r="H20" s="89"/>
      <c r="I20" s="89"/>
      <c r="J20" s="89"/>
      <c r="K20" s="89"/>
      <c r="L20" s="89"/>
      <c r="M20" s="89"/>
      <c r="N20" s="68" t="s">
        <v>201</v>
      </c>
      <c r="O20" s="113" cm="1">
        <f t="array" ref="O20">_FV(A1,"Market cap",TRUE)</f>
        <v>50812791230</v>
      </c>
      <c r="P20" s="46"/>
    </row>
    <row r="21" spans="1:16" ht="22" customHeight="1" x14ac:dyDescent="0.2">
      <c r="A21" s="110"/>
      <c r="B21" s="110"/>
      <c r="C21" s="110"/>
      <c r="D21" s="110"/>
      <c r="E21" s="110"/>
      <c r="F21" s="89"/>
      <c r="G21" s="89"/>
      <c r="H21" s="89"/>
      <c r="I21" s="89"/>
      <c r="J21" s="89"/>
      <c r="K21" s="89"/>
      <c r="M21" s="89"/>
      <c r="N21" s="68" t="s">
        <v>246</v>
      </c>
      <c r="O21" s="113">
        <f>O19+O20</f>
        <v>54700783230</v>
      </c>
      <c r="P21" s="46"/>
    </row>
    <row r="22" spans="1:16" ht="22" customHeight="1" x14ac:dyDescent="0.2">
      <c r="A22" s="110"/>
      <c r="B22" s="110"/>
      <c r="C22" s="110"/>
      <c r="D22" s="110"/>
      <c r="E22" s="110"/>
      <c r="F22" s="89"/>
      <c r="G22" s="89"/>
      <c r="H22" s="89"/>
      <c r="I22" s="89"/>
      <c r="J22" s="89"/>
      <c r="K22" s="89"/>
      <c r="L22" s="89"/>
      <c r="M22" s="89"/>
      <c r="N22" s="82" t="s">
        <v>247</v>
      </c>
      <c r="O22" s="114">
        <f>(O19/O21)</f>
        <v>7.1077446618125872E-2</v>
      </c>
      <c r="P22" s="46"/>
    </row>
    <row r="23" spans="1:16" ht="22" customHeight="1" x14ac:dyDescent="0.2">
      <c r="A23" s="110"/>
      <c r="B23" s="110"/>
      <c r="C23" s="110"/>
      <c r="D23" s="110"/>
      <c r="E23" s="110"/>
      <c r="F23" s="89"/>
      <c r="G23" s="89"/>
      <c r="H23" s="89"/>
      <c r="I23" s="89"/>
      <c r="J23" s="89"/>
      <c r="K23" s="89"/>
      <c r="L23" s="89"/>
      <c r="M23" s="89"/>
      <c r="N23" s="108" t="s">
        <v>248</v>
      </c>
      <c r="O23" s="115">
        <f>O20/O21</f>
        <v>0.92892255338187413</v>
      </c>
      <c r="P23" s="46"/>
    </row>
    <row r="24" spans="1:16" ht="22" customHeight="1" x14ac:dyDescent="0.2">
      <c r="A24" s="110"/>
      <c r="B24" s="110"/>
      <c r="C24" s="110"/>
      <c r="D24" s="110"/>
      <c r="E24" s="110"/>
      <c r="F24" s="89"/>
      <c r="G24" s="89"/>
      <c r="H24" s="89"/>
      <c r="I24" s="89"/>
      <c r="J24" s="89"/>
      <c r="K24" s="89"/>
      <c r="L24" s="89"/>
      <c r="M24" s="89"/>
      <c r="N24" s="116" t="s">
        <v>249</v>
      </c>
      <c r="O24" s="117"/>
      <c r="P24" s="46"/>
    </row>
    <row r="25" spans="1:16" ht="22" customHeight="1" x14ac:dyDescent="0.2">
      <c r="A25" s="110"/>
      <c r="B25" s="110"/>
      <c r="C25" s="110"/>
      <c r="D25" s="110"/>
      <c r="E25" s="110"/>
      <c r="F25" s="89"/>
      <c r="G25" s="89"/>
      <c r="H25" s="89"/>
      <c r="I25" s="89"/>
      <c r="J25" s="89"/>
      <c r="K25" s="89"/>
      <c r="L25" s="89"/>
      <c r="M25" s="89"/>
      <c r="N25" s="118">
        <f>(O22*O12)+(O23*O17)</f>
        <v>8.9299628784531959E-2</v>
      </c>
      <c r="O25" s="119"/>
      <c r="P25" s="46"/>
    </row>
    <row r="26" spans="1:16" ht="22" customHeight="1" x14ac:dyDescent="0.2">
      <c r="A26" s="110"/>
      <c r="B26" s="110"/>
      <c r="C26" s="110"/>
      <c r="D26" s="110"/>
      <c r="E26" s="110"/>
      <c r="F26" s="89"/>
      <c r="G26" s="89"/>
      <c r="H26" s="89"/>
      <c r="I26" s="89"/>
      <c r="J26" s="89"/>
      <c r="K26" s="89"/>
      <c r="L26" s="89"/>
      <c r="M26" s="89"/>
      <c r="N26" s="89"/>
      <c r="O26" s="46"/>
      <c r="P26" s="46"/>
    </row>
    <row r="27" spans="1:16" ht="22" customHeight="1" x14ac:dyDescent="0.2">
      <c r="A27" s="110"/>
      <c r="B27" s="110"/>
      <c r="C27" s="110"/>
      <c r="D27" s="110"/>
      <c r="E27" s="110"/>
      <c r="F27" s="89"/>
      <c r="G27" s="89"/>
      <c r="H27" s="89"/>
      <c r="I27" s="89"/>
      <c r="J27" s="89"/>
      <c r="K27" s="89"/>
      <c r="L27" s="89"/>
      <c r="M27" s="89"/>
      <c r="N27" s="89"/>
      <c r="O27" s="46"/>
      <c r="P27" s="46"/>
    </row>
    <row r="28" spans="1:16" ht="22" customHeight="1" x14ac:dyDescent="0.2">
      <c r="A28" s="89"/>
      <c r="B28" s="89"/>
      <c r="C28" s="89"/>
      <c r="D28" s="89"/>
      <c r="E28" s="89"/>
      <c r="F28" s="89"/>
      <c r="G28" s="89"/>
      <c r="H28" s="89"/>
      <c r="I28" s="89"/>
      <c r="J28" s="89"/>
      <c r="K28" s="89"/>
      <c r="L28" s="89"/>
      <c r="M28" s="89"/>
      <c r="N28" s="89"/>
      <c r="O28" s="46"/>
      <c r="P28" s="46"/>
    </row>
    <row r="29" spans="1:16" ht="22" customHeight="1" x14ac:dyDescent="0.2">
      <c r="A29" s="89"/>
      <c r="B29" s="89"/>
      <c r="C29" s="89"/>
      <c r="D29" s="89"/>
      <c r="E29" s="89"/>
      <c r="F29" s="89"/>
      <c r="G29" s="89"/>
      <c r="H29" s="89"/>
      <c r="I29" s="89"/>
      <c r="J29" s="89"/>
      <c r="K29" s="89"/>
      <c r="L29" s="89"/>
      <c r="M29" s="89"/>
      <c r="N29" s="89"/>
      <c r="O29" s="46"/>
      <c r="P29" s="46"/>
    </row>
    <row r="30" spans="1:16" ht="22" customHeight="1" x14ac:dyDescent="0.2">
      <c r="A30" s="89"/>
      <c r="B30" s="89"/>
      <c r="C30" s="89"/>
      <c r="D30" s="89"/>
      <c r="E30" s="89"/>
      <c r="F30" s="89"/>
      <c r="G30" s="89"/>
      <c r="H30" s="89"/>
      <c r="I30" s="89"/>
      <c r="J30" s="89"/>
      <c r="K30" s="89"/>
      <c r="L30" s="89"/>
      <c r="M30" s="89"/>
      <c r="N30" s="89"/>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9"/>
      <c r="B33" s="89"/>
      <c r="C33" s="89"/>
      <c r="D33" s="89"/>
      <c r="E33" s="89"/>
      <c r="F33" s="89"/>
      <c r="G33" s="89"/>
      <c r="H33" s="89"/>
      <c r="I33" s="89"/>
      <c r="J33" s="89"/>
      <c r="K33" s="89"/>
      <c r="L33" s="89"/>
      <c r="M33" s="89"/>
      <c r="N33" s="89"/>
      <c r="O33" s="89"/>
      <c r="P33" s="89"/>
    </row>
    <row r="34" spans="1:16" x14ac:dyDescent="0.2">
      <c r="A34" s="89"/>
      <c r="B34" s="89"/>
      <c r="C34" s="89"/>
      <c r="D34" s="89"/>
      <c r="E34" s="89"/>
      <c r="F34" s="89"/>
      <c r="G34" s="89"/>
      <c r="H34" s="89"/>
      <c r="I34" s="89"/>
      <c r="J34" s="89"/>
      <c r="K34" s="89"/>
      <c r="L34" s="89"/>
      <c r="M34" s="89"/>
      <c r="N34" s="89"/>
      <c r="O34" s="89"/>
      <c r="P34" s="89"/>
    </row>
    <row r="35" spans="1:16" x14ac:dyDescent="0.2">
      <c r="A35" s="89"/>
      <c r="B35" s="89"/>
      <c r="C35" s="89"/>
      <c r="D35" s="89"/>
      <c r="E35" s="89"/>
      <c r="F35" s="89"/>
      <c r="G35" s="89"/>
      <c r="H35" s="89"/>
      <c r="I35" s="89"/>
      <c r="J35" s="89"/>
      <c r="K35" s="89"/>
      <c r="L35" s="89"/>
      <c r="M35" s="89"/>
      <c r="N35" s="89"/>
      <c r="O35" s="89"/>
      <c r="P35" s="89"/>
    </row>
    <row r="36" spans="1:16" x14ac:dyDescent="0.2">
      <c r="A36" s="89"/>
      <c r="B36" s="89"/>
      <c r="C36" s="89"/>
      <c r="D36" s="89"/>
      <c r="E36" s="89"/>
      <c r="F36" s="89"/>
      <c r="G36" s="89"/>
      <c r="H36" s="89"/>
      <c r="I36" s="89"/>
      <c r="J36" s="89"/>
      <c r="K36" s="89"/>
      <c r="L36" s="89"/>
      <c r="M36" s="89"/>
      <c r="N36" s="89"/>
      <c r="O36" s="89"/>
      <c r="P36" s="89"/>
    </row>
    <row r="37" spans="1:16" x14ac:dyDescent="0.2">
      <c r="A37" s="89"/>
      <c r="B37" s="89"/>
      <c r="C37" s="89"/>
      <c r="D37" s="89"/>
      <c r="E37" s="89"/>
      <c r="F37" s="89"/>
      <c r="G37" s="89"/>
      <c r="H37" s="89"/>
      <c r="I37" s="89"/>
      <c r="J37" s="89"/>
      <c r="K37" s="89"/>
      <c r="L37" s="89"/>
      <c r="M37" s="89"/>
      <c r="N37" s="89"/>
      <c r="O37" s="89"/>
      <c r="P37" s="89"/>
    </row>
    <row r="38" spans="1:16" x14ac:dyDescent="0.2">
      <c r="A38" s="89"/>
      <c r="B38" s="89"/>
      <c r="C38" s="89"/>
      <c r="D38" s="89"/>
      <c r="E38" s="89"/>
      <c r="F38" s="89"/>
      <c r="G38" s="89"/>
      <c r="H38" s="89"/>
      <c r="I38" s="89"/>
      <c r="J38" s="89"/>
      <c r="K38" s="89"/>
      <c r="L38" s="89"/>
      <c r="M38" s="89"/>
      <c r="N38" s="89"/>
      <c r="O38" s="89"/>
      <c r="P38" s="89"/>
    </row>
    <row r="39" spans="1:16" x14ac:dyDescent="0.2">
      <c r="A39" s="89"/>
      <c r="B39" s="89"/>
      <c r="C39" s="89"/>
      <c r="D39" s="89"/>
      <c r="E39" s="89"/>
      <c r="F39" s="89"/>
      <c r="G39" s="89"/>
      <c r="H39" s="89"/>
      <c r="I39" s="89"/>
      <c r="J39" s="89"/>
      <c r="K39" s="89"/>
      <c r="L39" s="89"/>
      <c r="M39" s="89"/>
      <c r="N39" s="89"/>
      <c r="O39" s="89"/>
      <c r="P39" s="89"/>
    </row>
    <row r="40" spans="1:16" x14ac:dyDescent="0.2">
      <c r="A40" s="89"/>
      <c r="B40" s="89"/>
      <c r="C40" s="89"/>
      <c r="D40" s="89"/>
      <c r="E40" s="89"/>
      <c r="F40" s="89"/>
      <c r="G40" s="89"/>
      <c r="H40" s="89"/>
      <c r="I40" s="89"/>
      <c r="J40" s="89"/>
      <c r="K40" s="89"/>
      <c r="L40" s="89"/>
      <c r="M40" s="89"/>
      <c r="N40" s="89"/>
      <c r="O40" s="89"/>
      <c r="P40" s="89"/>
    </row>
    <row r="41" spans="1:16" x14ac:dyDescent="0.2">
      <c r="A41" s="89"/>
      <c r="B41" s="89"/>
      <c r="C41" s="89"/>
      <c r="D41" s="89"/>
      <c r="E41" s="89"/>
      <c r="F41" s="89"/>
      <c r="G41" s="89"/>
      <c r="H41" s="89"/>
      <c r="I41" s="89"/>
      <c r="J41" s="89"/>
      <c r="K41" s="89"/>
      <c r="L41" s="89"/>
      <c r="M41" s="89"/>
      <c r="N41" s="89"/>
      <c r="O41" s="89"/>
      <c r="P41" s="89"/>
    </row>
    <row r="42" spans="1:16" x14ac:dyDescent="0.2">
      <c r="A42" s="89"/>
      <c r="B42" s="89"/>
      <c r="C42" s="89"/>
      <c r="D42" s="89"/>
      <c r="E42" s="89"/>
      <c r="F42" s="89"/>
      <c r="G42" s="89"/>
      <c r="H42" s="89"/>
      <c r="I42" s="89"/>
      <c r="J42" s="89"/>
      <c r="K42" s="89"/>
      <c r="L42" s="89"/>
      <c r="M42" s="89"/>
      <c r="N42" s="89"/>
      <c r="O42" s="89"/>
      <c r="P42" s="89"/>
    </row>
    <row r="43" spans="1:16" x14ac:dyDescent="0.2">
      <c r="A43" s="89"/>
      <c r="B43" s="89"/>
      <c r="C43" s="89"/>
      <c r="D43" s="89"/>
      <c r="E43" s="89"/>
      <c r="F43" s="89"/>
      <c r="G43" s="89"/>
      <c r="H43" s="89"/>
      <c r="I43" s="89"/>
      <c r="J43" s="89"/>
      <c r="K43" s="89"/>
      <c r="L43" s="89"/>
      <c r="M43" s="89"/>
      <c r="N43" s="89"/>
      <c r="O43" s="89"/>
      <c r="P43" s="89"/>
    </row>
    <row r="44" spans="1:16" x14ac:dyDescent="0.2">
      <c r="A44" s="89"/>
      <c r="B44" s="89"/>
      <c r="C44" s="89"/>
      <c r="D44" s="89"/>
      <c r="E44" s="89"/>
      <c r="F44" s="89"/>
      <c r="G44" s="89"/>
      <c r="H44" s="89"/>
      <c r="I44" s="89"/>
      <c r="J44" s="89"/>
      <c r="K44" s="89"/>
      <c r="L44" s="89"/>
      <c r="M44" s="89"/>
      <c r="N44" s="89"/>
      <c r="O44" s="89"/>
      <c r="P44" s="89"/>
    </row>
    <row r="45" spans="1:16" x14ac:dyDescent="0.2">
      <c r="A45" s="89"/>
      <c r="B45" s="89"/>
      <c r="C45" s="89"/>
      <c r="D45" s="89"/>
      <c r="E45" s="89"/>
      <c r="F45" s="89"/>
      <c r="G45" s="89"/>
      <c r="H45" s="89"/>
      <c r="I45" s="89"/>
      <c r="J45" s="89"/>
      <c r="K45" s="89"/>
      <c r="L45" s="89"/>
      <c r="M45" s="89"/>
      <c r="N45" s="89"/>
      <c r="O45" s="89"/>
      <c r="P45" s="89"/>
    </row>
    <row r="46" spans="1:16" x14ac:dyDescent="0.2">
      <c r="A46" s="89"/>
      <c r="B46" s="89"/>
      <c r="C46" s="89"/>
      <c r="D46" s="89"/>
      <c r="E46" s="89"/>
      <c r="F46" s="89"/>
      <c r="G46" s="89"/>
      <c r="H46" s="89"/>
      <c r="I46" s="89"/>
      <c r="J46" s="89"/>
      <c r="K46" s="89"/>
      <c r="L46" s="89"/>
      <c r="M46" s="89"/>
      <c r="N46" s="89"/>
      <c r="O46" s="89"/>
      <c r="P46" s="89"/>
    </row>
    <row r="47" spans="1:16" x14ac:dyDescent="0.2">
      <c r="A47" s="89"/>
      <c r="B47" s="89"/>
      <c r="C47" s="89"/>
      <c r="D47" s="89"/>
      <c r="E47" s="89"/>
      <c r="F47" s="89"/>
      <c r="G47" s="89"/>
      <c r="H47" s="89"/>
      <c r="I47" s="89"/>
      <c r="J47" s="89"/>
      <c r="K47" s="89"/>
      <c r="L47" s="89"/>
      <c r="M47" s="89"/>
      <c r="N47" s="89"/>
      <c r="O47" s="89"/>
      <c r="P47" s="89"/>
    </row>
    <row r="48" spans="1:16" x14ac:dyDescent="0.2">
      <c r="A48" s="89"/>
      <c r="B48" s="89"/>
      <c r="C48" s="89"/>
      <c r="D48" s="89"/>
      <c r="E48" s="89"/>
      <c r="F48" s="89"/>
      <c r="G48" s="89"/>
      <c r="H48" s="89"/>
      <c r="I48" s="89"/>
      <c r="J48" s="89"/>
      <c r="K48" s="89"/>
      <c r="L48" s="89"/>
      <c r="M48" s="89"/>
      <c r="N48" s="89"/>
      <c r="O48" s="89"/>
      <c r="P48" s="89"/>
    </row>
    <row r="49" spans="1:16" x14ac:dyDescent="0.2">
      <c r="A49" s="89"/>
      <c r="B49" s="89"/>
      <c r="C49" s="89"/>
      <c r="D49" s="89"/>
      <c r="E49" s="89"/>
      <c r="F49" s="89"/>
      <c r="G49" s="89"/>
      <c r="H49" s="89"/>
      <c r="I49" s="89"/>
      <c r="J49" s="89"/>
      <c r="K49" s="89"/>
      <c r="L49" s="89"/>
      <c r="M49" s="89"/>
      <c r="N49" s="89"/>
      <c r="O49" s="89"/>
      <c r="P49" s="89"/>
    </row>
    <row r="50" spans="1:16" x14ac:dyDescent="0.2">
      <c r="A50" s="89"/>
      <c r="B50" s="89"/>
      <c r="C50" s="89"/>
      <c r="D50" s="89"/>
      <c r="E50" s="89"/>
      <c r="F50" s="89"/>
      <c r="G50" s="89"/>
      <c r="H50" s="89"/>
      <c r="I50" s="89"/>
      <c r="J50" s="89"/>
      <c r="K50" s="89"/>
      <c r="L50" s="89"/>
      <c r="M50" s="89"/>
      <c r="N50" s="89"/>
      <c r="O50" s="89"/>
      <c r="P50" s="89"/>
    </row>
    <row r="51" spans="1:16" x14ac:dyDescent="0.2">
      <c r="A51" s="89"/>
      <c r="B51" s="89"/>
      <c r="C51" s="89"/>
      <c r="D51" s="89"/>
      <c r="E51" s="89"/>
      <c r="F51" s="89"/>
      <c r="G51" s="89"/>
      <c r="H51" s="89"/>
      <c r="I51" s="89"/>
      <c r="J51" s="89"/>
      <c r="K51" s="89"/>
      <c r="L51" s="89"/>
      <c r="M51" s="89"/>
      <c r="N51" s="89"/>
      <c r="O51" s="89"/>
      <c r="P51" s="89"/>
    </row>
    <row r="52" spans="1:16" x14ac:dyDescent="0.2">
      <c r="A52" s="89"/>
      <c r="B52" s="89"/>
      <c r="C52" s="89"/>
      <c r="D52" s="89"/>
      <c r="E52" s="89"/>
      <c r="F52" s="89"/>
      <c r="G52" s="89"/>
      <c r="H52" s="89"/>
      <c r="I52" s="89"/>
      <c r="J52" s="89"/>
      <c r="K52" s="89"/>
      <c r="L52" s="89"/>
      <c r="M52" s="89"/>
      <c r="N52" s="89"/>
      <c r="O52" s="89"/>
      <c r="P52" s="89"/>
    </row>
    <row r="53" spans="1:16" x14ac:dyDescent="0.2">
      <c r="A53" s="89"/>
      <c r="B53" s="89"/>
      <c r="C53" s="89"/>
      <c r="D53" s="89"/>
      <c r="E53" s="89"/>
      <c r="F53" s="89"/>
      <c r="G53" s="89"/>
      <c r="H53" s="89"/>
      <c r="I53" s="89"/>
      <c r="J53" s="89"/>
      <c r="K53" s="89"/>
      <c r="L53" s="89"/>
      <c r="M53" s="89"/>
      <c r="N53" s="89"/>
      <c r="O53" s="89"/>
      <c r="P53" s="89"/>
    </row>
    <row r="54" spans="1:16" x14ac:dyDescent="0.2">
      <c r="A54" s="89"/>
      <c r="B54" s="89"/>
      <c r="C54" s="89"/>
      <c r="D54" s="89"/>
      <c r="E54" s="89"/>
      <c r="F54" s="89"/>
      <c r="G54" s="89"/>
      <c r="H54" s="89"/>
      <c r="I54" s="89"/>
      <c r="J54" s="89"/>
      <c r="K54" s="89"/>
      <c r="L54" s="89"/>
      <c r="M54" s="89"/>
      <c r="N54" s="89"/>
      <c r="O54" s="89"/>
      <c r="P54" s="89"/>
    </row>
    <row r="55" spans="1:16" x14ac:dyDescent="0.2">
      <c r="A55" s="89"/>
      <c r="B55" s="89"/>
      <c r="C55" s="89"/>
      <c r="D55" s="89"/>
      <c r="E55" s="89"/>
      <c r="F55" s="89"/>
      <c r="G55" s="89"/>
      <c r="H55" s="89"/>
      <c r="I55" s="89"/>
      <c r="J55" s="89"/>
      <c r="K55" s="89"/>
      <c r="L55" s="89"/>
      <c r="M55" s="89"/>
      <c r="N55" s="89"/>
      <c r="O55" s="89"/>
      <c r="P55" s="89"/>
    </row>
    <row r="56" spans="1:16" x14ac:dyDescent="0.2">
      <c r="A56" s="89"/>
      <c r="B56" s="89"/>
      <c r="C56" s="89"/>
      <c r="D56" s="89"/>
      <c r="E56" s="89"/>
      <c r="F56" s="89"/>
      <c r="G56" s="89"/>
      <c r="H56" s="89"/>
      <c r="I56" s="89"/>
      <c r="J56" s="89"/>
      <c r="K56" s="89"/>
      <c r="L56" s="89"/>
      <c r="M56" s="89"/>
      <c r="N56" s="89"/>
      <c r="O56" s="89"/>
      <c r="P56" s="89"/>
    </row>
    <row r="57" spans="1:16" x14ac:dyDescent="0.2">
      <c r="A57" s="89"/>
      <c r="B57" s="89"/>
      <c r="C57" s="89"/>
      <c r="D57" s="89"/>
      <c r="E57" s="89"/>
      <c r="F57" s="89"/>
      <c r="G57" s="89"/>
      <c r="H57" s="89"/>
      <c r="I57" s="89"/>
      <c r="J57" s="89"/>
      <c r="K57" s="89"/>
      <c r="L57" s="89"/>
      <c r="M57" s="89"/>
      <c r="N57" s="89"/>
      <c r="O57" s="89"/>
      <c r="P57" s="89"/>
    </row>
    <row r="58" spans="1:16" x14ac:dyDescent="0.2">
      <c r="A58" s="89"/>
      <c r="B58" s="89"/>
      <c r="C58" s="89"/>
      <c r="D58" s="89"/>
      <c r="E58" s="89"/>
      <c r="F58" s="89"/>
      <c r="G58" s="89"/>
      <c r="H58" s="89"/>
      <c r="I58" s="89"/>
      <c r="J58" s="89"/>
      <c r="K58" s="89"/>
      <c r="L58" s="89"/>
      <c r="M58" s="89"/>
      <c r="N58" s="89"/>
      <c r="O58" s="89"/>
      <c r="P58" s="89"/>
    </row>
    <row r="59" spans="1:16" x14ac:dyDescent="0.2">
      <c r="A59" s="89"/>
      <c r="B59" s="89"/>
      <c r="C59" s="89"/>
      <c r="D59" s="89"/>
      <c r="E59" s="89"/>
      <c r="F59" s="89"/>
      <c r="G59" s="89"/>
      <c r="H59" s="89"/>
      <c r="I59" s="89"/>
      <c r="J59" s="89"/>
      <c r="K59" s="89"/>
      <c r="L59" s="89"/>
      <c r="M59" s="89"/>
      <c r="N59" s="89"/>
      <c r="O59" s="89"/>
      <c r="P59" s="89"/>
    </row>
    <row r="60" spans="1:16" x14ac:dyDescent="0.2">
      <c r="A60" s="89"/>
      <c r="B60" s="89"/>
      <c r="C60" s="89"/>
      <c r="D60" s="89"/>
      <c r="E60" s="89"/>
      <c r="F60" s="89"/>
      <c r="G60" s="89"/>
      <c r="H60" s="89"/>
      <c r="I60" s="89"/>
      <c r="J60" s="89"/>
      <c r="K60" s="89"/>
      <c r="L60" s="89"/>
      <c r="M60" s="89"/>
      <c r="N60" s="89"/>
      <c r="O60" s="89"/>
      <c r="P60" s="89"/>
    </row>
    <row r="61" spans="1:16" x14ac:dyDescent="0.2">
      <c r="A61" s="89"/>
      <c r="B61" s="89"/>
      <c r="C61" s="89"/>
      <c r="D61" s="89"/>
      <c r="E61" s="89"/>
      <c r="F61" s="89"/>
      <c r="G61" s="89"/>
      <c r="H61" s="89"/>
      <c r="I61" s="89"/>
      <c r="J61" s="89"/>
      <c r="K61" s="89"/>
      <c r="L61" s="89"/>
      <c r="M61" s="89"/>
      <c r="N61" s="89"/>
      <c r="O61" s="89"/>
      <c r="P61" s="89"/>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CMG/explorer/revenue_proj" xr:uid="{0525870E-5E33-314A-999B-A32F6AF76F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2023-10-26T10:09:07Z</dcterms:modified>
</cp:coreProperties>
</file>