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B26A902C-BF36-FA48-B17A-D922BF22BA5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5" i="1" l="1"/>
  <c r="AA105" i="1"/>
  <c r="Z105" i="1"/>
  <c r="Y105" i="1"/>
  <c r="X105" i="1"/>
  <c r="AE95" i="1"/>
  <c r="AF7" i="1"/>
  <c r="AE7" i="1"/>
  <c r="AD7" i="1"/>
  <c r="AF99" i="1" a="1"/>
  <c r="AF99" i="1" s="1"/>
  <c r="Y117" i="1" s="1"/>
  <c r="AF101" i="1" a="1"/>
  <c r="AF101" i="1" s="1"/>
  <c r="X34" i="1" a="1"/>
  <c r="X34" i="1" s="1"/>
  <c r="X35" i="1" s="1"/>
  <c r="X33" i="1" a="1"/>
  <c r="X33" i="1" s="1"/>
  <c r="AD22" i="1" l="1"/>
  <c r="AA107" i="1"/>
  <c r="AB107" i="1" s="1"/>
  <c r="Z106" i="1"/>
  <c r="Y106" i="1"/>
  <c r="X106" i="1"/>
  <c r="AB19" i="1"/>
  <c r="AB21" i="1" s="1"/>
  <c r="AA19" i="1"/>
  <c r="X109" i="1"/>
  <c r="Y109" i="1"/>
  <c r="Z109" i="1"/>
  <c r="Y30" i="1"/>
  <c r="Z30" i="1"/>
  <c r="AA30" i="1"/>
  <c r="AB30" i="1"/>
  <c r="X30" i="1"/>
  <c r="X29" i="1"/>
  <c r="Y29" i="1"/>
  <c r="Z29" i="1"/>
  <c r="AA29" i="1"/>
  <c r="AB29" i="1"/>
  <c r="Y21" i="1"/>
  <c r="Z21" i="1"/>
  <c r="AA21" i="1"/>
  <c r="X21" i="1"/>
  <c r="X20" i="1"/>
  <c r="Y20" i="1"/>
  <c r="Z20" i="1"/>
  <c r="AA20" i="1"/>
  <c r="AB20" i="1"/>
  <c r="W80" i="1"/>
  <c r="W89" i="1"/>
  <c r="W106" i="1"/>
  <c r="AE102" i="1" a="1"/>
  <c r="AE102" i="1" s="1"/>
  <c r="AF22" i="1" s="1"/>
  <c r="AE96" i="1" a="1"/>
  <c r="AE96" i="1" s="1"/>
  <c r="Y115" i="1"/>
  <c r="AC19" i="1"/>
  <c r="AC16" i="1"/>
  <c r="AF13" i="1"/>
  <c r="AE13" i="1"/>
  <c r="AD13" i="1"/>
  <c r="AC13" i="1"/>
  <c r="AF10" i="1"/>
  <c r="AE10" i="1"/>
  <c r="AD10" i="1"/>
  <c r="AC10" i="1"/>
  <c r="AC7" i="1"/>
  <c r="AE4" i="1"/>
  <c r="AD4" i="1"/>
  <c r="AC4" i="1"/>
  <c r="H35" i="1"/>
  <c r="I35" i="1"/>
  <c r="J35" i="1"/>
  <c r="K35" i="1"/>
  <c r="L35" i="1"/>
  <c r="M35" i="1"/>
  <c r="N35" i="1"/>
  <c r="O35" i="1"/>
  <c r="P35" i="1"/>
  <c r="Q35" i="1"/>
  <c r="R35" i="1"/>
  <c r="S35" i="1"/>
  <c r="T35" i="1"/>
  <c r="U35" i="1"/>
  <c r="V35" i="1"/>
  <c r="W35" i="1"/>
  <c r="G35" i="1"/>
  <c r="F35" i="1"/>
  <c r="E35" i="1"/>
  <c r="D35" i="1"/>
  <c r="C35" i="1"/>
  <c r="Y112" i="1"/>
  <c r="AB4" i="1"/>
  <c r="AA4" i="1"/>
  <c r="AE87" i="1"/>
  <c r="AE100" i="1" s="1"/>
  <c r="Y113" i="1" s="1"/>
  <c r="AE91" i="1"/>
  <c r="AE92" i="1" s="1"/>
  <c r="E105" i="1" s="1"/>
  <c r="AE90" i="1"/>
  <c r="AE88" i="1"/>
  <c r="AE86"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A109" i="1" l="1"/>
  <c r="K105" i="1"/>
  <c r="B105" i="1"/>
  <c r="P105" i="1"/>
  <c r="H105" i="1"/>
  <c r="AA106" i="1"/>
  <c r="L105" i="1"/>
  <c r="R105" i="1"/>
  <c r="W105" i="1"/>
  <c r="O105" i="1"/>
  <c r="G105" i="1"/>
  <c r="D105" i="1"/>
  <c r="S105" i="1"/>
  <c r="Q105" i="1"/>
  <c r="N105" i="1"/>
  <c r="T105" i="1"/>
  <c r="C105" i="1"/>
  <c r="J105" i="1"/>
  <c r="I105" i="1"/>
  <c r="V105" i="1"/>
  <c r="F105" i="1"/>
  <c r="U105" i="1"/>
  <c r="M105" i="1"/>
  <c r="AB106" i="1"/>
  <c r="AC106" i="1" s="1"/>
  <c r="AE19" i="1"/>
  <c r="AE22" i="1"/>
  <c r="AD19" i="1"/>
  <c r="AE107" i="1"/>
  <c r="AD16" i="1"/>
  <c r="AF16" i="1"/>
  <c r="AE16" i="1"/>
  <c r="AE89" i="1"/>
  <c r="AE93" i="1" s="1"/>
  <c r="AE104" i="1"/>
  <c r="AE103" i="1" s="1"/>
  <c r="AF19" i="1" l="1"/>
  <c r="AE101" i="1"/>
  <c r="AE98" i="1" l="1"/>
  <c r="AE106" i="1" s="1"/>
  <c r="AE109" i="1" s="1"/>
  <c r="AB108" i="1" s="1"/>
  <c r="AB109" i="1" s="1"/>
  <c r="Y111" i="1" s="1"/>
  <c r="Y114" i="1" s="1"/>
  <c r="Y116" i="1" s="1"/>
  <c r="Y119" i="1" l="1"/>
  <c r="Y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<sst xmlns="http://schemas.openxmlformats.org/spreadsheetml/2006/main" count="600" uniqueCount="167">
  <si>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</si>
  <si>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</si>
  <si>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</si>
  <si>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</si>
  <si>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</si>
  <si>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</si>
  <si>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</si>
  <si>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</si>
  <si>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</si>
  <si>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</si>
  <si>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</si>
  <si>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</si>
  <si>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</si>
  <si>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</si>
  <si>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</si>
  <si>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</si>
  <si>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</si>
  <si>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</si>
  <si>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</si>
  <si>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</si>
  <si>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</si>
  <si>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</si>
  <si>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</si>
  <si>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</si>
  <si>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</si>
  <si>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</si>
  <si>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</si>
  <si>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</si>
  <si>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</si>
  <si>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</si>
  <si>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</si>
  <si>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</si>
  <si>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</si>
  <si>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</si>
  <si>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</si>
  <si>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</si>
  <si>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</si>
  <si>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</si>
  <si>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</si>
  <si>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</si>
  <si>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</si>
  <si>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</si>
  <si>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</si>
  <si>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</si>
  <si>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</si>
  <si>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</si>
  <si>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</si>
  <si>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</si>
  <si>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</si>
  <si>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</si>
  <si>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</si>
  <si>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</si>
  <si>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</si>
  <si>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</si>
  <si>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</si>
  <si>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</si>
  <si>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</si>
  <si>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</si>
  <si>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</si>
  <si>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</si>
  <si>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</si>
  <si>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</si>
  <si>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</si>
  <si>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</si>
  <si>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</si>
  <si>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</si>
  <si>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</si>
  <si>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</si>
  <si>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</si>
  <si>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</si>
  <si>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</si>
  <si>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</si>
  <si>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</si>
  <si>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</si>
  <si>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</si>
  <si>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</si>
  <si>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</si>
  <si>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</si>
  <si>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</si>
  <si>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</si>
  <si>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</si>
  <si>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</si>
  <si>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</si>
  <si>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</si>
  <si>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</si>
  <si>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</si>
  <si>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</si>
  <si>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</si>
  <si>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</si>
  <si>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</si>
  <si>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</si>
  <si>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</si>
  <si>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</si>
  <si>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</si>
  <si>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</si>
  <si>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</si>
  <si>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</si>
  <si>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</si>
  <si>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</si>
  <si>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</si>
  <si>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</si>
  <si>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</si>
  <si>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</si>
  <si>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</si>
  <si>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</si>
  <si>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</si>
  <si>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</si>
  <si>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</si>
  <si>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</si>
  <si>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</si>
  <si>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</si>
  <si>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</si>
  <si>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</si>
  <si>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</si>
  <si>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</si>
  <si>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</si>
  <si>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</si>
  <si>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</si>
  <si>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</si>
  <si>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</si>
  <si>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</si>
  <si>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</si>
  <si>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</si>
  <si>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</si>
  <si>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</si>
  <si>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</si>
  <si>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</si>
  <si>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</si>
  <si>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</si>
  <si>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</si>
  <si>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</si>
  <si>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</si>
  <si>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</si>
  <si>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</si>
  <si>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</si>
  <si>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</si>
  <si>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</si>
  <si>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</si>
  <si>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</si>
  <si>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</si>
  <si>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</si>
  <si>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</si>
  <si>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</si>
  <si>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</si>
  <si>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</si>
  <si>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</si>
  <si>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</si>
  <si>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</si>
  <si>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</si>
  <si>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Share Dilution YoY</t>
  </si>
  <si>
    <t>Share Dilution (5yr)</t>
  </si>
  <si>
    <t>P/S</t>
  </si>
  <si>
    <t>P/E</t>
  </si>
  <si>
    <t>P/FCF</t>
  </si>
  <si>
    <t>Net Cash</t>
  </si>
  <si>
    <t>Forward P/S</t>
  </si>
  <si>
    <t>Forward P/E</t>
  </si>
  <si>
    <t>Forward P/FCF</t>
  </si>
  <si>
    <t>Levered FCF</t>
  </si>
  <si>
    <t>Unlevered FCF</t>
  </si>
  <si>
    <t>Unlevered FCF Forecast</t>
  </si>
  <si>
    <t>Dividend Yield</t>
  </si>
  <si>
    <t>5Y Fwd FCF CAGR</t>
  </si>
  <si>
    <t>Unlevered FCF Yield</t>
  </si>
  <si>
    <t>5Y Fwd Income CAGR</t>
  </si>
  <si>
    <t>Intrinsic Value (USD)</t>
  </si>
  <si>
    <t>Current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</si>
</sst>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00"/>
    <numFmt numFmtId="168" formatCode="0.0"/>
    <numFmt numFmtId="169" formatCode="0.0%"/>
    <numFmt numFmtId="170" formatCode="_([$€-2]\ * #,##0.00_);_([$€-2]\ * \(#,##0.00\);_([$€-2]\ * &quot;-&quot;??_);_(@_)"/>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9" fontId="1" fillId="6" borderId="0" xfId="0" applyNumberFormat="1" applyFont="1" applyFill="1" applyAlignment="1">
      <alignment vertical="center"/>
    </xf>
    <xf numFmtId="0" fontId="0" fillId="5" borderId="0" xfId="0" applyFill="1" applyAlignment="1">
      <alignment vertical="center"/>
    </xf>
    <xf numFmtId="164" fontId="9"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9" fontId="1" fillId="6" borderId="0" xfId="0" applyNumberFormat="1" applyFont="1" applyFill="1" applyAlignment="1">
      <alignment horizontal="center" vertical="center"/>
    </xf>
    <xf numFmtId="170" fontId="0" fillId="0" borderId="0" xfId="0" applyNumberFormat="1"/>
    <xf numFmtId="171" fontId="0" fillId="0" borderId="0" xfId="0" applyNumberFormat="1"/>
    <xf numFmtId="0" fontId="8" fillId="7" borderId="5" xfId="0" applyFont="1" applyFill="1" applyBorder="1" applyAlignment="1">
      <alignment horizontal="center" vertical="center" wrapText="1"/>
    </xf>
    <xf numFmtId="165" fontId="9" fillId="5" borderId="0" xfId="0" applyNumberFormat="1" applyFont="1" applyFill="1" applyAlignment="1">
      <alignment vertical="center"/>
    </xf>
    <xf numFmtId="0" fontId="0" fillId="5" borderId="0" xfId="0" applyFill="1" applyAlignment="1">
      <alignment horizontal="center"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0" fillId="6" borderId="0" xfId="0" applyFill="1" applyAlignment="1">
      <alignment vertical="center"/>
    </xf>
    <xf numFmtId="0" fontId="1" fillId="3" borderId="0" xfId="0"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57536739882707"/>
          <c:y val="2.39225386941307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5503888445499"/>
          <c:y val="0.15127805864411875"/>
          <c:w val="0.83886170258660031"/>
          <c:h val="0.603613824326681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1'!$B$3:$AB$3</c:f>
              <c:numCache>
                <c:formatCode>#,###,,;\(#,###,,\);\ \-\ \-</c:formatCode>
                <c:ptCount val="27"/>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pt idx="22">
                  <c:v>88000000000</c:v>
                </c:pt>
                <c:pt idx="23">
                  <c:v>95285000000</c:v>
                </c:pt>
                <c:pt idx="24">
                  <c:v>102000000000</c:v>
                </c:pt>
                <c:pt idx="25">
                  <c:v>108200000000</c:v>
                </c:pt>
                <c:pt idx="26">
                  <c:v>115800000000</c:v>
                </c:pt>
              </c:numCache>
            </c:numRef>
          </c:val>
          <c:extLst>
            <c:ext xmlns:c16="http://schemas.microsoft.com/office/drawing/2014/chart" uri="{C3380CC4-5D6E-409C-BE32-E72D297353CC}">
              <c16:uniqueId val="{00000000-17DA-8F4C-9A1F-F9D30C0A5F4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1'!$B$28:$AB$28</c:f>
              <c:numCache>
                <c:formatCode>#,###,,;\(#,###,,\);\ \-\ \-</c:formatCode>
                <c:ptCount val="27"/>
                <c:pt idx="0">
                  <c:v>10000000</c:v>
                </c:pt>
                <c:pt idx="1">
                  <c:v>556000000</c:v>
                </c:pt>
                <c:pt idx="2">
                  <c:v>723000000</c:v>
                </c:pt>
                <c:pt idx="3">
                  <c:v>1010000000</c:v>
                </c:pt>
                <c:pt idx="4">
                  <c:v>1668000000</c:v>
                </c:pt>
                <c:pt idx="5">
                  <c:v>2160000000</c:v>
                </c:pt>
                <c:pt idx="6">
                  <c:v>2331000000</c:v>
                </c:pt>
                <c:pt idx="7">
                  <c:v>2318000000</c:v>
                </c:pt>
                <c:pt idx="8">
                  <c:v>1973000000</c:v>
                </c:pt>
                <c:pt idx="9">
                  <c:v>3319000000</c:v>
                </c:pt>
                <c:pt idx="10">
                  <c:v>3465000000</c:v>
                </c:pt>
                <c:pt idx="11">
                  <c:v>3424000000</c:v>
                </c:pt>
                <c:pt idx="12">
                  <c:v>3436000000</c:v>
                </c:pt>
                <c:pt idx="13">
                  <c:v>5648000000</c:v>
                </c:pt>
                <c:pt idx="14">
                  <c:v>3573000000</c:v>
                </c:pt>
                <c:pt idx="15">
                  <c:v>3981000000</c:v>
                </c:pt>
                <c:pt idx="16">
                  <c:v>5129000000</c:v>
                </c:pt>
                <c:pt idx="17">
                  <c:v>6354000000</c:v>
                </c:pt>
                <c:pt idx="18">
                  <c:v>7171000000</c:v>
                </c:pt>
                <c:pt idx="19">
                  <c:v>4702000000</c:v>
                </c:pt>
                <c:pt idx="20">
                  <c:v>12036000000</c:v>
                </c:pt>
                <c:pt idx="21">
                  <c:v>14084000000</c:v>
                </c:pt>
                <c:pt idx="22">
                  <c:v>16503000000</c:v>
                </c:pt>
                <c:pt idx="23">
                  <c:v>18233000000</c:v>
                </c:pt>
                <c:pt idx="24">
                  <c:v>19891000000</c:v>
                </c:pt>
                <c:pt idx="25">
                  <c:v>19816000000</c:v>
                </c:pt>
                <c:pt idx="26">
                  <c:v>21122000000</c:v>
                </c:pt>
              </c:numCache>
            </c:numRef>
          </c:val>
          <c:extLst>
            <c:ext xmlns:c16="http://schemas.microsoft.com/office/drawing/2014/chart" uri="{C3380CC4-5D6E-409C-BE32-E72D297353CC}">
              <c16:uniqueId val="{00000001-17DA-8F4C-9A1F-F9D30C0A5F4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1'!$B$107:$AB$107</c:f>
              <c:numCache>
                <c:formatCode>#,###,,;\(#,###,,\);\ \-\ \-</c:formatCode>
                <c:ptCount val="27"/>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pt idx="22">
                  <c:v>17219000000</c:v>
                </c:pt>
                <c:pt idx="23">
                  <c:v>19707000000</c:v>
                </c:pt>
                <c:pt idx="24">
                  <c:v>22328000000</c:v>
                </c:pt>
                <c:pt idx="25">
                  <c:v>23667680000</c:v>
                </c:pt>
                <c:pt idx="26">
                  <c:v>25324417600</c:v>
                </c:pt>
              </c:numCache>
            </c:numRef>
          </c:val>
          <c:extLst>
            <c:ext xmlns:c16="http://schemas.microsoft.com/office/drawing/2014/chart" uri="{C3380CC4-5D6E-409C-BE32-E72D297353CC}">
              <c16:uniqueId val="{00000002-17DA-8F4C-9A1F-F9D30C0A5F41}"/>
            </c:ext>
          </c:extLst>
        </c:ser>
        <c:dLbls>
          <c:showLegendKey val="0"/>
          <c:showVal val="0"/>
          <c:showCatName val="0"/>
          <c:showSerName val="0"/>
          <c:showPercent val="0"/>
          <c:showBubbleSize val="0"/>
        </c:dLbls>
        <c:gapWidth val="150"/>
        <c:overlap val="100"/>
        <c:axId val="892370767"/>
        <c:axId val="895313167"/>
      </c:barChart>
      <c:catAx>
        <c:axId val="89237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313167"/>
        <c:crosses val="autoZero"/>
        <c:auto val="1"/>
        <c:lblAlgn val="ctr"/>
        <c:lblOffset val="100"/>
        <c:noMultiLvlLbl val="0"/>
      </c:catAx>
      <c:valAx>
        <c:axId val="8953131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370767"/>
        <c:crosses val="autoZero"/>
        <c:crossBetween val="between"/>
      </c:valAx>
      <c:spPr>
        <a:noFill/>
        <a:ln>
          <a:noFill/>
        </a:ln>
        <a:effectLst/>
      </c:spPr>
    </c:plotArea>
    <c:legend>
      <c:legendPos val="b"/>
      <c:layout>
        <c:manualLayout>
          <c:xMode val="edge"/>
          <c:yMode val="edge"/>
          <c:x val="0.34373708898376093"/>
          <c:y val="0.89719881132402823"/>
          <c:w val="0.31208541033762005"/>
          <c:h val="5.44862504005403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27214</xdr:colOff>
      <xdr:row>109</xdr:row>
      <xdr:rowOff>16329</xdr:rowOff>
    </xdr:from>
    <xdr:to>
      <xdr:col>31</xdr:col>
      <xdr:colOff>0</xdr:colOff>
      <xdr:row>130</xdr:row>
      <xdr:rowOff>0</xdr:rowOff>
    </xdr:to>
    <xdr:graphicFrame macro="">
      <xdr:nvGraphicFramePr>
        <xdr:cNvPr id="3" name="Chart 2">
          <a:extLst>
            <a:ext uri="{FF2B5EF4-FFF2-40B4-BE49-F238E27FC236}">
              <a16:creationId xmlns:a16="http://schemas.microsoft.com/office/drawing/2014/main" id="{FE601F4E-2157-5D87-D30A-934A476A4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https://www.bing.com/financeapi/forcetrigger?t=ae96u2&amp;q=XPAR%3aMC&amp;form=skydnc</v>
    <v>Learn more on Bing</v>
  </rv>
  <rv s="1">
    <v>0</v>
    <v>LVMH Moet Hennessy Louis Vuitton SE (XPAR:MC)</v>
    <v>2</v>
    <v>3</v>
    <v>Finance</v>
    <v>4</v>
    <v>en-US</v>
    <v>ae96u2</v>
    <v>268435456</v>
    <v>1</v>
    <v>Powered by Refinitiv</v>
    <v>904.6</v>
    <v>623.5</v>
    <v>1.0271999999999999</v>
    <v>-7</v>
    <v>-1.0473E-2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671.4</v>
    <v>Textiles &amp; Apparel</v>
    <v>Stock</v>
    <v>45226.666666666664</v>
    <v>0</v>
    <v>660.1</v>
    <v>332054800000</v>
    <v>LVMH Moet Hennessy Louis Vuitton SE</v>
    <v>LVMH Moet Hennessy Louis Vuitton SE</v>
    <v>666.5</v>
    <v>20.666699999999999</v>
    <v>668.4</v>
    <v>661.4</v>
    <v>502048400</v>
    <v>MC</v>
    <v>LVMH Moet Hennessy Louis Vuitton SE (XPAR:MC)</v>
    <v>331043</v>
    <v>354120</v>
    <v>1971</v>
  </rv>
  <rv s="2">
    <v>1</v>
  </rv>
  <rv s="0">
    <v>https://www.bing.com/financeapi/forcetrigger?t=a2nj52&amp;q=OTCM%3aLVMHF&amp;form=skydnc</v>
    <v>Learn more on Bing</v>
  </rv>
  <rv s="1">
    <v>0</v>
    <v>LVMH Moet Hennessy Louis Vuitton SE (OTCM:LVMHF)</v>
    <v>2</v>
    <v>5</v>
    <v>Finance</v>
    <v>4</v>
    <v>en-US</v>
    <v>a2nj52</v>
    <v>268435456</v>
    <v>1</v>
    <v>Powered by Refinitiv</v>
    <v>1003.5</v>
    <v>605.9</v>
    <v>1.0271999999999999</v>
    <v>-9.5020000000000007</v>
    <v>-1.3515999999999999E-2</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709.48</v>
    <v>Textiles &amp; Apparel</v>
    <v>Stock</v>
    <v>45226.832383483597</v>
    <v>3</v>
    <v>693</v>
    <v>332054800000</v>
    <v>LVMH Moet Hennessy Louis Vuitton SE</v>
    <v>LVMH Moet Hennessy Louis Vuitton SE</v>
    <v>698.44</v>
    <v>19.862200000000001</v>
    <v>703</v>
    <v>693.49800000000005</v>
    <v>502048400</v>
    <v>LVMHF</v>
    <v>LVMH Moet Hennessy Louis Vuitton SE (OTCM:LVMHF)</v>
    <v>3243</v>
    <v>354120</v>
    <v>1971</v>
  </rv>
  <rv s="2">
    <v>4</v>
  </rv>
  <rv s="3">
    <v>6</v>
    <v>USD/EUR</v>
    <v>7</v>
    <v>8</v>
    <v>Finance</v>
    <v>9</v>
    <v>en-US</v>
    <v>avyn9c</v>
    <v>268435456</v>
    <v>1</v>
    <v>Powered by Refinitiv</v>
    <v>1.0276000000000001</v>
    <v>0.88670000000000004</v>
    <v>0</v>
    <v>0</v>
    <v>EUR</v>
    <v>USD</v>
    <v>0.94730000000000003</v>
    <v>Currency Pair</v>
    <v>45229.30746527778</v>
    <v>0.94610000000000005</v>
    <v>US Dollar/Euro FX Cross Rate</v>
    <v>0.94630000000000003</v>
    <v>0.94630000000000003</v>
    <v>0.94630000000000003</v>
    <v>USDEUR</v>
    <v>USD/EUR</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ENXTPA:MC/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80" zoomScaleNormal="80" workbookViewId="0">
      <pane xSplit="1" ySplit="1" topLeftCell="U96" activePane="bottomRight" state="frozen"/>
      <selection pane="topRight"/>
      <selection pane="bottomLeft"/>
      <selection pane="bottomRight" activeCell="U109" sqref="U109"/>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88000000000</v>
      </c>
      <c r="Y3" s="15">
        <v>95285000000</v>
      </c>
      <c r="Z3" s="15">
        <v>102000000000</v>
      </c>
      <c r="AA3" s="15">
        <v>108200000000</v>
      </c>
      <c r="AB3" s="15">
        <v>115800000000</v>
      </c>
      <c r="AC3" s="23" t="s">
        <v>107</v>
      </c>
      <c r="AD3" s="24" t="s">
        <v>108</v>
      </c>
      <c r="AE3" s="24" t="s">
        <v>109</v>
      </c>
      <c r="AF3" s="24" t="s">
        <v>110</v>
      </c>
    </row>
    <row r="4" spans="1:32" ht="19" x14ac:dyDescent="0.25">
      <c r="A4" s="17" t="s">
        <v>93</v>
      </c>
      <c r="B4" s="1"/>
      <c r="C4" s="43">
        <f>(C3/B3)-1</f>
        <v>3.7942595469784957E-2</v>
      </c>
      <c r="D4" s="43">
        <f>(D3/C3)-1</f>
        <v>-5.7590798077680638E-2</v>
      </c>
      <c r="E4" s="43">
        <f>(E3/D3)-1</f>
        <v>5.52583180070223E-2</v>
      </c>
      <c r="F4" s="43">
        <f t="shared" ref="F4:Z4" si="0">(F3/E3)-1</f>
        <v>0.101956745623069</v>
      </c>
      <c r="G4" s="43">
        <f t="shared" si="0"/>
        <v>0.10035945363048171</v>
      </c>
      <c r="H4" s="43">
        <f t="shared" si="0"/>
        <v>7.6767280804913129E-2</v>
      </c>
      <c r="I4" s="43">
        <f t="shared" si="0"/>
        <v>4.3201262059341161E-2</v>
      </c>
      <c r="J4" s="43">
        <f t="shared" si="0"/>
        <v>-8.1428488338277649E-3</v>
      </c>
      <c r="K4" s="43">
        <f t="shared" si="0"/>
        <v>0.19157919427666692</v>
      </c>
      <c r="L4" s="43">
        <f t="shared" si="0"/>
        <v>0.16432086614173236</v>
      </c>
      <c r="M4" s="43">
        <f t="shared" si="0"/>
        <v>0.18783549600574845</v>
      </c>
      <c r="N4" s="43">
        <f t="shared" si="0"/>
        <v>3.7220225598690426E-2</v>
      </c>
      <c r="O4" s="43">
        <f t="shared" si="0"/>
        <v>5.1082369892620605E-2</v>
      </c>
      <c r="P4" s="43">
        <f t="shared" si="0"/>
        <v>0.16404465043410155</v>
      </c>
      <c r="Q4" s="43">
        <f t="shared" si="0"/>
        <v>5.4284432480933065E-2</v>
      </c>
      <c r="R4" s="43">
        <f t="shared" si="0"/>
        <v>0.13393617021276594</v>
      </c>
      <c r="S4" s="43">
        <f t="shared" si="0"/>
        <v>9.827375926447135E-2</v>
      </c>
      <c r="T4" s="43">
        <f t="shared" si="0"/>
        <v>0.14615811728526884</v>
      </c>
      <c r="U4" s="43">
        <f t="shared" si="0"/>
        <v>-0.16806409539780143</v>
      </c>
      <c r="V4" s="43">
        <f t="shared" si="0"/>
        <v>0.43818589025755883</v>
      </c>
      <c r="W4" s="43">
        <f t="shared" si="0"/>
        <v>0.23310752939344392</v>
      </c>
      <c r="X4" s="16">
        <f t="shared" si="0"/>
        <v>0.11133562335825409</v>
      </c>
      <c r="Y4" s="16">
        <f t="shared" si="0"/>
        <v>8.2784090909090891E-2</v>
      </c>
      <c r="Z4" s="16">
        <f t="shared" si="0"/>
        <v>7.0472792149866237E-2</v>
      </c>
      <c r="AA4" s="16">
        <f t="shared" ref="AA4" si="1">(AA3/Z3)-1</f>
        <v>6.0784313725490202E-2</v>
      </c>
      <c r="AB4" s="16">
        <f t="shared" ref="AB4" si="2">(AB3/AA3)-1</f>
        <v>7.0240295748613679E-2</v>
      </c>
      <c r="AC4" s="25">
        <f>(W4+V4+U4)/3</f>
        <v>0.16774310808440043</v>
      </c>
      <c r="AD4" s="25">
        <f>(W20+V20+U20)/3</f>
        <v>0.22931209935446953</v>
      </c>
      <c r="AE4" s="25">
        <f>(W29+V29+U29)/3</f>
        <v>0.46187151904379231</v>
      </c>
      <c r="AF4" s="2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3" t="s">
        <v>111</v>
      </c>
      <c r="AD6" s="54" t="s">
        <v>112</v>
      </c>
      <c r="AE6" s="54" t="s">
        <v>113</v>
      </c>
      <c r="AF6" s="5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5">
        <f>W7</f>
        <v>0.68440000000000001</v>
      </c>
      <c r="AD7" s="26">
        <f>X21</f>
        <v>0.34665909090909092</v>
      </c>
      <c r="AE7" s="26">
        <f>X30</f>
        <v>0.1875340909090909</v>
      </c>
      <c r="AF7" s="26">
        <f>X107/X3</f>
        <v>0.19567045454545454</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3" t="s">
        <v>95</v>
      </c>
      <c r="AD9" s="24" t="s">
        <v>96</v>
      </c>
      <c r="AE9" s="24" t="s">
        <v>97</v>
      </c>
      <c r="AF9" s="2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5">
        <f>W9</f>
        <v>0</v>
      </c>
      <c r="AD10" s="26">
        <f>W13</f>
        <v>0.41899878763386544</v>
      </c>
      <c r="AE10" s="26">
        <f>W80</f>
        <v>0</v>
      </c>
      <c r="AF10" s="2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3" t="s">
        <v>115</v>
      </c>
      <c r="AD12" s="24" t="s">
        <v>116</v>
      </c>
      <c r="AE12" s="24" t="s">
        <v>117</v>
      </c>
      <c r="AF12" s="2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5">
        <f>W28/W72</f>
        <v>0.25555696684872348</v>
      </c>
      <c r="AD13" s="26">
        <f>W28/W54</f>
        <v>0.10460021092345854</v>
      </c>
      <c r="AE13" s="2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3" t="s">
        <v>150</v>
      </c>
      <c r="AD15" s="24" t="s">
        <v>151</v>
      </c>
      <c r="AE15" s="24" t="s">
        <v>152</v>
      </c>
      <c r="AF15" s="24" t="s">
        <v>153</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3">
        <f>AE102/W3</f>
        <v>4.1934582743988686</v>
      </c>
      <c r="AE16" s="33">
        <f>AE102/W28</f>
        <v>23.576739562624255</v>
      </c>
      <c r="AF16" s="34">
        <f>AE102/W107</f>
        <v>26.037387281423978</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3" t="s">
        <v>154</v>
      </c>
      <c r="AD18" s="24" t="s">
        <v>155</v>
      </c>
      <c r="AE18" s="24" t="s">
        <v>156</v>
      </c>
      <c r="AF18" s="24" t="s">
        <v>157</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1">
        <v>30506000000</v>
      </c>
      <c r="Y19" s="31">
        <v>33910000000</v>
      </c>
      <c r="Z19" s="31">
        <v>37196000000</v>
      </c>
      <c r="AA19" s="31">
        <f>Z19*(1+AA4)</f>
        <v>39456933333.333336</v>
      </c>
      <c r="AB19" s="31">
        <f>AA19*(1+AB4)</f>
        <v>42228400000</v>
      </c>
      <c r="AC19" s="27">
        <f>W40-W56-W61</f>
        <v>-24294000000</v>
      </c>
      <c r="AD19" s="33">
        <f>AE102/X3</f>
        <v>3.7733500000000002</v>
      </c>
      <c r="AE19" s="33">
        <f>AE102/X28</f>
        <v>20.12087499242562</v>
      </c>
      <c r="AF19" s="34">
        <f>AE102/X107</f>
        <v>19.284209303676171</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0.1708758731864588</v>
      </c>
      <c r="Y20" s="16">
        <f t="shared" ref="Y20" si="7">(Y19/X19)-1</f>
        <v>0.1115846063069561</v>
      </c>
      <c r="Z20" s="16">
        <f t="shared" ref="Z20" si="8">(Z19/Y19)-1</f>
        <v>9.6903568268947193E-2</v>
      </c>
      <c r="AA20" s="16">
        <f t="shared" ref="AA20" si="9">(AA19/Z19)-1</f>
        <v>6.0784313725490202E-2</v>
      </c>
      <c r="AB20" s="16">
        <f t="shared" ref="AB20" si="10">(AB19/AA19)-1</f>
        <v>7.0240295748613679E-2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2">
        <f>X19/X3</f>
        <v>0.34665909090909092</v>
      </c>
      <c r="Y21" s="32">
        <f t="shared" ref="Y21:AB21" si="11">Y19/Y3</f>
        <v>0.35587972923335259</v>
      </c>
      <c r="Z21" s="32">
        <f t="shared" si="11"/>
        <v>0.36466666666666664</v>
      </c>
      <c r="AA21" s="32">
        <f t="shared" si="11"/>
        <v>0.36466666666666669</v>
      </c>
      <c r="AB21" s="32">
        <f t="shared" si="11"/>
        <v>0.36466666666666664</v>
      </c>
      <c r="AD21" s="44" t="s">
        <v>164</v>
      </c>
      <c r="AE21" s="23" t="s">
        <v>161</v>
      </c>
      <c r="AF21" s="24" t="s">
        <v>163</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D22" s="25">
        <f>SUM(X29:AB29)/5</f>
        <v>8.5930883537800457E-2</v>
      </c>
      <c r="AE22" s="42">
        <f>(-1*W98)/AE102</f>
        <v>1.8144595410155191E-2</v>
      </c>
      <c r="AF22" s="36">
        <f>X107/AE102</f>
        <v>5.1855898484226094E-2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28">
        <v>16503000000</v>
      </c>
      <c r="Y28" s="28">
        <v>18233000000</v>
      </c>
      <c r="Z28" s="28">
        <v>19891000000</v>
      </c>
      <c r="AA28" s="28">
        <v>19816000000</v>
      </c>
      <c r="AB28" s="28">
        <v>21122000000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0.17175518318659466</v>
      </c>
      <c r="Y29" s="16">
        <f t="shared" ref="Y29" si="14">(Y28/X28)-1</f>
        <v>0.10482942495303882</v>
      </c>
      <c r="Z29" s="16">
        <f t="shared" ref="Z29" si="15">(Z28/Y28)-1</f>
        <v>9.0934020731640475E-2</v>
      </c>
      <c r="AA29" s="16">
        <f t="shared" ref="AA29" si="16">(AA28/Z28)-1</f>
        <v>-3.7705494947464224E-3</v>
      </c>
      <c r="AB29" s="16">
        <f t="shared" ref="AB29" si="17">(AB28/AA28)-1</f>
        <v>6.5906338312474722E-2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29">
        <f>X28/X3</f>
        <v>0.1875340909090909</v>
      </c>
      <c r="Y30" s="29">
        <f t="shared" ref="Y30:AB30" si="18">Y28/Y3</f>
        <v>0.19135225901243638</v>
      </c>
      <c r="Z30" s="29">
        <f t="shared" si="18"/>
        <v>0.19500980392156864</v>
      </c>
      <c r="AA30" s="29">
        <f t="shared" si="18"/>
        <v>0.18314232902033273</v>
      </c>
      <c r="AB30" s="29">
        <f t="shared" si="18"/>
        <v>0.18240069084628671</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0">
        <v>33.04</v>
      </c>
      <c r="Y31" s="30">
        <v>36.51</v>
      </c>
      <c r="Z31" s="30">
        <v>39.83</v>
      </c>
      <c r="AA31" s="30">
        <v>39.68</v>
      </c>
      <c r="AB31" s="30">
        <v>42.29</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4"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c r="X33" s="1" cm="1">
        <f t="array" ref="X33">_FV(A1,"Shares outstanding",TRUE)</f>
        <v>502048400</v>
      </c>
    </row>
    <row r="34" spans="1:24"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c r="X34" s="1" cm="1">
        <f t="array" ref="X34">_FV(A1,"Shares outstanding",TRUE)</f>
        <v>502048400</v>
      </c>
    </row>
    <row r="35" spans="1:24" ht="20" customHeight="1" x14ac:dyDescent="0.25">
      <c r="A35" s="17" t="s">
        <v>149</v>
      </c>
      <c r="B35" s="1"/>
      <c r="C35" s="22">
        <f>(C34-B34)/B34</f>
        <v>1.5984924399757156E-3</v>
      </c>
      <c r="D35" s="22">
        <f t="shared" ref="D35:G35" si="19">(D34-C34)/C34</f>
        <v>2.0299699610447368E-3</v>
      </c>
      <c r="E35" s="22">
        <f t="shared" si="19"/>
        <v>3.6979051185813075E-4</v>
      </c>
      <c r="F35" s="22">
        <f t="shared" si="19"/>
        <v>-3.2608048082341745E-2</v>
      </c>
      <c r="G35" s="22">
        <f t="shared" si="19"/>
        <v>7.2243810072294117E-3</v>
      </c>
      <c r="H35" s="22">
        <f t="shared" ref="H35" si="20">(H34-G34)/G34</f>
        <v>5.0678536711124744E-3</v>
      </c>
      <c r="I35" s="22">
        <f t="shared" ref="I35" si="21">(I34-H34)/H34</f>
        <v>-8.920847941377142E-3</v>
      </c>
      <c r="J35" s="22">
        <f t="shared" ref="J35" si="22">(J34-I34)/I34</f>
        <v>-1.6245367177126757E-3</v>
      </c>
      <c r="K35" s="22">
        <f t="shared" ref="K35" si="23">(K34-J34)/J34</f>
        <v>1.032282955856368E-2</v>
      </c>
      <c r="L35" s="22">
        <f t="shared" ref="L35" si="24">(L34-K34)/K34</f>
        <v>2.5988666516375443E-2</v>
      </c>
      <c r="M35" s="22">
        <f t="shared" ref="M35" si="25">(M34-L34)/L34</f>
        <v>2.036226624522814E-2</v>
      </c>
      <c r="N35" s="22">
        <f t="shared" ref="N35" si="26">(N34-M34)/M34</f>
        <v>1.9663203997837232E-3</v>
      </c>
      <c r="O35" s="22">
        <f t="shared" ref="O35" si="27">(O34-N34)/N34</f>
        <v>1.2802337037974656E-3</v>
      </c>
      <c r="P35" s="22">
        <f t="shared" ref="P35" si="28">(P34-O34)/O34</f>
        <v>2.0505883505941899E-3</v>
      </c>
      <c r="Q35" s="22">
        <f t="shared" ref="Q35" si="29">(Q34-P34)/P34</f>
        <v>-5.0403950765631159E-4</v>
      </c>
      <c r="R35" s="22">
        <f t="shared" ref="R35" si="30">(R34-Q34)/Q34</f>
        <v>-1.248746486258249E-3</v>
      </c>
      <c r="S35" s="22">
        <f t="shared" ref="S35" si="31">(S34-R34)/R34</f>
        <v>-1.8283555245898739E-4</v>
      </c>
      <c r="T35" s="22">
        <f t="shared" ref="T35" si="32">(T34-S34)/S34</f>
        <v>-1.5597374605327762E-4</v>
      </c>
      <c r="U35" s="22">
        <f t="shared" ref="U35" si="33">(U34-T34)/T34</f>
        <v>7.3553377436183834E-4</v>
      </c>
      <c r="V35" s="22">
        <f t="shared" ref="V35" si="34">(V34-U34)/U34</f>
        <v>0</v>
      </c>
      <c r="W35" s="22">
        <f t="shared" ref="W35:X35" si="35">(W34-V34)/V34</f>
        <v>0</v>
      </c>
      <c r="X35" s="22">
        <f t="shared" si="35"/>
        <v>-4.2873652442046422E-3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4"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4"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4"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4"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4"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4"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4"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4"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4"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4"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19"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row>
    <row r="84" spans="1:3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45"/>
      <c r="Y84" s="45"/>
      <c r="Z84" s="45"/>
      <c r="AA84" s="45"/>
      <c r="AB84" s="45"/>
      <c r="AC84" s="45"/>
      <c r="AD84" s="76" t="s">
        <v>119</v>
      </c>
      <c r="AE84" s="77"/>
    </row>
    <row r="85" spans="1:31"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45"/>
      <c r="Y85" s="45"/>
      <c r="Z85" s="45"/>
      <c r="AA85" s="45"/>
      <c r="AB85" s="45"/>
      <c r="AC85" s="45"/>
      <c r="AD85" s="78" t="s">
        <v>120</v>
      </c>
      <c r="AE85" s="78"/>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X86" s="45"/>
      <c r="Y86" s="45"/>
      <c r="Z86" s="45"/>
      <c r="AA86" s="45"/>
      <c r="AB86" s="45"/>
      <c r="AC86" s="45"/>
      <c r="AD86" s="37" t="s">
        <v>101</v>
      </c>
      <c r="AE86" s="57">
        <f>W17</f>
        <v>382000000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X87" s="45"/>
      <c r="Y87" s="45"/>
      <c r="Z87" s="45"/>
      <c r="AA87" s="45"/>
      <c r="AB87" s="45"/>
      <c r="AC87" s="45"/>
      <c r="AD87" s="37" t="s">
        <v>121</v>
      </c>
      <c r="AE87" s="57">
        <f>W56</f>
        <v>11991000000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X88" s="45"/>
      <c r="Y88" s="45"/>
      <c r="Z88" s="45"/>
      <c r="AA88" s="45"/>
      <c r="AB88" s="45"/>
      <c r="AC88" s="45"/>
      <c r="AD88" s="37" t="s">
        <v>122</v>
      </c>
      <c r="AE88" s="57">
        <f>W61</f>
        <v>23155000000</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45"/>
      <c r="Y89" s="45"/>
      <c r="Z89" s="45"/>
      <c r="AA89" s="45"/>
      <c r="AB89" s="45"/>
      <c r="AC89" s="45"/>
      <c r="AD89" s="38" t="s">
        <v>123</v>
      </c>
      <c r="AE89" s="58">
        <f>AE86/(AE87+AE88)</f>
        <v>1.0868946679565242E-2</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X90" s="59"/>
      <c r="Y90" s="59"/>
      <c r="Z90" s="59"/>
      <c r="AA90" s="59"/>
      <c r="AB90" s="59"/>
      <c r="AC90" s="59"/>
      <c r="AD90" s="37" t="s">
        <v>124</v>
      </c>
      <c r="AE90" s="57">
        <f>W27</f>
        <v>5362000000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X91" s="45"/>
      <c r="Y91" s="45"/>
      <c r="Z91" s="45"/>
      <c r="AA91" s="45"/>
      <c r="AB91" s="45"/>
      <c r="AC91" s="45"/>
      <c r="AD91" s="37" t="s">
        <v>19</v>
      </c>
      <c r="AE91" s="57">
        <f>W25</f>
        <v>20115000000</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X92" s="45"/>
      <c r="Y92" s="45"/>
      <c r="Z92" s="45"/>
      <c r="AA92" s="45"/>
      <c r="AB92" s="45"/>
      <c r="AC92" s="45"/>
      <c r="AD92" s="38" t="s">
        <v>125</v>
      </c>
      <c r="AE92" s="58">
        <f>AE90/AE91</f>
        <v>0.26656723837931889</v>
      </c>
    </row>
    <row r="93" spans="1:31" ht="19" customHeight="1"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X93" s="45"/>
      <c r="Y93" s="45"/>
      <c r="Z93" s="45"/>
      <c r="AA93" s="45"/>
      <c r="AB93" s="45"/>
      <c r="AC93" s="45"/>
      <c r="AD93" s="38" t="s">
        <v>126</v>
      </c>
      <c r="AE93" s="58">
        <f>AE89*(1-AE92)</f>
        <v>7.9716415791014662E-3</v>
      </c>
    </row>
    <row r="94" spans="1:31" ht="19" customHeight="1"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X94" s="45"/>
      <c r="Y94" s="45"/>
      <c r="Z94" s="45"/>
      <c r="AA94" s="45"/>
      <c r="AB94" s="45"/>
      <c r="AC94" s="45"/>
      <c r="AD94" s="78" t="s">
        <v>127</v>
      </c>
      <c r="AE94" s="78"/>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X95" s="45"/>
      <c r="Y95" s="45"/>
      <c r="Z95" s="45"/>
      <c r="AA95" s="45"/>
      <c r="AB95" s="45"/>
      <c r="AC95" s="45"/>
      <c r="AD95" s="37" t="s">
        <v>103</v>
      </c>
      <c r="AE95" s="60">
        <f>'[1]US Treasury Bonds'!$C$8</f>
        <v>4.845E-2</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X96" s="45"/>
      <c r="Y96" s="45"/>
      <c r="Z96" s="45"/>
      <c r="AA96" s="45"/>
      <c r="AB96" s="45"/>
      <c r="AC96" s="45"/>
      <c r="AD96" s="37" t="s">
        <v>128</v>
      </c>
      <c r="AE96" s="61" cm="1">
        <f t="array" ref="AE96">_FV(A1,"Beta")</f>
        <v>1.0271999999999999</v>
      </c>
    </row>
    <row r="97" spans="1:32"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X97" s="45"/>
      <c r="Y97" s="45"/>
      <c r="Z97" s="45"/>
      <c r="AA97" s="45"/>
      <c r="AB97" s="45"/>
      <c r="AC97" s="45"/>
      <c r="AD97" s="37" t="s">
        <v>129</v>
      </c>
      <c r="AE97" s="60">
        <v>8.4000000000000005E-2</v>
      </c>
    </row>
    <row r="98" spans="1:32" ht="19" customHeight="1"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X98" s="45"/>
      <c r="Y98" s="45"/>
      <c r="Z98" s="45"/>
      <c r="AA98" s="45"/>
      <c r="AB98" s="45"/>
      <c r="AC98" s="45"/>
      <c r="AD98" s="38" t="s">
        <v>130</v>
      </c>
      <c r="AE98" s="58">
        <f>(AE95)+((AE96)*(AE97-AE95))</f>
        <v>8.4966960000000008E-2</v>
      </c>
      <c r="AF98" t="e" vm="2">
        <v>#VALUE!</v>
      </c>
    </row>
    <row r="99" spans="1:32" ht="19" customHeight="1"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X99" s="45"/>
      <c r="Y99" s="45"/>
      <c r="Z99" s="45"/>
      <c r="AA99" s="45"/>
      <c r="AB99" s="45"/>
      <c r="AC99" s="45"/>
      <c r="AD99" s="78" t="s">
        <v>131</v>
      </c>
      <c r="AE99" s="78"/>
      <c r="AF99" s="53" cm="1">
        <f t="array" ref="AF99">_FV(AF98,"Price")</f>
        <v>693.49800000000005</v>
      </c>
    </row>
    <row r="100" spans="1:32"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X100" s="45"/>
      <c r="Y100" s="45"/>
      <c r="Z100" s="45"/>
      <c r="AA100" s="45"/>
      <c r="AB100" s="45"/>
      <c r="AC100" s="45"/>
      <c r="AD100" s="37" t="s">
        <v>132</v>
      </c>
      <c r="AE100" s="57">
        <f>AE87+AE88</f>
        <v>35146000000</v>
      </c>
      <c r="AF100" t="e" vm="3">
        <v>#VALUE!</v>
      </c>
    </row>
    <row r="101" spans="1:32"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X101" s="45"/>
      <c r="Y101" s="45"/>
      <c r="Z101" s="45"/>
      <c r="AA101" s="45"/>
      <c r="AB101" s="45"/>
      <c r="AC101" s="45"/>
      <c r="AD101" s="38" t="s">
        <v>133</v>
      </c>
      <c r="AE101" s="58">
        <f>AE100/AE104</f>
        <v>9.5713299099566232E-2</v>
      </c>
      <c r="AF101" s="52" cm="1">
        <f t="array" ref="AF101">_FV(AF100,"Previous close",TRUE)</f>
        <v>0.94630000000000003</v>
      </c>
    </row>
    <row r="102" spans="1:32"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X102" s="45"/>
      <c r="Y102" s="45"/>
      <c r="Z102" s="45"/>
      <c r="AA102" s="45"/>
      <c r="AB102" s="45"/>
      <c r="AC102" s="45"/>
      <c r="AD102" s="37" t="s">
        <v>134</v>
      </c>
      <c r="AE102" s="62" cm="1">
        <f t="array" ref="AE102">_FV(A1,"Market cap",TRUE)</f>
        <v>332054800000</v>
      </c>
    </row>
    <row r="103" spans="1:32"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X103" s="45"/>
      <c r="Y103" s="45"/>
      <c r="Z103" s="45"/>
      <c r="AA103" s="45"/>
      <c r="AB103" s="45"/>
      <c r="AC103" s="45"/>
      <c r="AD103" s="38" t="s">
        <v>135</v>
      </c>
      <c r="AE103" s="58">
        <f>AE102/AE104</f>
        <v>0.90428670090043373</v>
      </c>
    </row>
    <row r="104" spans="1:32" ht="21" customHeight="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X104" s="79" t="s">
        <v>114</v>
      </c>
      <c r="Y104" s="79"/>
      <c r="Z104" s="79"/>
      <c r="AA104" s="79"/>
      <c r="AB104" s="79"/>
      <c r="AC104" s="45"/>
      <c r="AD104" s="38" t="s">
        <v>136</v>
      </c>
      <c r="AE104" s="63">
        <f>AE100+AE102</f>
        <v>367200800000</v>
      </c>
    </row>
    <row r="105" spans="1:32" ht="21" customHeight="1" thickTop="1" x14ac:dyDescent="0.25">
      <c r="A105" s="17" t="s">
        <v>159</v>
      </c>
      <c r="B105" s="1">
        <f t="shared" ref="B105:W105" si="38">(B22*(1-$AE$92))+B77+B88+B81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 t="shared" si="38"/>
        <v>14214821426.795921</v>
      </c>
      <c r="X105" s="55">
        <f>X107/X3</f>
        <v>0.19567045454545454</v>
      </c>
      <c r="Y105" s="55">
        <f>Y107/Y3</f>
        <v>0.20682164034213149</v>
      </c>
      <c r="Z105" s="55">
        <f>Z107/Z3</f>
        <v>0.21890196078431373</v>
      </c>
      <c r="AA105" s="55">
        <f>AA107/AA3</f>
        <v>0.21874011090573012</v>
      </c>
      <c r="AB105" s="55">
        <f>AB107/AB3</f>
        <v>0.2186909982728843</v>
      </c>
      <c r="AC105" s="56" t="s">
        <v>162</v>
      </c>
      <c r="AD105" s="78" t="s">
        <v>137</v>
      </c>
      <c r="AE105" s="78"/>
    </row>
    <row r="106" spans="1:32" ht="20" x14ac:dyDescent="0.25">
      <c r="A106" s="17" t="s">
        <v>106</v>
      </c>
      <c r="B106" s="1"/>
      <c r="C106" s="18">
        <f t="shared" ref="C106:W106" si="39">(C107/B107)-1</f>
        <v>-4.4024390243902438</v>
      </c>
      <c r="D106" s="18">
        <f t="shared" si="39"/>
        <v>-9.3906810035842336E-2</v>
      </c>
      <c r="E106" s="18">
        <f t="shared" si="39"/>
        <v>5.6170886075949333E-2</v>
      </c>
      <c r="F106" s="18">
        <f t="shared" si="39"/>
        <v>-3.5955056179775235E-2</v>
      </c>
      <c r="G106" s="18">
        <f t="shared" si="39"/>
        <v>0.1787101787101788</v>
      </c>
      <c r="H106" s="18">
        <f t="shared" si="39"/>
        <v>-3.2300593276203049E-2</v>
      </c>
      <c r="I106" s="18">
        <f t="shared" si="39"/>
        <v>-0.15599455040871935</v>
      </c>
      <c r="J106" s="18">
        <f t="shared" si="39"/>
        <v>0.76432606941081516</v>
      </c>
      <c r="K106" s="18">
        <f t="shared" si="39"/>
        <v>0.39387008234217746</v>
      </c>
      <c r="L106" s="18">
        <f t="shared" si="39"/>
        <v>-0.29176238923531339</v>
      </c>
      <c r="M106" s="18">
        <f t="shared" si="39"/>
        <v>7.7386468952733933E-2</v>
      </c>
      <c r="N106" s="18">
        <f t="shared" si="39"/>
        <v>0.19612903225806444</v>
      </c>
      <c r="O106" s="18">
        <f t="shared" si="39"/>
        <v>-7.9108234448039827E-3</v>
      </c>
      <c r="P106" s="18">
        <f t="shared" si="39"/>
        <v>0.29720913374411029</v>
      </c>
      <c r="Q106" s="18">
        <f t="shared" si="39"/>
        <v>1.9558535903883678E-2</v>
      </c>
      <c r="R106" s="18">
        <f t="shared" si="39"/>
        <v>0.28391340093176209</v>
      </c>
      <c r="S106" s="18">
        <f t="shared" si="39"/>
        <v>0.14172892209178234</v>
      </c>
      <c r="T106" s="18">
        <f t="shared" si="39"/>
        <v>0.57449990652458394</v>
      </c>
      <c r="U106" s="18">
        <f t="shared" si="39"/>
        <v>1.3061030634053949E-3</v>
      </c>
      <c r="V106" s="18">
        <f t="shared" si="39"/>
        <v>0.82521048262777175</v>
      </c>
      <c r="W106" s="18">
        <f t="shared" si="39"/>
        <v>-0.17145270270270274</v>
      </c>
      <c r="X106" s="46">
        <f>(X107/W107)-1</f>
        <v>0.35019211166000153</v>
      </c>
      <c r="Y106" s="46">
        <f>(Y107/X107)-1</f>
        <v>0.14449155003194147</v>
      </c>
      <c r="Z106" s="46">
        <f>(Z107/Y107)-1</f>
        <v>0.13299842695488917</v>
      </c>
      <c r="AA106" s="46">
        <f>(AA107/Z107)-1</f>
        <v>6.0000000000000053E-2</v>
      </c>
      <c r="AB106" s="46">
        <f>(AB107/AA107)-1</f>
        <v>7.0000000000000062E-2</v>
      </c>
      <c r="AC106" s="51">
        <f>SUM(X106:AB106)/5</f>
        <v>0.15153641772936646</v>
      </c>
      <c r="AD106" s="39" t="s">
        <v>119</v>
      </c>
      <c r="AE106" s="64">
        <f>(AE101*AE93)+(AE103*AE98)</f>
        <v>7.7597484058714208E-2</v>
      </c>
    </row>
    <row r="107" spans="1:32" ht="19" x14ac:dyDescent="0.25">
      <c r="A107" s="35" t="s">
        <v>158</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48">
        <v>17219000000</v>
      </c>
      <c r="Y107" s="48">
        <v>19707000000</v>
      </c>
      <c r="Z107" s="48">
        <v>22328000000</v>
      </c>
      <c r="AA107" s="48">
        <f>Z107*1.06</f>
        <v>23667680000</v>
      </c>
      <c r="AB107" s="48">
        <f>AA107*1.07</f>
        <v>25324417600</v>
      </c>
      <c r="AC107" s="47" t="s">
        <v>160</v>
      </c>
      <c r="AD107" s="65" t="s">
        <v>138</v>
      </c>
      <c r="AE107" s="40">
        <f>(SUM(X4,Y4,Z4,AA4,AB4)/5)</f>
        <v>7.9123423178263014E-2</v>
      </c>
    </row>
    <row r="108" spans="1:32" ht="19" x14ac:dyDescent="0.2">
      <c r="X108" s="74"/>
      <c r="Y108" s="74"/>
      <c r="Z108" s="74"/>
      <c r="AA108" s="74"/>
      <c r="AB108" s="49">
        <f>AB107*(1+AE108)/(AE109-AE108)</f>
        <v>493512731731.11829</v>
      </c>
      <c r="AC108" s="50" t="s">
        <v>139</v>
      </c>
      <c r="AD108" s="66" t="s">
        <v>140</v>
      </c>
      <c r="AE108" s="41">
        <v>2.5000000000000001E-2</v>
      </c>
    </row>
    <row r="109" spans="1:32" ht="19" x14ac:dyDescent="0.2">
      <c r="X109" s="49">
        <f>X108+X107</f>
        <v>17219000000</v>
      </c>
      <c r="Y109" s="49">
        <f>Y108+Y107</f>
        <v>19707000000</v>
      </c>
      <c r="Z109" s="49">
        <f>Z108+Z107</f>
        <v>22328000000</v>
      </c>
      <c r="AA109" s="49">
        <f>AA108+AA107</f>
        <v>23667680000</v>
      </c>
      <c r="AB109" s="49">
        <f>AB108+AB107</f>
        <v>518837149331.11829</v>
      </c>
      <c r="AC109" s="50" t="s">
        <v>136</v>
      </c>
      <c r="AD109" s="67" t="s">
        <v>141</v>
      </c>
      <c r="AE109" s="40">
        <f>AE106</f>
        <v>7.7597484058714208E-2</v>
      </c>
    </row>
    <row r="110" spans="1:32" ht="19" x14ac:dyDescent="0.2">
      <c r="X110" s="75" t="s">
        <v>142</v>
      </c>
      <c r="Y110" s="75"/>
      <c r="Z110" s="45"/>
      <c r="AA110" s="45"/>
      <c r="AB110" s="45"/>
      <c r="AC110" s="45"/>
      <c r="AD110" s="45"/>
      <c r="AE110" s="45"/>
    </row>
    <row r="111" spans="1:32" ht="20" x14ac:dyDescent="0.2">
      <c r="X111" s="68" t="s">
        <v>143</v>
      </c>
      <c r="Y111" s="62">
        <f>NPV(AE109,X109,Y109,Z109,AA109,AB109)</f>
        <v>425411450669.98279</v>
      </c>
      <c r="Z111" s="45"/>
      <c r="AA111" s="45"/>
      <c r="AB111" s="45"/>
      <c r="AC111" s="45"/>
      <c r="AD111" s="45"/>
      <c r="AE111" s="45"/>
    </row>
    <row r="112" spans="1:32" ht="20" x14ac:dyDescent="0.2">
      <c r="X112" s="68" t="s">
        <v>144</v>
      </c>
      <c r="Y112" s="62">
        <f>W40</f>
        <v>10852000000</v>
      </c>
      <c r="Z112" s="45"/>
      <c r="AA112" s="45"/>
      <c r="AB112" s="45"/>
      <c r="AC112" s="45"/>
      <c r="AD112" s="45"/>
      <c r="AE112" s="45"/>
    </row>
    <row r="113" spans="24:31" ht="20" x14ac:dyDescent="0.2">
      <c r="X113" s="68" t="s">
        <v>132</v>
      </c>
      <c r="Y113" s="62">
        <f>AE100</f>
        <v>35146000000</v>
      </c>
      <c r="Z113" s="45"/>
      <c r="AA113" s="45"/>
      <c r="AB113" s="45"/>
      <c r="AC113" s="45"/>
      <c r="AD113" s="45"/>
      <c r="AE113" s="45"/>
    </row>
    <row r="114" spans="24:31" ht="20" x14ac:dyDescent="0.2">
      <c r="X114" s="68" t="s">
        <v>145</v>
      </c>
      <c r="Y114" s="62">
        <f>Y111+Y112-Y113</f>
        <v>401117450669.98279</v>
      </c>
      <c r="Z114" s="45"/>
      <c r="AA114" s="45"/>
      <c r="AB114" s="45"/>
      <c r="AC114" s="45"/>
      <c r="AD114" s="45"/>
      <c r="AE114" s="45"/>
    </row>
    <row r="115" spans="24:31" ht="20" x14ac:dyDescent="0.2">
      <c r="X115" s="68" t="s">
        <v>146</v>
      </c>
      <c r="Y115" s="68">
        <f>W34*(1+(5*AC16))</f>
        <v>504410165.50073248</v>
      </c>
      <c r="Z115" s="45"/>
      <c r="AA115" s="45"/>
      <c r="AB115" s="45"/>
      <c r="AC115" s="45"/>
      <c r="AD115" s="45"/>
      <c r="AE115" s="45"/>
    </row>
    <row r="116" spans="24:31" ht="20" x14ac:dyDescent="0.2">
      <c r="X116" s="69" t="s">
        <v>165</v>
      </c>
      <c r="Y116" s="70">
        <f>Y114/Y115*AF101</f>
        <v>752.51743428325801</v>
      </c>
      <c r="Z116" s="45"/>
      <c r="AA116" s="45"/>
      <c r="AB116" s="45"/>
      <c r="AC116" s="45"/>
      <c r="AD116" s="45"/>
      <c r="AE116" s="45"/>
    </row>
    <row r="117" spans="24:31" ht="20" x14ac:dyDescent="0.2">
      <c r="X117" s="68" t="s">
        <v>166</v>
      </c>
      <c r="Y117" s="71">
        <f>AF99</f>
        <v>693.49800000000005</v>
      </c>
      <c r="Z117" s="45"/>
      <c r="AA117" s="45"/>
      <c r="AB117" s="45"/>
      <c r="AC117" s="45"/>
      <c r="AD117" s="45"/>
      <c r="AE117" s="45"/>
    </row>
    <row r="118" spans="24:31" ht="20" x14ac:dyDescent="0.2">
      <c r="X118" s="69" t="s">
        <v>147</v>
      </c>
      <c r="Y118" s="72">
        <f>Y116/Y117-1</f>
        <v>8.5103971869072481E-2</v>
      </c>
      <c r="Z118" s="45"/>
      <c r="AA118" s="45"/>
      <c r="AB118" s="45"/>
      <c r="AC118" s="45"/>
      <c r="AD118" s="45"/>
      <c r="AE118" s="45"/>
    </row>
    <row r="119" spans="24:31" ht="20" x14ac:dyDescent="0.2">
      <c r="X119" s="69" t="s">
        <v>148</v>
      </c>
      <c r="Y119" s="73" t="str">
        <f>IF(Y116&gt;Y117,"BUY","SELL")</f>
        <v>BUY</v>
      </c>
      <c r="Z119" s="45"/>
      <c r="AA119" s="45"/>
      <c r="AB119" s="45"/>
      <c r="AC119" s="45"/>
      <c r="AD119" s="45"/>
      <c r="AE119" s="45"/>
    </row>
  </sheetData>
  <mergeCells count="7">
    <mergeCell ref="X110:Y110"/>
    <mergeCell ref="AD84:AE84"/>
    <mergeCell ref="AD105:AE105"/>
    <mergeCell ref="AD99:AE99"/>
    <mergeCell ref="AD94:AE94"/>
    <mergeCell ref="AD85:AE85"/>
    <mergeCell ref="X104:AB104"/>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7"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2023-02-07T09:00:14Z</dcterms:created>
  <dcterms:modified xsi:type="dcterms:W3CDTF">2023-10-30T07:22:49Z</dcterms:modified>
</cp:coreProperties>
</file>