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a/Documents/financial-modeling/Consumer/"/>
    </mc:Choice>
  </mc:AlternateContent>
  <xr:revisionPtr revIDLastSave="0" documentId="13_ncr:1_{C998C2D2-A263-AE4B-BF9A-7A83B95577C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 1" sheetId="1" r:id="rId1"/>
    <sheet name="Sheet1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105" i="1" l="1"/>
  <c r="Z105" i="1"/>
  <c r="Y105" i="1"/>
  <c r="X105" i="1"/>
  <c r="W105" i="1"/>
  <c r="AB7" i="1"/>
  <c r="W6" i="1"/>
  <c r="Z109" i="1"/>
  <c r="AE7" i="1" l="1"/>
  <c r="AD7" i="1"/>
  <c r="AC7" i="1"/>
  <c r="AC22" i="1"/>
  <c r="W109" i="1"/>
  <c r="X109" i="1"/>
  <c r="Y109" i="1"/>
  <c r="AA106" i="1"/>
  <c r="Z106" i="1"/>
  <c r="Y106" i="1"/>
  <c r="X106" i="1"/>
  <c r="W106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AE13" i="1"/>
  <c r="AC13" i="1"/>
  <c r="AB13" i="1"/>
  <c r="AB10" i="1"/>
  <c r="D116" i="2" a="1"/>
  <c r="D116" i="2" s="1"/>
  <c r="D111" i="2"/>
  <c r="B106" i="2"/>
  <c r="B105" i="2"/>
  <c r="C105" i="2" s="1"/>
  <c r="J101" i="2" a="1"/>
  <c r="J101" i="2" s="1"/>
  <c r="J99" i="2"/>
  <c r="J103" i="2" s="1"/>
  <c r="J95" i="2" a="1"/>
  <c r="J95" i="2" s="1"/>
  <c r="B93" i="2"/>
  <c r="J90" i="2"/>
  <c r="J91" i="2" s="1"/>
  <c r="J89" i="2"/>
  <c r="B89" i="2"/>
  <c r="J87" i="2"/>
  <c r="J86" i="2"/>
  <c r="J85" i="2"/>
  <c r="J88" i="2" s="1"/>
  <c r="J92" i="2" s="1"/>
  <c r="B80" i="2"/>
  <c r="B35" i="2"/>
  <c r="H16" i="2" s="1"/>
  <c r="D114" i="2" s="1"/>
  <c r="G30" i="2"/>
  <c r="F30" i="2"/>
  <c r="E30" i="2"/>
  <c r="D30" i="2"/>
  <c r="C30" i="2"/>
  <c r="B30" i="2"/>
  <c r="J7" i="2" s="1"/>
  <c r="G29" i="2"/>
  <c r="F29" i="2"/>
  <c r="E29" i="2"/>
  <c r="D29" i="2"/>
  <c r="C29" i="2"/>
  <c r="B29" i="2"/>
  <c r="B26" i="2"/>
  <c r="B23" i="2"/>
  <c r="G21" i="2"/>
  <c r="F21" i="2"/>
  <c r="E21" i="2"/>
  <c r="D21" i="2"/>
  <c r="C21" i="2"/>
  <c r="B21" i="2"/>
  <c r="I7" i="2" s="1"/>
  <c r="G20" i="2"/>
  <c r="F20" i="2"/>
  <c r="E20" i="2"/>
  <c r="D20" i="2"/>
  <c r="C20" i="2"/>
  <c r="B20" i="2"/>
  <c r="H19" i="2"/>
  <c r="B15" i="2"/>
  <c r="B16" i="2" s="1"/>
  <c r="K13" i="2"/>
  <c r="J13" i="2"/>
  <c r="I13" i="2"/>
  <c r="H13" i="2"/>
  <c r="B13" i="2"/>
  <c r="K10" i="2"/>
  <c r="J10" i="2"/>
  <c r="I10" i="2"/>
  <c r="B9" i="2"/>
  <c r="H10" i="2" s="1"/>
  <c r="K7" i="2"/>
  <c r="B7" i="2"/>
  <c r="H7" i="2" s="1"/>
  <c r="K4" i="2"/>
  <c r="J4" i="2"/>
  <c r="I4" i="2"/>
  <c r="G4" i="2"/>
  <c r="F4" i="2"/>
  <c r="E4" i="2"/>
  <c r="D4" i="2"/>
  <c r="C4" i="2"/>
  <c r="J106" i="2" s="1"/>
  <c r="B4" i="2"/>
  <c r="H4" i="2" s="1"/>
  <c r="AB106" i="1" l="1"/>
  <c r="C108" i="2"/>
  <c r="D105" i="2"/>
  <c r="K16" i="2"/>
  <c r="I16" i="2"/>
  <c r="J102" i="2"/>
  <c r="J19" i="2"/>
  <c r="J16" i="2"/>
  <c r="J22" i="2"/>
  <c r="K19" i="2"/>
  <c r="K22" i="2"/>
  <c r="I19" i="2"/>
  <c r="J100" i="2"/>
  <c r="D112" i="2"/>
  <c r="C105" i="1"/>
  <c r="D105" i="1"/>
  <c r="J105" i="1"/>
  <c r="K105" i="1"/>
  <c r="L105" i="1"/>
  <c r="R105" i="1"/>
  <c r="S105" i="1"/>
  <c r="T105" i="1"/>
  <c r="W29" i="1"/>
  <c r="X29" i="1"/>
  <c r="Y29" i="1"/>
  <c r="Z29" i="1"/>
  <c r="AA29" i="1"/>
  <c r="W30" i="1"/>
  <c r="X30" i="1"/>
  <c r="Y30" i="1"/>
  <c r="Z30" i="1"/>
  <c r="AA30" i="1"/>
  <c r="X21" i="1"/>
  <c r="Y21" i="1"/>
  <c r="Z21" i="1"/>
  <c r="AA21" i="1"/>
  <c r="W21" i="1"/>
  <c r="W20" i="1"/>
  <c r="X20" i="1"/>
  <c r="Y20" i="1"/>
  <c r="Z20" i="1"/>
  <c r="AA20" i="1"/>
  <c r="X117" i="1" a="1"/>
  <c r="X117" i="1" s="1"/>
  <c r="AD102" i="1" a="1"/>
  <c r="AD102" i="1" s="1"/>
  <c r="AE22" i="1" s="1"/>
  <c r="AD96" i="1" a="1"/>
  <c r="AD96" i="1" s="1"/>
  <c r="AB19" i="1"/>
  <c r="X115" i="1"/>
  <c r="X112" i="1"/>
  <c r="AD92" i="1"/>
  <c r="E105" i="1" s="1"/>
  <c r="AD91" i="1"/>
  <c r="AD90" i="1"/>
  <c r="AD88" i="1"/>
  <c r="AD89" i="1" s="1"/>
  <c r="AD93" i="1" s="1"/>
  <c r="AD87" i="1"/>
  <c r="AD100" i="1" s="1"/>
  <c r="AD86" i="1"/>
  <c r="AB16" i="1"/>
  <c r="AD13" i="1"/>
  <c r="AE10" i="1"/>
  <c r="AD10" i="1"/>
  <c r="AC10" i="1"/>
  <c r="AD4" i="1"/>
  <c r="AC4" i="1"/>
  <c r="AB4" i="1"/>
  <c r="V93" i="1"/>
  <c r="V80" i="1"/>
  <c r="V89" i="1"/>
  <c r="V106" i="1"/>
  <c r="AE4" i="1" s="1"/>
  <c r="V35" i="1"/>
  <c r="V30" i="1"/>
  <c r="V29" i="1"/>
  <c r="V26" i="1"/>
  <c r="V23" i="1"/>
  <c r="V21" i="1"/>
  <c r="V20" i="1"/>
  <c r="V16" i="1"/>
  <c r="V15" i="1"/>
  <c r="V13" i="1"/>
  <c r="V9" i="1"/>
  <c r="V7" i="1"/>
  <c r="AA4" i="1"/>
  <c r="Z4" i="1"/>
  <c r="Y4" i="1"/>
  <c r="X4" i="1"/>
  <c r="W4" i="1"/>
  <c r="U106" i="1"/>
  <c r="T106" i="1"/>
  <c r="S106" i="1"/>
  <c r="R106" i="1"/>
  <c r="Q106" i="1"/>
  <c r="P106" i="1"/>
  <c r="O106" i="1"/>
  <c r="N106" i="1"/>
  <c r="M106" i="1"/>
  <c r="L106" i="1"/>
  <c r="K106" i="1"/>
  <c r="J106" i="1"/>
  <c r="I106" i="1"/>
  <c r="H106" i="1"/>
  <c r="G106" i="1"/>
  <c r="F106" i="1"/>
  <c r="E106" i="1"/>
  <c r="D106" i="1"/>
  <c r="C106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C89" i="1"/>
  <c r="B89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G80" i="1"/>
  <c r="F80" i="1"/>
  <c r="E80" i="1"/>
  <c r="D80" i="1"/>
  <c r="C80" i="1"/>
  <c r="B80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B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E4" i="1"/>
  <c r="D4" i="1"/>
  <c r="C4" i="1"/>
  <c r="Q105" i="1" l="1"/>
  <c r="I105" i="1"/>
  <c r="P105" i="1"/>
  <c r="H105" i="1"/>
  <c r="O105" i="1"/>
  <c r="G105" i="1"/>
  <c r="V105" i="1"/>
  <c r="N105" i="1"/>
  <c r="F105" i="1"/>
  <c r="U105" i="1"/>
  <c r="M105" i="1"/>
  <c r="D108" i="2"/>
  <c r="E105" i="2"/>
  <c r="AD19" i="1"/>
  <c r="AD22" i="1"/>
  <c r="AC19" i="1"/>
  <c r="AD16" i="1"/>
  <c r="AE16" i="1"/>
  <c r="AC16" i="1"/>
  <c r="AD107" i="1"/>
  <c r="X113" i="1"/>
  <c r="AD104" i="1"/>
  <c r="AD103" i="1" s="1"/>
  <c r="E108" i="2" l="1"/>
  <c r="F105" i="2"/>
  <c r="AE19" i="1"/>
  <c r="AD101" i="1"/>
  <c r="F108" i="2" l="1"/>
  <c r="G105" i="2"/>
  <c r="J94" i="2" l="1"/>
  <c r="J97" i="2" s="1"/>
  <c r="J105" i="2" s="1"/>
  <c r="J108" i="2" s="1"/>
  <c r="D110" i="2" l="1"/>
  <c r="D113" i="2" s="1"/>
  <c r="D115" i="2" s="1"/>
  <c r="G107" i="2"/>
  <c r="G108" i="2" s="1"/>
  <c r="D118" i="2" l="1"/>
  <c r="D117" i="2"/>
  <c r="AD95" i="1" l="1"/>
  <c r="AD98" i="1" s="1"/>
  <c r="AD106" i="1" s="1"/>
  <c r="AD109" i="1" s="1"/>
  <c r="AA108" i="1" s="1"/>
  <c r="AA109" i="1" s="1"/>
  <c r="X111" i="1" s="1"/>
  <c r="X114" i="1" s="1"/>
  <c r="X116" i="1" s="1"/>
  <c r="X119" i="1" l="1"/>
  <c r="X11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5"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</futureMetadata>
  <cellMetadata count="1">
    <bk>
      <rc t="1" v="0"/>
    </bk>
  </cellMetadata>
  <valueMetadata count="5">
    <bk>
      <rc t="2" v="0"/>
    </bk>
    <bk>
      <rc t="2" v="1"/>
    </bk>
    <bk>
      <rc t="2" v="2"/>
    </bk>
    <bk>
      <rc t="2" v="3"/>
    </bk>
    <bk>
      <rc t="2" v="4"/>
    </bk>
  </valueMetadata>
</metadata>
</file>

<file path=xl/sharedStrings.xml><?xml version="1.0" encoding="utf-8"?>
<sst xmlns="http://schemas.openxmlformats.org/spreadsheetml/2006/main" count="1033" uniqueCount="171">
  <si>
    <t>INCOME STATEMENT (in mln.)</t>
  </si>
  <si>
    <t>Revenue</t>
  </si>
  <si>
    <t>COGS</t>
  </si>
  <si>
    <t>Gross Profit</t>
  </si>
  <si>
    <t>Gross Profit ratio</t>
  </si>
  <si>
    <t>Research and Development Exp.</t>
  </si>
  <si>
    <t>General and Administrative Exp.</t>
  </si>
  <si>
    <t>Selling and Marketing Exp.</t>
  </si>
  <si>
    <t>Selling, General and Administrative Exp.</t>
  </si>
  <si>
    <t>Other Expenses</t>
  </si>
  <si>
    <t>Operating Expenses</t>
  </si>
  <si>
    <t>COGS and Expenses</t>
  </si>
  <si>
    <t>Interest Expenese</t>
  </si>
  <si>
    <t>Depreciation and Amortization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</si>
  <si>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</si>
  <si>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</si>
  <si>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</si>
  <si>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</si>
  <si>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</si>
  <si>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</si>
  <si>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</si>
  <si>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</si>
  <si>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</t>
  </si>
  <si>
    <t>Net Income ratio</t>
  </si>
  <si>
    <t>EPS</t>
  </si>
  <si>
    <t>EPS Diluted</t>
  </si>
  <si>
    <t>Weighted Average Shares Outstanding</t>
  </si>
  <si>
    <t>Weighted Average Shares Outstanding Diluted</t>
  </si>
  <si>
    <t>SEC Link</t>
  </si>
  <si>
    <t>BALANCE SHEET (in mln.)</t>
  </si>
  <si>
    <t>Cash and Cash Equivalents</t>
  </si>
  <si>
    <t>Short-Term Investments</t>
  </si>
  <si>
    <t>Cash and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</si>
  <si>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</si>
  <si>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</si>
  <si>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</si>
  <si>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</si>
  <si>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</si>
  <si>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</si>
  <si>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</si>
  <si>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</si>
  <si>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</si>
  <si>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</si>
  <si>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</si>
  <si>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</si>
  <si>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</si>
  <si>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</si>
  <si>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</si>
  <si>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</si>
  <si>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</si>
  <si>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</si>
  <si>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</si>
  <si>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</si>
  <si>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</si>
  <si>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</si>
  <si>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</si>
  <si>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</si>
  <si>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</si>
  <si>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Total Liabilities</t>
  </si>
  <si>
    <t>Common Stock</t>
  </si>
  <si>
    <t>Retained Earnings</t>
  </si>
  <si>
    <t>Other Comprehensive Income/Loss</t>
  </si>
  <si>
    <t>Other Total Stockholders Equity</t>
  </si>
  <si>
    <t>Total Stockholders Equity</t>
  </si>
  <si>
    <t>Total Liabilities And Stockholders Equity</t>
  </si>
  <si>
    <t>CASH FLOW STATEMENT (in mln.)</t>
  </si>
  <si>
    <t>Net Income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</si>
  <si>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</si>
  <si>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</si>
  <si>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</si>
  <si>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</si>
  <si>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</si>
  <si>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</si>
  <si>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</si>
  <si>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</si>
  <si>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</si>
  <si>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</si>
  <si>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</si>
  <si>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Activites</t>
  </si>
  <si>
    <t>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</si>
  <si>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</si>
  <si>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</si>
  <si>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</si>
  <si>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</si>
  <si>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</si>
  <si>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Cash Used/Provided by Financing Activities</t>
  </si>
  <si>
    <t>Effect of Forex Changes on Cash</t>
  </si>
  <si>
    <t>Net Change In Cash</t>
  </si>
  <si>
    <t>Cash at the Beginning of Period</t>
  </si>
  <si>
    <t>Cash at the End of Period</t>
  </si>
  <si>
    <t/>
  </si>
  <si>
    <t>- -</t>
  </si>
  <si>
    <t>link</t>
  </si>
  <si>
    <t>Revenue Growth YoY</t>
  </si>
  <si>
    <t>R&amp;D as % of Revenue</t>
  </si>
  <si>
    <t>R&amp;D % of Rev</t>
  </si>
  <si>
    <t>SG&amp;A % of Rev</t>
  </si>
  <si>
    <t>SBC % of Revenue</t>
  </si>
  <si>
    <t>CAPEX % of Rev</t>
  </si>
  <si>
    <t>SG&amp;A as % of Revenue</t>
  </si>
  <si>
    <t>EBITDA Growth YoY</t>
  </si>
  <si>
    <t>Net Income Growth YoY</t>
  </si>
  <si>
    <t>Share Dilution YoY</t>
  </si>
  <si>
    <t>SBC as % of Revenue</t>
  </si>
  <si>
    <t>CAPEX as % of Revenue</t>
  </si>
  <si>
    <t>Income Tax Expense</t>
  </si>
  <si>
    <t>FCF Growth YoY</t>
  </si>
  <si>
    <t>WACC</t>
  </si>
  <si>
    <t>3yr Rev Growth</t>
  </si>
  <si>
    <t>3yr EBITDA Growth</t>
  </si>
  <si>
    <t>3yr Net Income Growth</t>
  </si>
  <si>
    <t>3yr FCF Growth</t>
  </si>
  <si>
    <t>Gross Profit Margin</t>
  </si>
  <si>
    <t>EBITDA Margin</t>
  </si>
  <si>
    <t>Net Income Margin</t>
  </si>
  <si>
    <t>FCF Margin</t>
  </si>
  <si>
    <t>ROE</t>
  </si>
  <si>
    <t>ROA</t>
  </si>
  <si>
    <t>ROIC</t>
  </si>
  <si>
    <t>Debt to Equity</t>
  </si>
  <si>
    <t>Share Dilution (5yr)</t>
  </si>
  <si>
    <t>P/S</t>
  </si>
  <si>
    <t>P/E</t>
  </si>
  <si>
    <t>P/FCF</t>
  </si>
  <si>
    <t>Weighted Average Cost of Capital</t>
  </si>
  <si>
    <t>Cost of Debt Calculation</t>
  </si>
  <si>
    <t>Interest Expense</t>
  </si>
  <si>
    <t>Short Term Debt</t>
  </si>
  <si>
    <t>Long Term Debt</t>
  </si>
  <si>
    <t>Cost of Debt</t>
  </si>
  <si>
    <t>Effective Tax Rate</t>
  </si>
  <si>
    <t>Cost of Debt*(1-t)</t>
  </si>
  <si>
    <t>Cost of Equity Calculation</t>
  </si>
  <si>
    <t>Risk Free Rate</t>
  </si>
  <si>
    <t>Beta</t>
  </si>
  <si>
    <t>Market Return</t>
  </si>
  <si>
    <t>Cost of Equity</t>
  </si>
  <si>
    <t>Weight of Debt + Equity Calculation</t>
  </si>
  <si>
    <t>Total Debt</t>
  </si>
  <si>
    <t>Weight of Debt</t>
  </si>
  <si>
    <t>Market Cap</t>
  </si>
  <si>
    <t>Weight of Equity</t>
  </si>
  <si>
    <t>Total</t>
  </si>
  <si>
    <t>WACC Calculation</t>
  </si>
  <si>
    <t>FCF Growth Rate</t>
  </si>
  <si>
    <t>Terminal Value</t>
  </si>
  <si>
    <t>Perpetual Growth Rate</t>
  </si>
  <si>
    <t>Discount Rate (WACC)</t>
  </si>
  <si>
    <t>Discounted Cash Flow Valuation</t>
  </si>
  <si>
    <t>Enterprise Value</t>
  </si>
  <si>
    <t>Cash + Securities</t>
  </si>
  <si>
    <t>Equity Value</t>
  </si>
  <si>
    <t>Shares</t>
  </si>
  <si>
    <t>Intrinsic Value</t>
  </si>
  <si>
    <t>Current Price</t>
  </si>
  <si>
    <t>Upside/Downside</t>
  </si>
  <si>
    <t>Buy/Sell</t>
  </si>
  <si>
    <t>Net Cash</t>
  </si>
  <si>
    <t>Forward P/S</t>
  </si>
  <si>
    <t>Forward P/E</t>
  </si>
  <si>
    <t>Forward P/FCF</t>
  </si>
  <si>
    <t>Unlevered FCF</t>
  </si>
  <si>
    <t>Levered FCF</t>
  </si>
  <si>
    <t>Unlevered FCF Proj</t>
  </si>
  <si>
    <t>Unlevered FCF Forecast</t>
  </si>
  <si>
    <t>Dividend Yield</t>
  </si>
  <si>
    <t>FCF Yield</t>
  </si>
  <si>
    <t>5Y Fwd FCF CAGR</t>
  </si>
  <si>
    <t>Forward FCF Yield</t>
  </si>
  <si>
    <t>5Y Fwd Income CAGR</t>
  </si>
  <si>
    <t>5Y Fwd Revenue CAGR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</si>
</sst>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#,,;\(#,###,,\);\ \-\ \-"/>
    <numFmt numFmtId="165" formatCode="#.00%;\ \-#.00%;\ \-\ \-"/>
    <numFmt numFmtId="166" formatCode="#,##0.00_);\(#,##0.00\);\-\ \-"/>
    <numFmt numFmtId="167" formatCode="&quot;$&quot;#,##0.00"/>
    <numFmt numFmtId="168" formatCode="0.0"/>
    <numFmt numFmtId="169" formatCode="0.0%"/>
  </numFmts>
  <fonts count="18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i/>
      <sz val="14"/>
      <color rgb="FF000000"/>
      <name val="Calibri"/>
      <family val="1"/>
    </font>
    <font>
      <b/>
      <u/>
      <sz val="16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  <font>
      <u/>
      <sz val="14"/>
      <color rgb="FFAEAEAE"/>
      <name val="Calibri"/>
      <family val="1"/>
    </font>
    <font>
      <sz val="12"/>
      <color rgb="FF000000"/>
      <name val="Calibri"/>
      <family val="1"/>
    </font>
    <font>
      <u/>
      <sz val="14"/>
      <color rgb="FF000000"/>
      <name val="Calibri"/>
      <family val="1"/>
    </font>
    <font>
      <i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u/>
      <sz val="16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B4C6E7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119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3" fillId="0" borderId="1" xfId="0" applyFont="1" applyBorder="1"/>
    <xf numFmtId="0" fontId="4" fillId="2" borderId="0" xfId="0" applyFont="1" applyFill="1"/>
    <xf numFmtId="0" fontId="5" fillId="0" borderId="0" xfId="0" applyFont="1" applyAlignment="1">
      <alignment indent="1"/>
    </xf>
    <xf numFmtId="164" fontId="6" fillId="0" borderId="2" xfId="0" applyNumberFormat="1" applyFont="1" applyBorder="1" applyAlignment="1">
      <alignment indent="1"/>
    </xf>
    <xf numFmtId="164" fontId="6" fillId="0" borderId="3" xfId="0" applyNumberFormat="1" applyFont="1" applyBorder="1" applyAlignment="1">
      <alignment indent="1"/>
    </xf>
    <xf numFmtId="0" fontId="6" fillId="0" borderId="4" xfId="0" applyFont="1" applyBorder="1"/>
    <xf numFmtId="0" fontId="0" fillId="2" borderId="0" xfId="0" applyFill="1"/>
    <xf numFmtId="164" fontId="6" fillId="0" borderId="2" xfId="0" applyNumberFormat="1" applyFont="1" applyBorder="1"/>
    <xf numFmtId="164" fontId="6" fillId="0" borderId="3" xfId="0" applyNumberFormat="1" applyFont="1" applyBorder="1"/>
    <xf numFmtId="166" fontId="1" fillId="0" borderId="0" xfId="0" applyNumberFormat="1" applyFont="1"/>
    <xf numFmtId="0" fontId="7" fillId="0" borderId="0" xfId="0" applyFont="1"/>
    <xf numFmtId="0" fontId="9" fillId="0" borderId="0" xfId="0" applyFont="1" applyAlignment="1">
      <alignment indent="1"/>
    </xf>
    <xf numFmtId="9" fontId="1" fillId="0" borderId="0" xfId="0" applyNumberFormat="1" applyFont="1"/>
    <xf numFmtId="9" fontId="10" fillId="0" borderId="0" xfId="0" applyNumberFormat="1" applyFont="1"/>
    <xf numFmtId="9" fontId="11" fillId="0" borderId="5" xfId="0" applyNumberFormat="1" applyFont="1" applyBorder="1" applyAlignment="1">
      <alignment horizontal="center"/>
    </xf>
    <xf numFmtId="0" fontId="12" fillId="3" borderId="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9" fontId="11" fillId="0" borderId="8" xfId="0" applyNumberFormat="1" applyFont="1" applyBorder="1" applyAlignment="1">
      <alignment horizontal="center"/>
    </xf>
    <xf numFmtId="2" fontId="11" fillId="0" borderId="8" xfId="0" applyNumberFormat="1" applyFont="1" applyBorder="1" applyAlignment="1">
      <alignment horizontal="center"/>
    </xf>
    <xf numFmtId="10" fontId="1" fillId="0" borderId="0" xfId="0" applyNumberFormat="1" applyFont="1"/>
    <xf numFmtId="0" fontId="12" fillId="4" borderId="11" xfId="0" applyFont="1" applyFill="1" applyBorder="1" applyAlignment="1">
      <alignment horizontal="left" vertical="center" wrapText="1"/>
    </xf>
    <xf numFmtId="10" fontId="12" fillId="4" borderId="8" xfId="0" applyNumberFormat="1" applyFont="1" applyFill="1" applyBorder="1"/>
    <xf numFmtId="0" fontId="13" fillId="0" borderId="4" xfId="0" applyFont="1" applyBorder="1"/>
    <xf numFmtId="164" fontId="10" fillId="0" borderId="0" xfId="0" applyNumberFormat="1" applyFont="1"/>
    <xf numFmtId="9" fontId="11" fillId="0" borderId="11" xfId="0" applyNumberFormat="1" applyFont="1" applyBorder="1" applyAlignment="1">
      <alignment horizontal="center"/>
    </xf>
    <xf numFmtId="164" fontId="10" fillId="6" borderId="0" xfId="0" applyNumberFormat="1" applyFont="1" applyFill="1"/>
    <xf numFmtId="0" fontId="0" fillId="6" borderId="0" xfId="0" applyFill="1"/>
    <xf numFmtId="9" fontId="16" fillId="6" borderId="9" xfId="0" applyNumberFormat="1" applyFont="1" applyFill="1" applyBorder="1" applyAlignment="1">
      <alignment wrapText="1"/>
    </xf>
    <xf numFmtId="10" fontId="1" fillId="6" borderId="10" xfId="0" applyNumberFormat="1" applyFont="1" applyFill="1" applyBorder="1" applyAlignment="1">
      <alignment horizontal="right" vertical="center"/>
    </xf>
    <xf numFmtId="164" fontId="1" fillId="6" borderId="0" xfId="0" applyNumberFormat="1" applyFont="1" applyFill="1"/>
    <xf numFmtId="0" fontId="0" fillId="6" borderId="0" xfId="0" applyFill="1" applyAlignment="1">
      <alignment horizontal="left"/>
    </xf>
    <xf numFmtId="0" fontId="16" fillId="7" borderId="9" xfId="0" applyFont="1" applyFill="1" applyBorder="1" applyAlignment="1">
      <alignment wrapText="1"/>
    </xf>
    <xf numFmtId="10" fontId="1" fillId="7" borderId="10" xfId="0" applyNumberFormat="1" applyFont="1" applyFill="1" applyBorder="1" applyAlignment="1">
      <alignment horizontal="right" vertical="center"/>
    </xf>
    <xf numFmtId="0" fontId="16" fillId="6" borderId="11" xfId="0" applyFont="1" applyFill="1" applyBorder="1"/>
    <xf numFmtId="10" fontId="1" fillId="6" borderId="8" xfId="0" applyNumberFormat="1" applyFont="1" applyFill="1" applyBorder="1" applyAlignment="1">
      <alignment horizontal="right" vertical="center"/>
    </xf>
    <xf numFmtId="164" fontId="1" fillId="6" borderId="9" xfId="0" applyNumberFormat="1" applyFont="1" applyFill="1" applyBorder="1" applyAlignment="1">
      <alignment wrapText="1"/>
    </xf>
    <xf numFmtId="164" fontId="1" fillId="6" borderId="10" xfId="0" applyNumberFormat="1" applyFont="1" applyFill="1" applyBorder="1"/>
    <xf numFmtId="164" fontId="1" fillId="4" borderId="9" xfId="0" applyNumberFormat="1" applyFont="1" applyFill="1" applyBorder="1" applyAlignment="1">
      <alignment wrapText="1"/>
    </xf>
    <xf numFmtId="167" fontId="12" fillId="4" borderId="10" xfId="0" applyNumberFormat="1" applyFont="1" applyFill="1" applyBorder="1"/>
    <xf numFmtId="164" fontId="1" fillId="4" borderId="11" xfId="0" applyNumberFormat="1" applyFont="1" applyFill="1" applyBorder="1" applyAlignment="1">
      <alignment wrapText="1"/>
    </xf>
    <xf numFmtId="9" fontId="12" fillId="4" borderId="8" xfId="1" applyFont="1" applyFill="1" applyBorder="1"/>
    <xf numFmtId="0" fontId="12" fillId="4" borderId="8" xfId="0" applyFont="1" applyFill="1" applyBorder="1" applyAlignment="1">
      <alignment horizontal="right"/>
    </xf>
    <xf numFmtId="164" fontId="1" fillId="6" borderId="10" xfId="0" applyNumberFormat="1" applyFont="1" applyFill="1" applyBorder="1" applyAlignment="1">
      <alignment wrapText="1"/>
    </xf>
    <xf numFmtId="164" fontId="1" fillId="0" borderId="6" xfId="0" applyNumberFormat="1" applyFont="1" applyBorder="1" applyAlignment="1">
      <alignment horizontal="center"/>
    </xf>
    <xf numFmtId="0" fontId="11" fillId="6" borderId="9" xfId="0" applyFont="1" applyFill="1" applyBorder="1" applyAlignment="1">
      <alignment horizontal="left" vertical="center" wrapText="1"/>
    </xf>
    <xf numFmtId="164" fontId="11" fillId="6" borderId="10" xfId="0" applyNumberFormat="1" applyFont="1" applyFill="1" applyBorder="1"/>
    <xf numFmtId="0" fontId="12" fillId="6" borderId="9" xfId="0" applyFont="1" applyFill="1" applyBorder="1" applyAlignment="1">
      <alignment horizontal="left" vertical="center" wrapText="1"/>
    </xf>
    <xf numFmtId="10" fontId="12" fillId="6" borderId="10" xfId="0" applyNumberFormat="1" applyFont="1" applyFill="1" applyBorder="1"/>
    <xf numFmtId="0" fontId="12" fillId="6" borderId="11" xfId="0" applyFont="1" applyFill="1" applyBorder="1" applyAlignment="1">
      <alignment horizontal="left" vertical="center" wrapText="1"/>
    </xf>
    <xf numFmtId="10" fontId="12" fillId="6" borderId="8" xfId="0" applyNumberFormat="1" applyFont="1" applyFill="1" applyBorder="1"/>
    <xf numFmtId="10" fontId="11" fillId="6" borderId="10" xfId="0" applyNumberFormat="1" applyFont="1" applyFill="1" applyBorder="1"/>
    <xf numFmtId="39" fontId="11" fillId="6" borderId="10" xfId="0" applyNumberFormat="1" applyFont="1" applyFill="1" applyBorder="1"/>
    <xf numFmtId="164" fontId="12" fillId="6" borderId="8" xfId="0" applyNumberFormat="1" applyFont="1" applyFill="1" applyBorder="1"/>
    <xf numFmtId="167" fontId="1" fillId="6" borderId="10" xfId="0" applyNumberFormat="1" applyFont="1" applyFill="1" applyBorder="1"/>
    <xf numFmtId="164" fontId="6" fillId="0" borderId="0" xfId="0" applyNumberFormat="1" applyFont="1"/>
    <xf numFmtId="165" fontId="2" fillId="0" borderId="15" xfId="0" applyNumberFormat="1" applyFont="1" applyBorder="1"/>
    <xf numFmtId="164" fontId="13" fillId="0" borderId="2" xfId="0" applyNumberFormat="1" applyFont="1" applyBorder="1"/>
    <xf numFmtId="165" fontId="10" fillId="0" borderId="15" xfId="0" applyNumberFormat="1" applyFont="1" applyBorder="1"/>
    <xf numFmtId="164" fontId="13" fillId="0" borderId="3" xfId="0" applyNumberFormat="1" applyFont="1" applyBorder="1"/>
    <xf numFmtId="165" fontId="10" fillId="0" borderId="0" xfId="0" applyNumberFormat="1" applyFont="1"/>
    <xf numFmtId="166" fontId="10" fillId="0" borderId="0" xfId="0" applyNumberFormat="1" applyFont="1"/>
    <xf numFmtId="168" fontId="11" fillId="0" borderId="11" xfId="0" applyNumberFormat="1" applyFont="1" applyBorder="1" applyAlignment="1">
      <alignment horizontal="center"/>
    </xf>
    <xf numFmtId="168" fontId="11" fillId="0" borderId="5" xfId="0" applyNumberFormat="1" applyFont="1" applyBorder="1" applyAlignment="1">
      <alignment horizontal="center"/>
    </xf>
    <xf numFmtId="168" fontId="11" fillId="0" borderId="6" xfId="0" applyNumberFormat="1" applyFont="1" applyBorder="1" applyAlignment="1">
      <alignment horizontal="center"/>
    </xf>
    <xf numFmtId="164" fontId="10" fillId="7" borderId="0" xfId="0" applyNumberFormat="1" applyFont="1" applyFill="1"/>
    <xf numFmtId="0" fontId="1" fillId="0" borderId="0" xfId="0" applyFont="1" applyAlignment="1">
      <alignment indent="1"/>
    </xf>
    <xf numFmtId="169" fontId="11" fillId="0" borderId="5" xfId="0" applyNumberFormat="1" applyFont="1" applyBorder="1" applyAlignment="1">
      <alignment horizontal="center"/>
    </xf>
    <xf numFmtId="169" fontId="11" fillId="0" borderId="8" xfId="0" applyNumberFormat="1" applyFont="1" applyBorder="1" applyAlignment="1">
      <alignment horizontal="center"/>
    </xf>
    <xf numFmtId="0" fontId="11" fillId="6" borderId="0" xfId="0" applyFont="1" applyFill="1" applyAlignment="1">
      <alignment horizontal="left" vertical="center" wrapText="1"/>
    </xf>
    <xf numFmtId="0" fontId="12" fillId="6" borderId="0" xfId="0" applyFont="1" applyFill="1" applyAlignment="1">
      <alignment horizontal="left" vertical="center" wrapText="1"/>
    </xf>
    <xf numFmtId="0" fontId="12" fillId="4" borderId="0" xfId="0" applyFont="1" applyFill="1" applyAlignment="1">
      <alignment horizontal="left" vertical="center" wrapText="1"/>
    </xf>
    <xf numFmtId="10" fontId="1" fillId="6" borderId="0" xfId="0" applyNumberFormat="1" applyFont="1" applyFill="1" applyAlignment="1">
      <alignment horizontal="right" vertical="center"/>
    </xf>
    <xf numFmtId="10" fontId="1" fillId="7" borderId="0" xfId="0" applyNumberFormat="1" applyFont="1" applyFill="1" applyAlignment="1">
      <alignment horizontal="right" vertical="center"/>
    </xf>
    <xf numFmtId="0" fontId="17" fillId="3" borderId="6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6" borderId="0" xfId="0" applyFill="1" applyAlignment="1">
      <alignment vertical="center"/>
    </xf>
    <xf numFmtId="9" fontId="1" fillId="7" borderId="0" xfId="0" applyNumberFormat="1" applyFont="1" applyFill="1" applyAlignment="1">
      <alignment vertical="center"/>
    </xf>
    <xf numFmtId="9" fontId="1" fillId="7" borderId="0" xfId="0" applyNumberFormat="1" applyFont="1" applyFill="1" applyAlignment="1">
      <alignment horizontal="center" vertical="center"/>
    </xf>
    <xf numFmtId="164" fontId="10" fillId="7" borderId="0" xfId="0" applyNumberFormat="1" applyFont="1" applyFill="1" applyAlignment="1">
      <alignment vertical="center"/>
    </xf>
    <xf numFmtId="164" fontId="1" fillId="7" borderId="0" xfId="0" applyNumberFormat="1" applyFont="1" applyFill="1" applyAlignment="1">
      <alignment vertical="center"/>
    </xf>
    <xf numFmtId="0" fontId="0" fillId="6" borderId="0" xfId="0" applyFill="1" applyAlignment="1">
      <alignment horizontal="left" vertical="center"/>
    </xf>
    <xf numFmtId="0" fontId="13" fillId="3" borderId="7" xfId="0" applyFont="1" applyFill="1" applyBorder="1" applyAlignment="1">
      <alignment horizontal="center" vertical="center" wrapText="1"/>
    </xf>
    <xf numFmtId="9" fontId="16" fillId="6" borderId="0" xfId="0" applyNumberFormat="1" applyFont="1" applyFill="1" applyAlignment="1">
      <alignment vertical="center" wrapText="1"/>
    </xf>
    <xf numFmtId="0" fontId="16" fillId="7" borderId="0" xfId="0" applyFont="1" applyFill="1" applyAlignment="1">
      <alignment vertical="center" wrapText="1"/>
    </xf>
    <xf numFmtId="0" fontId="16" fillId="6" borderId="0" xfId="0" applyFont="1" applyFill="1" applyAlignment="1">
      <alignment vertical="center"/>
    </xf>
    <xf numFmtId="164" fontId="11" fillId="6" borderId="0" xfId="0" applyNumberFormat="1" applyFont="1" applyFill="1" applyAlignment="1">
      <alignment vertical="center"/>
    </xf>
    <xf numFmtId="10" fontId="12" fillId="6" borderId="0" xfId="0" applyNumberFormat="1" applyFont="1" applyFill="1" applyAlignment="1">
      <alignment vertical="center"/>
    </xf>
    <xf numFmtId="10" fontId="11" fillId="6" borderId="0" xfId="0" applyNumberFormat="1" applyFont="1" applyFill="1" applyAlignment="1">
      <alignment vertical="center"/>
    </xf>
    <xf numFmtId="39" fontId="11" fillId="6" borderId="0" xfId="0" applyNumberFormat="1" applyFont="1" applyFill="1" applyAlignment="1">
      <alignment vertical="center"/>
    </xf>
    <xf numFmtId="164" fontId="1" fillId="6" borderId="0" xfId="0" applyNumberFormat="1" applyFont="1" applyFill="1" applyAlignment="1">
      <alignment vertical="center"/>
    </xf>
    <xf numFmtId="164" fontId="12" fillId="6" borderId="0" xfId="0" applyNumberFormat="1" applyFont="1" applyFill="1" applyAlignment="1">
      <alignment vertical="center"/>
    </xf>
    <xf numFmtId="10" fontId="12" fillId="4" borderId="0" xfId="0" applyNumberFormat="1" applyFont="1" applyFill="1" applyAlignment="1">
      <alignment vertical="center"/>
    </xf>
    <xf numFmtId="164" fontId="1" fillId="6" borderId="0" xfId="0" applyNumberFormat="1" applyFont="1" applyFill="1" applyAlignment="1">
      <alignment vertical="center" wrapText="1"/>
    </xf>
    <xf numFmtId="164" fontId="1" fillId="4" borderId="0" xfId="0" applyNumberFormat="1" applyFont="1" applyFill="1" applyAlignment="1">
      <alignment vertical="center" wrapText="1"/>
    </xf>
    <xf numFmtId="167" fontId="12" fillId="4" borderId="0" xfId="0" applyNumberFormat="1" applyFont="1" applyFill="1" applyAlignment="1">
      <alignment vertical="center"/>
    </xf>
    <xf numFmtId="167" fontId="1" fillId="6" borderId="0" xfId="0" applyNumberFormat="1" applyFont="1" applyFill="1" applyAlignment="1">
      <alignment vertical="center"/>
    </xf>
    <xf numFmtId="9" fontId="12" fillId="4" borderId="0" xfId="1" applyFont="1" applyFill="1" applyBorder="1" applyAlignment="1">
      <alignment vertical="center"/>
    </xf>
    <xf numFmtId="0" fontId="12" fillId="4" borderId="0" xfId="0" applyFont="1" applyFill="1" applyAlignment="1">
      <alignment horizontal="right" vertical="center"/>
    </xf>
    <xf numFmtId="0" fontId="13" fillId="3" borderId="6" xfId="0" applyFont="1" applyFill="1" applyBorder="1" applyAlignment="1">
      <alignment horizontal="center" vertical="center" wrapText="1"/>
    </xf>
    <xf numFmtId="10" fontId="11" fillId="6" borderId="0" xfId="0" applyNumberFormat="1" applyFont="1" applyFill="1"/>
    <xf numFmtId="165" fontId="10" fillId="6" borderId="0" xfId="0" applyNumberFormat="1" applyFont="1" applyFill="1" applyAlignment="1">
      <alignment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vertical="center"/>
    </xf>
    <xf numFmtId="0" fontId="14" fillId="4" borderId="0" xfId="0" applyFont="1" applyFill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12" fillId="5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165" fontId="11" fillId="6" borderId="0" xfId="0" applyNumberFormat="1" applyFont="1" applyFill="1" applyAlignment="1">
      <alignment horizontal="center" vertical="center"/>
    </xf>
    <xf numFmtId="0" fontId="1" fillId="4" borderId="13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4" fillId="4" borderId="12" xfId="0" applyFont="1" applyFill="1" applyBorder="1" applyAlignment="1">
      <alignment horizontal="center"/>
    </xf>
    <xf numFmtId="0" fontId="15" fillId="4" borderId="7" xfId="0" applyFont="1" applyFill="1" applyBorder="1" applyAlignment="1">
      <alignment horizontal="center"/>
    </xf>
    <xf numFmtId="0" fontId="12" fillId="5" borderId="12" xfId="0" applyFont="1" applyFill="1" applyBorder="1" applyAlignment="1">
      <alignment horizontal="center" vertical="center" wrapText="1"/>
    </xf>
    <xf numFmtId="0" fontId="12" fillId="5" borderId="7" xfId="0" applyFont="1" applyFill="1" applyBorder="1" applyAlignment="1">
      <alignment horizontal="center" vertical="center" wrapText="1"/>
    </xf>
    <xf numFmtId="0" fontId="12" fillId="6" borderId="12" xfId="0" applyFont="1" applyFill="1" applyBorder="1" applyAlignment="1">
      <alignment horizontal="center" vertical="center" wrapText="1"/>
    </xf>
    <xf numFmtId="0" fontId="12" fillId="6" borderId="7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tyles" Target="styles.xml"/><Relationship Id="rId10" Type="http://schemas.microsoft.com/office/2017/06/relationships/richStyles" Target="richData/richStyl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Ulta Beauty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37615894039735E-2"/>
          <c:y val="0.15621070450936791"/>
          <c:w val="0.84796026490066234"/>
          <c:h val="0.6380439546170202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'Sheet 1'!$A$3</c:f>
              <c:strCache>
                <c:ptCount val="1"/>
                <c:pt idx="0">
                  <c:v>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'Sheet 1'!$B$1:$AA$1</c:f>
              <c:numCache>
                <c:formatCode>General</c:formatCode>
                <c:ptCount val="2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  <c:pt idx="18">
                  <c:v>2021</c:v>
                </c:pt>
                <c:pt idx="19">
                  <c:v>2022</c:v>
                </c:pt>
                <c:pt idx="20">
                  <c:v>2023</c:v>
                </c:pt>
                <c:pt idx="21">
                  <c:v>2024</c:v>
                </c:pt>
                <c:pt idx="22">
                  <c:v>2025</c:v>
                </c:pt>
                <c:pt idx="23">
                  <c:v>2026</c:v>
                </c:pt>
                <c:pt idx="24">
                  <c:v>2027</c:v>
                </c:pt>
                <c:pt idx="25">
                  <c:v>2028</c:v>
                </c:pt>
              </c:numCache>
            </c:numRef>
          </c:cat>
          <c:val>
            <c:numRef>
              <c:f>'Sheet 1'!$B$3:$AA$3</c:f>
              <c:numCache>
                <c:formatCode>#,###,,;\(#,###,,\);\ \-\ \-</c:formatCode>
                <c:ptCount val="26"/>
                <c:pt idx="0">
                  <c:v>362217000</c:v>
                </c:pt>
                <c:pt idx="1">
                  <c:v>423863000</c:v>
                </c:pt>
                <c:pt idx="2">
                  <c:v>491152000</c:v>
                </c:pt>
                <c:pt idx="3">
                  <c:v>579075000</c:v>
                </c:pt>
                <c:pt idx="4">
                  <c:v>755113000</c:v>
                </c:pt>
                <c:pt idx="5">
                  <c:v>912141000</c:v>
                </c:pt>
                <c:pt idx="6">
                  <c:v>1084646000</c:v>
                </c:pt>
                <c:pt idx="7">
                  <c:v>1222771000</c:v>
                </c:pt>
                <c:pt idx="8">
                  <c:v>1454838000</c:v>
                </c:pt>
                <c:pt idx="9">
                  <c:v>1776151000</c:v>
                </c:pt>
                <c:pt idx="10">
                  <c:v>2220256000</c:v>
                </c:pt>
                <c:pt idx="11">
                  <c:v>2670573000</c:v>
                </c:pt>
                <c:pt idx="12">
                  <c:v>3241369000</c:v>
                </c:pt>
                <c:pt idx="13">
                  <c:v>3924116000</c:v>
                </c:pt>
                <c:pt idx="14">
                  <c:v>4854737000</c:v>
                </c:pt>
                <c:pt idx="15">
                  <c:v>5884506000</c:v>
                </c:pt>
                <c:pt idx="16">
                  <c:v>6716615000</c:v>
                </c:pt>
                <c:pt idx="17">
                  <c:v>7398068000</c:v>
                </c:pt>
                <c:pt idx="18">
                  <c:v>6151953000</c:v>
                </c:pt>
                <c:pt idx="19">
                  <c:v>8630889000</c:v>
                </c:pt>
                <c:pt idx="20">
                  <c:v>10208000000</c:v>
                </c:pt>
                <c:pt idx="21">
                  <c:v>11147000000</c:v>
                </c:pt>
                <c:pt idx="22">
                  <c:v>11699000000</c:v>
                </c:pt>
                <c:pt idx="23">
                  <c:v>12386000000</c:v>
                </c:pt>
                <c:pt idx="24">
                  <c:v>12902000000</c:v>
                </c:pt>
                <c:pt idx="25">
                  <c:v>13647000000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69-2F48-AE90-6CFDFE128092}"/>
            </c:ext>
          </c:extLst>
        </c:ser>
        <c:ser>
          <c:idx val="1"/>
          <c:order val="1"/>
          <c:tx>
            <c:strRef>
              <c:f>'Sheet 1'!$A$28</c:f>
              <c:strCache>
                <c:ptCount val="1"/>
                <c:pt idx="0">
                  <c:v>Net Income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'Sheet 1'!$B$1:$AA$1</c:f>
              <c:numCache>
                <c:formatCode>General</c:formatCode>
                <c:ptCount val="2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  <c:pt idx="18">
                  <c:v>2021</c:v>
                </c:pt>
                <c:pt idx="19">
                  <c:v>2022</c:v>
                </c:pt>
                <c:pt idx="20">
                  <c:v>2023</c:v>
                </c:pt>
                <c:pt idx="21">
                  <c:v>2024</c:v>
                </c:pt>
                <c:pt idx="22">
                  <c:v>2025</c:v>
                </c:pt>
                <c:pt idx="23">
                  <c:v>2026</c:v>
                </c:pt>
                <c:pt idx="24">
                  <c:v>2027</c:v>
                </c:pt>
                <c:pt idx="25">
                  <c:v>2028</c:v>
                </c:pt>
              </c:numCache>
            </c:numRef>
          </c:cat>
          <c:val>
            <c:numRef>
              <c:f>'Sheet 1'!$B$28:$AA$28</c:f>
              <c:numCache>
                <c:formatCode>#,###,,;\(#,###,,\);\ \-\ \-</c:formatCode>
                <c:ptCount val="26"/>
                <c:pt idx="0">
                  <c:v>9696000</c:v>
                </c:pt>
                <c:pt idx="1">
                  <c:v>5084000</c:v>
                </c:pt>
                <c:pt idx="2">
                  <c:v>9460000</c:v>
                </c:pt>
                <c:pt idx="3">
                  <c:v>15969000</c:v>
                </c:pt>
                <c:pt idx="4">
                  <c:v>22543000</c:v>
                </c:pt>
                <c:pt idx="5">
                  <c:v>25335000</c:v>
                </c:pt>
                <c:pt idx="6">
                  <c:v>25268000</c:v>
                </c:pt>
                <c:pt idx="7">
                  <c:v>39356000</c:v>
                </c:pt>
                <c:pt idx="8">
                  <c:v>71030000</c:v>
                </c:pt>
                <c:pt idx="9">
                  <c:v>120264000</c:v>
                </c:pt>
                <c:pt idx="10">
                  <c:v>172549000</c:v>
                </c:pt>
                <c:pt idx="11">
                  <c:v>202849000</c:v>
                </c:pt>
                <c:pt idx="12">
                  <c:v>257135000</c:v>
                </c:pt>
                <c:pt idx="13">
                  <c:v>320008000</c:v>
                </c:pt>
                <c:pt idx="14">
                  <c:v>409760000</c:v>
                </c:pt>
                <c:pt idx="15">
                  <c:v>555234000</c:v>
                </c:pt>
                <c:pt idx="16">
                  <c:v>658559000</c:v>
                </c:pt>
                <c:pt idx="17">
                  <c:v>705945000</c:v>
                </c:pt>
                <c:pt idx="18">
                  <c:v>175835000</c:v>
                </c:pt>
                <c:pt idx="19">
                  <c:v>985837000</c:v>
                </c:pt>
                <c:pt idx="20">
                  <c:v>1242408000</c:v>
                </c:pt>
                <c:pt idx="21">
                  <c:v>1254000000</c:v>
                </c:pt>
                <c:pt idx="22">
                  <c:v>1301000000</c:v>
                </c:pt>
                <c:pt idx="23">
                  <c:v>1385000000</c:v>
                </c:pt>
                <c:pt idx="24">
                  <c:v>1450000000</c:v>
                </c:pt>
                <c:pt idx="25">
                  <c:v>1535000000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69-2F48-AE90-6CFDFE128092}"/>
            </c:ext>
          </c:extLst>
        </c:ser>
        <c:ser>
          <c:idx val="2"/>
          <c:order val="2"/>
          <c:tx>
            <c:strRef>
              <c:f>'Sheet 1'!$A$107</c:f>
              <c:strCache>
                <c:ptCount val="1"/>
                <c:pt idx="0">
                  <c:v>Levered FCF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'Sheet 1'!$B$1:$AA$1</c:f>
              <c:numCache>
                <c:formatCode>General</c:formatCode>
                <c:ptCount val="2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  <c:pt idx="18">
                  <c:v>2021</c:v>
                </c:pt>
                <c:pt idx="19">
                  <c:v>2022</c:v>
                </c:pt>
                <c:pt idx="20">
                  <c:v>2023</c:v>
                </c:pt>
                <c:pt idx="21">
                  <c:v>2024</c:v>
                </c:pt>
                <c:pt idx="22">
                  <c:v>2025</c:v>
                </c:pt>
                <c:pt idx="23">
                  <c:v>2026</c:v>
                </c:pt>
                <c:pt idx="24">
                  <c:v>2027</c:v>
                </c:pt>
                <c:pt idx="25">
                  <c:v>2028</c:v>
                </c:pt>
              </c:numCache>
            </c:numRef>
          </c:cat>
          <c:val>
            <c:numRef>
              <c:f>'Sheet 1'!$B$107:$AA$107</c:f>
              <c:numCache>
                <c:formatCode>#,###,,;\(#,###,,\);\ \-\ \-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-4006000</c:v>
                </c:pt>
                <c:pt idx="4">
                  <c:v>-6701000</c:v>
                </c:pt>
                <c:pt idx="5">
                  <c:v>-54960000</c:v>
                </c:pt>
                <c:pt idx="6">
                  <c:v>-35660000</c:v>
                </c:pt>
                <c:pt idx="7">
                  <c:v>104722000</c:v>
                </c:pt>
                <c:pt idx="8">
                  <c:v>79428000</c:v>
                </c:pt>
                <c:pt idx="9">
                  <c:v>92251000</c:v>
                </c:pt>
                <c:pt idx="10">
                  <c:v>50423000</c:v>
                </c:pt>
                <c:pt idx="11">
                  <c:v>101701000</c:v>
                </c:pt>
                <c:pt idx="12">
                  <c:v>147525000</c:v>
                </c:pt>
                <c:pt idx="13">
                  <c:v>76707000</c:v>
                </c:pt>
                <c:pt idx="14">
                  <c:v>260938000</c:v>
                </c:pt>
                <c:pt idx="15">
                  <c:v>338652000</c:v>
                </c:pt>
                <c:pt idx="16">
                  <c:v>636727000</c:v>
                </c:pt>
                <c:pt idx="17">
                  <c:v>802759000</c:v>
                </c:pt>
                <c:pt idx="18">
                  <c:v>658489000</c:v>
                </c:pt>
                <c:pt idx="19">
                  <c:v>887078000</c:v>
                </c:pt>
                <c:pt idx="20">
                  <c:v>1170000000</c:v>
                </c:pt>
                <c:pt idx="21">
                  <c:v>981600000</c:v>
                </c:pt>
                <c:pt idx="22">
                  <c:v>1074000000</c:v>
                </c:pt>
                <c:pt idx="23">
                  <c:v>1143000000</c:v>
                </c:pt>
                <c:pt idx="24">
                  <c:v>1271000000</c:v>
                </c:pt>
                <c:pt idx="25">
                  <c:v>1346000000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69-2F48-AE90-6CFDFE1280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63348719"/>
        <c:axId val="890455295"/>
      </c:barChart>
      <c:catAx>
        <c:axId val="863348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455295"/>
        <c:crosses val="autoZero"/>
        <c:auto val="1"/>
        <c:lblAlgn val="ctr"/>
        <c:lblOffset val="100"/>
        <c:noMultiLvlLbl val="0"/>
      </c:catAx>
      <c:valAx>
        <c:axId val="890455295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,;\(#,###,,\);\ \-\ 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3348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4285008082598945"/>
          <c:y val="0.89845090432738528"/>
          <c:w val="0.31429983834802105"/>
          <c:h val="6.214022397415198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31750</xdr:colOff>
      <xdr:row>109</xdr:row>
      <xdr:rowOff>17463</xdr:rowOff>
    </xdr:from>
    <xdr:to>
      <xdr:col>30</xdr:col>
      <xdr:colOff>31750</xdr:colOff>
      <xdr:row>127</xdr:row>
      <xdr:rowOff>31750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DC39C74-35B4-4BBB-8E1E-5994A57D2A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bina/Documents/financial-modeling/Dashboard.xlsx" TargetMode="External"/><Relationship Id="rId1" Type="http://schemas.openxmlformats.org/officeDocument/2006/relationships/externalLinkPath" Target="/Users/bina/Documents/financial-modeling/Dashbo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oftware"/>
      <sheetName val="Hardware"/>
      <sheetName val="Consumer"/>
      <sheetName val="Financials"/>
      <sheetName val="Healthcare"/>
      <sheetName val="Industrials"/>
      <sheetName val="Commodities"/>
      <sheetName val="US Treasury Bonds"/>
      <sheetName val="Growth"/>
      <sheetName val="Full Portfolio (Concentrated)"/>
      <sheetName val="Value"/>
      <sheetName val="Concentrated"/>
      <sheetName val="Watchlist"/>
      <sheetName val="Wide Moats"/>
      <sheetName val="Sheet2"/>
      <sheetName val="GARP HF Buys"/>
      <sheetName val="Value HF Buys"/>
      <sheetName val="Aggressive Growth HF Buys"/>
      <sheetName val="Other HF Buy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8">
          <cell r="C8">
            <v>4.845E-2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7">
  <rv s="0">
    <v>https://www.bing.com/financeapi/forcetrigger?t=a24war&amp;q=XNAS%3aULTA&amp;form=skydnc</v>
    <v>Learn more on Bing</v>
  </rv>
  <rv s="1">
    <v>0</v>
    <v>ULTA BEAUTY, INC. (XNAS:ULTA)</v>
    <v>2</v>
    <v>3</v>
    <v>Finance</v>
    <v>4</v>
    <v>en-US</v>
    <v>a24war</v>
    <v>268435456</v>
    <v>1</v>
    <v>Powered by Refinitiv</v>
    <v>556.6</v>
    <v>368.02</v>
    <v>1.3599000000000001</v>
    <v>-0.09</v>
    <v>-2.3689999999999998E-4</v>
    <v>-0.02</v>
    <v>-5.2649999999999999E-5</v>
    <v>USD</v>
    <v>Ulta Beauty, Inc. (Ulta Beauty) conducts its business as a specialty beauty retailer. The Company operates specialty retail stores, which are engaged in selling cosmetics, fragrance, haircare and skincare products, and related accessories and services. The stores also feature full-service salons. Its stores, e-commerce Website, and mobile applications offer approximately 25,000 products across various categories and price points, including Ulta Beauty's own private label and the Ulta Beauty Collection. Ulta Beauty offers a portfolio across six categories: cosmetics; haircare products and styling tools; skincare; fragrance and bath; services; and accessories and other. The Company also provides private-label and co-branded credit card programs, loyalty programs, and gift cards. It offers a full range of beauty services in its stores, focusing on hair, makeup, brow, and skin services. The Company operates approximately 1,355 stores across 50 states.</v>
    <v>18500</v>
    <v>Nasdaq Stock Market</v>
    <v>XNAS</v>
    <v>XNAS</v>
    <v>1000 Remington Blvd, Suite 120, BOLINGBROOK, IL, 60440 US</v>
    <v>385.91</v>
    <v>Specialty Retailers</v>
    <v>Stock</v>
    <v>45226.998161180469</v>
    <v>0</v>
    <v>379.51</v>
    <v>18700490000</v>
    <v>ULTA BEAUTY, INC.</v>
    <v>ULTA BEAUTY, INC.</v>
    <v>380.4</v>
    <v>15.2499</v>
    <v>379.96</v>
    <v>379.87</v>
    <v>379.85</v>
    <v>49228650</v>
    <v>ULTA</v>
    <v>ULTA BEAUTY, INC. (XNAS:ULTA)</v>
    <v>462808</v>
    <v>777742</v>
    <v>2016</v>
  </rv>
  <rv s="2">
    <v>1</v>
  </rv>
  <rv s="3">
    <v>12</v>
    <v>1</v>
  </rv>
  <rv s="4">
    <v>12</v>
    <v>Beta</v>
    <v>0</v>
  </rv>
  <rv s="4">
    <v>12</v>
    <v>Market cap</v>
    <v>0</v>
  </rv>
  <rv s="4">
    <v>12</v>
    <v>Price</v>
    <v>0</v>
  </rv>
</rvData>
</file>

<file path=xl/richData/rdrichvaluestructure.xml><?xml version="1.0" encoding="utf-8"?>
<rvStructures xmlns="http://schemas.microsoft.com/office/spreadsheetml/2017/richdata" count="5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hange (Extended hours)"/>
    <k n="Change % (Extended hours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Price (Extended hours)"/>
    <k n="Shares outstanding"/>
    <k n="Ticker symbol" t="s"/>
    <k n="UniqueName" t="s"/>
    <k n="Volume"/>
    <k n="Volume average"/>
    <k n="Year incorporated"/>
  </s>
  <s t="_linkedentity">
    <k n="%cvi" t="r"/>
  </s>
  <s t="_error">
    <k n="errorType" t="i"/>
    <k n="propagated" t="b"/>
  </s>
  <s t="_error">
    <k n="errorType" t="i"/>
    <k n="field" t="s"/>
    <k n="subType" t="i"/>
  </s>
</rvStructures>
</file>

<file path=xl/richData/rdsupportingpropertybag.xml><?xml version="1.0" encoding="utf-8"?>
<supportingPropertyBags xmlns="http://schemas.microsoft.com/office/spreadsheetml/2017/richdata2">
  <spbArrays count="1">
    <a count="45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Price (Extended hours)</v>
      <v t="s">Exchange</v>
      <v t="s">Official name</v>
      <v t="s">Last trade time</v>
      <v t="s">Ticker symbol</v>
      <v t="s">Exchange abbreviation</v>
      <v t="s">Change</v>
      <v t="s">Change (Extended hours)</v>
      <v t="s">Change (%)</v>
      <v t="s">Change % (Extended hours)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  <v>1</v>
      <v>1</v>
      <v>5</v>
    </spb>
    <spb s="4">
      <v>at close</v>
      <v>from previous close</v>
      <v>from previous close</v>
      <v>Source: Nasdaq Last Sale</v>
      <v>GMT</v>
      <v>Real-Time Nasdaq Last Sale</v>
      <v>from close</v>
      <v>from close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  <k n="Price (Extended hours)" t="i"/>
    <k n="Change (Extended hours)" t="i"/>
    <k n="Change % (Extended hours)" t="i"/>
  </s>
  <s>
    <k n="Price" t="s"/>
    <k n="Change" t="s"/>
    <k n="Change (%)" t="s"/>
    <k n="ExchangeID" t="s"/>
    <k n="Last trade time" t="s"/>
    <k n="Price (Extended hours)" t="s"/>
    <k n="Change (Extended hours)" t="s"/>
    <k n="Change % (Extended hours)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5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ec.gov/Archives/edgar/data/1403568/000095013708005469/0000950137-08-005469-index.html" TargetMode="External"/><Relationship Id="rId18" Type="http://schemas.openxmlformats.org/officeDocument/2006/relationships/hyperlink" Target="https://www.sec.gov/Archives/edgar/data/1403568/000095012311030900/c63694e10vk.htm" TargetMode="External"/><Relationship Id="rId26" Type="http://schemas.openxmlformats.org/officeDocument/2006/relationships/hyperlink" Target="https://www.sec.gov/Archives/edgar/data/1403568/000119312515115602/0001193125-15-115602-index.html" TargetMode="External"/><Relationship Id="rId39" Type="http://schemas.openxmlformats.org/officeDocument/2006/relationships/hyperlink" Target="https://www.sec.gov/Archives/edgar/data/1403568/000155837021003523/0001558370-21-003523-index.htm" TargetMode="External"/><Relationship Id="rId21" Type="http://schemas.openxmlformats.org/officeDocument/2006/relationships/hyperlink" Target="https://www.sec.gov/Archives/edgar/data/1403568/000119312512136579/0001193125-12-136579-index.html" TargetMode="External"/><Relationship Id="rId34" Type="http://schemas.openxmlformats.org/officeDocument/2006/relationships/hyperlink" Target="https://www.sec.gov/Archives/edgar/data/1403568/000155837019002739/0001558370-19-002739-index.html" TargetMode="External"/><Relationship Id="rId42" Type="http://schemas.openxmlformats.org/officeDocument/2006/relationships/hyperlink" Target="https://www.sec.gov/Archives/edgar/data/1403568/000155837023003308/ulta-20230309xex99d1.htm" TargetMode="External"/><Relationship Id="rId7" Type="http://schemas.openxmlformats.org/officeDocument/2006/relationships/hyperlink" Target="https://sec.gov/" TargetMode="External"/><Relationship Id="rId2" Type="http://schemas.openxmlformats.org/officeDocument/2006/relationships/hyperlink" Target="https://sec.gov/" TargetMode="External"/><Relationship Id="rId16" Type="http://schemas.openxmlformats.org/officeDocument/2006/relationships/hyperlink" Target="https://www.sec.gov/Archives/edgar/data/1403568/000095012310030932/0000950123-10-030932-index.html" TargetMode="External"/><Relationship Id="rId29" Type="http://schemas.openxmlformats.org/officeDocument/2006/relationships/hyperlink" Target="https://www.sec.gov/Archives/edgar/data/1403568/000119312516523101/0001193125-16-523101-index.html" TargetMode="External"/><Relationship Id="rId1" Type="http://schemas.openxmlformats.org/officeDocument/2006/relationships/hyperlink" Target="https://roic.ai/company/ULTA" TargetMode="External"/><Relationship Id="rId6" Type="http://schemas.openxmlformats.org/officeDocument/2006/relationships/hyperlink" Target="https://sec.gov/" TargetMode="External"/><Relationship Id="rId11" Type="http://schemas.openxmlformats.org/officeDocument/2006/relationships/hyperlink" Target="https://sec.gov/" TargetMode="External"/><Relationship Id="rId24" Type="http://schemas.openxmlformats.org/officeDocument/2006/relationships/hyperlink" Target="https://www.sec.gov/Archives/edgar/data/1403568/000119312514127781/0001193125-14-127781-index.html" TargetMode="External"/><Relationship Id="rId32" Type="http://schemas.openxmlformats.org/officeDocument/2006/relationships/hyperlink" Target="https://www.sec.gov/Archives/edgar/data/1403568/000155837018002733/0001558370-18-002733-index.html" TargetMode="External"/><Relationship Id="rId37" Type="http://schemas.openxmlformats.org/officeDocument/2006/relationships/hyperlink" Target="https://www.sec.gov/Archives/edgar/data/1403568/000155837020003272/0001558370-20-003272-index.html" TargetMode="External"/><Relationship Id="rId40" Type="http://schemas.openxmlformats.org/officeDocument/2006/relationships/hyperlink" Target="https://www.sec.gov/Archives/edgar/data/1403568/000155837022004330/0001558370-22-004330-index.htm" TargetMode="External"/><Relationship Id="rId45" Type="http://schemas.openxmlformats.org/officeDocument/2006/relationships/hyperlink" Target="https://finbox.com/NASDAQGS:ULTA/explorer/fcf_unlev_proj" TargetMode="External"/><Relationship Id="rId5" Type="http://schemas.openxmlformats.org/officeDocument/2006/relationships/hyperlink" Target="https://sec.gov/" TargetMode="External"/><Relationship Id="rId15" Type="http://schemas.openxmlformats.org/officeDocument/2006/relationships/hyperlink" Target="https://www.sec.gov/Archives/edgar/data/1403568/000095013709002518/0000950137-09-002518-index.html" TargetMode="External"/><Relationship Id="rId23" Type="http://schemas.openxmlformats.org/officeDocument/2006/relationships/hyperlink" Target="https://www.sec.gov/Archives/edgar/data/1403568/000119312513140116/0001193125-13-140116-index.html" TargetMode="External"/><Relationship Id="rId28" Type="http://schemas.openxmlformats.org/officeDocument/2006/relationships/hyperlink" Target="https://www.sec.gov/Archives/edgar/data/1403568/000119312516523101/0001193125-16-523101-index.html" TargetMode="External"/><Relationship Id="rId36" Type="http://schemas.openxmlformats.org/officeDocument/2006/relationships/hyperlink" Target="https://www.sec.gov/Archives/edgar/data/1403568/000155837020003272/0001558370-20-003272-index.html" TargetMode="External"/><Relationship Id="rId10" Type="http://schemas.openxmlformats.org/officeDocument/2006/relationships/hyperlink" Target="https://sec.gov/" TargetMode="External"/><Relationship Id="rId19" Type="http://schemas.openxmlformats.org/officeDocument/2006/relationships/hyperlink" Target="https://www.sec.gov/Archives/edgar/data/1403568/000095012311030900/c63694e10vk.htm" TargetMode="External"/><Relationship Id="rId31" Type="http://schemas.openxmlformats.org/officeDocument/2006/relationships/hyperlink" Target="https://www.sec.gov/Archives/edgar/data/1403568/000119312517099261/0001193125-17-099261-index.html" TargetMode="External"/><Relationship Id="rId44" Type="http://schemas.openxmlformats.org/officeDocument/2006/relationships/hyperlink" Target="https://finbox.com/NASDAQGS:ULTA/explorer/revenue_proj" TargetMode="External"/><Relationship Id="rId4" Type="http://schemas.openxmlformats.org/officeDocument/2006/relationships/hyperlink" Target="https://sec.gov/" TargetMode="External"/><Relationship Id="rId9" Type="http://schemas.openxmlformats.org/officeDocument/2006/relationships/hyperlink" Target="https://sec.gov/" TargetMode="External"/><Relationship Id="rId14" Type="http://schemas.openxmlformats.org/officeDocument/2006/relationships/hyperlink" Target="https://www.sec.gov/Archives/edgar/data/1403568/000095013709002518/0000950137-09-002518-index.html" TargetMode="External"/><Relationship Id="rId22" Type="http://schemas.openxmlformats.org/officeDocument/2006/relationships/hyperlink" Target="https://www.sec.gov/Archives/edgar/data/1403568/000119312513140116/0001193125-13-140116-index.html" TargetMode="External"/><Relationship Id="rId27" Type="http://schemas.openxmlformats.org/officeDocument/2006/relationships/hyperlink" Target="https://www.sec.gov/Archives/edgar/data/1403568/000119312515115602/0001193125-15-115602-index.html" TargetMode="External"/><Relationship Id="rId30" Type="http://schemas.openxmlformats.org/officeDocument/2006/relationships/hyperlink" Target="https://www.sec.gov/Archives/edgar/data/1403568/000119312517099261/0001193125-17-099261-index.html" TargetMode="External"/><Relationship Id="rId35" Type="http://schemas.openxmlformats.org/officeDocument/2006/relationships/hyperlink" Target="https://www.sec.gov/Archives/edgar/data/1403568/000155837019002739/0001558370-19-002739-index.html" TargetMode="External"/><Relationship Id="rId43" Type="http://schemas.openxmlformats.org/officeDocument/2006/relationships/hyperlink" Target="https://www.sec.gov/Archives/edgar/data/1403568/000155837023003308/ulta-20230309xex99d1.htm" TargetMode="External"/><Relationship Id="rId8" Type="http://schemas.openxmlformats.org/officeDocument/2006/relationships/hyperlink" Target="https://sec.gov/" TargetMode="External"/><Relationship Id="rId3" Type="http://schemas.openxmlformats.org/officeDocument/2006/relationships/hyperlink" Target="https://sec.gov/" TargetMode="External"/><Relationship Id="rId12" Type="http://schemas.openxmlformats.org/officeDocument/2006/relationships/hyperlink" Target="https://www.sec.gov/Archives/edgar/data/1403568/000095013708005469/0000950137-08-005469-index.html" TargetMode="External"/><Relationship Id="rId17" Type="http://schemas.openxmlformats.org/officeDocument/2006/relationships/hyperlink" Target="https://www.sec.gov/Archives/edgar/data/1403568/000095012310030932/0000950123-10-030932-index.html" TargetMode="External"/><Relationship Id="rId25" Type="http://schemas.openxmlformats.org/officeDocument/2006/relationships/hyperlink" Target="https://www.sec.gov/Archives/edgar/data/1403568/000119312514127781/0001193125-14-127781-index.html" TargetMode="External"/><Relationship Id="rId33" Type="http://schemas.openxmlformats.org/officeDocument/2006/relationships/hyperlink" Target="https://www.sec.gov/Archives/edgar/data/1403568/000155837018002733/0001558370-18-002733-index.html" TargetMode="External"/><Relationship Id="rId38" Type="http://schemas.openxmlformats.org/officeDocument/2006/relationships/hyperlink" Target="https://www.sec.gov/Archives/edgar/data/1403568/000155837021003523/0001558370-21-003523-index.htm" TargetMode="External"/><Relationship Id="rId46" Type="http://schemas.openxmlformats.org/officeDocument/2006/relationships/drawing" Target="../drawings/drawing1.xml"/><Relationship Id="rId20" Type="http://schemas.openxmlformats.org/officeDocument/2006/relationships/hyperlink" Target="https://www.sec.gov/Archives/edgar/data/1403568/000119312512136579/0001193125-12-136579-index.html" TargetMode="External"/><Relationship Id="rId41" Type="http://schemas.openxmlformats.org/officeDocument/2006/relationships/hyperlink" Target="https://www.sec.gov/Archives/edgar/data/1403568/000155837022004330/0001558370-22-004330-index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ec.gov/Archives/edgar/data/1403568/000155837023003308/ulta-20230309xex99d1.htm" TargetMode="External"/><Relationship Id="rId2" Type="http://schemas.openxmlformats.org/officeDocument/2006/relationships/hyperlink" Target="https://www.sec.gov/Archives/edgar/data/1403568/000155837023003308/ulta-20230309xex99d1.htm" TargetMode="External"/><Relationship Id="rId1" Type="http://schemas.openxmlformats.org/officeDocument/2006/relationships/hyperlink" Target="https://roic.ai/company/ULTA" TargetMode="External"/><Relationship Id="rId5" Type="http://schemas.openxmlformats.org/officeDocument/2006/relationships/hyperlink" Target="https://finbox.com/NASDAQGS:ULTA/explorer/fcf_unlev_proj" TargetMode="External"/><Relationship Id="rId4" Type="http://schemas.openxmlformats.org/officeDocument/2006/relationships/hyperlink" Target="https://finbox.com/NASDAQGS:ULTA/explorer/revenue_pro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19"/>
  <sheetViews>
    <sheetView tabSelected="1" zoomScale="80" zoomScaleNormal="80" workbookViewId="0">
      <pane xSplit="1" ySplit="1" topLeftCell="S95" activePane="bottomRight" state="frozen"/>
      <selection pane="topRight"/>
      <selection pane="bottomLeft"/>
      <selection pane="bottomRight" activeCell="U114" sqref="U114"/>
    </sheetView>
  </sheetViews>
  <sheetFormatPr baseColWidth="10" defaultRowHeight="16" x14ac:dyDescent="0.2"/>
  <cols>
    <col min="1" max="1" width="50" customWidth="1"/>
    <col min="2" max="22" width="15" customWidth="1"/>
    <col min="23" max="26" width="21.33203125" customWidth="1"/>
    <col min="27" max="31" width="20.83203125" customWidth="1"/>
  </cols>
  <sheetData>
    <row r="1" spans="1:39" ht="22" thickBot="1" x14ac:dyDescent="0.3">
      <c r="A1" s="3" t="e" vm="1">
        <v>#VALUE!</v>
      </c>
      <c r="B1" s="8">
        <v>2003</v>
      </c>
      <c r="C1" s="8">
        <v>2004</v>
      </c>
      <c r="D1" s="8">
        <v>2005</v>
      </c>
      <c r="E1" s="8">
        <v>2006</v>
      </c>
      <c r="F1" s="8">
        <v>2007</v>
      </c>
      <c r="G1" s="8">
        <v>2008</v>
      </c>
      <c r="H1" s="8">
        <v>2009</v>
      </c>
      <c r="I1" s="8">
        <v>2010</v>
      </c>
      <c r="J1" s="8">
        <v>2011</v>
      </c>
      <c r="K1" s="8">
        <v>2012</v>
      </c>
      <c r="L1" s="8">
        <v>2013</v>
      </c>
      <c r="M1" s="8">
        <v>2014</v>
      </c>
      <c r="N1" s="8">
        <v>2015</v>
      </c>
      <c r="O1" s="8">
        <v>2016</v>
      </c>
      <c r="P1" s="8">
        <v>2017</v>
      </c>
      <c r="Q1" s="8">
        <v>2018</v>
      </c>
      <c r="R1" s="8">
        <v>2019</v>
      </c>
      <c r="S1" s="8">
        <v>2020</v>
      </c>
      <c r="T1" s="8">
        <v>2021</v>
      </c>
      <c r="U1" s="8">
        <v>2022</v>
      </c>
      <c r="V1" s="8">
        <v>2023</v>
      </c>
      <c r="W1" s="25">
        <v>2024</v>
      </c>
      <c r="X1" s="25">
        <v>2025</v>
      </c>
      <c r="Y1" s="25">
        <v>2026</v>
      </c>
      <c r="Z1" s="25">
        <v>2027</v>
      </c>
      <c r="AA1" s="25">
        <v>2028</v>
      </c>
    </row>
    <row r="2" spans="1:39" ht="21" x14ac:dyDescent="0.25">
      <c r="A2" s="4" t="s">
        <v>0</v>
      </c>
      <c r="B2" s="9" t="s">
        <v>90</v>
      </c>
      <c r="C2" s="9" t="s">
        <v>90</v>
      </c>
      <c r="D2" s="9" t="s">
        <v>90</v>
      </c>
      <c r="E2" s="9" t="s">
        <v>90</v>
      </c>
      <c r="F2" s="9" t="s">
        <v>90</v>
      </c>
      <c r="G2" s="9" t="s">
        <v>90</v>
      </c>
      <c r="H2" s="9" t="s">
        <v>90</v>
      </c>
      <c r="I2" s="9" t="s">
        <v>90</v>
      </c>
      <c r="J2" s="9" t="s">
        <v>90</v>
      </c>
      <c r="K2" s="9" t="s">
        <v>90</v>
      </c>
      <c r="L2" s="9" t="s">
        <v>90</v>
      </c>
      <c r="M2" s="9" t="s">
        <v>90</v>
      </c>
      <c r="N2" s="9" t="s">
        <v>90</v>
      </c>
      <c r="O2" s="9" t="s">
        <v>90</v>
      </c>
      <c r="P2" s="9" t="s">
        <v>90</v>
      </c>
      <c r="Q2" s="9" t="s">
        <v>90</v>
      </c>
      <c r="R2" s="9" t="s">
        <v>90</v>
      </c>
      <c r="S2" s="9" t="s">
        <v>90</v>
      </c>
      <c r="T2" s="9" t="s">
        <v>90</v>
      </c>
      <c r="U2" s="9" t="s">
        <v>90</v>
      </c>
      <c r="V2" s="9" t="s">
        <v>90</v>
      </c>
      <c r="W2" s="9" t="s">
        <v>90</v>
      </c>
      <c r="X2" s="9" t="s">
        <v>90</v>
      </c>
      <c r="Y2" s="9"/>
      <c r="Z2" s="9"/>
      <c r="AA2" s="9"/>
      <c r="AB2" s="9"/>
      <c r="AC2" s="9"/>
      <c r="AD2" s="9"/>
      <c r="AE2" s="9"/>
    </row>
    <row r="3" spans="1:39" ht="40" x14ac:dyDescent="0.25">
      <c r="A3" s="5" t="s">
        <v>1</v>
      </c>
      <c r="B3" s="1">
        <v>362217000</v>
      </c>
      <c r="C3" s="1">
        <v>423863000</v>
      </c>
      <c r="D3" s="1">
        <v>491152000</v>
      </c>
      <c r="E3" s="1">
        <v>579075000</v>
      </c>
      <c r="F3" s="1">
        <v>755113000</v>
      </c>
      <c r="G3" s="1">
        <v>912141000</v>
      </c>
      <c r="H3" s="1">
        <v>1084646000</v>
      </c>
      <c r="I3" s="1">
        <v>1222771000</v>
      </c>
      <c r="J3" s="1">
        <v>1454838000</v>
      </c>
      <c r="K3" s="1">
        <v>1776151000</v>
      </c>
      <c r="L3" s="1">
        <v>2220256000</v>
      </c>
      <c r="M3" s="1">
        <v>2670573000</v>
      </c>
      <c r="N3" s="1">
        <v>3241369000</v>
      </c>
      <c r="O3" s="1">
        <v>3924116000</v>
      </c>
      <c r="P3" s="1">
        <v>4854737000</v>
      </c>
      <c r="Q3" s="1">
        <v>5884506000</v>
      </c>
      <c r="R3" s="1">
        <v>6716615000</v>
      </c>
      <c r="S3" s="1">
        <v>7398068000</v>
      </c>
      <c r="T3" s="1">
        <v>6151953000</v>
      </c>
      <c r="U3" s="1">
        <v>8630889000</v>
      </c>
      <c r="V3" s="1">
        <v>10208000000</v>
      </c>
      <c r="W3" s="26">
        <v>11147000000</v>
      </c>
      <c r="X3" s="26">
        <v>11699000000</v>
      </c>
      <c r="Y3" s="26">
        <v>12386000000</v>
      </c>
      <c r="Z3" s="26">
        <v>12902000000</v>
      </c>
      <c r="AA3" s="26">
        <v>13647000000</v>
      </c>
      <c r="AB3" s="18" t="s">
        <v>108</v>
      </c>
      <c r="AC3" s="19" t="s">
        <v>109</v>
      </c>
      <c r="AD3" s="19" t="s">
        <v>110</v>
      </c>
      <c r="AE3" s="19" t="s">
        <v>111</v>
      </c>
    </row>
    <row r="4" spans="1:39" ht="19" x14ac:dyDescent="0.25">
      <c r="A4" s="14" t="s">
        <v>93</v>
      </c>
      <c r="B4" s="1"/>
      <c r="C4" s="15">
        <f>(C3/B3)-1</f>
        <v>0.17019079722928532</v>
      </c>
      <c r="D4" s="15">
        <f>(D3/C3)-1</f>
        <v>0.15875176649058775</v>
      </c>
      <c r="E4" s="15">
        <f>(E3/D3)-1</f>
        <v>0.1790138287129035</v>
      </c>
      <c r="F4" s="15">
        <f t="shared" ref="F4:V4" si="0">(F3/E3)-1</f>
        <v>0.30399861848637921</v>
      </c>
      <c r="G4" s="15">
        <f t="shared" si="0"/>
        <v>0.20795298187158751</v>
      </c>
      <c r="H4" s="15">
        <f t="shared" si="0"/>
        <v>0.18912098019933321</v>
      </c>
      <c r="I4" s="15">
        <f t="shared" si="0"/>
        <v>0.12734569619949743</v>
      </c>
      <c r="J4" s="15">
        <f t="shared" si="0"/>
        <v>0.18978778528440721</v>
      </c>
      <c r="K4" s="15">
        <f t="shared" si="0"/>
        <v>0.22085826738097292</v>
      </c>
      <c r="L4" s="15">
        <f t="shared" si="0"/>
        <v>0.25003786277180273</v>
      </c>
      <c r="M4" s="15">
        <f t="shared" si="0"/>
        <v>0.20282210700027381</v>
      </c>
      <c r="N4" s="15">
        <f t="shared" si="0"/>
        <v>0.2137354043495534</v>
      </c>
      <c r="O4" s="15">
        <f t="shared" si="0"/>
        <v>0.21063538276573879</v>
      </c>
      <c r="P4" s="15">
        <f t="shared" si="0"/>
        <v>0.23715430430700835</v>
      </c>
      <c r="Q4" s="15">
        <f t="shared" si="0"/>
        <v>0.21211633091555737</v>
      </c>
      <c r="R4" s="15">
        <f t="shared" si="0"/>
        <v>0.14140677229320531</v>
      </c>
      <c r="S4" s="15">
        <f t="shared" si="0"/>
        <v>0.10145780277714289</v>
      </c>
      <c r="T4" s="15">
        <f t="shared" si="0"/>
        <v>-0.16843789486660576</v>
      </c>
      <c r="U4" s="15">
        <f t="shared" si="0"/>
        <v>0.40295106285759985</v>
      </c>
      <c r="V4" s="15">
        <f t="shared" si="0"/>
        <v>0.18272868530692499</v>
      </c>
      <c r="W4" s="16">
        <f t="shared" ref="W4:AA4" si="1">(W3/V3)-1</f>
        <v>9.1986677115987403E-2</v>
      </c>
      <c r="X4" s="16">
        <f t="shared" si="1"/>
        <v>4.9520050237732205E-2</v>
      </c>
      <c r="Y4" s="16">
        <f t="shared" si="1"/>
        <v>5.8722967775023616E-2</v>
      </c>
      <c r="Z4" s="16">
        <f t="shared" si="1"/>
        <v>4.1659938640400407E-2</v>
      </c>
      <c r="AA4" s="16">
        <f t="shared" si="1"/>
        <v>5.7742985583630446E-2</v>
      </c>
      <c r="AB4" s="17">
        <f>(V4+U4+T4)/3</f>
        <v>0.13908061776597302</v>
      </c>
      <c r="AC4" s="17">
        <f>(V20+U20+T20)/3</f>
        <v>0.51372689238240976</v>
      </c>
      <c r="AD4" s="17">
        <f>(V29+U29+T29)/3</f>
        <v>1.3719790929667479</v>
      </c>
      <c r="AE4" s="17">
        <f>(V106+U106+T106)/3</f>
        <v>0.16212033988598995</v>
      </c>
      <c r="AF4" s="16"/>
      <c r="AG4" s="16"/>
      <c r="AH4" s="16"/>
      <c r="AI4" s="16"/>
      <c r="AJ4" s="16"/>
      <c r="AK4" s="16"/>
      <c r="AL4" s="16"/>
      <c r="AM4" s="16"/>
    </row>
    <row r="5" spans="1:39" ht="19" x14ac:dyDescent="0.25">
      <c r="A5" s="5" t="s">
        <v>2</v>
      </c>
      <c r="B5" s="1">
        <v>259836000</v>
      </c>
      <c r="C5" s="1">
        <v>312203000</v>
      </c>
      <c r="D5" s="1" t="s">
        <v>91</v>
      </c>
      <c r="E5" s="1">
        <v>404794000</v>
      </c>
      <c r="F5" s="1">
        <v>519929000</v>
      </c>
      <c r="G5" s="1">
        <v>628495000</v>
      </c>
      <c r="H5" s="1">
        <v>756712000</v>
      </c>
      <c r="I5" s="1">
        <v>849722000</v>
      </c>
      <c r="J5" s="1">
        <v>970753000</v>
      </c>
      <c r="K5" s="1">
        <v>1159311000</v>
      </c>
      <c r="L5" s="1">
        <v>1436582000</v>
      </c>
      <c r="M5" s="1">
        <v>1729325000</v>
      </c>
      <c r="N5" s="1">
        <v>2104582000</v>
      </c>
      <c r="O5" s="1">
        <v>2539783000</v>
      </c>
      <c r="P5" s="1">
        <v>3107508000</v>
      </c>
      <c r="Q5" s="1">
        <v>3787697000</v>
      </c>
      <c r="R5" s="1">
        <v>4307304000</v>
      </c>
      <c r="S5" s="1">
        <v>4717004000</v>
      </c>
      <c r="T5" s="1">
        <v>4202794000</v>
      </c>
      <c r="U5" s="1">
        <v>5262335000</v>
      </c>
      <c r="V5" s="1">
        <v>6164070000</v>
      </c>
    </row>
    <row r="6" spans="1:39" ht="20" x14ac:dyDescent="0.25">
      <c r="A6" s="6" t="s">
        <v>3</v>
      </c>
      <c r="B6" s="10">
        <v>102381000</v>
      </c>
      <c r="C6" s="10">
        <v>111660000</v>
      </c>
      <c r="D6" s="10" t="s">
        <v>91</v>
      </c>
      <c r="E6" s="10">
        <v>174281000</v>
      </c>
      <c r="F6" s="10">
        <v>235184000</v>
      </c>
      <c r="G6" s="10">
        <v>283646000</v>
      </c>
      <c r="H6" s="10">
        <v>327934000</v>
      </c>
      <c r="I6" s="10">
        <v>373049000</v>
      </c>
      <c r="J6" s="10">
        <v>484085000</v>
      </c>
      <c r="K6" s="10">
        <v>616840000</v>
      </c>
      <c r="L6" s="10">
        <v>783674000</v>
      </c>
      <c r="M6" s="10">
        <v>941248000</v>
      </c>
      <c r="N6" s="10">
        <v>1136787000</v>
      </c>
      <c r="O6" s="10">
        <v>1384333000</v>
      </c>
      <c r="P6" s="10">
        <v>1747229000</v>
      </c>
      <c r="Q6" s="10">
        <v>2096809000</v>
      </c>
      <c r="R6" s="10">
        <v>2409311000</v>
      </c>
      <c r="S6" s="10">
        <v>2681064000</v>
      </c>
      <c r="T6" s="10">
        <v>1949159000</v>
      </c>
      <c r="U6" s="10">
        <v>3368554000</v>
      </c>
      <c r="V6" s="10">
        <v>4044510000</v>
      </c>
      <c r="W6" s="59">
        <f>W3*W7</f>
        <v>4378541600</v>
      </c>
      <c r="AB6" s="101" t="s">
        <v>112</v>
      </c>
      <c r="AC6" s="84" t="s">
        <v>113</v>
      </c>
      <c r="AD6" s="84" t="s">
        <v>114</v>
      </c>
      <c r="AE6" s="84" t="s">
        <v>115</v>
      </c>
    </row>
    <row r="7" spans="1:39" ht="19" x14ac:dyDescent="0.25">
      <c r="A7" s="5" t="s">
        <v>4</v>
      </c>
      <c r="B7" s="2">
        <v>0.28270000000000001</v>
      </c>
      <c r="C7" s="2">
        <v>0.26340000000000002</v>
      </c>
      <c r="D7" s="2" t="s">
        <v>91</v>
      </c>
      <c r="E7" s="2">
        <v>0.30099999999999999</v>
      </c>
      <c r="F7" s="2">
        <v>0.3115</v>
      </c>
      <c r="G7" s="2">
        <v>0.311</v>
      </c>
      <c r="H7" s="2">
        <v>0.30230000000000001</v>
      </c>
      <c r="I7" s="2">
        <v>0.30509999999999998</v>
      </c>
      <c r="J7" s="2">
        <v>0.3327</v>
      </c>
      <c r="K7" s="2">
        <v>0.3473</v>
      </c>
      <c r="L7" s="2">
        <v>0.35299999999999998</v>
      </c>
      <c r="M7" s="2">
        <v>0.35249999999999998</v>
      </c>
      <c r="N7" s="2">
        <v>0.35070000000000001</v>
      </c>
      <c r="O7" s="2">
        <v>0.3528</v>
      </c>
      <c r="P7" s="2">
        <v>0.3599</v>
      </c>
      <c r="Q7" s="2">
        <v>0.35630000000000001</v>
      </c>
      <c r="R7" s="2">
        <v>0.35870000000000002</v>
      </c>
      <c r="S7" s="2">
        <v>0.3624</v>
      </c>
      <c r="T7" s="2">
        <v>0.31680000000000003</v>
      </c>
      <c r="U7" s="2">
        <v>0.39029999999999998</v>
      </c>
      <c r="V7" s="2">
        <f>V6/V3</f>
        <v>0.39620983542319749</v>
      </c>
      <c r="W7" s="2">
        <v>0.39279999999999998</v>
      </c>
      <c r="AB7" s="17">
        <f>W7</f>
        <v>0.39279999999999998</v>
      </c>
      <c r="AC7" s="20">
        <f>W21</f>
        <v>0.16847582309141473</v>
      </c>
      <c r="AD7" s="20">
        <f>W30</f>
        <v>0.11249663586615233</v>
      </c>
      <c r="AE7" s="20">
        <f>W107/W3</f>
        <v>8.805956759666278E-2</v>
      </c>
    </row>
    <row r="8" spans="1:39" ht="19" x14ac:dyDescent="0.25">
      <c r="A8" s="5" t="s">
        <v>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</row>
    <row r="9" spans="1:39" ht="19" customHeight="1" x14ac:dyDescent="0.25">
      <c r="A9" s="14" t="s">
        <v>94</v>
      </c>
      <c r="B9" s="15">
        <f>B8/B3</f>
        <v>0</v>
      </c>
      <c r="C9" s="15">
        <f t="shared" ref="C9:V9" si="2">C8/C3</f>
        <v>0</v>
      </c>
      <c r="D9" s="15">
        <f t="shared" si="2"/>
        <v>0</v>
      </c>
      <c r="E9" s="15">
        <f t="shared" si="2"/>
        <v>0</v>
      </c>
      <c r="F9" s="15">
        <f t="shared" si="2"/>
        <v>0</v>
      </c>
      <c r="G9" s="15">
        <f t="shared" si="2"/>
        <v>0</v>
      </c>
      <c r="H9" s="15">
        <f t="shared" si="2"/>
        <v>0</v>
      </c>
      <c r="I9" s="15">
        <f t="shared" si="2"/>
        <v>0</v>
      </c>
      <c r="J9" s="15">
        <f t="shared" si="2"/>
        <v>0</v>
      </c>
      <c r="K9" s="15">
        <f t="shared" si="2"/>
        <v>0</v>
      </c>
      <c r="L9" s="15">
        <f t="shared" si="2"/>
        <v>0</v>
      </c>
      <c r="M9" s="15">
        <f t="shared" si="2"/>
        <v>0</v>
      </c>
      <c r="N9" s="15">
        <f t="shared" si="2"/>
        <v>0</v>
      </c>
      <c r="O9" s="15">
        <f t="shared" si="2"/>
        <v>0</v>
      </c>
      <c r="P9" s="15">
        <f t="shared" si="2"/>
        <v>0</v>
      </c>
      <c r="Q9" s="15">
        <f t="shared" si="2"/>
        <v>0</v>
      </c>
      <c r="R9" s="15">
        <f t="shared" si="2"/>
        <v>0</v>
      </c>
      <c r="S9" s="15">
        <f t="shared" si="2"/>
        <v>0</v>
      </c>
      <c r="T9" s="15">
        <f t="shared" si="2"/>
        <v>0</v>
      </c>
      <c r="U9" s="15">
        <f t="shared" si="2"/>
        <v>0</v>
      </c>
      <c r="V9" s="15">
        <f t="shared" si="2"/>
        <v>0</v>
      </c>
      <c r="W9" s="15"/>
      <c r="X9" s="15"/>
      <c r="Y9" s="15"/>
      <c r="Z9" s="15"/>
      <c r="AB9" s="18" t="s">
        <v>95</v>
      </c>
      <c r="AC9" s="19" t="s">
        <v>96</v>
      </c>
      <c r="AD9" s="19" t="s">
        <v>97</v>
      </c>
      <c r="AE9" s="19" t="s">
        <v>98</v>
      </c>
      <c r="AF9" s="15"/>
      <c r="AG9" s="15"/>
      <c r="AH9" s="15"/>
      <c r="AI9" s="15"/>
      <c r="AJ9" s="15"/>
      <c r="AK9" s="15"/>
      <c r="AL9" s="15"/>
    </row>
    <row r="10" spans="1:39" ht="19" x14ac:dyDescent="0.25">
      <c r="A10" s="5" t="s">
        <v>6</v>
      </c>
      <c r="B10" s="1" t="s">
        <v>91</v>
      </c>
      <c r="C10" s="1" t="s">
        <v>91</v>
      </c>
      <c r="D10" s="1" t="s">
        <v>91</v>
      </c>
      <c r="E10" s="1" t="s">
        <v>91</v>
      </c>
      <c r="F10" s="1" t="s">
        <v>91</v>
      </c>
      <c r="G10" s="1" t="s">
        <v>91</v>
      </c>
      <c r="H10" s="1" t="s">
        <v>91</v>
      </c>
      <c r="I10" s="1" t="s">
        <v>91</v>
      </c>
      <c r="J10" s="1" t="s">
        <v>91</v>
      </c>
      <c r="K10" s="1" t="s">
        <v>91</v>
      </c>
      <c r="L10" s="1" t="s">
        <v>91</v>
      </c>
      <c r="M10" s="1" t="s">
        <v>91</v>
      </c>
      <c r="N10" s="1" t="s">
        <v>91</v>
      </c>
      <c r="O10" s="1" t="s">
        <v>91</v>
      </c>
      <c r="P10" s="1" t="s">
        <v>91</v>
      </c>
      <c r="Q10" s="1" t="s">
        <v>91</v>
      </c>
      <c r="R10" s="1" t="s">
        <v>91</v>
      </c>
      <c r="S10" s="1" t="s">
        <v>91</v>
      </c>
      <c r="T10" s="1">
        <v>1583017000</v>
      </c>
      <c r="U10" s="1" t="s">
        <v>91</v>
      </c>
      <c r="V10" s="1" t="s">
        <v>91</v>
      </c>
      <c r="AB10" s="17">
        <f>V9</f>
        <v>0</v>
      </c>
      <c r="AC10" s="20">
        <f>V13</f>
        <v>0.23464919670846396</v>
      </c>
      <c r="AD10" s="20">
        <f>V80</f>
        <v>4.2166927899686523E-3</v>
      </c>
      <c r="AE10" s="20">
        <f>V89</f>
        <v>3.05766065830721E-2</v>
      </c>
    </row>
    <row r="11" spans="1:39" ht="19" x14ac:dyDescent="0.25">
      <c r="A11" s="5" t="s">
        <v>7</v>
      </c>
      <c r="B11" s="1" t="s">
        <v>91</v>
      </c>
      <c r="C11" s="1" t="s">
        <v>91</v>
      </c>
      <c r="D11" s="1" t="s">
        <v>91</v>
      </c>
      <c r="E11" s="1" t="s">
        <v>91</v>
      </c>
      <c r="F11" s="1" t="s">
        <v>91</v>
      </c>
      <c r="G11" s="1" t="s">
        <v>91</v>
      </c>
      <c r="H11" s="1" t="s">
        <v>91</v>
      </c>
      <c r="I11" s="1" t="s">
        <v>91</v>
      </c>
      <c r="J11" s="1" t="s">
        <v>91</v>
      </c>
      <c r="K11" s="1" t="s">
        <v>91</v>
      </c>
      <c r="L11" s="1" t="s">
        <v>91</v>
      </c>
      <c r="M11" s="1" t="s">
        <v>91</v>
      </c>
      <c r="N11" s="1" t="s">
        <v>91</v>
      </c>
      <c r="O11" s="1" t="s">
        <v>91</v>
      </c>
      <c r="P11" s="1" t="s">
        <v>91</v>
      </c>
      <c r="Q11" s="1" t="s">
        <v>91</v>
      </c>
      <c r="R11" s="1" t="s">
        <v>91</v>
      </c>
      <c r="S11" s="1" t="s">
        <v>91</v>
      </c>
      <c r="T11" s="1" t="s">
        <v>91</v>
      </c>
      <c r="U11" s="1" t="s">
        <v>91</v>
      </c>
      <c r="V11" s="1" t="s">
        <v>91</v>
      </c>
    </row>
    <row r="12" spans="1:39" ht="20" x14ac:dyDescent="0.25">
      <c r="A12" s="5" t="s">
        <v>8</v>
      </c>
      <c r="B12" s="1">
        <v>86382000</v>
      </c>
      <c r="C12" s="1">
        <v>98446000</v>
      </c>
      <c r="D12" s="1" t="s">
        <v>91</v>
      </c>
      <c r="E12" s="1">
        <v>144857000</v>
      </c>
      <c r="F12" s="1">
        <v>195096000</v>
      </c>
      <c r="G12" s="1">
        <v>236925000</v>
      </c>
      <c r="H12" s="1">
        <v>281633000</v>
      </c>
      <c r="I12" s="1">
        <v>304896000</v>
      </c>
      <c r="J12" s="1">
        <v>365201000</v>
      </c>
      <c r="K12" s="1">
        <v>410658000</v>
      </c>
      <c r="L12" s="1">
        <v>488880000</v>
      </c>
      <c r="M12" s="1">
        <v>596390000</v>
      </c>
      <c r="N12" s="1">
        <v>712006000</v>
      </c>
      <c r="O12" s="1">
        <v>863354000</v>
      </c>
      <c r="P12" s="1">
        <v>1073834000</v>
      </c>
      <c r="Q12" s="1">
        <v>1287232000</v>
      </c>
      <c r="R12" s="1">
        <v>1535464000</v>
      </c>
      <c r="S12" s="1">
        <v>1760716000</v>
      </c>
      <c r="T12" s="1">
        <v>1583017000</v>
      </c>
      <c r="U12" s="1">
        <v>2061545000</v>
      </c>
      <c r="V12" s="1">
        <v>2395299000</v>
      </c>
      <c r="AB12" s="18" t="s">
        <v>116</v>
      </c>
      <c r="AC12" s="19" t="s">
        <v>117</v>
      </c>
      <c r="AD12" s="19" t="s">
        <v>118</v>
      </c>
      <c r="AE12" s="19" t="s">
        <v>119</v>
      </c>
    </row>
    <row r="13" spans="1:39" ht="19" x14ac:dyDescent="0.25">
      <c r="A13" s="14" t="s">
        <v>99</v>
      </c>
      <c r="B13" s="15">
        <f>B12/B3</f>
        <v>0.23848135233851531</v>
      </c>
      <c r="C13" s="15">
        <f t="shared" ref="C13:V13" si="3">C12/C3</f>
        <v>0.23225900821727774</v>
      </c>
      <c r="D13" s="15" t="e">
        <f t="shared" si="3"/>
        <v>#VALUE!</v>
      </c>
      <c r="E13" s="15">
        <f t="shared" si="3"/>
        <v>0.2501523982213012</v>
      </c>
      <c r="F13" s="15">
        <f t="shared" si="3"/>
        <v>0.25836662857082315</v>
      </c>
      <c r="G13" s="15">
        <f t="shared" si="3"/>
        <v>0.25974602610780573</v>
      </c>
      <c r="H13" s="15">
        <f t="shared" si="3"/>
        <v>0.25965430195658307</v>
      </c>
      <c r="I13" s="15">
        <f t="shared" si="3"/>
        <v>0.24934840620197896</v>
      </c>
      <c r="J13" s="15">
        <f t="shared" si="3"/>
        <v>0.25102520005663859</v>
      </c>
      <c r="K13" s="15">
        <f t="shared" si="3"/>
        <v>0.23120669357503951</v>
      </c>
      <c r="L13" s="15">
        <f t="shared" si="3"/>
        <v>0.22019082484182004</v>
      </c>
      <c r="M13" s="15">
        <f t="shared" si="3"/>
        <v>0.22331911541081259</v>
      </c>
      <c r="N13" s="15">
        <f t="shared" si="3"/>
        <v>0.21966212424441647</v>
      </c>
      <c r="O13" s="15">
        <f t="shared" si="3"/>
        <v>0.22001235437484518</v>
      </c>
      <c r="P13" s="15">
        <f t="shared" si="3"/>
        <v>0.22119303270187449</v>
      </c>
      <c r="Q13" s="15">
        <f t="shared" si="3"/>
        <v>0.21874937335436484</v>
      </c>
      <c r="R13" s="15">
        <f t="shared" si="3"/>
        <v>0.22860682054874368</v>
      </c>
      <c r="S13" s="15">
        <f t="shared" si="3"/>
        <v>0.23799673103842786</v>
      </c>
      <c r="T13" s="15">
        <f t="shared" si="3"/>
        <v>0.25731942360417903</v>
      </c>
      <c r="U13" s="15">
        <f t="shared" si="3"/>
        <v>0.23885662299677357</v>
      </c>
      <c r="V13" s="15">
        <f t="shared" si="3"/>
        <v>0.23464919670846396</v>
      </c>
      <c r="W13" s="15"/>
      <c r="X13" s="15"/>
      <c r="Y13" s="15"/>
      <c r="Z13" s="15"/>
      <c r="AB13" s="17">
        <f>V28/V72</f>
        <v>0.63394276284805018</v>
      </c>
      <c r="AC13" s="20">
        <f>V28/V54</f>
        <v>0.23134318770015927</v>
      </c>
      <c r="AD13" s="20">
        <f>V22/(V72+V56+V61)</f>
        <v>0.42418211606717809</v>
      </c>
      <c r="AE13" s="21">
        <f>V67/V72</f>
        <v>1.7402698525521083</v>
      </c>
      <c r="AF13" s="15"/>
      <c r="AG13" s="15"/>
      <c r="AH13" s="15"/>
      <c r="AI13" s="15"/>
      <c r="AJ13" s="15"/>
      <c r="AK13" s="15"/>
      <c r="AL13" s="15"/>
    </row>
    <row r="14" spans="1:39" ht="19" x14ac:dyDescent="0.25">
      <c r="A14" s="5" t="s">
        <v>9</v>
      </c>
      <c r="B14" s="1">
        <v>2751000</v>
      </c>
      <c r="C14" s="1">
        <v>2318000</v>
      </c>
      <c r="D14" s="1" t="s">
        <v>91</v>
      </c>
      <c r="E14" s="1" t="s">
        <v>91</v>
      </c>
      <c r="F14" s="1" t="s">
        <v>91</v>
      </c>
      <c r="G14" s="1" t="s">
        <v>91</v>
      </c>
      <c r="H14" s="1" t="s">
        <v>91</v>
      </c>
      <c r="I14" s="1" t="s">
        <v>91</v>
      </c>
      <c r="J14" s="1" t="s">
        <v>91</v>
      </c>
      <c r="K14" s="1">
        <v>9987000</v>
      </c>
      <c r="L14" s="1">
        <v>14816000</v>
      </c>
      <c r="M14" s="1">
        <v>17270000</v>
      </c>
      <c r="N14" s="1">
        <v>14366000</v>
      </c>
      <c r="O14" s="1">
        <v>14682000</v>
      </c>
      <c r="P14" s="1">
        <v>18571000</v>
      </c>
      <c r="Q14" s="1">
        <v>24286000</v>
      </c>
      <c r="R14" s="1">
        <v>19767000</v>
      </c>
      <c r="S14" s="1">
        <v>19254000</v>
      </c>
      <c r="T14" s="1">
        <v>15000000</v>
      </c>
      <c r="U14" s="1">
        <v>9517000</v>
      </c>
      <c r="V14" s="1">
        <v>10601000</v>
      </c>
    </row>
    <row r="15" spans="1:39" ht="20" x14ac:dyDescent="0.25">
      <c r="A15" s="5" t="s">
        <v>10</v>
      </c>
      <c r="B15" s="1">
        <v>89133000</v>
      </c>
      <c r="C15" s="1">
        <v>100764000</v>
      </c>
      <c r="D15" s="1" t="s">
        <v>91</v>
      </c>
      <c r="E15" s="1">
        <v>144857000</v>
      </c>
      <c r="F15" s="1">
        <v>195096000</v>
      </c>
      <c r="G15" s="1">
        <v>236925000</v>
      </c>
      <c r="H15" s="1">
        <v>281633000</v>
      </c>
      <c r="I15" s="1">
        <v>304896000</v>
      </c>
      <c r="J15" s="1">
        <v>365201000</v>
      </c>
      <c r="K15" s="1">
        <v>420645000</v>
      </c>
      <c r="L15" s="1">
        <v>503696000</v>
      </c>
      <c r="M15" s="1">
        <v>613660000</v>
      </c>
      <c r="N15" s="1">
        <v>726372000</v>
      </c>
      <c r="O15" s="1">
        <v>878036000</v>
      </c>
      <c r="P15" s="1">
        <v>1092405000</v>
      </c>
      <c r="Q15" s="1">
        <v>1311518000</v>
      </c>
      <c r="R15" s="1">
        <v>1555231000</v>
      </c>
      <c r="S15" s="1">
        <v>1779970000</v>
      </c>
      <c r="T15" s="1">
        <v>1598017000</v>
      </c>
      <c r="U15" s="1">
        <v>2071062000</v>
      </c>
      <c r="V15" s="1">
        <f>V12+V14</f>
        <v>2405900000</v>
      </c>
      <c r="AB15" s="18" t="s">
        <v>120</v>
      </c>
      <c r="AC15" s="19" t="s">
        <v>121</v>
      </c>
      <c r="AD15" s="19" t="s">
        <v>122</v>
      </c>
      <c r="AE15" s="19" t="s">
        <v>123</v>
      </c>
    </row>
    <row r="16" spans="1:39" ht="19" x14ac:dyDescent="0.25">
      <c r="A16" s="5" t="s">
        <v>11</v>
      </c>
      <c r="B16" s="1">
        <v>348969000</v>
      </c>
      <c r="C16" s="1">
        <v>412967000</v>
      </c>
      <c r="D16" s="1" t="s">
        <v>91</v>
      </c>
      <c r="E16" s="1">
        <v>549651000</v>
      </c>
      <c r="F16" s="1">
        <v>715025000</v>
      </c>
      <c r="G16" s="1">
        <v>865420000</v>
      </c>
      <c r="H16" s="1">
        <v>1038345000</v>
      </c>
      <c r="I16" s="1">
        <v>1154618000</v>
      </c>
      <c r="J16" s="1">
        <v>1335954000</v>
      </c>
      <c r="K16" s="1">
        <v>1579956000</v>
      </c>
      <c r="L16" s="1">
        <v>1940278000</v>
      </c>
      <c r="M16" s="1">
        <v>2342985000</v>
      </c>
      <c r="N16" s="1">
        <v>2830954000</v>
      </c>
      <c r="O16" s="1">
        <v>3417819000</v>
      </c>
      <c r="P16" s="1">
        <v>4199913000</v>
      </c>
      <c r="Q16" s="1">
        <v>5099215000</v>
      </c>
      <c r="R16" s="1">
        <v>5862535000</v>
      </c>
      <c r="S16" s="1">
        <v>6496974000</v>
      </c>
      <c r="T16" s="1">
        <v>5800811000</v>
      </c>
      <c r="U16" s="1">
        <v>7333397000</v>
      </c>
      <c r="V16" s="1">
        <f>V15+V5</f>
        <v>8569970000</v>
      </c>
      <c r="AB16" s="27">
        <f>(V35+U35+T35+S35+R35)/5</f>
        <v>-3.4529845148112706E-2</v>
      </c>
      <c r="AC16" s="64">
        <f>AD102/V3</f>
        <v>1.8319445532915362</v>
      </c>
      <c r="AD16" s="64">
        <f>AD102/V28</f>
        <v>15.051810677329831</v>
      </c>
      <c r="AE16" s="65">
        <f>AD102/V107</f>
        <v>15.983324786324786</v>
      </c>
    </row>
    <row r="17" spans="1:38" ht="19" x14ac:dyDescent="0.25">
      <c r="A17" s="5" t="s">
        <v>12</v>
      </c>
      <c r="B17" s="1" t="s">
        <v>91</v>
      </c>
      <c r="C17" s="1" t="s">
        <v>91</v>
      </c>
      <c r="D17" s="1" t="s">
        <v>91</v>
      </c>
      <c r="E17" s="1" t="s">
        <v>91</v>
      </c>
      <c r="F17" s="1" t="s">
        <v>91</v>
      </c>
      <c r="G17" s="1" t="s">
        <v>91</v>
      </c>
      <c r="H17" s="1">
        <v>3943000</v>
      </c>
      <c r="I17" s="1">
        <v>2202000</v>
      </c>
      <c r="J17" s="1">
        <v>755000</v>
      </c>
      <c r="K17" s="1">
        <v>587000</v>
      </c>
      <c r="L17" s="1">
        <v>185000</v>
      </c>
      <c r="M17" s="1">
        <v>118000</v>
      </c>
      <c r="N17" s="1">
        <v>894000</v>
      </c>
      <c r="O17" s="1">
        <v>1143000</v>
      </c>
      <c r="P17" s="1">
        <v>890000</v>
      </c>
      <c r="Q17" s="1">
        <v>1568000</v>
      </c>
      <c r="R17" s="1">
        <v>5061000</v>
      </c>
      <c r="S17" s="1">
        <v>5056000</v>
      </c>
      <c r="T17" s="1">
        <v>-5735000</v>
      </c>
      <c r="U17" s="1">
        <v>-1663000</v>
      </c>
      <c r="V17" s="1">
        <v>4943000</v>
      </c>
    </row>
    <row r="18" spans="1:38" ht="20" x14ac:dyDescent="0.25">
      <c r="A18" s="5" t="s">
        <v>13</v>
      </c>
      <c r="B18" s="1">
        <v>12522000</v>
      </c>
      <c r="C18" s="1">
        <v>15411000</v>
      </c>
      <c r="D18" s="1" t="s">
        <v>91</v>
      </c>
      <c r="E18" s="1">
        <v>22285000</v>
      </c>
      <c r="F18" s="1">
        <v>29736000</v>
      </c>
      <c r="G18" s="1">
        <v>39503000</v>
      </c>
      <c r="H18" s="1">
        <v>51445000</v>
      </c>
      <c r="I18" s="1">
        <v>62166000</v>
      </c>
      <c r="J18" s="1">
        <v>64936000</v>
      </c>
      <c r="K18" s="1">
        <v>75931000</v>
      </c>
      <c r="L18" s="1">
        <v>88233000</v>
      </c>
      <c r="M18" s="1">
        <v>106283000</v>
      </c>
      <c r="N18" s="1">
        <v>131764000</v>
      </c>
      <c r="O18" s="1">
        <v>165049000</v>
      </c>
      <c r="P18" s="1">
        <v>210295000</v>
      </c>
      <c r="Q18" s="1">
        <v>252713000</v>
      </c>
      <c r="R18" s="1">
        <v>279472000</v>
      </c>
      <c r="S18" s="1">
        <v>295599000</v>
      </c>
      <c r="T18" s="1">
        <v>297772000</v>
      </c>
      <c r="U18" s="1">
        <v>268460000</v>
      </c>
      <c r="V18" s="1">
        <v>112450000</v>
      </c>
      <c r="AB18" s="18" t="s">
        <v>157</v>
      </c>
      <c r="AC18" s="19" t="s">
        <v>158</v>
      </c>
      <c r="AD18" s="19" t="s">
        <v>159</v>
      </c>
      <c r="AE18" s="19" t="s">
        <v>160</v>
      </c>
    </row>
    <row r="19" spans="1:38" ht="19" x14ac:dyDescent="0.25">
      <c r="A19" s="6" t="s">
        <v>14</v>
      </c>
      <c r="B19" s="10">
        <v>23421000</v>
      </c>
      <c r="C19" s="10">
        <v>23518000</v>
      </c>
      <c r="D19" s="10">
        <v>9460000</v>
      </c>
      <c r="E19" s="10">
        <v>48758000</v>
      </c>
      <c r="F19" s="10">
        <v>66510000</v>
      </c>
      <c r="G19" s="10">
        <v>81682000</v>
      </c>
      <c r="H19" s="10">
        <v>97746000</v>
      </c>
      <c r="I19" s="10">
        <v>130319000</v>
      </c>
      <c r="J19" s="10">
        <v>183820000</v>
      </c>
      <c r="K19" s="10">
        <v>272126000</v>
      </c>
      <c r="L19" s="10">
        <v>368211000</v>
      </c>
      <c r="M19" s="10">
        <v>434107000</v>
      </c>
      <c r="N19" s="10">
        <v>543967000</v>
      </c>
      <c r="O19" s="10">
        <v>673632000</v>
      </c>
      <c r="P19" s="10">
        <v>866899000</v>
      </c>
      <c r="Q19" s="10">
        <v>1041140000</v>
      </c>
      <c r="R19" s="10">
        <v>1143674000</v>
      </c>
      <c r="S19" s="10">
        <v>1206805000</v>
      </c>
      <c r="T19" s="10">
        <v>523122000</v>
      </c>
      <c r="U19" s="10">
        <v>1562626000</v>
      </c>
      <c r="V19" s="10">
        <v>1751060000</v>
      </c>
      <c r="W19" s="59">
        <v>1878000000</v>
      </c>
      <c r="X19" s="59">
        <v>1947000000</v>
      </c>
      <c r="Y19" s="59">
        <v>2096000000</v>
      </c>
      <c r="Z19" s="59">
        <v>2281000000</v>
      </c>
      <c r="AA19" s="59">
        <v>2420000000</v>
      </c>
      <c r="AB19" s="46">
        <f>V40-V56-V61</f>
        <v>-1165299000</v>
      </c>
      <c r="AC19" s="64">
        <f>AD102/W3</f>
        <v>1.6776253700547232</v>
      </c>
      <c r="AD19" s="66">
        <f>AD102/W28</f>
        <v>14.912671451355662</v>
      </c>
      <c r="AE19" s="65">
        <f>AD102/W107</f>
        <v>19.051028932355337</v>
      </c>
    </row>
    <row r="20" spans="1:38" ht="19" customHeight="1" x14ac:dyDescent="0.25">
      <c r="A20" s="14" t="s">
        <v>100</v>
      </c>
      <c r="B20" s="1"/>
      <c r="C20" s="15">
        <f>(C19/B19)-1</f>
        <v>4.1415823406345531E-3</v>
      </c>
      <c r="D20" s="15">
        <f>(D19/C19)-1</f>
        <v>-0.59775491113189894</v>
      </c>
      <c r="E20" s="15">
        <f>(E19/D19)-1</f>
        <v>4.1541226215644818</v>
      </c>
      <c r="F20" s="15">
        <f t="shared" ref="F20:V20" si="4">(F19/E19)-1</f>
        <v>0.36408384265146232</v>
      </c>
      <c r="G20" s="15">
        <f t="shared" si="4"/>
        <v>0.22811607277101187</v>
      </c>
      <c r="H20" s="15">
        <f t="shared" si="4"/>
        <v>0.19666511593741576</v>
      </c>
      <c r="I20" s="15">
        <f t="shared" si="4"/>
        <v>0.3332412579542896</v>
      </c>
      <c r="J20" s="15">
        <f t="shared" si="4"/>
        <v>0.4105387549014341</v>
      </c>
      <c r="K20" s="15">
        <f t="shared" si="4"/>
        <v>0.4803938635621805</v>
      </c>
      <c r="L20" s="15">
        <f t="shared" si="4"/>
        <v>0.35309011266839629</v>
      </c>
      <c r="M20" s="15">
        <f t="shared" si="4"/>
        <v>0.17896260567989541</v>
      </c>
      <c r="N20" s="15">
        <f t="shared" si="4"/>
        <v>0.25307124741135256</v>
      </c>
      <c r="O20" s="15">
        <f t="shared" si="4"/>
        <v>0.23836923931047282</v>
      </c>
      <c r="P20" s="15">
        <f t="shared" si="4"/>
        <v>0.28690293810270306</v>
      </c>
      <c r="Q20" s="15">
        <f t="shared" si="4"/>
        <v>0.20099342599310877</v>
      </c>
      <c r="R20" s="15">
        <f t="shared" si="4"/>
        <v>9.8482432717982293E-2</v>
      </c>
      <c r="S20" s="15">
        <f t="shared" si="4"/>
        <v>5.5200170678007865E-2</v>
      </c>
      <c r="T20" s="15">
        <f t="shared" si="4"/>
        <v>-0.56652317482940484</v>
      </c>
      <c r="U20" s="15">
        <f t="shared" si="4"/>
        <v>1.9871158161958395</v>
      </c>
      <c r="V20" s="15">
        <f t="shared" si="4"/>
        <v>0.12058803578079469</v>
      </c>
      <c r="W20" s="16">
        <f t="shared" ref="W20" si="5">(W19/V19)-1</f>
        <v>7.2493232670496788E-2</v>
      </c>
      <c r="X20" s="16">
        <f t="shared" ref="X20" si="6">(X19/W19)-1</f>
        <v>3.6741214057508076E-2</v>
      </c>
      <c r="Y20" s="16">
        <f t="shared" ref="Y20" si="7">(Y19/X19)-1</f>
        <v>7.6527991782229021E-2</v>
      </c>
      <c r="Z20" s="16">
        <f t="shared" ref="Z20" si="8">(Z19/Y19)-1</f>
        <v>8.82633587786259E-2</v>
      </c>
      <c r="AA20" s="16">
        <f t="shared" ref="AA20" si="9">(AA19/Z19)-1</f>
        <v>6.0938185006575996E-2</v>
      </c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</row>
    <row r="21" spans="1:38" ht="20" x14ac:dyDescent="0.25">
      <c r="A21" s="5" t="s">
        <v>15</v>
      </c>
      <c r="B21" s="2">
        <v>6.4699999999999994E-2</v>
      </c>
      <c r="C21" s="2">
        <v>5.5500000000000001E-2</v>
      </c>
      <c r="D21" s="2">
        <v>1.9300000000000001E-2</v>
      </c>
      <c r="E21" s="2">
        <v>8.4199999999999997E-2</v>
      </c>
      <c r="F21" s="2">
        <v>8.8099999999999998E-2</v>
      </c>
      <c r="G21" s="2">
        <v>8.9499999999999996E-2</v>
      </c>
      <c r="H21" s="2">
        <v>9.01E-2</v>
      </c>
      <c r="I21" s="2">
        <v>0.1066</v>
      </c>
      <c r="J21" s="2">
        <v>0.12640000000000001</v>
      </c>
      <c r="K21" s="2">
        <v>0.1532</v>
      </c>
      <c r="L21" s="2">
        <v>0.1658</v>
      </c>
      <c r="M21" s="2">
        <v>0.16259999999999999</v>
      </c>
      <c r="N21" s="2">
        <v>0.1678</v>
      </c>
      <c r="O21" s="2">
        <v>0.17169999999999999</v>
      </c>
      <c r="P21" s="2">
        <v>0.17860000000000001</v>
      </c>
      <c r="Q21" s="2">
        <v>0.1769</v>
      </c>
      <c r="R21" s="2">
        <v>0.17030000000000001</v>
      </c>
      <c r="S21" s="2">
        <v>0.16309999999999999</v>
      </c>
      <c r="T21" s="2">
        <v>8.5000000000000006E-2</v>
      </c>
      <c r="U21" s="2">
        <v>0.18110000000000001</v>
      </c>
      <c r="V21" s="58">
        <f>V19/V3</f>
        <v>0.17153800940438871</v>
      </c>
      <c r="W21" s="60">
        <f>W19/W3</f>
        <v>0.16847582309141473</v>
      </c>
      <c r="X21" s="60">
        <f t="shared" ref="X21:AA21" si="10">X19/X3</f>
        <v>0.16642448072484828</v>
      </c>
      <c r="Y21" s="60">
        <f t="shared" si="10"/>
        <v>0.16922331664782819</v>
      </c>
      <c r="Z21" s="60">
        <f t="shared" si="10"/>
        <v>0.17679429545806852</v>
      </c>
      <c r="AA21" s="60">
        <f t="shared" si="10"/>
        <v>0.17732835055323515</v>
      </c>
      <c r="AC21" s="76" t="s">
        <v>169</v>
      </c>
      <c r="AD21" s="18" t="s">
        <v>165</v>
      </c>
      <c r="AE21" s="19" t="s">
        <v>168</v>
      </c>
    </row>
    <row r="22" spans="1:38" ht="19" x14ac:dyDescent="0.25">
      <c r="A22" s="6" t="s">
        <v>16</v>
      </c>
      <c r="B22" s="10">
        <v>13248000</v>
      </c>
      <c r="C22" s="10">
        <v>10896000</v>
      </c>
      <c r="D22" s="10">
        <v>491152000</v>
      </c>
      <c r="E22" s="10">
        <v>29424000</v>
      </c>
      <c r="F22" s="10">
        <v>40088000</v>
      </c>
      <c r="G22" s="10">
        <v>46721000</v>
      </c>
      <c r="H22" s="10">
        <v>46301000</v>
      </c>
      <c r="I22" s="10">
        <v>68153000</v>
      </c>
      <c r="J22" s="10">
        <v>118884000</v>
      </c>
      <c r="K22" s="10">
        <v>196195000</v>
      </c>
      <c r="L22" s="10">
        <v>279978000</v>
      </c>
      <c r="M22" s="10">
        <v>327588000</v>
      </c>
      <c r="N22" s="10">
        <v>410415000</v>
      </c>
      <c r="O22" s="10">
        <v>506297000</v>
      </c>
      <c r="P22" s="10">
        <v>654824000</v>
      </c>
      <c r="Q22" s="10">
        <v>785291000</v>
      </c>
      <c r="R22" s="10">
        <v>854080000</v>
      </c>
      <c r="S22" s="10">
        <v>901094000</v>
      </c>
      <c r="T22" s="10">
        <v>236820000</v>
      </c>
      <c r="U22" s="10">
        <v>1297492000</v>
      </c>
      <c r="V22" s="57">
        <v>1638610000</v>
      </c>
      <c r="AC22" s="17">
        <f>SUM(W29:AA29)/5</f>
        <v>4.3385629677771619E-2</v>
      </c>
      <c r="AD22" s="69">
        <f>(-1*V98)/AD102</f>
        <v>0</v>
      </c>
      <c r="AE22" s="70">
        <f>W107/AD102</f>
        <v>5.2490603187403111E-2</v>
      </c>
    </row>
    <row r="23" spans="1:38" ht="19" x14ac:dyDescent="0.25">
      <c r="A23" s="5" t="s">
        <v>17</v>
      </c>
      <c r="B23" s="2">
        <v>3.6600000000000001E-2</v>
      </c>
      <c r="C23" s="2">
        <v>2.5700000000000001E-2</v>
      </c>
      <c r="D23" s="2">
        <v>1</v>
      </c>
      <c r="E23" s="2">
        <v>5.0799999999999998E-2</v>
      </c>
      <c r="F23" s="2">
        <v>5.3100000000000001E-2</v>
      </c>
      <c r="G23" s="2">
        <v>5.1200000000000002E-2</v>
      </c>
      <c r="H23" s="2">
        <v>4.2700000000000002E-2</v>
      </c>
      <c r="I23" s="2">
        <v>5.57E-2</v>
      </c>
      <c r="J23" s="2">
        <v>8.1699999999999995E-2</v>
      </c>
      <c r="K23" s="2">
        <v>0.1105</v>
      </c>
      <c r="L23" s="2">
        <v>0.12609999999999999</v>
      </c>
      <c r="M23" s="2">
        <v>0.1227</v>
      </c>
      <c r="N23" s="2">
        <v>0.12659999999999999</v>
      </c>
      <c r="O23" s="2">
        <v>0.129</v>
      </c>
      <c r="P23" s="2">
        <v>0.13489999999999999</v>
      </c>
      <c r="Q23" s="2">
        <v>0.13350000000000001</v>
      </c>
      <c r="R23" s="2">
        <v>0.12720000000000001</v>
      </c>
      <c r="S23" s="2">
        <v>0.12180000000000001</v>
      </c>
      <c r="T23" s="2">
        <v>3.85E-2</v>
      </c>
      <c r="U23" s="2">
        <v>0.15029999999999999</v>
      </c>
      <c r="V23" s="2">
        <f>V22/V3</f>
        <v>0.16052213949843261</v>
      </c>
    </row>
    <row r="24" spans="1:38" ht="19" x14ac:dyDescent="0.25">
      <c r="A24" s="5" t="s">
        <v>18</v>
      </c>
      <c r="B24" s="1">
        <v>-2349000</v>
      </c>
      <c r="C24" s="1">
        <v>-2789000</v>
      </c>
      <c r="D24" s="1" t="s">
        <v>91</v>
      </c>
      <c r="E24" s="1">
        <v>-2951000</v>
      </c>
      <c r="F24" s="1">
        <v>-3314000</v>
      </c>
      <c r="G24" s="1">
        <v>-4542000</v>
      </c>
      <c r="H24" s="1">
        <v>-3943000</v>
      </c>
      <c r="I24" s="1">
        <v>-2202000</v>
      </c>
      <c r="J24" s="1">
        <v>-755000</v>
      </c>
      <c r="K24" s="1">
        <v>-587000</v>
      </c>
      <c r="L24" s="1">
        <v>-185000</v>
      </c>
      <c r="M24" s="1">
        <v>118000</v>
      </c>
      <c r="N24" s="1">
        <v>894000</v>
      </c>
      <c r="O24" s="1">
        <v>1143000</v>
      </c>
      <c r="P24" s="1">
        <v>890000</v>
      </c>
      <c r="Q24" s="1">
        <v>1568000</v>
      </c>
      <c r="R24" s="1">
        <v>5061000</v>
      </c>
      <c r="S24" s="1">
        <v>5056000</v>
      </c>
      <c r="T24" s="1">
        <v>-5735000</v>
      </c>
      <c r="U24" s="1">
        <v>-1663000</v>
      </c>
      <c r="V24" s="1">
        <v>1663000</v>
      </c>
    </row>
    <row r="25" spans="1:38" ht="19" x14ac:dyDescent="0.25">
      <c r="A25" s="6" t="s">
        <v>19</v>
      </c>
      <c r="B25" s="10">
        <v>10899000</v>
      </c>
      <c r="C25" s="10">
        <v>8107000</v>
      </c>
      <c r="D25" s="10" t="s">
        <v>91</v>
      </c>
      <c r="E25" s="10">
        <v>26473000</v>
      </c>
      <c r="F25" s="10">
        <v>36774000</v>
      </c>
      <c r="G25" s="10">
        <v>42179000</v>
      </c>
      <c r="H25" s="10">
        <v>42358000</v>
      </c>
      <c r="I25" s="10">
        <v>65951000</v>
      </c>
      <c r="J25" s="10">
        <v>118129000</v>
      </c>
      <c r="K25" s="10">
        <v>195608000</v>
      </c>
      <c r="L25" s="10">
        <v>279793000</v>
      </c>
      <c r="M25" s="10">
        <v>327706000</v>
      </c>
      <c r="N25" s="10">
        <v>411309000</v>
      </c>
      <c r="O25" s="10">
        <v>507440000</v>
      </c>
      <c r="P25" s="10">
        <v>655714000</v>
      </c>
      <c r="Q25" s="10">
        <v>786859000</v>
      </c>
      <c r="R25" s="10">
        <v>859141000</v>
      </c>
      <c r="S25" s="10">
        <v>906150000</v>
      </c>
      <c r="T25" s="10">
        <v>231085000</v>
      </c>
      <c r="U25" s="10">
        <v>1295829000</v>
      </c>
      <c r="V25" s="10">
        <v>1640273000</v>
      </c>
    </row>
    <row r="26" spans="1:38" ht="19" x14ac:dyDescent="0.25">
      <c r="A26" s="5" t="s">
        <v>20</v>
      </c>
      <c r="B26" s="2">
        <v>3.0099999999999998E-2</v>
      </c>
      <c r="C26" s="2">
        <v>1.9099999999999999E-2</v>
      </c>
      <c r="D26" s="2" t="s">
        <v>91</v>
      </c>
      <c r="E26" s="2">
        <v>4.5699999999999998E-2</v>
      </c>
      <c r="F26" s="2">
        <v>4.87E-2</v>
      </c>
      <c r="G26" s="2">
        <v>4.6199999999999998E-2</v>
      </c>
      <c r="H26" s="2">
        <v>3.9100000000000003E-2</v>
      </c>
      <c r="I26" s="2">
        <v>5.3900000000000003E-2</v>
      </c>
      <c r="J26" s="2">
        <v>8.1199999999999994E-2</v>
      </c>
      <c r="K26" s="2">
        <v>0.1101</v>
      </c>
      <c r="L26" s="2">
        <v>0.126</v>
      </c>
      <c r="M26" s="2">
        <v>0.1227</v>
      </c>
      <c r="N26" s="2">
        <v>0.12690000000000001</v>
      </c>
      <c r="O26" s="2">
        <v>0.1293</v>
      </c>
      <c r="P26" s="2">
        <v>0.1351</v>
      </c>
      <c r="Q26" s="2">
        <v>0.13370000000000001</v>
      </c>
      <c r="R26" s="2">
        <v>0.12790000000000001</v>
      </c>
      <c r="S26" s="2">
        <v>0.1225</v>
      </c>
      <c r="T26" s="2">
        <v>3.7600000000000001E-2</v>
      </c>
      <c r="U26" s="2">
        <v>0.15010000000000001</v>
      </c>
      <c r="V26" s="2">
        <f>V25/V3</f>
        <v>0.16068505094043886</v>
      </c>
    </row>
    <row r="27" spans="1:38" ht="19" x14ac:dyDescent="0.25">
      <c r="A27" s="5" t="s">
        <v>21</v>
      </c>
      <c r="B27" s="1">
        <v>1203000</v>
      </c>
      <c r="C27" s="1">
        <v>3023000</v>
      </c>
      <c r="D27" s="1" t="s">
        <v>91</v>
      </c>
      <c r="E27" s="1">
        <v>10504000</v>
      </c>
      <c r="F27" s="1">
        <v>14231000</v>
      </c>
      <c r="G27" s="1">
        <v>16844000</v>
      </c>
      <c r="H27" s="1">
        <v>17090000</v>
      </c>
      <c r="I27" s="1">
        <v>26595000</v>
      </c>
      <c r="J27" s="1">
        <v>47099000</v>
      </c>
      <c r="K27" s="1">
        <v>75344000</v>
      </c>
      <c r="L27" s="1">
        <v>107244000</v>
      </c>
      <c r="M27" s="1">
        <v>124857000</v>
      </c>
      <c r="N27" s="1">
        <v>154174000</v>
      </c>
      <c r="O27" s="1">
        <v>187432000</v>
      </c>
      <c r="P27" s="1">
        <v>245954000</v>
      </c>
      <c r="Q27" s="1">
        <v>231625000</v>
      </c>
      <c r="R27" s="1">
        <v>200582000</v>
      </c>
      <c r="S27" s="1">
        <v>200205000</v>
      </c>
      <c r="T27" s="1">
        <v>55250000</v>
      </c>
      <c r="U27" s="1">
        <v>309992000</v>
      </c>
      <c r="V27" s="1">
        <v>401163000</v>
      </c>
    </row>
    <row r="28" spans="1:38" ht="20" thickBot="1" x14ac:dyDescent="0.3">
      <c r="A28" s="7" t="s">
        <v>22</v>
      </c>
      <c r="B28" s="11">
        <v>9696000</v>
      </c>
      <c r="C28" s="11">
        <v>5084000</v>
      </c>
      <c r="D28" s="11">
        <v>9460000</v>
      </c>
      <c r="E28" s="11">
        <v>15969000</v>
      </c>
      <c r="F28" s="11">
        <v>22543000</v>
      </c>
      <c r="G28" s="11">
        <v>25335000</v>
      </c>
      <c r="H28" s="11">
        <v>25268000</v>
      </c>
      <c r="I28" s="11">
        <v>39356000</v>
      </c>
      <c r="J28" s="11">
        <v>71030000</v>
      </c>
      <c r="K28" s="11">
        <v>120264000</v>
      </c>
      <c r="L28" s="11">
        <v>172549000</v>
      </c>
      <c r="M28" s="11">
        <v>202849000</v>
      </c>
      <c r="N28" s="11">
        <v>257135000</v>
      </c>
      <c r="O28" s="11">
        <v>320008000</v>
      </c>
      <c r="P28" s="11">
        <v>409760000</v>
      </c>
      <c r="Q28" s="11">
        <v>555234000</v>
      </c>
      <c r="R28" s="11">
        <v>658559000</v>
      </c>
      <c r="S28" s="11">
        <v>705945000</v>
      </c>
      <c r="T28" s="11">
        <v>175835000</v>
      </c>
      <c r="U28" s="11">
        <v>985837000</v>
      </c>
      <c r="V28" s="11">
        <v>1242408000</v>
      </c>
      <c r="W28" s="61">
        <v>1254000000</v>
      </c>
      <c r="X28" s="61">
        <v>1301000000</v>
      </c>
      <c r="Y28" s="61">
        <v>1385000000</v>
      </c>
      <c r="Z28" s="61">
        <v>1450000000</v>
      </c>
      <c r="AA28" s="61">
        <v>1535000000</v>
      </c>
    </row>
    <row r="29" spans="1:38" ht="20" customHeight="1" thickTop="1" x14ac:dyDescent="0.25">
      <c r="A29" s="14" t="s">
        <v>101</v>
      </c>
      <c r="B29" s="1"/>
      <c r="C29" s="15">
        <f>(C28/B28)-1</f>
        <v>-0.47566006600660071</v>
      </c>
      <c r="D29" s="15">
        <f>(D28/C28)-1</f>
        <v>0.86073957513768695</v>
      </c>
      <c r="E29" s="15">
        <f>(E28/D28)-1</f>
        <v>0.68805496828752633</v>
      </c>
      <c r="F29" s="15">
        <f t="shared" ref="F29:V29" si="11">(F28/E28)-1</f>
        <v>0.41167261569290492</v>
      </c>
      <c r="G29" s="15">
        <f t="shared" si="11"/>
        <v>0.12385219358559207</v>
      </c>
      <c r="H29" s="15">
        <f t="shared" si="11"/>
        <v>-2.6445628577067559E-3</v>
      </c>
      <c r="I29" s="15">
        <f t="shared" si="11"/>
        <v>0.55754313756529994</v>
      </c>
      <c r="J29" s="15">
        <f t="shared" si="11"/>
        <v>0.80480739912592747</v>
      </c>
      <c r="K29" s="15">
        <f t="shared" si="11"/>
        <v>0.69314374208081087</v>
      </c>
      <c r="L29" s="15">
        <f t="shared" si="11"/>
        <v>0.43475187919909541</v>
      </c>
      <c r="M29" s="15">
        <f t="shared" si="11"/>
        <v>0.17560229268207861</v>
      </c>
      <c r="N29" s="15">
        <f t="shared" si="11"/>
        <v>0.26761778465755315</v>
      </c>
      <c r="O29" s="15">
        <f t="shared" si="11"/>
        <v>0.24451358235946108</v>
      </c>
      <c r="P29" s="15">
        <f t="shared" si="11"/>
        <v>0.28046798830029251</v>
      </c>
      <c r="Q29" s="15">
        <f t="shared" si="11"/>
        <v>0.35502245216712214</v>
      </c>
      <c r="R29" s="15">
        <f t="shared" si="11"/>
        <v>0.18609271046081477</v>
      </c>
      <c r="S29" s="15">
        <f t="shared" si="11"/>
        <v>7.1954069415192778E-2</v>
      </c>
      <c r="T29" s="15">
        <f t="shared" si="11"/>
        <v>-0.7509225222928132</v>
      </c>
      <c r="U29" s="15">
        <f t="shared" si="11"/>
        <v>4.6066027810162939</v>
      </c>
      <c r="V29" s="15">
        <f t="shared" si="11"/>
        <v>0.26025702017676355</v>
      </c>
      <c r="W29" s="16">
        <f t="shared" ref="W29" si="12">(W28/V28)-1</f>
        <v>9.3302683176541557E-3</v>
      </c>
      <c r="X29" s="16">
        <f t="shared" ref="X29" si="13">(X28/W28)-1</f>
        <v>3.7480063795853225E-2</v>
      </c>
      <c r="Y29" s="16">
        <f t="shared" ref="Y29" si="14">(Y28/X28)-1</f>
        <v>6.4565718677940032E-2</v>
      </c>
      <c r="Z29" s="16">
        <f t="shared" ref="Z29" si="15">(Z28/Y28)-1</f>
        <v>4.6931407942238268E-2</v>
      </c>
      <c r="AA29" s="16">
        <f t="shared" ref="AA29" si="16">(AA28/Z28)-1</f>
        <v>5.862068965517242E-2</v>
      </c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</row>
    <row r="30" spans="1:38" ht="19" x14ac:dyDescent="0.25">
      <c r="A30" s="5" t="s">
        <v>23</v>
      </c>
      <c r="B30" s="2">
        <v>2.6800000000000001E-2</v>
      </c>
      <c r="C30" s="2">
        <v>1.2E-2</v>
      </c>
      <c r="D30" s="2">
        <v>1.9300000000000001E-2</v>
      </c>
      <c r="E30" s="2">
        <v>2.76E-2</v>
      </c>
      <c r="F30" s="2">
        <v>2.9899999999999999E-2</v>
      </c>
      <c r="G30" s="2">
        <v>2.7799999999999998E-2</v>
      </c>
      <c r="H30" s="2">
        <v>2.3300000000000001E-2</v>
      </c>
      <c r="I30" s="2">
        <v>3.2199999999999999E-2</v>
      </c>
      <c r="J30" s="2">
        <v>4.8800000000000003E-2</v>
      </c>
      <c r="K30" s="2">
        <v>6.7699999999999996E-2</v>
      </c>
      <c r="L30" s="2">
        <v>7.7700000000000005E-2</v>
      </c>
      <c r="M30" s="2">
        <v>7.5999999999999998E-2</v>
      </c>
      <c r="N30" s="2">
        <v>7.9299999999999995E-2</v>
      </c>
      <c r="O30" s="2">
        <v>8.1500000000000003E-2</v>
      </c>
      <c r="P30" s="2">
        <v>8.4400000000000003E-2</v>
      </c>
      <c r="Q30" s="2">
        <v>9.4399999999999998E-2</v>
      </c>
      <c r="R30" s="2">
        <v>9.8000000000000004E-2</v>
      </c>
      <c r="S30" s="2">
        <v>9.5399999999999999E-2</v>
      </c>
      <c r="T30" s="2">
        <v>2.86E-2</v>
      </c>
      <c r="U30" s="2">
        <v>0.1142</v>
      </c>
      <c r="V30" s="2">
        <f>V28/V3</f>
        <v>0.12170924764890283</v>
      </c>
      <c r="W30" s="62">
        <f t="shared" ref="W30:AA30" si="17">W28/W3</f>
        <v>0.11249663586615233</v>
      </c>
      <c r="X30" s="62">
        <f t="shared" si="17"/>
        <v>0.11120608599025558</v>
      </c>
      <c r="Y30" s="62">
        <f t="shared" si="17"/>
        <v>0.11181979654448571</v>
      </c>
      <c r="Z30" s="62">
        <f t="shared" si="17"/>
        <v>0.11238567663928073</v>
      </c>
      <c r="AA30" s="62">
        <f t="shared" si="17"/>
        <v>0.11247893309884957</v>
      </c>
    </row>
    <row r="31" spans="1:38" ht="19" x14ac:dyDescent="0.25">
      <c r="A31" s="5" t="s">
        <v>24</v>
      </c>
      <c r="B31" s="12">
        <v>0.05</v>
      </c>
      <c r="C31" s="12">
        <v>-2.36</v>
      </c>
      <c r="D31" s="12">
        <v>-0.7</v>
      </c>
      <c r="E31" s="12">
        <v>0.74</v>
      </c>
      <c r="F31" s="12">
        <v>1.38</v>
      </c>
      <c r="G31" s="12">
        <v>0.69</v>
      </c>
      <c r="H31" s="12">
        <v>0.44</v>
      </c>
      <c r="I31" s="12">
        <v>0.68</v>
      </c>
      <c r="J31" s="12">
        <v>1.2</v>
      </c>
      <c r="K31" s="12">
        <v>1.96</v>
      </c>
      <c r="L31" s="12">
        <v>2.73</v>
      </c>
      <c r="M31" s="12">
        <v>3.17</v>
      </c>
      <c r="N31" s="12">
        <v>4</v>
      </c>
      <c r="O31" s="12">
        <v>5</v>
      </c>
      <c r="P31" s="12">
        <v>6.55</v>
      </c>
      <c r="Q31" s="12">
        <v>9.02</v>
      </c>
      <c r="R31" s="12">
        <v>11</v>
      </c>
      <c r="S31" s="12">
        <v>12.21</v>
      </c>
      <c r="T31" s="12">
        <v>3.12</v>
      </c>
      <c r="U31" s="12">
        <v>18.09</v>
      </c>
      <c r="V31" s="12">
        <v>24.1</v>
      </c>
      <c r="W31" s="63">
        <v>25.18</v>
      </c>
      <c r="X31" s="63">
        <v>26.12</v>
      </c>
      <c r="Y31" s="63">
        <v>27.81</v>
      </c>
      <c r="Z31" s="63">
        <v>29.12</v>
      </c>
      <c r="AA31" s="63">
        <v>30.82</v>
      </c>
    </row>
    <row r="32" spans="1:38" ht="19" x14ac:dyDescent="0.25">
      <c r="A32" s="5" t="s">
        <v>25</v>
      </c>
      <c r="B32" s="12">
        <v>0.02</v>
      </c>
      <c r="C32" s="12">
        <v>-2.36</v>
      </c>
      <c r="D32" s="12">
        <v>-0.7</v>
      </c>
      <c r="E32" s="12">
        <v>0.33</v>
      </c>
      <c r="F32" s="12">
        <v>0.45</v>
      </c>
      <c r="G32" s="12">
        <v>0.48</v>
      </c>
      <c r="H32" s="12">
        <v>0.43</v>
      </c>
      <c r="I32" s="12">
        <v>0.66</v>
      </c>
      <c r="J32" s="12">
        <v>1.1599999999999999</v>
      </c>
      <c r="K32" s="12">
        <v>1.9</v>
      </c>
      <c r="L32" s="12">
        <v>2.68</v>
      </c>
      <c r="M32" s="12">
        <v>3.15</v>
      </c>
      <c r="N32" s="12">
        <v>3.98</v>
      </c>
      <c r="O32" s="12">
        <v>4.9800000000000004</v>
      </c>
      <c r="P32" s="12">
        <v>6.52</v>
      </c>
      <c r="Q32" s="12">
        <v>8.9600000000000009</v>
      </c>
      <c r="R32" s="12">
        <v>10.94</v>
      </c>
      <c r="S32" s="12">
        <v>12.15</v>
      </c>
      <c r="T32" s="12">
        <v>3.11</v>
      </c>
      <c r="U32" s="12">
        <v>17.98</v>
      </c>
      <c r="V32" s="12">
        <v>23.94</v>
      </c>
    </row>
    <row r="33" spans="1:38" ht="19" x14ac:dyDescent="0.25">
      <c r="A33" s="5" t="s">
        <v>26</v>
      </c>
      <c r="B33" s="1">
        <v>1936416</v>
      </c>
      <c r="C33" s="1">
        <v>2331000</v>
      </c>
      <c r="D33" s="1">
        <v>3180611</v>
      </c>
      <c r="E33" s="1">
        <v>4094233</v>
      </c>
      <c r="F33" s="1">
        <v>5770601</v>
      </c>
      <c r="G33" s="1">
        <v>20383000</v>
      </c>
      <c r="H33" s="1">
        <v>57425000</v>
      </c>
      <c r="I33" s="1">
        <v>57915000</v>
      </c>
      <c r="J33" s="1">
        <v>58959000</v>
      </c>
      <c r="K33" s="1">
        <v>61259000</v>
      </c>
      <c r="L33" s="1">
        <v>63250000</v>
      </c>
      <c r="M33" s="1">
        <v>63992000</v>
      </c>
      <c r="N33" s="1">
        <v>64335000</v>
      </c>
      <c r="O33" s="1">
        <v>63949000</v>
      </c>
      <c r="P33" s="1">
        <v>62519000</v>
      </c>
      <c r="Q33" s="1">
        <v>61556000</v>
      </c>
      <c r="R33" s="1">
        <v>59864000</v>
      </c>
      <c r="S33" s="1">
        <v>57840000</v>
      </c>
      <c r="T33" s="1">
        <v>56351000</v>
      </c>
      <c r="U33" s="1">
        <v>54482000</v>
      </c>
      <c r="V33" s="1">
        <v>51674000</v>
      </c>
    </row>
    <row r="34" spans="1:38" ht="19" x14ac:dyDescent="0.25">
      <c r="A34" s="5" t="s">
        <v>27</v>
      </c>
      <c r="B34" s="1">
        <v>3960891</v>
      </c>
      <c r="C34" s="1">
        <v>2331000</v>
      </c>
      <c r="D34" s="1">
        <v>3180611</v>
      </c>
      <c r="E34" s="1">
        <v>48196240</v>
      </c>
      <c r="F34" s="1">
        <v>49920577</v>
      </c>
      <c r="G34" s="1">
        <v>53293000</v>
      </c>
      <c r="H34" s="1">
        <v>58967000</v>
      </c>
      <c r="I34" s="1">
        <v>59237000</v>
      </c>
      <c r="J34" s="1">
        <v>61288000</v>
      </c>
      <c r="K34" s="1">
        <v>63334000</v>
      </c>
      <c r="L34" s="1">
        <v>64396000</v>
      </c>
      <c r="M34" s="1">
        <v>64461000</v>
      </c>
      <c r="N34" s="1">
        <v>64651000</v>
      </c>
      <c r="O34" s="1">
        <v>64275000</v>
      </c>
      <c r="P34" s="1">
        <v>62851000</v>
      </c>
      <c r="Q34" s="1">
        <v>61975000</v>
      </c>
      <c r="R34" s="1">
        <v>60181000</v>
      </c>
      <c r="S34" s="1">
        <v>58105000</v>
      </c>
      <c r="T34" s="1">
        <v>56558000</v>
      </c>
      <c r="U34" s="1">
        <v>54841000</v>
      </c>
      <c r="V34" s="1">
        <v>51977000</v>
      </c>
    </row>
    <row r="35" spans="1:38" ht="20" customHeight="1" x14ac:dyDescent="0.25">
      <c r="A35" s="14" t="s">
        <v>102</v>
      </c>
      <c r="B35" s="1"/>
      <c r="C35" s="22">
        <f>(C34-B34)/B34</f>
        <v>-0.41149604975244208</v>
      </c>
      <c r="D35" s="22">
        <f t="shared" ref="D35:V35" si="18">(D34-C34)/C34</f>
        <v>0.36448348348348347</v>
      </c>
      <c r="E35" s="22">
        <f t="shared" si="18"/>
        <v>14.153138815152182</v>
      </c>
      <c r="F35" s="22">
        <f t="shared" si="18"/>
        <v>3.577741749148896E-2</v>
      </c>
      <c r="G35" s="22">
        <f t="shared" si="18"/>
        <v>6.7555769637838922E-2</v>
      </c>
      <c r="H35" s="22">
        <f t="shared" si="18"/>
        <v>0.10646801643743081</v>
      </c>
      <c r="I35" s="22">
        <f t="shared" si="18"/>
        <v>4.578832228195431E-3</v>
      </c>
      <c r="J35" s="22">
        <f t="shared" si="18"/>
        <v>3.4623630501207016E-2</v>
      </c>
      <c r="K35" s="22">
        <f t="shared" si="18"/>
        <v>3.338337031719097E-2</v>
      </c>
      <c r="L35" s="22">
        <f t="shared" si="18"/>
        <v>1.6768244544794267E-2</v>
      </c>
      <c r="M35" s="22">
        <f t="shared" si="18"/>
        <v>1.0093794645630162E-3</v>
      </c>
      <c r="N35" s="22">
        <f t="shared" si="18"/>
        <v>2.947518654690433E-3</v>
      </c>
      <c r="O35" s="22">
        <f t="shared" si="18"/>
        <v>-5.8158419823359266E-3</v>
      </c>
      <c r="P35" s="22">
        <f t="shared" si="18"/>
        <v>-2.2154803578374172E-2</v>
      </c>
      <c r="Q35" s="22">
        <f t="shared" si="18"/>
        <v>-1.3937725732287473E-2</v>
      </c>
      <c r="R35" s="22">
        <f t="shared" si="18"/>
        <v>-2.8947156111335217E-2</v>
      </c>
      <c r="S35" s="22">
        <f t="shared" si="18"/>
        <v>-3.4495937255944568E-2</v>
      </c>
      <c r="T35" s="22">
        <f t="shared" si="18"/>
        <v>-2.6624214783581446E-2</v>
      </c>
      <c r="U35" s="22">
        <f t="shared" si="18"/>
        <v>-3.0358216344283744E-2</v>
      </c>
      <c r="V35" s="22">
        <f t="shared" si="18"/>
        <v>-5.2223701245418572E-2</v>
      </c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</row>
    <row r="36" spans="1:38" ht="19" x14ac:dyDescent="0.25">
      <c r="A36" s="5" t="s">
        <v>28</v>
      </c>
      <c r="B36" s="13" t="s">
        <v>92</v>
      </c>
      <c r="C36" s="13" t="s">
        <v>92</v>
      </c>
      <c r="D36" s="13" t="s">
        <v>92</v>
      </c>
      <c r="E36" s="13" t="s">
        <v>92</v>
      </c>
      <c r="F36" s="13" t="s">
        <v>92</v>
      </c>
      <c r="G36" s="13" t="s">
        <v>92</v>
      </c>
      <c r="H36" s="13" t="s">
        <v>92</v>
      </c>
      <c r="I36" s="13" t="s">
        <v>92</v>
      </c>
      <c r="J36" s="13" t="s">
        <v>92</v>
      </c>
      <c r="K36" s="13" t="s">
        <v>92</v>
      </c>
      <c r="L36" s="13" t="s">
        <v>92</v>
      </c>
      <c r="M36" s="13" t="s">
        <v>92</v>
      </c>
      <c r="N36" s="13" t="s">
        <v>92</v>
      </c>
      <c r="O36" s="13" t="s">
        <v>92</v>
      </c>
      <c r="P36" s="13" t="s">
        <v>92</v>
      </c>
      <c r="Q36" s="13" t="s">
        <v>92</v>
      </c>
      <c r="R36" s="13" t="s">
        <v>92</v>
      </c>
      <c r="S36" s="13" t="s">
        <v>92</v>
      </c>
      <c r="T36" s="13" t="s">
        <v>92</v>
      </c>
      <c r="U36" s="13" t="s">
        <v>92</v>
      </c>
      <c r="V36" s="13" t="s">
        <v>92</v>
      </c>
    </row>
    <row r="37" spans="1:38" ht="21" x14ac:dyDescent="0.25">
      <c r="A37" s="4" t="s">
        <v>29</v>
      </c>
      <c r="B37" s="9" t="s">
        <v>90</v>
      </c>
      <c r="C37" s="9" t="s">
        <v>90</v>
      </c>
      <c r="D37" s="9" t="s">
        <v>90</v>
      </c>
      <c r="E37" s="9" t="s">
        <v>90</v>
      </c>
      <c r="F37" s="9" t="s">
        <v>90</v>
      </c>
      <c r="G37" s="9" t="s">
        <v>90</v>
      </c>
      <c r="H37" s="9" t="s">
        <v>90</v>
      </c>
      <c r="I37" s="9" t="s">
        <v>90</v>
      </c>
      <c r="J37" s="9" t="s">
        <v>90</v>
      </c>
      <c r="K37" s="9" t="s">
        <v>90</v>
      </c>
      <c r="L37" s="9" t="s">
        <v>90</v>
      </c>
      <c r="M37" s="9" t="s">
        <v>90</v>
      </c>
      <c r="N37" s="9" t="s">
        <v>90</v>
      </c>
      <c r="O37" s="9" t="s">
        <v>90</v>
      </c>
      <c r="P37" s="9" t="s">
        <v>90</v>
      </c>
      <c r="Q37" s="9" t="s">
        <v>90</v>
      </c>
      <c r="R37" s="9" t="s">
        <v>90</v>
      </c>
      <c r="S37" s="9" t="s">
        <v>90</v>
      </c>
      <c r="T37" s="9" t="s">
        <v>90</v>
      </c>
      <c r="U37" s="9" t="s">
        <v>90</v>
      </c>
      <c r="V37" s="9" t="s">
        <v>90</v>
      </c>
    </row>
    <row r="38" spans="1:38" ht="19" x14ac:dyDescent="0.25">
      <c r="A38" s="5" t="s">
        <v>30</v>
      </c>
      <c r="B38" s="1" t="s">
        <v>91</v>
      </c>
      <c r="C38" s="1">
        <v>2628000</v>
      </c>
      <c r="D38" s="1">
        <v>3178000</v>
      </c>
      <c r="E38" s="1">
        <v>2839000</v>
      </c>
      <c r="F38" s="1">
        <v>3645000</v>
      </c>
      <c r="G38" s="1">
        <v>3789000</v>
      </c>
      <c r="H38" s="1">
        <v>3638000</v>
      </c>
      <c r="I38" s="1">
        <v>4017000</v>
      </c>
      <c r="J38" s="1">
        <v>111185000</v>
      </c>
      <c r="K38" s="1">
        <v>253738000</v>
      </c>
      <c r="L38" s="1">
        <v>320475000</v>
      </c>
      <c r="M38" s="1">
        <v>419476000</v>
      </c>
      <c r="N38" s="1">
        <v>389149000</v>
      </c>
      <c r="O38" s="1">
        <v>345840000</v>
      </c>
      <c r="P38" s="1">
        <v>385010000</v>
      </c>
      <c r="Q38" s="1">
        <v>277445000</v>
      </c>
      <c r="R38" s="1">
        <v>409251000</v>
      </c>
      <c r="S38" s="1">
        <v>392325000</v>
      </c>
      <c r="T38" s="1">
        <v>1046051000</v>
      </c>
      <c r="U38" s="1">
        <v>431560000</v>
      </c>
      <c r="V38" s="1">
        <v>737877000</v>
      </c>
    </row>
    <row r="39" spans="1:38" ht="19" x14ac:dyDescent="0.25">
      <c r="A39" s="5" t="s">
        <v>31</v>
      </c>
      <c r="B39" s="1" t="s">
        <v>91</v>
      </c>
      <c r="C39" s="1" t="s">
        <v>91</v>
      </c>
      <c r="D39" s="1" t="s">
        <v>91</v>
      </c>
      <c r="E39" s="1" t="s">
        <v>91</v>
      </c>
      <c r="F39" s="1" t="s">
        <v>91</v>
      </c>
      <c r="G39" s="1" t="s">
        <v>91</v>
      </c>
      <c r="H39" s="1" t="s">
        <v>91</v>
      </c>
      <c r="I39" s="1" t="s">
        <v>91</v>
      </c>
      <c r="J39" s="1" t="s">
        <v>91</v>
      </c>
      <c r="K39" s="1" t="s">
        <v>91</v>
      </c>
      <c r="L39" s="1" t="s">
        <v>91</v>
      </c>
      <c r="M39" s="1" t="s">
        <v>91</v>
      </c>
      <c r="N39" s="1">
        <v>150209000</v>
      </c>
      <c r="O39" s="1">
        <v>130000000</v>
      </c>
      <c r="P39" s="1">
        <v>30000000</v>
      </c>
      <c r="Q39" s="1">
        <v>120000000</v>
      </c>
      <c r="R39" s="1" t="s">
        <v>91</v>
      </c>
      <c r="S39" s="1">
        <v>110000000</v>
      </c>
      <c r="T39" s="1" t="s">
        <v>91</v>
      </c>
      <c r="U39" s="1" t="s">
        <v>91</v>
      </c>
      <c r="V39" s="1" t="s">
        <v>91</v>
      </c>
    </row>
    <row r="40" spans="1:38" ht="19" x14ac:dyDescent="0.25">
      <c r="A40" s="5" t="s">
        <v>32</v>
      </c>
      <c r="B40" s="1" t="s">
        <v>91</v>
      </c>
      <c r="C40" s="1">
        <v>2628000</v>
      </c>
      <c r="D40" s="1">
        <v>3178000</v>
      </c>
      <c r="E40" s="1">
        <v>2839000</v>
      </c>
      <c r="F40" s="1">
        <v>3645000</v>
      </c>
      <c r="G40" s="1">
        <v>3789000</v>
      </c>
      <c r="H40" s="1">
        <v>3638000</v>
      </c>
      <c r="I40" s="1">
        <v>4017000</v>
      </c>
      <c r="J40" s="1">
        <v>111185000</v>
      </c>
      <c r="K40" s="1">
        <v>253738000</v>
      </c>
      <c r="L40" s="1">
        <v>320475000</v>
      </c>
      <c r="M40" s="1">
        <v>419476000</v>
      </c>
      <c r="N40" s="1">
        <v>539358000</v>
      </c>
      <c r="O40" s="1">
        <v>475840000</v>
      </c>
      <c r="P40" s="1">
        <v>415010000</v>
      </c>
      <c r="Q40" s="1">
        <v>397445000</v>
      </c>
      <c r="R40" s="1">
        <v>409251000</v>
      </c>
      <c r="S40" s="1">
        <v>502325000</v>
      </c>
      <c r="T40" s="1">
        <v>1046051000</v>
      </c>
      <c r="U40" s="1">
        <v>431560000</v>
      </c>
      <c r="V40" s="1">
        <v>737877000</v>
      </c>
    </row>
    <row r="41" spans="1:38" ht="19" x14ac:dyDescent="0.25">
      <c r="A41" s="5" t="s">
        <v>33</v>
      </c>
      <c r="B41" s="1" t="s">
        <v>91</v>
      </c>
      <c r="C41" s="1" t="s">
        <v>91</v>
      </c>
      <c r="D41" s="1" t="s">
        <v>91</v>
      </c>
      <c r="E41" s="1">
        <v>15757000</v>
      </c>
      <c r="F41" s="1">
        <v>18476000</v>
      </c>
      <c r="G41" s="1">
        <v>20643000</v>
      </c>
      <c r="H41" s="1">
        <v>18268000</v>
      </c>
      <c r="I41" s="1">
        <v>13477000</v>
      </c>
      <c r="J41" s="1">
        <v>22292000</v>
      </c>
      <c r="K41" s="1">
        <v>26153000</v>
      </c>
      <c r="L41" s="1">
        <v>41515000</v>
      </c>
      <c r="M41" s="1">
        <v>47049000</v>
      </c>
      <c r="N41" s="1">
        <v>52440000</v>
      </c>
      <c r="O41" s="1">
        <v>64992000</v>
      </c>
      <c r="P41" s="1">
        <v>88631000</v>
      </c>
      <c r="Q41" s="1">
        <v>99719000</v>
      </c>
      <c r="R41" s="1">
        <v>136168000</v>
      </c>
      <c r="S41" s="1">
        <v>139337000</v>
      </c>
      <c r="T41" s="1">
        <v>193109000</v>
      </c>
      <c r="U41" s="1">
        <v>233682000</v>
      </c>
      <c r="V41" s="1">
        <v>199422000</v>
      </c>
    </row>
    <row r="42" spans="1:38" ht="19" x14ac:dyDescent="0.25">
      <c r="A42" s="5" t="s">
        <v>34</v>
      </c>
      <c r="B42" s="1" t="s">
        <v>91</v>
      </c>
      <c r="C42" s="1" t="s">
        <v>91</v>
      </c>
      <c r="D42" s="1" t="s">
        <v>91</v>
      </c>
      <c r="E42" s="1">
        <v>109374000</v>
      </c>
      <c r="F42" s="1">
        <v>129237000</v>
      </c>
      <c r="G42" s="1">
        <v>176109000</v>
      </c>
      <c r="H42" s="1">
        <v>213602000</v>
      </c>
      <c r="I42" s="1">
        <v>206948000</v>
      </c>
      <c r="J42" s="1">
        <v>218516000</v>
      </c>
      <c r="K42" s="1">
        <v>244647000</v>
      </c>
      <c r="L42" s="1">
        <v>361125000</v>
      </c>
      <c r="M42" s="1">
        <v>457933000</v>
      </c>
      <c r="N42" s="1">
        <v>581229000</v>
      </c>
      <c r="O42" s="1">
        <v>761793000</v>
      </c>
      <c r="P42" s="1">
        <v>943975000</v>
      </c>
      <c r="Q42" s="1">
        <v>1096424000</v>
      </c>
      <c r="R42" s="1">
        <v>1214329000</v>
      </c>
      <c r="S42" s="1">
        <v>1293701000</v>
      </c>
      <c r="T42" s="1">
        <v>1168215000</v>
      </c>
      <c r="U42" s="1">
        <v>1499218000</v>
      </c>
      <c r="V42" s="1">
        <v>1603451000</v>
      </c>
    </row>
    <row r="43" spans="1:38" ht="19" x14ac:dyDescent="0.25">
      <c r="A43" s="5" t="s">
        <v>35</v>
      </c>
      <c r="B43" s="1" t="s">
        <v>91</v>
      </c>
      <c r="C43" s="1" t="s">
        <v>91</v>
      </c>
      <c r="D43" s="1" t="s">
        <v>91</v>
      </c>
      <c r="E43" s="1">
        <v>17481000</v>
      </c>
      <c r="F43" s="1">
        <v>20688000</v>
      </c>
      <c r="G43" s="1">
        <v>28403000</v>
      </c>
      <c r="H43" s="1">
        <v>41200000</v>
      </c>
      <c r="I43" s="1">
        <v>38332000</v>
      </c>
      <c r="J43" s="1">
        <v>52396000</v>
      </c>
      <c r="K43" s="1">
        <v>55694000</v>
      </c>
      <c r="L43" s="1">
        <v>66209000</v>
      </c>
      <c r="M43" s="1">
        <v>78239000</v>
      </c>
      <c r="N43" s="1">
        <v>87328000</v>
      </c>
      <c r="O43" s="1">
        <v>72548000</v>
      </c>
      <c r="P43" s="1">
        <v>88621000</v>
      </c>
      <c r="Q43" s="1">
        <v>100155000</v>
      </c>
      <c r="R43" s="1">
        <v>155113000</v>
      </c>
      <c r="S43" s="1">
        <v>119954000</v>
      </c>
      <c r="T43" s="1">
        <v>107402000</v>
      </c>
      <c r="U43" s="1">
        <v>116723000</v>
      </c>
      <c r="V43" s="1">
        <v>168554000</v>
      </c>
    </row>
    <row r="44" spans="1:38" ht="19" x14ac:dyDescent="0.25">
      <c r="A44" s="6" t="s">
        <v>36</v>
      </c>
      <c r="B44" s="10" t="s">
        <v>91</v>
      </c>
      <c r="C44" s="10" t="s">
        <v>91</v>
      </c>
      <c r="D44" s="10" t="s">
        <v>91</v>
      </c>
      <c r="E44" s="10">
        <v>145451000</v>
      </c>
      <c r="F44" s="10">
        <v>172046000</v>
      </c>
      <c r="G44" s="10">
        <v>228944000</v>
      </c>
      <c r="H44" s="10">
        <v>276708000</v>
      </c>
      <c r="I44" s="10">
        <v>262774000</v>
      </c>
      <c r="J44" s="10">
        <v>404389000</v>
      </c>
      <c r="K44" s="10">
        <v>580232000</v>
      </c>
      <c r="L44" s="10">
        <v>789324000</v>
      </c>
      <c r="M44" s="10">
        <v>1002697000</v>
      </c>
      <c r="N44" s="10">
        <v>1260355000</v>
      </c>
      <c r="O44" s="10">
        <v>1375173000</v>
      </c>
      <c r="P44" s="10">
        <v>1536237000</v>
      </c>
      <c r="Q44" s="10">
        <v>1693743000</v>
      </c>
      <c r="R44" s="10">
        <v>1914861000</v>
      </c>
      <c r="S44" s="10">
        <v>2055317000</v>
      </c>
      <c r="T44" s="10">
        <v>2514777000</v>
      </c>
      <c r="U44" s="10">
        <v>2281183000</v>
      </c>
      <c r="V44" s="10">
        <v>2709304000</v>
      </c>
    </row>
    <row r="45" spans="1:38" ht="19" x14ac:dyDescent="0.25">
      <c r="A45" s="5" t="s">
        <v>37</v>
      </c>
      <c r="B45" s="1" t="s">
        <v>91</v>
      </c>
      <c r="C45" s="1">
        <v>85180000</v>
      </c>
      <c r="D45" s="1">
        <v>99577000</v>
      </c>
      <c r="E45" s="1">
        <v>133003000</v>
      </c>
      <c r="F45" s="1">
        <v>162080000</v>
      </c>
      <c r="G45" s="1">
        <v>236389000</v>
      </c>
      <c r="H45" s="1">
        <v>292224000</v>
      </c>
      <c r="I45" s="1">
        <v>290861000</v>
      </c>
      <c r="J45" s="1">
        <v>326099000</v>
      </c>
      <c r="K45" s="1">
        <v>376985000</v>
      </c>
      <c r="L45" s="1">
        <v>483059000</v>
      </c>
      <c r="M45" s="1">
        <v>595736000</v>
      </c>
      <c r="N45" s="1">
        <v>717159000</v>
      </c>
      <c r="O45" s="1">
        <v>847600000</v>
      </c>
      <c r="P45" s="1">
        <v>1004358000</v>
      </c>
      <c r="Q45" s="1">
        <v>1189453000</v>
      </c>
      <c r="R45" s="1">
        <v>1226029000</v>
      </c>
      <c r="S45" s="1">
        <v>2743089000</v>
      </c>
      <c r="T45" s="1">
        <v>2500409000</v>
      </c>
      <c r="U45" s="1">
        <v>2396732000</v>
      </c>
      <c r="V45" s="1">
        <v>1009273000</v>
      </c>
    </row>
    <row r="46" spans="1:38" ht="19" x14ac:dyDescent="0.25">
      <c r="A46" s="5" t="s">
        <v>38</v>
      </c>
      <c r="B46" s="1" t="s">
        <v>91</v>
      </c>
      <c r="C46" s="1" t="s">
        <v>91</v>
      </c>
      <c r="D46" s="1" t="s">
        <v>91</v>
      </c>
      <c r="E46" s="1" t="s">
        <v>91</v>
      </c>
      <c r="F46" s="1" t="s">
        <v>91</v>
      </c>
      <c r="G46" s="1" t="s">
        <v>91</v>
      </c>
      <c r="H46" s="1" t="s">
        <v>91</v>
      </c>
      <c r="I46" s="1" t="s">
        <v>91</v>
      </c>
      <c r="J46" s="1" t="s">
        <v>91</v>
      </c>
      <c r="K46" s="1" t="s">
        <v>91</v>
      </c>
      <c r="L46" s="1" t="s">
        <v>91</v>
      </c>
      <c r="M46" s="1" t="s">
        <v>91</v>
      </c>
      <c r="N46" s="1" t="s">
        <v>91</v>
      </c>
      <c r="O46" s="1" t="s">
        <v>91</v>
      </c>
      <c r="P46" s="1" t="s">
        <v>91</v>
      </c>
      <c r="Q46" s="1" t="s">
        <v>91</v>
      </c>
      <c r="R46" s="1">
        <v>10870000</v>
      </c>
      <c r="S46" s="1">
        <v>10870000</v>
      </c>
      <c r="T46" s="1">
        <v>10870000</v>
      </c>
      <c r="U46" s="1">
        <v>10870000</v>
      </c>
      <c r="V46" s="1">
        <v>10870000</v>
      </c>
    </row>
    <row r="47" spans="1:38" ht="19" x14ac:dyDescent="0.25">
      <c r="A47" s="5" t="s">
        <v>39</v>
      </c>
      <c r="B47" s="1" t="s">
        <v>91</v>
      </c>
      <c r="C47" s="1" t="s">
        <v>91</v>
      </c>
      <c r="D47" s="1" t="s">
        <v>91</v>
      </c>
      <c r="E47" s="1" t="s">
        <v>91</v>
      </c>
      <c r="F47" s="1" t="s">
        <v>91</v>
      </c>
      <c r="G47" s="1" t="s">
        <v>91</v>
      </c>
      <c r="H47" s="1" t="s">
        <v>91</v>
      </c>
      <c r="I47" s="1" t="s">
        <v>91</v>
      </c>
      <c r="J47" s="1" t="s">
        <v>91</v>
      </c>
      <c r="K47" s="1" t="s">
        <v>91</v>
      </c>
      <c r="L47" s="1" t="s">
        <v>91</v>
      </c>
      <c r="M47" s="1" t="s">
        <v>91</v>
      </c>
      <c r="N47" s="1" t="s">
        <v>91</v>
      </c>
      <c r="O47" s="1" t="s">
        <v>91</v>
      </c>
      <c r="P47" s="1" t="s">
        <v>91</v>
      </c>
      <c r="Q47" s="1" t="s">
        <v>91</v>
      </c>
      <c r="R47" s="1">
        <v>4317000</v>
      </c>
      <c r="S47" s="1">
        <v>3391000</v>
      </c>
      <c r="T47" s="1">
        <v>2465000</v>
      </c>
      <c r="U47" s="1">
        <v>1538000</v>
      </c>
      <c r="V47" s="1">
        <v>1312000</v>
      </c>
    </row>
    <row r="48" spans="1:38" ht="19" x14ac:dyDescent="0.25">
      <c r="A48" s="5" t="s">
        <v>40</v>
      </c>
      <c r="B48" s="1" t="s">
        <v>91</v>
      </c>
      <c r="C48" s="1" t="s">
        <v>91</v>
      </c>
      <c r="D48" s="1" t="s">
        <v>91</v>
      </c>
      <c r="E48" s="1" t="s">
        <v>91</v>
      </c>
      <c r="F48" s="1" t="s">
        <v>91</v>
      </c>
      <c r="G48" s="1" t="s">
        <v>91</v>
      </c>
      <c r="H48" s="1" t="s">
        <v>91</v>
      </c>
      <c r="I48" s="1" t="s">
        <v>91</v>
      </c>
      <c r="J48" s="1" t="s">
        <v>91</v>
      </c>
      <c r="K48" s="1" t="s">
        <v>91</v>
      </c>
      <c r="L48" s="1" t="s">
        <v>91</v>
      </c>
      <c r="M48" s="1" t="s">
        <v>91</v>
      </c>
      <c r="N48" s="1" t="s">
        <v>91</v>
      </c>
      <c r="O48" s="1" t="s">
        <v>91</v>
      </c>
      <c r="P48" s="1" t="s">
        <v>91</v>
      </c>
      <c r="Q48" s="1" t="s">
        <v>91</v>
      </c>
      <c r="R48" s="1">
        <v>15187000</v>
      </c>
      <c r="S48" s="1">
        <v>14261000</v>
      </c>
      <c r="T48" s="1">
        <v>13335000</v>
      </c>
      <c r="U48" s="1">
        <v>12408000</v>
      </c>
      <c r="V48" s="1">
        <v>12182000</v>
      </c>
    </row>
    <row r="49" spans="1:22" ht="19" x14ac:dyDescent="0.25">
      <c r="A49" s="5" t="s">
        <v>41</v>
      </c>
      <c r="B49" s="1" t="s">
        <v>91</v>
      </c>
      <c r="C49" s="1" t="s">
        <v>91</v>
      </c>
      <c r="D49" s="1" t="s">
        <v>91</v>
      </c>
      <c r="E49" s="1" t="s">
        <v>91</v>
      </c>
      <c r="F49" s="1" t="s">
        <v>91</v>
      </c>
      <c r="G49" s="1" t="s">
        <v>91</v>
      </c>
      <c r="H49" s="1" t="s">
        <v>91</v>
      </c>
      <c r="I49" s="1" t="s">
        <v>91</v>
      </c>
      <c r="J49" s="1" t="s">
        <v>91</v>
      </c>
      <c r="K49" s="1" t="s">
        <v>91</v>
      </c>
      <c r="L49" s="1" t="s">
        <v>91</v>
      </c>
      <c r="M49" s="1" t="s">
        <v>91</v>
      </c>
      <c r="N49" s="1" t="s">
        <v>91</v>
      </c>
      <c r="O49" s="1" t="s">
        <v>91</v>
      </c>
      <c r="P49" s="1" t="s">
        <v>91</v>
      </c>
      <c r="Q49" s="1" t="s">
        <v>91</v>
      </c>
      <c r="R49" s="1" t="s">
        <v>91</v>
      </c>
      <c r="S49" s="1" t="s">
        <v>91</v>
      </c>
      <c r="T49" s="1" t="s">
        <v>91</v>
      </c>
      <c r="U49" s="1" t="s">
        <v>91</v>
      </c>
      <c r="V49" s="1" t="s">
        <v>91</v>
      </c>
    </row>
    <row r="50" spans="1:22" ht="19" x14ac:dyDescent="0.25">
      <c r="A50" s="5" t="s">
        <v>42</v>
      </c>
      <c r="B50" s="1" t="s">
        <v>91</v>
      </c>
      <c r="C50" s="1" t="s">
        <v>91</v>
      </c>
      <c r="D50" s="1" t="s">
        <v>91</v>
      </c>
      <c r="E50" s="1">
        <v>3962000</v>
      </c>
      <c r="F50" s="1">
        <v>4125000</v>
      </c>
      <c r="G50" s="1">
        <v>4080000</v>
      </c>
      <c r="H50" s="1" t="s">
        <v>91</v>
      </c>
      <c r="I50" s="1" t="s">
        <v>91</v>
      </c>
      <c r="J50" s="1" t="s">
        <v>91</v>
      </c>
      <c r="K50" s="1" t="s">
        <v>91</v>
      </c>
      <c r="L50" s="1" t="s">
        <v>91</v>
      </c>
      <c r="M50" s="1" t="s">
        <v>91</v>
      </c>
      <c r="N50" s="1" t="s">
        <v>91</v>
      </c>
      <c r="O50" s="1" t="s">
        <v>91</v>
      </c>
      <c r="P50" s="1" t="s">
        <v>91</v>
      </c>
      <c r="Q50" s="1" t="s">
        <v>91</v>
      </c>
      <c r="R50" s="1" t="s">
        <v>91</v>
      </c>
      <c r="S50" s="1" t="s">
        <v>91</v>
      </c>
      <c r="T50" s="1" t="s">
        <v>91</v>
      </c>
      <c r="U50" s="1" t="s">
        <v>91</v>
      </c>
      <c r="V50" s="1" t="s">
        <v>91</v>
      </c>
    </row>
    <row r="51" spans="1:22" ht="19" x14ac:dyDescent="0.25">
      <c r="A51" s="5" t="s">
        <v>43</v>
      </c>
      <c r="B51" s="1" t="s">
        <v>91</v>
      </c>
      <c r="C51" s="1" t="s">
        <v>91</v>
      </c>
      <c r="D51" s="1" t="s">
        <v>91</v>
      </c>
      <c r="E51" s="1">
        <v>199000</v>
      </c>
      <c r="F51" s="1">
        <v>346000</v>
      </c>
      <c r="G51" s="1" t="s">
        <v>91</v>
      </c>
      <c r="H51" s="1" t="s">
        <v>91</v>
      </c>
      <c r="I51" s="1" t="s">
        <v>91</v>
      </c>
      <c r="J51" s="1" t="s">
        <v>91</v>
      </c>
      <c r="K51" s="1" t="s">
        <v>91</v>
      </c>
      <c r="L51" s="1">
        <v>2866000</v>
      </c>
      <c r="M51" s="1">
        <v>4294000</v>
      </c>
      <c r="N51" s="1">
        <v>5656000</v>
      </c>
      <c r="O51" s="1">
        <v>8145000</v>
      </c>
      <c r="P51" s="1">
        <v>11283000</v>
      </c>
      <c r="Q51" s="1">
        <v>25491000</v>
      </c>
      <c r="R51" s="1">
        <v>35095000</v>
      </c>
      <c r="S51" s="1">
        <v>51205000</v>
      </c>
      <c r="T51" s="1">
        <v>61448000</v>
      </c>
      <c r="U51" s="1">
        <v>74056000</v>
      </c>
      <c r="V51" s="1">
        <v>78389000</v>
      </c>
    </row>
    <row r="52" spans="1:22" ht="19" x14ac:dyDescent="0.25">
      <c r="A52" s="5" t="s">
        <v>44</v>
      </c>
      <c r="B52" s="1" t="s">
        <v>91</v>
      </c>
      <c r="C52" s="1" t="s">
        <v>91</v>
      </c>
      <c r="D52" s="1" t="s">
        <v>91</v>
      </c>
      <c r="E52" s="1">
        <v>137164000</v>
      </c>
      <c r="F52" s="1">
        <v>166551000</v>
      </c>
      <c r="G52" s="1">
        <v>240469000</v>
      </c>
      <c r="H52" s="1">
        <v>292224000</v>
      </c>
      <c r="I52" s="1">
        <v>290861000</v>
      </c>
      <c r="J52" s="1">
        <v>326099000</v>
      </c>
      <c r="K52" s="1">
        <v>376985000</v>
      </c>
      <c r="L52" s="1">
        <v>485925000</v>
      </c>
      <c r="M52" s="1">
        <v>600030000</v>
      </c>
      <c r="N52" s="1">
        <v>722815000</v>
      </c>
      <c r="O52" s="1">
        <v>855745000</v>
      </c>
      <c r="P52" s="1">
        <v>1015641000</v>
      </c>
      <c r="Q52" s="1">
        <v>1214944000</v>
      </c>
      <c r="R52" s="1">
        <v>1276311000</v>
      </c>
      <c r="S52" s="1">
        <v>2808555000</v>
      </c>
      <c r="T52" s="1">
        <v>2575192000</v>
      </c>
      <c r="U52" s="1">
        <v>2483196000</v>
      </c>
      <c r="V52" s="1">
        <v>2661107000</v>
      </c>
    </row>
    <row r="53" spans="1:22" ht="19" x14ac:dyDescent="0.25">
      <c r="A53" s="5" t="s">
        <v>45</v>
      </c>
      <c r="B53" s="1" t="s">
        <v>91</v>
      </c>
      <c r="C53" s="1">
        <v>195059000</v>
      </c>
      <c r="D53" s="1">
        <v>206420000</v>
      </c>
      <c r="E53" s="1" t="s">
        <v>91</v>
      </c>
      <c r="F53" s="1" t="s">
        <v>91</v>
      </c>
      <c r="G53" s="1" t="s">
        <v>91</v>
      </c>
      <c r="H53" s="1" t="s">
        <v>91</v>
      </c>
      <c r="I53" s="1" t="s">
        <v>91</v>
      </c>
      <c r="J53" s="1" t="s">
        <v>91</v>
      </c>
      <c r="K53" s="1" t="s">
        <v>91</v>
      </c>
      <c r="L53" s="1" t="s">
        <v>91</v>
      </c>
      <c r="M53" s="1" t="s">
        <v>91</v>
      </c>
      <c r="N53" s="1" t="s">
        <v>91</v>
      </c>
      <c r="O53" s="1" t="s">
        <v>91</v>
      </c>
      <c r="P53" s="1" t="s">
        <v>91</v>
      </c>
      <c r="Q53" s="1" t="s">
        <v>91</v>
      </c>
      <c r="R53" s="1" t="s">
        <v>91</v>
      </c>
      <c r="S53" s="1" t="s">
        <v>91</v>
      </c>
      <c r="T53" s="1" t="s">
        <v>91</v>
      </c>
      <c r="U53" s="1" t="s">
        <v>91</v>
      </c>
      <c r="V53" s="1" t="s">
        <v>91</v>
      </c>
    </row>
    <row r="54" spans="1:22" ht="20" thickBot="1" x14ac:dyDescent="0.3">
      <c r="A54" s="7" t="s">
        <v>46</v>
      </c>
      <c r="B54" s="11" t="s">
        <v>91</v>
      </c>
      <c r="C54" s="11">
        <v>195059000</v>
      </c>
      <c r="D54" s="11">
        <v>206420000</v>
      </c>
      <c r="E54" s="11">
        <v>282615000</v>
      </c>
      <c r="F54" s="11">
        <v>338597000</v>
      </c>
      <c r="G54" s="11">
        <v>469413000</v>
      </c>
      <c r="H54" s="11">
        <v>568932000</v>
      </c>
      <c r="I54" s="11">
        <v>553635000</v>
      </c>
      <c r="J54" s="11">
        <v>730488000</v>
      </c>
      <c r="K54" s="11">
        <v>957217000</v>
      </c>
      <c r="L54" s="11">
        <v>1275249000</v>
      </c>
      <c r="M54" s="11">
        <v>1602727000</v>
      </c>
      <c r="N54" s="11">
        <v>1983170000</v>
      </c>
      <c r="O54" s="11">
        <v>2230918000</v>
      </c>
      <c r="P54" s="11">
        <v>2551878000</v>
      </c>
      <c r="Q54" s="11">
        <v>2908687000</v>
      </c>
      <c r="R54" s="11">
        <v>3191172000</v>
      </c>
      <c r="S54" s="11">
        <v>4863872000</v>
      </c>
      <c r="T54" s="11">
        <v>5089969000</v>
      </c>
      <c r="U54" s="11">
        <v>4764379000</v>
      </c>
      <c r="V54" s="11">
        <v>5370411000</v>
      </c>
    </row>
    <row r="55" spans="1:22" ht="20" thickTop="1" x14ac:dyDescent="0.25">
      <c r="A55" s="5" t="s">
        <v>47</v>
      </c>
      <c r="B55" s="1" t="s">
        <v>91</v>
      </c>
      <c r="C55" s="1" t="s">
        <v>91</v>
      </c>
      <c r="D55" s="1" t="s">
        <v>91</v>
      </c>
      <c r="E55" s="1">
        <v>34435000</v>
      </c>
      <c r="F55" s="1">
        <v>43071000</v>
      </c>
      <c r="G55" s="1">
        <v>52122000</v>
      </c>
      <c r="H55" s="1">
        <v>47811000</v>
      </c>
      <c r="I55" s="1">
        <v>56387000</v>
      </c>
      <c r="J55" s="1">
        <v>87093000</v>
      </c>
      <c r="K55" s="1">
        <v>86442000</v>
      </c>
      <c r="L55" s="1">
        <v>118886000</v>
      </c>
      <c r="M55" s="1">
        <v>148282000</v>
      </c>
      <c r="N55" s="1">
        <v>190778000</v>
      </c>
      <c r="O55" s="1">
        <v>196174000</v>
      </c>
      <c r="P55" s="1">
        <v>259518000</v>
      </c>
      <c r="Q55" s="1">
        <v>325758000</v>
      </c>
      <c r="R55" s="1">
        <v>404016000</v>
      </c>
      <c r="S55" s="1">
        <v>414009000</v>
      </c>
      <c r="T55" s="1">
        <v>477052000</v>
      </c>
      <c r="U55" s="1">
        <v>552730000</v>
      </c>
      <c r="V55" s="1">
        <v>559527000</v>
      </c>
    </row>
    <row r="56" spans="1:22" ht="19" x14ac:dyDescent="0.25">
      <c r="A56" s="5" t="s">
        <v>48</v>
      </c>
      <c r="B56" s="1" t="s">
        <v>91</v>
      </c>
      <c r="C56" s="1" t="s">
        <v>91</v>
      </c>
      <c r="D56" s="1" t="s">
        <v>91</v>
      </c>
      <c r="E56" s="1" t="s">
        <v>91</v>
      </c>
      <c r="F56" s="1" t="s">
        <v>91</v>
      </c>
      <c r="G56" s="1" t="s">
        <v>91</v>
      </c>
      <c r="H56" s="1">
        <v>18000000</v>
      </c>
      <c r="I56" s="1" t="s">
        <v>91</v>
      </c>
      <c r="J56" s="1" t="s">
        <v>91</v>
      </c>
      <c r="K56" s="1" t="s">
        <v>91</v>
      </c>
      <c r="L56" s="1" t="s">
        <v>91</v>
      </c>
      <c r="M56" s="1" t="s">
        <v>91</v>
      </c>
      <c r="N56" s="1" t="s">
        <v>91</v>
      </c>
      <c r="O56" s="1" t="s">
        <v>91</v>
      </c>
      <c r="P56" s="1" t="s">
        <v>91</v>
      </c>
      <c r="Q56" s="1" t="s">
        <v>91</v>
      </c>
      <c r="R56" s="1" t="s">
        <v>91</v>
      </c>
      <c r="S56" s="1">
        <v>239629000</v>
      </c>
      <c r="T56" s="1">
        <v>253415000</v>
      </c>
      <c r="U56" s="1">
        <v>274118000</v>
      </c>
      <c r="V56" s="1">
        <v>283293000</v>
      </c>
    </row>
    <row r="57" spans="1:22" ht="19" x14ac:dyDescent="0.25">
      <c r="A57" s="5" t="s">
        <v>49</v>
      </c>
      <c r="B57" s="1" t="s">
        <v>91</v>
      </c>
      <c r="C57" s="1" t="s">
        <v>91</v>
      </c>
      <c r="D57" s="1" t="s">
        <v>91</v>
      </c>
      <c r="E57" s="1" t="s">
        <v>91</v>
      </c>
      <c r="F57" s="1" t="s">
        <v>91</v>
      </c>
      <c r="G57" s="1" t="s">
        <v>91</v>
      </c>
      <c r="H57" s="1" t="s">
        <v>91</v>
      </c>
      <c r="I57" s="1">
        <v>10781000</v>
      </c>
      <c r="J57" s="1" t="s">
        <v>91</v>
      </c>
      <c r="K57" s="1">
        <v>11621000</v>
      </c>
      <c r="L57" s="1">
        <v>20045000</v>
      </c>
      <c r="M57" s="1">
        <v>28137000</v>
      </c>
      <c r="N57" s="1">
        <v>37228000</v>
      </c>
      <c r="O57" s="1">
        <v>33188000</v>
      </c>
      <c r="P57" s="1">
        <v>33854000</v>
      </c>
      <c r="Q57" s="1">
        <v>41717000</v>
      </c>
      <c r="R57" s="1">
        <v>32085000</v>
      </c>
      <c r="S57" s="1">
        <v>39051000</v>
      </c>
      <c r="T57" s="1">
        <v>79316000</v>
      </c>
      <c r="U57" s="1">
        <v>56250000</v>
      </c>
      <c r="V57" s="1">
        <v>56250000</v>
      </c>
    </row>
    <row r="58" spans="1:22" ht="19" x14ac:dyDescent="0.25">
      <c r="A58" s="5" t="s">
        <v>50</v>
      </c>
      <c r="B58" s="1" t="s">
        <v>91</v>
      </c>
      <c r="C58" s="1" t="s">
        <v>91</v>
      </c>
      <c r="D58" s="1" t="s">
        <v>91</v>
      </c>
      <c r="E58" s="1" t="s">
        <v>91</v>
      </c>
      <c r="F58" s="1" t="s">
        <v>91</v>
      </c>
      <c r="G58" s="1" t="s">
        <v>91</v>
      </c>
      <c r="H58" s="1" t="s">
        <v>91</v>
      </c>
      <c r="I58" s="1" t="s">
        <v>91</v>
      </c>
      <c r="J58" s="1" t="s">
        <v>91</v>
      </c>
      <c r="K58" s="1" t="s">
        <v>91</v>
      </c>
      <c r="L58" s="1" t="s">
        <v>91</v>
      </c>
      <c r="M58" s="1" t="s">
        <v>91</v>
      </c>
      <c r="N58" s="1" t="s">
        <v>91</v>
      </c>
      <c r="O58" s="1" t="s">
        <v>91</v>
      </c>
      <c r="P58" s="1" t="s">
        <v>91</v>
      </c>
      <c r="Q58" s="1" t="s">
        <v>91</v>
      </c>
      <c r="R58" s="1">
        <v>199054000</v>
      </c>
      <c r="S58" s="1">
        <v>237535000</v>
      </c>
      <c r="T58" s="1">
        <v>274383000</v>
      </c>
      <c r="U58" s="1">
        <v>353579000</v>
      </c>
      <c r="V58" s="1">
        <v>394677000</v>
      </c>
    </row>
    <row r="59" spans="1:22" ht="19" x14ac:dyDescent="0.25">
      <c r="A59" s="5" t="s">
        <v>51</v>
      </c>
      <c r="B59" s="1" t="s">
        <v>91</v>
      </c>
      <c r="C59" s="1" t="s">
        <v>91</v>
      </c>
      <c r="D59" s="1" t="s">
        <v>91</v>
      </c>
      <c r="E59" s="1">
        <v>34543000</v>
      </c>
      <c r="F59" s="1">
        <v>40870000</v>
      </c>
      <c r="G59" s="1">
        <v>59783000</v>
      </c>
      <c r="H59" s="1">
        <v>51202000</v>
      </c>
      <c r="I59" s="1">
        <v>59189000</v>
      </c>
      <c r="J59" s="1">
        <v>76264000</v>
      </c>
      <c r="K59" s="1">
        <v>66792000</v>
      </c>
      <c r="L59" s="1">
        <v>82136000</v>
      </c>
      <c r="M59" s="1">
        <v>90392000</v>
      </c>
      <c r="N59" s="1">
        <v>131588000</v>
      </c>
      <c r="O59" s="1">
        <v>166865000</v>
      </c>
      <c r="P59" s="1">
        <v>235971000</v>
      </c>
      <c r="Q59" s="1">
        <v>274691000</v>
      </c>
      <c r="R59" s="1">
        <v>188581000</v>
      </c>
      <c r="S59" s="1">
        <v>207037000</v>
      </c>
      <c r="T59" s="1">
        <v>259547000</v>
      </c>
      <c r="U59" s="1">
        <v>321333000</v>
      </c>
      <c r="V59" s="1">
        <v>321333000</v>
      </c>
    </row>
    <row r="60" spans="1:22" ht="19" x14ac:dyDescent="0.25">
      <c r="A60" s="6" t="s">
        <v>52</v>
      </c>
      <c r="B60" s="10" t="s">
        <v>91</v>
      </c>
      <c r="C60" s="10" t="s">
        <v>91</v>
      </c>
      <c r="D60" s="10" t="s">
        <v>91</v>
      </c>
      <c r="E60" s="10">
        <v>68978000</v>
      </c>
      <c r="F60" s="10">
        <v>83941000</v>
      </c>
      <c r="G60" s="10">
        <v>111905000</v>
      </c>
      <c r="H60" s="10">
        <v>117013000</v>
      </c>
      <c r="I60" s="10">
        <v>126357000</v>
      </c>
      <c r="J60" s="10">
        <v>163357000</v>
      </c>
      <c r="K60" s="10">
        <v>164855000</v>
      </c>
      <c r="L60" s="10">
        <v>221067000</v>
      </c>
      <c r="M60" s="10">
        <v>266811000</v>
      </c>
      <c r="N60" s="10">
        <v>359594000</v>
      </c>
      <c r="O60" s="10">
        <v>396227000</v>
      </c>
      <c r="P60" s="10">
        <v>529343000</v>
      </c>
      <c r="Q60" s="10">
        <v>642166000</v>
      </c>
      <c r="R60" s="10">
        <v>823736000</v>
      </c>
      <c r="S60" s="10">
        <v>1137261000</v>
      </c>
      <c r="T60" s="10">
        <v>1343713000</v>
      </c>
      <c r="U60" s="10">
        <v>1558010000</v>
      </c>
      <c r="V60" s="10">
        <v>1681775000</v>
      </c>
    </row>
    <row r="61" spans="1:22" ht="19" x14ac:dyDescent="0.25">
      <c r="A61" s="5" t="s">
        <v>53</v>
      </c>
      <c r="B61" s="1" t="s">
        <v>91</v>
      </c>
      <c r="C61" s="1" t="s">
        <v>91</v>
      </c>
      <c r="D61" s="1" t="s">
        <v>91</v>
      </c>
      <c r="E61" s="1">
        <v>45381000</v>
      </c>
      <c r="F61" s="1">
        <v>50737000</v>
      </c>
      <c r="G61" s="1">
        <v>74770000</v>
      </c>
      <c r="H61" s="1">
        <v>88047000</v>
      </c>
      <c r="I61" s="1" t="s">
        <v>91</v>
      </c>
      <c r="J61" s="1" t="s">
        <v>91</v>
      </c>
      <c r="K61" s="1" t="s">
        <v>91</v>
      </c>
      <c r="L61" s="1" t="s">
        <v>91</v>
      </c>
      <c r="M61" s="1" t="s">
        <v>91</v>
      </c>
      <c r="N61" s="1" t="s">
        <v>91</v>
      </c>
      <c r="O61" s="1" t="s">
        <v>91</v>
      </c>
      <c r="P61" s="1" t="s">
        <v>91</v>
      </c>
      <c r="Q61" s="1" t="s">
        <v>91</v>
      </c>
      <c r="R61" s="1" t="s">
        <v>91</v>
      </c>
      <c r="S61" s="1">
        <v>1698718000</v>
      </c>
      <c r="T61" s="1">
        <v>1643386000</v>
      </c>
      <c r="U61" s="1">
        <v>1572638000</v>
      </c>
      <c r="V61" s="1">
        <v>1619883000</v>
      </c>
    </row>
    <row r="62" spans="1:22" ht="19" x14ac:dyDescent="0.25">
      <c r="A62" s="5" t="s">
        <v>50</v>
      </c>
      <c r="B62" s="1" t="s">
        <v>91</v>
      </c>
      <c r="C62" s="1" t="s">
        <v>91</v>
      </c>
      <c r="D62" s="1" t="s">
        <v>91</v>
      </c>
      <c r="E62" s="1" t="s">
        <v>91</v>
      </c>
      <c r="F62" s="1" t="s">
        <v>91</v>
      </c>
      <c r="G62" s="1" t="s">
        <v>91</v>
      </c>
      <c r="H62" s="1">
        <v>101288000</v>
      </c>
      <c r="I62" s="1">
        <v>113718000</v>
      </c>
      <c r="J62" s="1">
        <v>134572000</v>
      </c>
      <c r="K62" s="1" t="s">
        <v>91</v>
      </c>
      <c r="L62" s="1" t="s">
        <v>91</v>
      </c>
      <c r="M62" s="1" t="s">
        <v>91</v>
      </c>
      <c r="N62" s="1" t="s">
        <v>91</v>
      </c>
      <c r="O62" s="1" t="s">
        <v>91</v>
      </c>
      <c r="P62" s="1" t="s">
        <v>91</v>
      </c>
      <c r="Q62" s="1" t="s">
        <v>91</v>
      </c>
      <c r="R62" s="1" t="s">
        <v>91</v>
      </c>
      <c r="S62" s="1" t="s">
        <v>91</v>
      </c>
      <c r="T62" s="1" t="s">
        <v>91</v>
      </c>
      <c r="U62" s="1" t="s">
        <v>91</v>
      </c>
      <c r="V62" s="1" t="s">
        <v>91</v>
      </c>
    </row>
    <row r="63" spans="1:22" ht="19" x14ac:dyDescent="0.25">
      <c r="A63" s="5" t="s">
        <v>54</v>
      </c>
      <c r="B63" s="1" t="s">
        <v>91</v>
      </c>
      <c r="C63" s="1" t="s">
        <v>91</v>
      </c>
      <c r="D63" s="1" t="s">
        <v>91</v>
      </c>
      <c r="E63" s="1" t="s">
        <v>91</v>
      </c>
      <c r="F63" s="1" t="s">
        <v>91</v>
      </c>
      <c r="G63" s="1" t="s">
        <v>91</v>
      </c>
      <c r="H63" s="1">
        <v>17616000</v>
      </c>
      <c r="I63" s="1">
        <v>20952000</v>
      </c>
      <c r="J63" s="1">
        <v>30026000</v>
      </c>
      <c r="K63" s="1">
        <v>44195000</v>
      </c>
      <c r="L63" s="1">
        <v>56361000</v>
      </c>
      <c r="M63" s="1">
        <v>66718000</v>
      </c>
      <c r="N63" s="1">
        <v>74498000</v>
      </c>
      <c r="O63" s="1">
        <v>59527000</v>
      </c>
      <c r="P63" s="1">
        <v>86498000</v>
      </c>
      <c r="Q63" s="1">
        <v>59403000</v>
      </c>
      <c r="R63" s="1">
        <v>83864000</v>
      </c>
      <c r="S63" s="1">
        <v>89367000</v>
      </c>
      <c r="T63" s="1">
        <v>65359000</v>
      </c>
      <c r="U63" s="1">
        <v>39693000</v>
      </c>
      <c r="V63" s="1">
        <v>55346000</v>
      </c>
    </row>
    <row r="64" spans="1:22" ht="19" x14ac:dyDescent="0.25">
      <c r="A64" s="5" t="s">
        <v>55</v>
      </c>
      <c r="B64" s="1" t="s">
        <v>91</v>
      </c>
      <c r="C64" s="1" t="s">
        <v>91</v>
      </c>
      <c r="D64" s="1" t="s">
        <v>91</v>
      </c>
      <c r="E64" s="1">
        <v>45241000</v>
      </c>
      <c r="F64" s="1">
        <v>55159000</v>
      </c>
      <c r="G64" s="1">
        <v>71235000</v>
      </c>
      <c r="H64" s="1" t="s">
        <v>91</v>
      </c>
      <c r="I64" s="1" t="s">
        <v>91</v>
      </c>
      <c r="J64" s="1" t="s">
        <v>91</v>
      </c>
      <c r="K64" s="1">
        <v>163463000</v>
      </c>
      <c r="L64" s="1">
        <v>210879000</v>
      </c>
      <c r="M64" s="1">
        <v>266104000</v>
      </c>
      <c r="N64" s="1">
        <v>301569000</v>
      </c>
      <c r="O64" s="1">
        <v>332278000</v>
      </c>
      <c r="P64" s="1">
        <v>385819000</v>
      </c>
      <c r="Q64" s="1">
        <v>432901000</v>
      </c>
      <c r="R64" s="1">
        <v>463354000</v>
      </c>
      <c r="S64" s="1">
        <v>36432000</v>
      </c>
      <c r="T64" s="1">
        <v>37962000</v>
      </c>
      <c r="U64" s="1">
        <v>58665000</v>
      </c>
      <c r="V64" s="1">
        <v>53596000</v>
      </c>
    </row>
    <row r="65" spans="1:38" ht="19" x14ac:dyDescent="0.25">
      <c r="A65" s="5" t="s">
        <v>56</v>
      </c>
      <c r="B65" s="1" t="s">
        <v>91</v>
      </c>
      <c r="C65" s="1" t="s">
        <v>91</v>
      </c>
      <c r="D65" s="1" t="s">
        <v>91</v>
      </c>
      <c r="E65" s="1">
        <v>90622000</v>
      </c>
      <c r="F65" s="1">
        <v>105896000</v>
      </c>
      <c r="G65" s="1">
        <v>146005000</v>
      </c>
      <c r="H65" s="1">
        <v>206951000</v>
      </c>
      <c r="I65" s="1">
        <v>134670000</v>
      </c>
      <c r="J65" s="1">
        <v>164598000</v>
      </c>
      <c r="K65" s="1">
        <v>207658000</v>
      </c>
      <c r="L65" s="1">
        <v>267240000</v>
      </c>
      <c r="M65" s="1">
        <v>332822000</v>
      </c>
      <c r="N65" s="1">
        <v>376067000</v>
      </c>
      <c r="O65" s="1">
        <v>391805000</v>
      </c>
      <c r="P65" s="1">
        <v>472317000</v>
      </c>
      <c r="Q65" s="1">
        <v>492304000</v>
      </c>
      <c r="R65" s="1">
        <v>547218000</v>
      </c>
      <c r="S65" s="1">
        <v>1824517000</v>
      </c>
      <c r="T65" s="1">
        <v>1746707000</v>
      </c>
      <c r="U65" s="1">
        <v>1670996000</v>
      </c>
      <c r="V65" s="1">
        <v>1670996000</v>
      </c>
    </row>
    <row r="66" spans="1:38" ht="19" x14ac:dyDescent="0.25">
      <c r="A66" s="5" t="s">
        <v>57</v>
      </c>
      <c r="B66" s="1" t="s">
        <v>91</v>
      </c>
      <c r="C66" s="1">
        <v>107700000</v>
      </c>
      <c r="D66" s="1">
        <v>113642000</v>
      </c>
      <c r="E66" s="1" t="s">
        <v>91</v>
      </c>
      <c r="F66" s="1" t="s">
        <v>91</v>
      </c>
      <c r="G66" s="1" t="s">
        <v>91</v>
      </c>
      <c r="H66" s="1" t="s">
        <v>91</v>
      </c>
      <c r="I66" s="1" t="s">
        <v>91</v>
      </c>
      <c r="J66" s="1" t="s">
        <v>91</v>
      </c>
      <c r="K66" s="1" t="s">
        <v>91</v>
      </c>
      <c r="L66" s="1" t="s">
        <v>91</v>
      </c>
      <c r="M66" s="1" t="s">
        <v>91</v>
      </c>
      <c r="N66" s="1" t="s">
        <v>91</v>
      </c>
      <c r="O66" s="1" t="s">
        <v>91</v>
      </c>
      <c r="P66" s="1" t="s">
        <v>91</v>
      </c>
      <c r="Q66" s="1" t="s">
        <v>91</v>
      </c>
      <c r="R66" s="1" t="s">
        <v>91</v>
      </c>
      <c r="S66" s="1" t="s">
        <v>91</v>
      </c>
      <c r="T66" s="1" t="s">
        <v>91</v>
      </c>
      <c r="U66" s="1" t="s">
        <v>91</v>
      </c>
      <c r="V66" s="1" t="s">
        <v>91</v>
      </c>
    </row>
    <row r="67" spans="1:38" ht="19" x14ac:dyDescent="0.25">
      <c r="A67" s="6" t="s">
        <v>58</v>
      </c>
      <c r="B67" s="10" t="s">
        <v>91</v>
      </c>
      <c r="C67" s="10">
        <v>107700000</v>
      </c>
      <c r="D67" s="10">
        <v>113642000</v>
      </c>
      <c r="E67" s="10">
        <v>159600000</v>
      </c>
      <c r="F67" s="10">
        <v>189837000</v>
      </c>
      <c r="G67" s="10">
        <v>257910000</v>
      </c>
      <c r="H67" s="10">
        <v>323964000</v>
      </c>
      <c r="I67" s="10">
        <v>261027000</v>
      </c>
      <c r="J67" s="10">
        <v>327955000</v>
      </c>
      <c r="K67" s="10">
        <v>372513000</v>
      </c>
      <c r="L67" s="10">
        <v>488307000</v>
      </c>
      <c r="M67" s="10">
        <v>599633000</v>
      </c>
      <c r="N67" s="10">
        <v>735661000</v>
      </c>
      <c r="O67" s="10">
        <v>788032000</v>
      </c>
      <c r="P67" s="10">
        <v>1001660000</v>
      </c>
      <c r="Q67" s="10">
        <v>1134470000</v>
      </c>
      <c r="R67" s="10">
        <v>1370954000</v>
      </c>
      <c r="S67" s="10">
        <v>2961778000</v>
      </c>
      <c r="T67" s="10">
        <v>3090420000</v>
      </c>
      <c r="U67" s="10">
        <v>3229006000</v>
      </c>
      <c r="V67" s="10">
        <v>3410600000</v>
      </c>
    </row>
    <row r="68" spans="1:38" ht="19" x14ac:dyDescent="0.25">
      <c r="A68" s="5" t="s">
        <v>59</v>
      </c>
      <c r="B68" s="1" t="s">
        <v>91</v>
      </c>
      <c r="C68" s="1" t="s">
        <v>91</v>
      </c>
      <c r="D68" s="1" t="s">
        <v>91</v>
      </c>
      <c r="E68" s="1">
        <v>71000</v>
      </c>
      <c r="F68" s="1">
        <v>117000</v>
      </c>
      <c r="G68" s="1">
        <v>574000</v>
      </c>
      <c r="H68" s="1">
        <v>582000</v>
      </c>
      <c r="I68" s="1">
        <v>586000</v>
      </c>
      <c r="J68" s="1">
        <v>606000</v>
      </c>
      <c r="K68" s="1">
        <v>627000</v>
      </c>
      <c r="L68" s="1">
        <v>645000</v>
      </c>
      <c r="M68" s="1">
        <v>647000</v>
      </c>
      <c r="N68" s="1">
        <v>647000</v>
      </c>
      <c r="O68" s="1">
        <v>641000</v>
      </c>
      <c r="P68" s="1">
        <v>627000</v>
      </c>
      <c r="Q68" s="1">
        <v>614000</v>
      </c>
      <c r="R68" s="1">
        <v>592000</v>
      </c>
      <c r="S68" s="1">
        <v>573000</v>
      </c>
      <c r="T68" s="1">
        <v>569000</v>
      </c>
      <c r="U68" s="1">
        <v>530000</v>
      </c>
      <c r="V68" s="1">
        <v>530000</v>
      </c>
    </row>
    <row r="69" spans="1:38" ht="19" x14ac:dyDescent="0.25">
      <c r="A69" s="5" t="s">
        <v>60</v>
      </c>
      <c r="B69" s="1" t="s">
        <v>91</v>
      </c>
      <c r="C69" s="1" t="s">
        <v>91</v>
      </c>
      <c r="D69" s="1" t="s">
        <v>91</v>
      </c>
      <c r="E69" s="1">
        <v>-91199000</v>
      </c>
      <c r="F69" s="1">
        <v>-83240000</v>
      </c>
      <c r="G69" s="1">
        <v>-69124000</v>
      </c>
      <c r="H69" s="1">
        <v>-43856000</v>
      </c>
      <c r="I69" s="1">
        <v>-4500000</v>
      </c>
      <c r="J69" s="1">
        <v>66530000</v>
      </c>
      <c r="K69" s="1">
        <v>186794000</v>
      </c>
      <c r="L69" s="1">
        <v>296861000</v>
      </c>
      <c r="M69" s="1">
        <v>462378000</v>
      </c>
      <c r="N69" s="1">
        <v>679593000</v>
      </c>
      <c r="O69" s="1">
        <v>832215000</v>
      </c>
      <c r="P69" s="1">
        <v>905785000</v>
      </c>
      <c r="Q69" s="1">
        <v>1093453000</v>
      </c>
      <c r="R69" s="1">
        <v>1105863000</v>
      </c>
      <c r="S69" s="1">
        <v>1128477000</v>
      </c>
      <c r="T69" s="1">
        <v>1189422000</v>
      </c>
      <c r="U69" s="1">
        <v>653376000</v>
      </c>
      <c r="V69" s="1">
        <v>424438000</v>
      </c>
    </row>
    <row r="70" spans="1:38" ht="19" x14ac:dyDescent="0.25">
      <c r="A70" s="5" t="s">
        <v>61</v>
      </c>
      <c r="B70" s="1" t="s">
        <v>91</v>
      </c>
      <c r="C70" s="1" t="s">
        <v>91</v>
      </c>
      <c r="D70" s="1" t="s">
        <v>91</v>
      </c>
      <c r="E70" s="1">
        <v>-853000</v>
      </c>
      <c r="F70" s="1">
        <v>-4448000</v>
      </c>
      <c r="G70" s="1">
        <v>-719000</v>
      </c>
      <c r="H70" s="1">
        <v>-631000</v>
      </c>
      <c r="I70" s="1" t="s">
        <v>91</v>
      </c>
      <c r="J70" s="1">
        <v>-253700000</v>
      </c>
      <c r="K70" s="1">
        <v>-296400000</v>
      </c>
      <c r="L70" s="1">
        <v>-355300000</v>
      </c>
      <c r="M70" s="1">
        <v>-426900000</v>
      </c>
      <c r="N70" s="1">
        <v>-526090000</v>
      </c>
      <c r="O70" s="1">
        <v>-654355000</v>
      </c>
      <c r="P70" s="1">
        <v>-798759000</v>
      </c>
      <c r="Q70" s="1">
        <v>-959208000</v>
      </c>
      <c r="R70" s="1">
        <v>-1149107000</v>
      </c>
      <c r="S70" s="1">
        <v>-1360316000</v>
      </c>
      <c r="T70" s="1">
        <v>56000</v>
      </c>
      <c r="U70" s="1" t="s">
        <v>91</v>
      </c>
      <c r="V70" s="1" t="s">
        <v>91</v>
      </c>
    </row>
    <row r="71" spans="1:38" ht="19" x14ac:dyDescent="0.25">
      <c r="A71" s="5" t="s">
        <v>62</v>
      </c>
      <c r="B71" s="1" t="s">
        <v>91</v>
      </c>
      <c r="C71" s="1">
        <v>87359000</v>
      </c>
      <c r="D71" s="1">
        <v>92778000</v>
      </c>
      <c r="E71" s="1">
        <v>6533000</v>
      </c>
      <c r="F71" s="1">
        <v>13284000</v>
      </c>
      <c r="G71" s="1">
        <v>280772000</v>
      </c>
      <c r="H71" s="1">
        <v>288873000</v>
      </c>
      <c r="I71" s="1">
        <v>296522000</v>
      </c>
      <c r="J71" s="1">
        <v>589097000</v>
      </c>
      <c r="K71" s="1">
        <v>693683000</v>
      </c>
      <c r="L71" s="1">
        <v>844736000</v>
      </c>
      <c r="M71" s="1">
        <v>966969000</v>
      </c>
      <c r="N71" s="1">
        <v>1093359000</v>
      </c>
      <c r="O71" s="1">
        <v>1264385000</v>
      </c>
      <c r="P71" s="1">
        <v>1442565000</v>
      </c>
      <c r="Q71" s="1">
        <v>1639358000</v>
      </c>
      <c r="R71" s="1">
        <v>1862870000</v>
      </c>
      <c r="S71" s="1">
        <v>2133360000</v>
      </c>
      <c r="T71" s="1">
        <v>809502000</v>
      </c>
      <c r="U71" s="1">
        <v>881467000</v>
      </c>
      <c r="V71" s="1">
        <v>881467000</v>
      </c>
    </row>
    <row r="72" spans="1:38" ht="19" x14ac:dyDescent="0.25">
      <c r="A72" s="6" t="s">
        <v>63</v>
      </c>
      <c r="B72" s="10" t="s">
        <v>91</v>
      </c>
      <c r="C72" s="10">
        <v>87359000</v>
      </c>
      <c r="D72" s="10">
        <v>92778000</v>
      </c>
      <c r="E72" s="10">
        <v>123015000</v>
      </c>
      <c r="F72" s="10">
        <v>148760000</v>
      </c>
      <c r="G72" s="10">
        <v>211503000</v>
      </c>
      <c r="H72" s="10">
        <v>244968000</v>
      </c>
      <c r="I72" s="10">
        <v>292608000</v>
      </c>
      <c r="J72" s="10">
        <v>402533000</v>
      </c>
      <c r="K72" s="10">
        <v>584704000</v>
      </c>
      <c r="L72" s="10">
        <v>786942000</v>
      </c>
      <c r="M72" s="10">
        <v>1003094000</v>
      </c>
      <c r="N72" s="10">
        <v>1247509000</v>
      </c>
      <c r="O72" s="10">
        <v>1442886000</v>
      </c>
      <c r="P72" s="10">
        <v>1550218000</v>
      </c>
      <c r="Q72" s="10">
        <v>1774217000</v>
      </c>
      <c r="R72" s="10">
        <v>1820218000</v>
      </c>
      <c r="S72" s="10">
        <v>1902094000</v>
      </c>
      <c r="T72" s="10">
        <v>1999549000</v>
      </c>
      <c r="U72" s="10">
        <v>1535373000</v>
      </c>
      <c r="V72" s="10">
        <v>1959811000</v>
      </c>
    </row>
    <row r="73" spans="1:38" ht="20" thickBot="1" x14ac:dyDescent="0.3">
      <c r="A73" s="7" t="s">
        <v>64</v>
      </c>
      <c r="B73" s="11" t="s">
        <v>91</v>
      </c>
      <c r="C73" s="11">
        <v>195059000</v>
      </c>
      <c r="D73" s="11">
        <v>206420000</v>
      </c>
      <c r="E73" s="11">
        <v>282615000</v>
      </c>
      <c r="F73" s="11">
        <v>338597000</v>
      </c>
      <c r="G73" s="11">
        <v>469413000</v>
      </c>
      <c r="H73" s="11">
        <v>568932000</v>
      </c>
      <c r="I73" s="11">
        <v>553635000</v>
      </c>
      <c r="J73" s="11">
        <v>730488000</v>
      </c>
      <c r="K73" s="11">
        <v>957217000</v>
      </c>
      <c r="L73" s="11">
        <v>1275249000</v>
      </c>
      <c r="M73" s="11">
        <v>1602727000</v>
      </c>
      <c r="N73" s="11">
        <v>1983170000</v>
      </c>
      <c r="O73" s="11">
        <v>2230918000</v>
      </c>
      <c r="P73" s="11">
        <v>2551878000</v>
      </c>
      <c r="Q73" s="11">
        <v>2908687000</v>
      </c>
      <c r="R73" s="11">
        <v>3191172000</v>
      </c>
      <c r="S73" s="11">
        <v>4863872000</v>
      </c>
      <c r="T73" s="11">
        <v>5089969000</v>
      </c>
      <c r="U73" s="11">
        <v>4764379000</v>
      </c>
      <c r="V73" s="11">
        <v>5370411000</v>
      </c>
    </row>
    <row r="74" spans="1:38" ht="20" thickTop="1" x14ac:dyDescent="0.25">
      <c r="A74" s="5" t="s">
        <v>28</v>
      </c>
      <c r="B74" s="13" t="s">
        <v>92</v>
      </c>
      <c r="C74" s="13" t="s">
        <v>92</v>
      </c>
      <c r="D74" s="13" t="s">
        <v>92</v>
      </c>
      <c r="E74" s="13" t="s">
        <v>92</v>
      </c>
      <c r="F74" s="13" t="s">
        <v>92</v>
      </c>
      <c r="G74" s="13" t="s">
        <v>92</v>
      </c>
      <c r="H74" s="13" t="s">
        <v>92</v>
      </c>
      <c r="I74" s="13" t="s">
        <v>92</v>
      </c>
      <c r="J74" s="13" t="s">
        <v>92</v>
      </c>
      <c r="K74" s="13" t="s">
        <v>92</v>
      </c>
      <c r="L74" s="13" t="s">
        <v>92</v>
      </c>
      <c r="M74" s="13" t="s">
        <v>92</v>
      </c>
      <c r="N74" s="13" t="s">
        <v>92</v>
      </c>
      <c r="O74" s="13" t="s">
        <v>92</v>
      </c>
      <c r="P74" s="13" t="s">
        <v>92</v>
      </c>
      <c r="Q74" s="13" t="s">
        <v>92</v>
      </c>
      <c r="R74" s="13" t="s">
        <v>92</v>
      </c>
      <c r="S74" s="13" t="s">
        <v>92</v>
      </c>
      <c r="T74" s="13" t="s">
        <v>92</v>
      </c>
      <c r="U74" s="13" t="s">
        <v>92</v>
      </c>
      <c r="V74" s="13" t="s">
        <v>92</v>
      </c>
    </row>
    <row r="75" spans="1:38" ht="21" x14ac:dyDescent="0.25">
      <c r="A75" s="4" t="s">
        <v>65</v>
      </c>
      <c r="B75" s="9" t="s">
        <v>90</v>
      </c>
      <c r="C75" s="9" t="s">
        <v>90</v>
      </c>
      <c r="D75" s="9" t="s">
        <v>90</v>
      </c>
      <c r="E75" s="9" t="s">
        <v>90</v>
      </c>
      <c r="F75" s="9" t="s">
        <v>90</v>
      </c>
      <c r="G75" s="9" t="s">
        <v>90</v>
      </c>
      <c r="H75" s="9" t="s">
        <v>90</v>
      </c>
      <c r="I75" s="9" t="s">
        <v>90</v>
      </c>
      <c r="J75" s="9" t="s">
        <v>90</v>
      </c>
      <c r="K75" s="9" t="s">
        <v>90</v>
      </c>
      <c r="L75" s="9" t="s">
        <v>90</v>
      </c>
      <c r="M75" s="9" t="s">
        <v>90</v>
      </c>
      <c r="N75" s="9" t="s">
        <v>90</v>
      </c>
      <c r="O75" s="9" t="s">
        <v>90</v>
      </c>
      <c r="P75" s="9" t="s">
        <v>90</v>
      </c>
      <c r="Q75" s="9" t="s">
        <v>90</v>
      </c>
      <c r="R75" s="9" t="s">
        <v>90</v>
      </c>
      <c r="S75" s="9" t="s">
        <v>90</v>
      </c>
      <c r="T75" s="9" t="s">
        <v>90</v>
      </c>
      <c r="U75" s="9" t="s">
        <v>90</v>
      </c>
      <c r="V75" s="9" t="s">
        <v>90</v>
      </c>
    </row>
    <row r="76" spans="1:38" ht="19" x14ac:dyDescent="0.25">
      <c r="A76" s="5" t="s">
        <v>66</v>
      </c>
      <c r="B76" s="1" t="s">
        <v>91</v>
      </c>
      <c r="C76" s="1" t="s">
        <v>91</v>
      </c>
      <c r="D76" s="1" t="s">
        <v>91</v>
      </c>
      <c r="E76" s="1">
        <v>15969000</v>
      </c>
      <c r="F76" s="1">
        <v>22543000</v>
      </c>
      <c r="G76" s="1">
        <v>25335000</v>
      </c>
      <c r="H76" s="1">
        <v>25268000</v>
      </c>
      <c r="I76" s="1">
        <v>39356000</v>
      </c>
      <c r="J76" s="1">
        <v>71030000</v>
      </c>
      <c r="K76" s="1">
        <v>120264000</v>
      </c>
      <c r="L76" s="1">
        <v>172549000</v>
      </c>
      <c r="M76" s="1">
        <v>202849000</v>
      </c>
      <c r="N76" s="1">
        <v>257135000</v>
      </c>
      <c r="O76" s="1">
        <v>320008000</v>
      </c>
      <c r="P76" s="1">
        <v>409760000</v>
      </c>
      <c r="Q76" s="1">
        <v>555234000</v>
      </c>
      <c r="R76" s="1">
        <v>658559000</v>
      </c>
      <c r="S76" s="1">
        <v>705945000</v>
      </c>
      <c r="T76" s="1">
        <v>175835000</v>
      </c>
      <c r="U76" s="1">
        <v>985837000</v>
      </c>
      <c r="V76" s="1">
        <v>1242408000</v>
      </c>
    </row>
    <row r="77" spans="1:38" ht="19" x14ac:dyDescent="0.25">
      <c r="A77" s="5" t="s">
        <v>13</v>
      </c>
      <c r="B77" s="1" t="s">
        <v>91</v>
      </c>
      <c r="C77" s="1">
        <v>12522000</v>
      </c>
      <c r="D77" s="1">
        <v>15411000</v>
      </c>
      <c r="E77" s="1">
        <v>22285000</v>
      </c>
      <c r="F77" s="1">
        <v>29736000</v>
      </c>
      <c r="G77" s="1">
        <v>39503000</v>
      </c>
      <c r="H77" s="1">
        <v>51445000</v>
      </c>
      <c r="I77" s="1">
        <v>62166000</v>
      </c>
      <c r="J77" s="1">
        <v>64936000</v>
      </c>
      <c r="K77" s="1">
        <v>75931000</v>
      </c>
      <c r="L77" s="1">
        <v>88233000</v>
      </c>
      <c r="M77" s="1">
        <v>106283000</v>
      </c>
      <c r="N77" s="1">
        <v>131764000</v>
      </c>
      <c r="O77" s="1">
        <v>165049000</v>
      </c>
      <c r="P77" s="1">
        <v>210295000</v>
      </c>
      <c r="Q77" s="1">
        <v>252713000</v>
      </c>
      <c r="R77" s="1">
        <v>279472000</v>
      </c>
      <c r="S77" s="1">
        <v>295599000</v>
      </c>
      <c r="T77" s="1">
        <v>297772000</v>
      </c>
      <c r="U77" s="1">
        <v>268460000</v>
      </c>
      <c r="V77" s="1">
        <v>241372000</v>
      </c>
    </row>
    <row r="78" spans="1:38" ht="19" x14ac:dyDescent="0.25">
      <c r="A78" s="5" t="s">
        <v>67</v>
      </c>
      <c r="B78" s="1" t="s">
        <v>91</v>
      </c>
      <c r="C78" s="1" t="s">
        <v>91</v>
      </c>
      <c r="D78" s="1" t="s">
        <v>91</v>
      </c>
      <c r="E78" s="1">
        <v>-3037000</v>
      </c>
      <c r="F78" s="1">
        <v>-3080000</v>
      </c>
      <c r="G78" s="1">
        <v>-3284000</v>
      </c>
      <c r="H78" s="1">
        <v>22583000</v>
      </c>
      <c r="I78" s="1">
        <v>3143000</v>
      </c>
      <c r="J78" s="1">
        <v>7741000</v>
      </c>
      <c r="K78" s="1">
        <v>10827000</v>
      </c>
      <c r="L78" s="1">
        <v>8673000</v>
      </c>
      <c r="M78" s="1">
        <v>3868000</v>
      </c>
      <c r="N78" s="1">
        <v>9246000</v>
      </c>
      <c r="O78" s="1">
        <v>5809000</v>
      </c>
      <c r="P78" s="1">
        <v>26971000</v>
      </c>
      <c r="Q78" s="1">
        <v>-27095000</v>
      </c>
      <c r="R78" s="1">
        <v>34080000</v>
      </c>
      <c r="S78" s="1">
        <v>5503000</v>
      </c>
      <c r="T78" s="1">
        <v>-24008000</v>
      </c>
      <c r="U78" s="1">
        <v>-25666000</v>
      </c>
      <c r="V78" s="1">
        <v>15653000</v>
      </c>
    </row>
    <row r="79" spans="1:38" ht="19" x14ac:dyDescent="0.25">
      <c r="A79" s="5" t="s">
        <v>68</v>
      </c>
      <c r="B79" s="1" t="s">
        <v>91</v>
      </c>
      <c r="C79" s="1" t="s">
        <v>91</v>
      </c>
      <c r="D79" s="1" t="s">
        <v>91</v>
      </c>
      <c r="E79" s="1" t="s">
        <v>91</v>
      </c>
      <c r="F79" s="1" t="s">
        <v>91</v>
      </c>
      <c r="G79" s="1" t="s">
        <v>91</v>
      </c>
      <c r="H79" s="1">
        <v>3877000</v>
      </c>
      <c r="I79" s="1">
        <v>5949000</v>
      </c>
      <c r="J79" s="1">
        <v>11155000</v>
      </c>
      <c r="K79" s="1">
        <v>11605000</v>
      </c>
      <c r="L79" s="1">
        <v>13375000</v>
      </c>
      <c r="M79" s="1">
        <v>16003000</v>
      </c>
      <c r="N79" s="1">
        <v>14923000</v>
      </c>
      <c r="O79" s="1">
        <v>15594000</v>
      </c>
      <c r="P79" s="1">
        <v>19340000</v>
      </c>
      <c r="Q79" s="1">
        <v>24399000</v>
      </c>
      <c r="R79" s="1">
        <v>26636000</v>
      </c>
      <c r="S79" s="1">
        <v>25045000</v>
      </c>
      <c r="T79" s="1">
        <v>27583000</v>
      </c>
      <c r="U79" s="1">
        <v>47259000</v>
      </c>
      <c r="V79" s="1">
        <v>43044000</v>
      </c>
    </row>
    <row r="80" spans="1:38" ht="19" x14ac:dyDescent="0.25">
      <c r="A80" s="14" t="s">
        <v>103</v>
      </c>
      <c r="B80" s="15" t="e">
        <f t="shared" ref="B80:U80" si="19">B79/B3</f>
        <v>#VALUE!</v>
      </c>
      <c r="C80" s="15" t="e">
        <f t="shared" si="19"/>
        <v>#VALUE!</v>
      </c>
      <c r="D80" s="15" t="e">
        <f t="shared" si="19"/>
        <v>#VALUE!</v>
      </c>
      <c r="E80" s="15" t="e">
        <f t="shared" si="19"/>
        <v>#VALUE!</v>
      </c>
      <c r="F80" s="15" t="e">
        <f t="shared" si="19"/>
        <v>#VALUE!</v>
      </c>
      <c r="G80" s="15" t="e">
        <f t="shared" si="19"/>
        <v>#VALUE!</v>
      </c>
      <c r="H80" s="15">
        <f t="shared" si="19"/>
        <v>3.5744381116050768E-3</v>
      </c>
      <c r="I80" s="15">
        <f t="shared" si="19"/>
        <v>4.865179170915895E-3</v>
      </c>
      <c r="J80" s="15">
        <f t="shared" si="19"/>
        <v>7.6675203699655909E-3</v>
      </c>
      <c r="K80" s="15">
        <f t="shared" si="19"/>
        <v>6.5337913274265535E-3</v>
      </c>
      <c r="L80" s="15">
        <f t="shared" si="19"/>
        <v>6.0240801060778577E-3</v>
      </c>
      <c r="M80" s="15">
        <f t="shared" si="19"/>
        <v>5.9923469607458778E-3</v>
      </c>
      <c r="N80" s="15">
        <f t="shared" si="19"/>
        <v>4.6039188996994792E-3</v>
      </c>
      <c r="O80" s="15">
        <f t="shared" si="19"/>
        <v>3.973888641416309E-3</v>
      </c>
      <c r="P80" s="15">
        <f t="shared" si="19"/>
        <v>3.9837379450215326E-3</v>
      </c>
      <c r="Q80" s="15">
        <f t="shared" si="19"/>
        <v>4.1463123667475231E-3</v>
      </c>
      <c r="R80" s="15">
        <f t="shared" si="19"/>
        <v>3.9656880735310868E-3</v>
      </c>
      <c r="S80" s="15">
        <f t="shared" si="19"/>
        <v>3.3853433085502863E-3</v>
      </c>
      <c r="T80" s="15">
        <f t="shared" si="19"/>
        <v>4.4836168286721302E-3</v>
      </c>
      <c r="U80" s="15">
        <f t="shared" si="19"/>
        <v>5.475565726775075E-3</v>
      </c>
      <c r="V80" s="15">
        <f t="shared" ref="V80" si="20">V79/V3</f>
        <v>4.2166927899686523E-3</v>
      </c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</row>
    <row r="81" spans="1:38" ht="19" x14ac:dyDescent="0.25">
      <c r="A81" s="5" t="s">
        <v>69</v>
      </c>
      <c r="B81" s="1" t="s">
        <v>91</v>
      </c>
      <c r="C81" s="1" t="s">
        <v>91</v>
      </c>
      <c r="D81" s="1" t="s">
        <v>91</v>
      </c>
      <c r="E81" s="1">
        <v>899000</v>
      </c>
      <c r="F81" s="1">
        <v>7290000</v>
      </c>
      <c r="G81" s="1">
        <v>-15551000</v>
      </c>
      <c r="H81" s="1">
        <v>-26463000</v>
      </c>
      <c r="I81" s="1">
        <v>62740000</v>
      </c>
      <c r="J81" s="1">
        <v>32840000</v>
      </c>
      <c r="K81" s="1">
        <v>26835000</v>
      </c>
      <c r="L81" s="1">
        <v>2442000</v>
      </c>
      <c r="M81" s="1">
        <v>8198000</v>
      </c>
      <c r="N81" s="1">
        <v>-17715000</v>
      </c>
      <c r="O81" s="1">
        <v>-124779000</v>
      </c>
      <c r="P81" s="1">
        <v>-31768000</v>
      </c>
      <c r="Q81" s="1">
        <v>-33403000</v>
      </c>
      <c r="R81" s="1">
        <v>-45505000</v>
      </c>
      <c r="S81" s="1">
        <v>-215469000</v>
      </c>
      <c r="T81" s="1">
        <v>-14258000</v>
      </c>
      <c r="U81" s="1">
        <v>-498212000</v>
      </c>
      <c r="V81" s="1"/>
    </row>
    <row r="82" spans="1:38" ht="19" x14ac:dyDescent="0.25">
      <c r="A82" s="5" t="s">
        <v>70</v>
      </c>
      <c r="B82" s="1" t="s">
        <v>91</v>
      </c>
      <c r="C82" s="1" t="s">
        <v>91</v>
      </c>
      <c r="D82" s="1" t="s">
        <v>91</v>
      </c>
      <c r="E82" s="1" t="s">
        <v>91</v>
      </c>
      <c r="F82" s="1" t="s">
        <v>91</v>
      </c>
      <c r="G82" s="1" t="s">
        <v>91</v>
      </c>
      <c r="H82" s="1" t="s">
        <v>91</v>
      </c>
      <c r="I82" s="1" t="s">
        <v>91</v>
      </c>
      <c r="J82" s="1" t="s">
        <v>91</v>
      </c>
      <c r="K82" s="1" t="s">
        <v>91</v>
      </c>
      <c r="L82" s="1" t="s">
        <v>91</v>
      </c>
      <c r="M82" s="1" t="s">
        <v>91</v>
      </c>
      <c r="N82" s="1" t="s">
        <v>91</v>
      </c>
      <c r="O82" s="1" t="s">
        <v>91</v>
      </c>
      <c r="P82" s="1" t="s">
        <v>91</v>
      </c>
      <c r="Q82" s="1" t="s">
        <v>91</v>
      </c>
      <c r="R82" s="1" t="s">
        <v>91</v>
      </c>
      <c r="S82" s="1" t="s">
        <v>91</v>
      </c>
      <c r="T82" s="1" t="s">
        <v>91</v>
      </c>
      <c r="U82" s="1" t="s">
        <v>91</v>
      </c>
      <c r="V82" s="1" t="s">
        <v>91</v>
      </c>
    </row>
    <row r="83" spans="1:38" ht="19" x14ac:dyDescent="0.25">
      <c r="A83" s="5" t="s">
        <v>34</v>
      </c>
      <c r="B83" s="1" t="s">
        <v>91</v>
      </c>
      <c r="C83" s="1" t="s">
        <v>91</v>
      </c>
      <c r="D83" s="1" t="s">
        <v>91</v>
      </c>
      <c r="E83" s="1">
        <v>-5134000</v>
      </c>
      <c r="F83" s="1">
        <v>-19863000</v>
      </c>
      <c r="G83" s="1">
        <v>-46872000</v>
      </c>
      <c r="H83" s="1">
        <v>-37493000</v>
      </c>
      <c r="I83" s="1">
        <v>6654000</v>
      </c>
      <c r="J83" s="1">
        <v>-11568000</v>
      </c>
      <c r="K83" s="1">
        <v>-26131000</v>
      </c>
      <c r="L83" s="1">
        <v>-116478000</v>
      </c>
      <c r="M83" s="1">
        <v>-96808000</v>
      </c>
      <c r="N83" s="1">
        <v>-123296000</v>
      </c>
      <c r="O83" s="1">
        <v>-180564000</v>
      </c>
      <c r="P83" s="1">
        <v>-182182000</v>
      </c>
      <c r="Q83" s="1">
        <v>-152449000</v>
      </c>
      <c r="R83" s="1">
        <v>-122019000</v>
      </c>
      <c r="S83" s="1">
        <v>-79372000</v>
      </c>
      <c r="T83" s="1">
        <v>125486000</v>
      </c>
      <c r="U83" s="1">
        <v>-331003000</v>
      </c>
      <c r="V83" s="1">
        <v>-104233000</v>
      </c>
    </row>
    <row r="84" spans="1:38" ht="19" customHeight="1" x14ac:dyDescent="0.25">
      <c r="A84" s="5" t="s">
        <v>47</v>
      </c>
      <c r="B84" s="1" t="s">
        <v>91</v>
      </c>
      <c r="C84" s="1" t="s">
        <v>91</v>
      </c>
      <c r="D84" s="1" t="s">
        <v>91</v>
      </c>
      <c r="E84" s="1" t="s">
        <v>91</v>
      </c>
      <c r="F84" s="1" t="s">
        <v>91</v>
      </c>
      <c r="G84" s="1" t="s">
        <v>91</v>
      </c>
      <c r="H84" s="1">
        <v>-4311000</v>
      </c>
      <c r="I84" s="1">
        <v>8576000</v>
      </c>
      <c r="J84" s="1">
        <v>30706000</v>
      </c>
      <c r="K84" s="1">
        <v>-651000</v>
      </c>
      <c r="L84" s="1">
        <v>32444000</v>
      </c>
      <c r="M84" s="1">
        <v>29396000</v>
      </c>
      <c r="N84" s="1">
        <v>42496000</v>
      </c>
      <c r="O84" s="1">
        <v>5396000</v>
      </c>
      <c r="P84" s="1">
        <v>63344000</v>
      </c>
      <c r="Q84" s="1">
        <v>66240000</v>
      </c>
      <c r="R84" s="1">
        <v>78256000</v>
      </c>
      <c r="S84" s="1">
        <v>9993000</v>
      </c>
      <c r="T84" s="1">
        <v>62324000</v>
      </c>
      <c r="U84" s="1">
        <v>66156000</v>
      </c>
      <c r="V84" s="1"/>
      <c r="W84" s="77"/>
      <c r="X84" s="77"/>
      <c r="Y84" s="77"/>
      <c r="Z84" s="77"/>
      <c r="AA84" s="77"/>
      <c r="AB84" s="77"/>
      <c r="AC84" s="106" t="s">
        <v>124</v>
      </c>
      <c r="AD84" s="107"/>
    </row>
    <row r="85" spans="1:38" ht="19" customHeight="1" x14ac:dyDescent="0.25">
      <c r="A85" s="5" t="s">
        <v>71</v>
      </c>
      <c r="B85" s="1" t="s">
        <v>91</v>
      </c>
      <c r="C85" s="1" t="s">
        <v>91</v>
      </c>
      <c r="D85" s="1" t="s">
        <v>91</v>
      </c>
      <c r="E85" s="1">
        <v>7157000</v>
      </c>
      <c r="F85" s="1">
        <v>9918000</v>
      </c>
      <c r="G85" s="1">
        <v>20868000</v>
      </c>
      <c r="H85" s="1" t="s">
        <v>91</v>
      </c>
      <c r="I85" s="1" t="s">
        <v>91</v>
      </c>
      <c r="J85" s="1">
        <v>20854000</v>
      </c>
      <c r="K85" s="1">
        <v>69476000</v>
      </c>
      <c r="L85" s="1">
        <v>97937000</v>
      </c>
      <c r="M85" s="1">
        <v>72470000</v>
      </c>
      <c r="N85" s="1">
        <v>41387000</v>
      </c>
      <c r="O85" s="1">
        <v>31015000</v>
      </c>
      <c r="P85" s="1">
        <v>55725000</v>
      </c>
      <c r="Q85" s="1">
        <v>37048000</v>
      </c>
      <c r="R85" s="1">
        <v>-5854000</v>
      </c>
      <c r="S85" s="1">
        <v>93985000</v>
      </c>
      <c r="T85" s="1">
        <v>94981000</v>
      </c>
      <c r="U85" s="1">
        <v>55936000</v>
      </c>
      <c r="V85" s="1"/>
      <c r="W85" s="77"/>
      <c r="X85" s="77"/>
      <c r="Y85" s="77"/>
      <c r="Z85" s="77"/>
      <c r="AA85" s="77"/>
      <c r="AB85" s="77"/>
      <c r="AC85" s="108" t="s">
        <v>125</v>
      </c>
      <c r="AD85" s="108"/>
    </row>
    <row r="86" spans="1:38" ht="20" x14ac:dyDescent="0.25">
      <c r="A86" s="5" t="s">
        <v>72</v>
      </c>
      <c r="B86" s="1" t="s">
        <v>91</v>
      </c>
      <c r="C86" s="1">
        <v>-12522000</v>
      </c>
      <c r="D86" s="1">
        <v>-15411000</v>
      </c>
      <c r="E86" s="1">
        <v>1485000</v>
      </c>
      <c r="F86" s="1">
        <v>-859000</v>
      </c>
      <c r="G86" s="1">
        <v>903000</v>
      </c>
      <c r="H86" s="1">
        <v>-1507000</v>
      </c>
      <c r="I86" s="1">
        <v>-527000</v>
      </c>
      <c r="J86" s="1">
        <v>-11159000</v>
      </c>
      <c r="K86" s="1">
        <v>-24575000</v>
      </c>
      <c r="L86" s="1">
        <v>-46271000</v>
      </c>
      <c r="M86" s="1">
        <v>-9476000</v>
      </c>
      <c r="N86" s="1">
        <v>1239000</v>
      </c>
      <c r="O86" s="1">
        <v>-5807000</v>
      </c>
      <c r="P86" s="1">
        <v>87000</v>
      </c>
      <c r="Q86" s="1">
        <v>7518000</v>
      </c>
      <c r="R86" s="1">
        <v>2885000</v>
      </c>
      <c r="S86" s="1">
        <v>284670000</v>
      </c>
      <c r="T86" s="1">
        <v>347431000</v>
      </c>
      <c r="U86" s="1">
        <v>281587000</v>
      </c>
      <c r="V86" s="1"/>
      <c r="W86" s="77"/>
      <c r="X86" s="77"/>
      <c r="Y86" s="77"/>
      <c r="Z86" s="77"/>
      <c r="AA86" s="77"/>
      <c r="AB86" s="77"/>
      <c r="AC86" s="71" t="s">
        <v>126</v>
      </c>
      <c r="AD86" s="88">
        <f>V17</f>
        <v>4943000</v>
      </c>
    </row>
    <row r="87" spans="1:38" ht="20" x14ac:dyDescent="0.25">
      <c r="A87" s="6" t="s">
        <v>73</v>
      </c>
      <c r="B87" s="10" t="s">
        <v>91</v>
      </c>
      <c r="C87" s="10" t="s">
        <v>91</v>
      </c>
      <c r="D87" s="10" t="s">
        <v>91</v>
      </c>
      <c r="E87" s="10">
        <v>37601000</v>
      </c>
      <c r="F87" s="10">
        <v>55630000</v>
      </c>
      <c r="G87" s="10">
        <v>46906000</v>
      </c>
      <c r="H87" s="10">
        <v>75203000</v>
      </c>
      <c r="I87" s="10">
        <v>172827000</v>
      </c>
      <c r="J87" s="10">
        <v>176543000</v>
      </c>
      <c r="K87" s="10">
        <v>220887000</v>
      </c>
      <c r="L87" s="10">
        <v>239001000</v>
      </c>
      <c r="M87" s="10">
        <v>327725000</v>
      </c>
      <c r="N87" s="10">
        <v>396592000</v>
      </c>
      <c r="O87" s="10">
        <v>375874000</v>
      </c>
      <c r="P87" s="10">
        <v>634685000</v>
      </c>
      <c r="Q87" s="10">
        <v>779366000</v>
      </c>
      <c r="R87" s="10">
        <v>956127000</v>
      </c>
      <c r="S87" s="10">
        <v>1101293000</v>
      </c>
      <c r="T87" s="10">
        <v>810355000</v>
      </c>
      <c r="U87" s="10">
        <v>1059265000</v>
      </c>
      <c r="V87" s="10">
        <v>1481915000</v>
      </c>
      <c r="W87" s="77"/>
      <c r="X87" s="77"/>
      <c r="Y87" s="77"/>
      <c r="Z87" s="77"/>
      <c r="AA87" s="77"/>
      <c r="AB87" s="77"/>
      <c r="AC87" s="71" t="s">
        <v>127</v>
      </c>
      <c r="AD87" s="88">
        <f>V56</f>
        <v>283293000</v>
      </c>
    </row>
    <row r="88" spans="1:38" ht="20" x14ac:dyDescent="0.25">
      <c r="A88" s="5" t="s">
        <v>74</v>
      </c>
      <c r="B88" s="1" t="s">
        <v>91</v>
      </c>
      <c r="C88" s="1" t="s">
        <v>91</v>
      </c>
      <c r="D88" s="1" t="s">
        <v>91</v>
      </c>
      <c r="E88" s="1">
        <v>-41607000</v>
      </c>
      <c r="F88" s="1">
        <v>-62331000</v>
      </c>
      <c r="G88" s="1">
        <v>-101866000</v>
      </c>
      <c r="H88" s="1">
        <v>-110863000</v>
      </c>
      <c r="I88" s="1">
        <v>-68105000</v>
      </c>
      <c r="J88" s="1">
        <v>-97115000</v>
      </c>
      <c r="K88" s="1">
        <v>-128636000</v>
      </c>
      <c r="L88" s="1">
        <v>-188578000</v>
      </c>
      <c r="M88" s="1">
        <v>-226024000</v>
      </c>
      <c r="N88" s="1">
        <v>-249067000</v>
      </c>
      <c r="O88" s="1">
        <v>-299167000</v>
      </c>
      <c r="P88" s="1">
        <v>-373747000</v>
      </c>
      <c r="Q88" s="1">
        <v>-440714000</v>
      </c>
      <c r="R88" s="1">
        <v>-319400000</v>
      </c>
      <c r="S88" s="1">
        <v>0</v>
      </c>
      <c r="T88" s="1">
        <v>0</v>
      </c>
      <c r="U88" s="1">
        <v>-172187000</v>
      </c>
      <c r="V88" s="1">
        <v>-312126000</v>
      </c>
      <c r="W88" s="77"/>
      <c r="X88" s="77"/>
      <c r="Y88" s="77"/>
      <c r="Z88" s="77"/>
      <c r="AA88" s="77"/>
      <c r="AB88" s="77"/>
      <c r="AC88" s="71" t="s">
        <v>128</v>
      </c>
      <c r="AD88" s="88">
        <f>V61</f>
        <v>1619883000</v>
      </c>
    </row>
    <row r="89" spans="1:38" ht="20" customHeight="1" x14ac:dyDescent="0.25">
      <c r="A89" s="14" t="s">
        <v>104</v>
      </c>
      <c r="B89" s="15" t="e">
        <f t="shared" ref="B89:U89" si="21">(-1*B88)/B3</f>
        <v>#VALUE!</v>
      </c>
      <c r="C89" s="15" t="e">
        <f t="shared" si="21"/>
        <v>#VALUE!</v>
      </c>
      <c r="D89" s="15" t="e">
        <f t="shared" si="21"/>
        <v>#VALUE!</v>
      </c>
      <c r="E89" s="15">
        <f t="shared" si="21"/>
        <v>7.1850796528947034E-2</v>
      </c>
      <c r="F89" s="15">
        <f t="shared" si="21"/>
        <v>8.2545261437692113E-2</v>
      </c>
      <c r="G89" s="15">
        <f t="shared" si="21"/>
        <v>0.11167790944601767</v>
      </c>
      <c r="H89" s="15">
        <f t="shared" si="21"/>
        <v>0.1022112283639086</v>
      </c>
      <c r="I89" s="15">
        <f t="shared" si="21"/>
        <v>5.5697264655442433E-2</v>
      </c>
      <c r="J89" s="15">
        <f t="shared" si="21"/>
        <v>6.6753136775366054E-2</v>
      </c>
      <c r="K89" s="15">
        <f t="shared" si="21"/>
        <v>7.2424022507095398E-2</v>
      </c>
      <c r="L89" s="15">
        <f t="shared" si="21"/>
        <v>8.4935250709828061E-2</v>
      </c>
      <c r="M89" s="15">
        <f t="shared" si="21"/>
        <v>8.4635020274675135E-2</v>
      </c>
      <c r="N89" s="15">
        <f t="shared" si="21"/>
        <v>7.6840063565734112E-2</v>
      </c>
      <c r="O89" s="15">
        <f t="shared" si="21"/>
        <v>7.6238062279504484E-2</v>
      </c>
      <c r="P89" s="15">
        <f t="shared" si="21"/>
        <v>7.6986044764113901E-2</v>
      </c>
      <c r="Q89" s="15">
        <f t="shared" si="21"/>
        <v>7.4893967310085158E-2</v>
      </c>
      <c r="R89" s="15">
        <f t="shared" si="21"/>
        <v>4.7553715673743398E-2</v>
      </c>
      <c r="S89" s="15">
        <f t="shared" si="21"/>
        <v>0</v>
      </c>
      <c r="T89" s="15">
        <f t="shared" si="21"/>
        <v>0</v>
      </c>
      <c r="U89" s="15">
        <f t="shared" si="21"/>
        <v>1.9950088571409039E-2</v>
      </c>
      <c r="V89" s="15">
        <f t="shared" ref="V89" si="22">(-1*V88)/V3</f>
        <v>3.05766065830721E-2</v>
      </c>
      <c r="W89" s="77"/>
      <c r="X89" s="77"/>
      <c r="Y89" s="77"/>
      <c r="Z89" s="77"/>
      <c r="AA89" s="77"/>
      <c r="AB89" s="77"/>
      <c r="AC89" s="72" t="s">
        <v>129</v>
      </c>
      <c r="AD89" s="89">
        <f>AD86/(AD87+AD88)</f>
        <v>2.5972374599091204E-3</v>
      </c>
      <c r="AE89" s="15"/>
      <c r="AF89" s="15"/>
      <c r="AG89" s="15"/>
      <c r="AH89" s="15"/>
      <c r="AI89" s="15"/>
      <c r="AJ89" s="15"/>
      <c r="AK89" s="15"/>
      <c r="AL89" s="15"/>
    </row>
    <row r="90" spans="1:38" ht="20" x14ac:dyDescent="0.25">
      <c r="A90" s="5" t="s">
        <v>75</v>
      </c>
      <c r="B90" s="1" t="s">
        <v>91</v>
      </c>
      <c r="C90" s="1" t="s">
        <v>91</v>
      </c>
      <c r="D90" s="1" t="s">
        <v>91</v>
      </c>
      <c r="E90" s="1" t="s">
        <v>91</v>
      </c>
      <c r="F90" s="1" t="s">
        <v>91</v>
      </c>
      <c r="G90" s="1" t="s">
        <v>91</v>
      </c>
      <c r="H90" s="1" t="s">
        <v>91</v>
      </c>
      <c r="I90" s="1" t="s">
        <v>91</v>
      </c>
      <c r="J90" s="1" t="s">
        <v>91</v>
      </c>
      <c r="K90" s="1" t="s">
        <v>91</v>
      </c>
      <c r="L90" s="1" t="s">
        <v>91</v>
      </c>
      <c r="M90" s="1" t="s">
        <v>91</v>
      </c>
      <c r="N90" s="1" t="s">
        <v>91</v>
      </c>
      <c r="O90" s="1" t="s">
        <v>91</v>
      </c>
      <c r="P90" s="1" t="s">
        <v>91</v>
      </c>
      <c r="Q90" s="1" t="s">
        <v>91</v>
      </c>
      <c r="R90" s="1">
        <v>-15707000</v>
      </c>
      <c r="S90" s="1">
        <v>-62946000</v>
      </c>
      <c r="T90" s="1">
        <v>-6885000</v>
      </c>
      <c r="U90" s="1" t="s">
        <v>91</v>
      </c>
      <c r="V90" s="1" t="s">
        <v>91</v>
      </c>
      <c r="W90" s="77"/>
      <c r="X90" s="77"/>
      <c r="Y90" s="77"/>
      <c r="Z90" s="77"/>
      <c r="AA90" s="77"/>
      <c r="AB90" s="77"/>
      <c r="AC90" s="71" t="s">
        <v>105</v>
      </c>
      <c r="AD90" s="88">
        <f>V27</f>
        <v>401163000</v>
      </c>
    </row>
    <row r="91" spans="1:38" ht="20" x14ac:dyDescent="0.25">
      <c r="A91" s="5" t="s">
        <v>76</v>
      </c>
      <c r="B91" s="1" t="s">
        <v>91</v>
      </c>
      <c r="C91" s="1" t="s">
        <v>91</v>
      </c>
      <c r="D91" s="1" t="s">
        <v>91</v>
      </c>
      <c r="E91" s="1" t="s">
        <v>91</v>
      </c>
      <c r="F91" s="1" t="s">
        <v>91</v>
      </c>
      <c r="G91" s="1" t="s">
        <v>91</v>
      </c>
      <c r="H91" s="1" t="s">
        <v>91</v>
      </c>
      <c r="I91" s="1" t="s">
        <v>91</v>
      </c>
      <c r="J91" s="1" t="s">
        <v>91</v>
      </c>
      <c r="K91" s="1" t="s">
        <v>91</v>
      </c>
      <c r="L91" s="1" t="s">
        <v>91</v>
      </c>
      <c r="M91" s="1" t="s">
        <v>91</v>
      </c>
      <c r="N91" s="1">
        <v>-200209000</v>
      </c>
      <c r="O91" s="1">
        <v>-130000000</v>
      </c>
      <c r="P91" s="1">
        <v>-90000000</v>
      </c>
      <c r="Q91" s="1">
        <v>-330000000</v>
      </c>
      <c r="R91" s="1">
        <v>-386193000</v>
      </c>
      <c r="S91" s="1">
        <v>-110000000</v>
      </c>
      <c r="T91" s="1" t="s">
        <v>91</v>
      </c>
      <c r="U91" s="1">
        <v>-4297000</v>
      </c>
      <c r="V91" s="1">
        <v>-2458000</v>
      </c>
      <c r="W91" s="77"/>
      <c r="X91" s="77"/>
      <c r="Y91" s="77"/>
      <c r="Z91" s="77"/>
      <c r="AA91" s="77"/>
      <c r="AB91" s="77"/>
      <c r="AC91" s="71" t="s">
        <v>19</v>
      </c>
      <c r="AD91" s="88">
        <f>V25</f>
        <v>1640273000</v>
      </c>
    </row>
    <row r="92" spans="1:38" ht="20" x14ac:dyDescent="0.25">
      <c r="A92" s="5" t="s">
        <v>77</v>
      </c>
      <c r="B92" s="1" t="s">
        <v>91</v>
      </c>
      <c r="C92" s="1" t="s">
        <v>91</v>
      </c>
      <c r="D92" s="1" t="s">
        <v>91</v>
      </c>
      <c r="E92" s="1" t="s">
        <v>91</v>
      </c>
      <c r="F92" s="1" t="s">
        <v>91</v>
      </c>
      <c r="G92" s="1" t="s">
        <v>91</v>
      </c>
      <c r="H92" s="1" t="s">
        <v>91</v>
      </c>
      <c r="I92" s="1" t="s">
        <v>91</v>
      </c>
      <c r="J92" s="1" t="s">
        <v>91</v>
      </c>
      <c r="K92" s="1" t="s">
        <v>91</v>
      </c>
      <c r="L92" s="1" t="s">
        <v>91</v>
      </c>
      <c r="M92" s="1" t="s">
        <v>91</v>
      </c>
      <c r="N92" s="1">
        <v>50000000</v>
      </c>
      <c r="O92" s="1">
        <v>150209000</v>
      </c>
      <c r="P92" s="1">
        <v>190000000</v>
      </c>
      <c r="Q92" s="1">
        <v>240000000</v>
      </c>
      <c r="R92" s="1">
        <v>506193000</v>
      </c>
      <c r="S92" s="1" t="s">
        <v>91</v>
      </c>
      <c r="T92" s="1">
        <v>110000000</v>
      </c>
      <c r="U92" s="1" t="s">
        <v>91</v>
      </c>
      <c r="V92" s="1" t="s">
        <v>91</v>
      </c>
      <c r="W92" s="77"/>
      <c r="X92" s="77"/>
      <c r="Y92" s="77"/>
      <c r="Z92" s="77"/>
      <c r="AA92" s="77"/>
      <c r="AB92" s="77"/>
      <c r="AC92" s="72" t="s">
        <v>130</v>
      </c>
      <c r="AD92" s="89">
        <f>AD90/AD91</f>
        <v>0.24457087326317023</v>
      </c>
    </row>
    <row r="93" spans="1:38" ht="19" customHeight="1" x14ac:dyDescent="0.25">
      <c r="A93" s="5" t="s">
        <v>78</v>
      </c>
      <c r="B93" s="1" t="s">
        <v>91</v>
      </c>
      <c r="C93" s="1" t="s">
        <v>91</v>
      </c>
      <c r="D93" s="1" t="s">
        <v>91</v>
      </c>
      <c r="E93" s="1" t="s">
        <v>91</v>
      </c>
      <c r="F93" s="1">
        <v>-2414000</v>
      </c>
      <c r="G93" s="1">
        <v>4467000</v>
      </c>
      <c r="H93" s="1" t="s">
        <v>91</v>
      </c>
      <c r="I93" s="1" t="s">
        <v>91</v>
      </c>
      <c r="J93" s="1" t="s">
        <v>91</v>
      </c>
      <c r="K93" s="1" t="s">
        <v>91</v>
      </c>
      <c r="L93" s="1" t="s">
        <v>91</v>
      </c>
      <c r="M93" s="1" t="s">
        <v>91</v>
      </c>
      <c r="N93" s="1" t="s">
        <v>91</v>
      </c>
      <c r="O93" s="1" t="s">
        <v>91</v>
      </c>
      <c r="P93" s="1" t="s">
        <v>91</v>
      </c>
      <c r="Q93" s="1" t="s">
        <v>91</v>
      </c>
      <c r="R93" s="1" t="s">
        <v>91</v>
      </c>
      <c r="S93" s="1">
        <v>-298534000</v>
      </c>
      <c r="T93" s="1">
        <v>-151866000</v>
      </c>
      <c r="U93" s="1">
        <v>-172187000</v>
      </c>
      <c r="V93" s="1">
        <f>V88</f>
        <v>-312126000</v>
      </c>
      <c r="W93" s="77"/>
      <c r="X93" s="77"/>
      <c r="Y93" s="77"/>
      <c r="Z93" s="77"/>
      <c r="AA93" s="77"/>
      <c r="AB93" s="77"/>
      <c r="AC93" s="72" t="s">
        <v>131</v>
      </c>
      <c r="AD93" s="89">
        <f>AD89*(1-AD92)</f>
        <v>1.9620288262673291E-3</v>
      </c>
    </row>
    <row r="94" spans="1:38" ht="19" customHeight="1" x14ac:dyDescent="0.25">
      <c r="A94" s="6" t="s">
        <v>79</v>
      </c>
      <c r="B94" s="10" t="s">
        <v>91</v>
      </c>
      <c r="C94" s="10" t="s">
        <v>91</v>
      </c>
      <c r="D94" s="10" t="s">
        <v>91</v>
      </c>
      <c r="E94" s="10">
        <v>-41607000</v>
      </c>
      <c r="F94" s="10">
        <v>-64745000</v>
      </c>
      <c r="G94" s="10">
        <v>-97399000</v>
      </c>
      <c r="H94" s="10">
        <v>-110863000</v>
      </c>
      <c r="I94" s="10">
        <v>-68105000</v>
      </c>
      <c r="J94" s="10">
        <v>-97115000</v>
      </c>
      <c r="K94" s="10">
        <v>-128636000</v>
      </c>
      <c r="L94" s="10">
        <v>-188578000</v>
      </c>
      <c r="M94" s="10">
        <v>-226024000</v>
      </c>
      <c r="N94" s="10">
        <v>-399276000</v>
      </c>
      <c r="O94" s="10">
        <v>-278958000</v>
      </c>
      <c r="P94" s="10">
        <v>-273747000</v>
      </c>
      <c r="Q94" s="10">
        <v>-530714000</v>
      </c>
      <c r="R94" s="10">
        <v>-215107000</v>
      </c>
      <c r="S94" s="10">
        <v>-471480000</v>
      </c>
      <c r="T94" s="10">
        <v>-48751000</v>
      </c>
      <c r="U94" s="10">
        <v>-176484000</v>
      </c>
      <c r="V94" s="10">
        <v>-314584000</v>
      </c>
      <c r="W94" s="77"/>
      <c r="X94" s="77"/>
      <c r="Y94" s="77"/>
      <c r="Z94" s="77"/>
      <c r="AA94" s="77"/>
      <c r="AB94" s="77"/>
      <c r="AC94" s="108" t="s">
        <v>132</v>
      </c>
      <c r="AD94" s="108"/>
    </row>
    <row r="95" spans="1:38" ht="20" x14ac:dyDescent="0.25">
      <c r="A95" s="5" t="s">
        <v>80</v>
      </c>
      <c r="B95" s="1" t="s">
        <v>91</v>
      </c>
      <c r="C95" s="1" t="s">
        <v>91</v>
      </c>
      <c r="D95" s="1" t="s">
        <v>91</v>
      </c>
      <c r="E95" s="1" t="s">
        <v>91</v>
      </c>
      <c r="F95" s="1" t="s">
        <v>91</v>
      </c>
      <c r="G95" s="1" t="s">
        <v>91</v>
      </c>
      <c r="H95" s="1">
        <v>-1186692000</v>
      </c>
      <c r="I95" s="1">
        <v>-1267720000</v>
      </c>
      <c r="J95" s="1" t="s">
        <v>91</v>
      </c>
      <c r="K95" s="1" t="s">
        <v>91</v>
      </c>
      <c r="L95" s="1" t="s">
        <v>91</v>
      </c>
      <c r="M95" s="1" t="s">
        <v>91</v>
      </c>
      <c r="N95" s="1" t="s">
        <v>91</v>
      </c>
      <c r="O95" s="1" t="s">
        <v>91</v>
      </c>
      <c r="P95" s="1" t="s">
        <v>91</v>
      </c>
      <c r="Q95" s="1" t="s">
        <v>91</v>
      </c>
      <c r="R95" s="1" t="s">
        <v>91</v>
      </c>
      <c r="S95" s="1" t="s">
        <v>91</v>
      </c>
      <c r="T95" s="1">
        <v>-800000000</v>
      </c>
      <c r="U95" s="1" t="s">
        <v>91</v>
      </c>
      <c r="V95" s="1" t="s">
        <v>91</v>
      </c>
      <c r="W95" s="77"/>
      <c r="X95" s="77"/>
      <c r="Y95" s="77"/>
      <c r="Z95" s="77"/>
      <c r="AA95" s="77"/>
      <c r="AB95" s="77"/>
      <c r="AC95" s="71" t="s">
        <v>133</v>
      </c>
      <c r="AD95" s="102">
        <f>'[1]US Treasury Bonds'!$C$8</f>
        <v>4.845E-2</v>
      </c>
    </row>
    <row r="96" spans="1:38" ht="20" x14ac:dyDescent="0.25">
      <c r="A96" s="5" t="s">
        <v>81</v>
      </c>
      <c r="B96" s="1" t="s">
        <v>91</v>
      </c>
      <c r="C96" s="1" t="s">
        <v>91</v>
      </c>
      <c r="D96" s="1" t="s">
        <v>91</v>
      </c>
      <c r="E96" s="1">
        <v>630000</v>
      </c>
      <c r="F96" s="1">
        <v>1422000</v>
      </c>
      <c r="G96" s="1">
        <v>124783000</v>
      </c>
      <c r="H96" s="1">
        <v>2517000</v>
      </c>
      <c r="I96" s="1">
        <v>1228000</v>
      </c>
      <c r="J96" s="1">
        <v>17100000</v>
      </c>
      <c r="K96" s="1" t="s">
        <v>91</v>
      </c>
      <c r="L96" s="1" t="s">
        <v>91</v>
      </c>
      <c r="M96" s="1" t="s">
        <v>91</v>
      </c>
      <c r="N96" s="1" t="s">
        <v>91</v>
      </c>
      <c r="O96" s="1" t="s">
        <v>91</v>
      </c>
      <c r="P96" s="1" t="s">
        <v>91</v>
      </c>
      <c r="Q96" s="1" t="s">
        <v>91</v>
      </c>
      <c r="R96" s="1" t="s">
        <v>91</v>
      </c>
      <c r="S96" s="1" t="s">
        <v>91</v>
      </c>
      <c r="T96" s="1" t="s">
        <v>91</v>
      </c>
      <c r="U96" s="1" t="s">
        <v>91</v>
      </c>
      <c r="V96" s="1" t="s">
        <v>91</v>
      </c>
      <c r="W96" s="77"/>
      <c r="X96" s="77"/>
      <c r="Y96" s="77"/>
      <c r="Z96" s="77"/>
      <c r="AA96" s="77"/>
      <c r="AB96" s="77"/>
      <c r="AC96" s="71" t="s">
        <v>134</v>
      </c>
      <c r="AD96" s="91" cm="1">
        <f t="array" ref="AD96">_FV(A1,"Beta")</f>
        <v>1.3599000000000001</v>
      </c>
    </row>
    <row r="97" spans="1:39" ht="20" x14ac:dyDescent="0.25">
      <c r="A97" s="5" t="s">
        <v>82</v>
      </c>
      <c r="B97" s="1" t="s">
        <v>91</v>
      </c>
      <c r="C97" s="1" t="s">
        <v>91</v>
      </c>
      <c r="D97" s="1" t="s">
        <v>91</v>
      </c>
      <c r="E97" s="1" t="s">
        <v>91</v>
      </c>
      <c r="F97" s="1">
        <v>-2217000</v>
      </c>
      <c r="G97" s="1">
        <v>-6742000</v>
      </c>
      <c r="H97" s="1">
        <v>-59000</v>
      </c>
      <c r="I97" s="1" t="s">
        <v>91</v>
      </c>
      <c r="J97" s="1" t="s">
        <v>91</v>
      </c>
      <c r="K97" s="1">
        <v>-3236000</v>
      </c>
      <c r="L97" s="1">
        <v>-79000</v>
      </c>
      <c r="M97" s="1">
        <v>-37968000</v>
      </c>
      <c r="N97" s="1">
        <v>-41511000</v>
      </c>
      <c r="O97" s="1">
        <v>-169368000</v>
      </c>
      <c r="P97" s="1">
        <v>-347114000</v>
      </c>
      <c r="Q97" s="1">
        <v>-371824000</v>
      </c>
      <c r="R97" s="1">
        <v>-622335000</v>
      </c>
      <c r="S97" s="1">
        <v>-690519000</v>
      </c>
      <c r="T97" s="1">
        <v>-118248000</v>
      </c>
      <c r="U97" s="1">
        <v>-1537602000</v>
      </c>
      <c r="V97" s="1">
        <v>-900033000</v>
      </c>
      <c r="W97" s="77"/>
      <c r="X97" s="77"/>
      <c r="Y97" s="77"/>
      <c r="Z97" s="77"/>
      <c r="AA97" s="77"/>
      <c r="AB97" s="77"/>
      <c r="AC97" s="71" t="s">
        <v>135</v>
      </c>
      <c r="AD97" s="90">
        <v>8.4000000000000005E-2</v>
      </c>
    </row>
    <row r="98" spans="1:39" ht="19" customHeight="1" x14ac:dyDescent="0.25">
      <c r="A98" s="5" t="s">
        <v>83</v>
      </c>
      <c r="B98" s="1" t="s">
        <v>91</v>
      </c>
      <c r="C98" s="1" t="s">
        <v>91</v>
      </c>
      <c r="D98" s="1" t="s">
        <v>91</v>
      </c>
      <c r="E98" s="1" t="s">
        <v>91</v>
      </c>
      <c r="F98" s="1" t="s">
        <v>91</v>
      </c>
      <c r="G98" s="1">
        <v>-93012000</v>
      </c>
      <c r="H98" s="1" t="s">
        <v>91</v>
      </c>
      <c r="I98" s="1" t="s">
        <v>91</v>
      </c>
      <c r="J98" s="1" t="s">
        <v>91</v>
      </c>
      <c r="K98" s="1" t="s">
        <v>91</v>
      </c>
      <c r="L98" s="1">
        <v>-62482000</v>
      </c>
      <c r="M98" s="1" t="s">
        <v>91</v>
      </c>
      <c r="N98" s="1" t="s">
        <v>91</v>
      </c>
      <c r="O98" s="1" t="s">
        <v>91</v>
      </c>
      <c r="P98" s="1" t="s">
        <v>91</v>
      </c>
      <c r="Q98" s="1" t="s">
        <v>91</v>
      </c>
      <c r="R98" s="1" t="s">
        <v>91</v>
      </c>
      <c r="S98" s="1" t="s">
        <v>91</v>
      </c>
      <c r="T98" s="1" t="s">
        <v>91</v>
      </c>
      <c r="U98" s="1" t="s">
        <v>91</v>
      </c>
      <c r="V98" s="1">
        <v>0</v>
      </c>
      <c r="W98" s="77"/>
      <c r="X98" s="77"/>
      <c r="Y98" s="77"/>
      <c r="Z98" s="77"/>
      <c r="AA98" s="77"/>
      <c r="AB98" s="77"/>
      <c r="AC98" s="72" t="s">
        <v>136</v>
      </c>
      <c r="AD98" s="89">
        <f>(AD95)+((AD96)*(AD97-AD95))</f>
        <v>9.6794445000000007E-2</v>
      </c>
    </row>
    <row r="99" spans="1:39" ht="19" customHeight="1" x14ac:dyDescent="0.25">
      <c r="A99" s="5" t="s">
        <v>84</v>
      </c>
      <c r="B99" s="1" t="s">
        <v>91</v>
      </c>
      <c r="C99" s="1" t="s">
        <v>91</v>
      </c>
      <c r="D99" s="1" t="s">
        <v>91</v>
      </c>
      <c r="E99" s="1">
        <v>3211000</v>
      </c>
      <c r="F99" s="1">
        <v>10716000</v>
      </c>
      <c r="G99" s="1">
        <v>25608000</v>
      </c>
      <c r="H99" s="1">
        <v>1219743000</v>
      </c>
      <c r="I99" s="1">
        <v>1162149000</v>
      </c>
      <c r="J99" s="1">
        <v>10640000</v>
      </c>
      <c r="K99" s="1">
        <v>53538000</v>
      </c>
      <c r="L99" s="1">
        <v>78875000</v>
      </c>
      <c r="M99" s="1">
        <v>35268000</v>
      </c>
      <c r="N99" s="1">
        <v>13868000</v>
      </c>
      <c r="O99" s="1">
        <v>29143000</v>
      </c>
      <c r="P99" s="1">
        <v>25346000</v>
      </c>
      <c r="Q99" s="1">
        <v>15607000</v>
      </c>
      <c r="R99" s="1">
        <v>13121000</v>
      </c>
      <c r="S99" s="1">
        <v>43780000</v>
      </c>
      <c r="T99" s="1">
        <v>810314000</v>
      </c>
      <c r="U99" s="1">
        <v>40386000</v>
      </c>
      <c r="V99" s="1">
        <v>46011000</v>
      </c>
      <c r="W99" s="77"/>
      <c r="X99" s="77"/>
      <c r="Y99" s="77"/>
      <c r="Z99" s="77"/>
      <c r="AA99" s="77"/>
      <c r="AB99" s="77"/>
      <c r="AC99" s="108" t="s">
        <v>137</v>
      </c>
      <c r="AD99" s="108"/>
    </row>
    <row r="100" spans="1:39" ht="20" x14ac:dyDescent="0.25">
      <c r="A100" s="6" t="s">
        <v>85</v>
      </c>
      <c r="B100" s="10" t="s">
        <v>91</v>
      </c>
      <c r="C100" s="10" t="s">
        <v>91</v>
      </c>
      <c r="D100" s="10" t="s">
        <v>91</v>
      </c>
      <c r="E100" s="10">
        <v>3841000</v>
      </c>
      <c r="F100" s="10">
        <v>9921000</v>
      </c>
      <c r="G100" s="10">
        <v>50637000</v>
      </c>
      <c r="H100" s="10">
        <v>35509000</v>
      </c>
      <c r="I100" s="10">
        <v>-104343000</v>
      </c>
      <c r="J100" s="10">
        <v>27740000</v>
      </c>
      <c r="K100" s="10">
        <v>50302000</v>
      </c>
      <c r="L100" s="10">
        <v>16314000</v>
      </c>
      <c r="M100" s="10">
        <v>-2700000</v>
      </c>
      <c r="N100" s="10">
        <v>-27643000</v>
      </c>
      <c r="O100" s="10">
        <v>-140225000</v>
      </c>
      <c r="P100" s="10">
        <v>-321768000</v>
      </c>
      <c r="Q100" s="10">
        <v>-356217000</v>
      </c>
      <c r="R100" s="10">
        <v>-609214000</v>
      </c>
      <c r="S100" s="10">
        <v>-646739000</v>
      </c>
      <c r="T100" s="10">
        <v>-107934000</v>
      </c>
      <c r="U100" s="10">
        <v>-1497216000</v>
      </c>
      <c r="V100" s="10">
        <v>-861014000</v>
      </c>
      <c r="W100" s="77"/>
      <c r="X100" s="77"/>
      <c r="Y100" s="77"/>
      <c r="Z100" s="77"/>
      <c r="AA100" s="77"/>
      <c r="AB100" s="77"/>
      <c r="AC100" s="71" t="s">
        <v>138</v>
      </c>
      <c r="AD100" s="88">
        <f>AD87+AD88</f>
        <v>1903176000</v>
      </c>
    </row>
    <row r="101" spans="1:39" ht="20" x14ac:dyDescent="0.25">
      <c r="A101" s="5" t="s">
        <v>86</v>
      </c>
      <c r="B101" s="1" t="s">
        <v>91</v>
      </c>
      <c r="C101" s="1" t="s">
        <v>91</v>
      </c>
      <c r="D101" s="1" t="s">
        <v>91</v>
      </c>
      <c r="E101" s="1" t="s">
        <v>91</v>
      </c>
      <c r="F101" s="1" t="s">
        <v>91</v>
      </c>
      <c r="G101" s="1" t="s">
        <v>91</v>
      </c>
      <c r="H101" s="1" t="s">
        <v>91</v>
      </c>
      <c r="I101" s="1" t="s">
        <v>91</v>
      </c>
      <c r="J101" s="1" t="s">
        <v>91</v>
      </c>
      <c r="K101" s="1" t="s">
        <v>91</v>
      </c>
      <c r="L101" s="1" t="s">
        <v>91</v>
      </c>
      <c r="M101" s="1" t="s">
        <v>91</v>
      </c>
      <c r="N101" s="1" t="s">
        <v>91</v>
      </c>
      <c r="O101" s="1" t="s">
        <v>91</v>
      </c>
      <c r="P101" s="1" t="s">
        <v>91</v>
      </c>
      <c r="Q101" s="1" t="s">
        <v>91</v>
      </c>
      <c r="R101" s="1" t="s">
        <v>91</v>
      </c>
      <c r="S101" s="1" t="s">
        <v>91</v>
      </c>
      <c r="T101" s="1">
        <v>56000</v>
      </c>
      <c r="U101" s="1">
        <v>-56000</v>
      </c>
      <c r="V101" s="1">
        <v>-56000</v>
      </c>
      <c r="W101" s="77"/>
      <c r="X101" s="77"/>
      <c r="Y101" s="77"/>
      <c r="Z101" s="77"/>
      <c r="AA101" s="77"/>
      <c r="AB101" s="77"/>
      <c r="AC101" s="72" t="s">
        <v>139</v>
      </c>
      <c r="AD101" s="89">
        <f>AD100/AD104</f>
        <v>9.2370746060434106E-2</v>
      </c>
    </row>
    <row r="102" spans="1:39" ht="20" x14ac:dyDescent="0.25">
      <c r="A102" s="6" t="s">
        <v>87</v>
      </c>
      <c r="B102" s="10" t="s">
        <v>91</v>
      </c>
      <c r="C102" s="10" t="s">
        <v>91</v>
      </c>
      <c r="D102" s="10" t="s">
        <v>91</v>
      </c>
      <c r="E102" s="10">
        <v>-165000</v>
      </c>
      <c r="F102" s="10">
        <v>806000</v>
      </c>
      <c r="G102" s="10">
        <v>144000</v>
      </c>
      <c r="H102" s="10">
        <v>-151000</v>
      </c>
      <c r="I102" s="10">
        <v>379000</v>
      </c>
      <c r="J102" s="10">
        <v>107168000</v>
      </c>
      <c r="K102" s="10">
        <v>142553000</v>
      </c>
      <c r="L102" s="10">
        <v>66737000</v>
      </c>
      <c r="M102" s="10">
        <v>99001000</v>
      </c>
      <c r="N102" s="10">
        <v>-30327000</v>
      </c>
      <c r="O102" s="10">
        <v>-43309000</v>
      </c>
      <c r="P102" s="10">
        <v>39170000</v>
      </c>
      <c r="Q102" s="10">
        <v>-107565000</v>
      </c>
      <c r="R102" s="10">
        <v>131806000</v>
      </c>
      <c r="S102" s="10">
        <v>-16926000</v>
      </c>
      <c r="T102" s="10">
        <v>653726000</v>
      </c>
      <c r="U102" s="10">
        <v>-614491000</v>
      </c>
      <c r="V102" s="10">
        <v>306317000</v>
      </c>
      <c r="W102" s="77"/>
      <c r="X102" s="77"/>
      <c r="Y102" s="77"/>
      <c r="Z102" s="77"/>
      <c r="AA102" s="77"/>
      <c r="AB102" s="77"/>
      <c r="AC102" s="71" t="s">
        <v>140</v>
      </c>
      <c r="AD102" s="92" cm="1">
        <f t="array" ref="AD102">_FV(A1,"Market cap",TRUE)</f>
        <v>18700490000</v>
      </c>
    </row>
    <row r="103" spans="1:39" ht="20" x14ac:dyDescent="0.25">
      <c r="A103" s="5" t="s">
        <v>88</v>
      </c>
      <c r="B103" s="1" t="s">
        <v>91</v>
      </c>
      <c r="C103" s="1" t="s">
        <v>91</v>
      </c>
      <c r="D103" s="1" t="s">
        <v>91</v>
      </c>
      <c r="E103" s="1">
        <v>3004000</v>
      </c>
      <c r="F103" s="1">
        <v>2839000</v>
      </c>
      <c r="G103" s="1">
        <v>3645000</v>
      </c>
      <c r="H103" s="1">
        <v>3789000</v>
      </c>
      <c r="I103" s="1">
        <v>3638000</v>
      </c>
      <c r="J103" s="1">
        <v>4017000</v>
      </c>
      <c r="K103" s="1">
        <v>111185000</v>
      </c>
      <c r="L103" s="1">
        <v>253738000</v>
      </c>
      <c r="M103" s="1">
        <v>320475000</v>
      </c>
      <c r="N103" s="1">
        <v>419476000</v>
      </c>
      <c r="O103" s="1">
        <v>389149000</v>
      </c>
      <c r="P103" s="1">
        <v>345840000</v>
      </c>
      <c r="Q103" s="1">
        <v>385010000</v>
      </c>
      <c r="R103" s="1">
        <v>277445000</v>
      </c>
      <c r="S103" s="1">
        <v>409251000</v>
      </c>
      <c r="T103" s="1">
        <v>392325000</v>
      </c>
      <c r="U103" s="1">
        <v>1046051000</v>
      </c>
      <c r="V103" s="1">
        <v>431560000</v>
      </c>
      <c r="W103" s="77"/>
      <c r="X103" s="77"/>
      <c r="Y103" s="77"/>
      <c r="Z103" s="77"/>
      <c r="AA103" s="77"/>
      <c r="AB103" s="77"/>
      <c r="AC103" s="72" t="s">
        <v>141</v>
      </c>
      <c r="AD103" s="89">
        <f>AD102/AD104</f>
        <v>0.90762925393956595</v>
      </c>
    </row>
    <row r="104" spans="1:39" ht="19" customHeight="1" thickBot="1" x14ac:dyDescent="0.3">
      <c r="A104" s="7" t="s">
        <v>89</v>
      </c>
      <c r="B104" s="11" t="s">
        <v>91</v>
      </c>
      <c r="C104" s="11" t="s">
        <v>91</v>
      </c>
      <c r="D104" s="11" t="s">
        <v>91</v>
      </c>
      <c r="E104" s="11">
        <v>2839000</v>
      </c>
      <c r="F104" s="11">
        <v>3645000</v>
      </c>
      <c r="G104" s="11">
        <v>3789000</v>
      </c>
      <c r="H104" s="11">
        <v>3638000</v>
      </c>
      <c r="I104" s="11">
        <v>4017000</v>
      </c>
      <c r="J104" s="11">
        <v>111185000</v>
      </c>
      <c r="K104" s="11">
        <v>253738000</v>
      </c>
      <c r="L104" s="11">
        <v>320475000</v>
      </c>
      <c r="M104" s="11">
        <v>419476000</v>
      </c>
      <c r="N104" s="11">
        <v>389149000</v>
      </c>
      <c r="O104" s="11">
        <v>345840000</v>
      </c>
      <c r="P104" s="11">
        <v>385010000</v>
      </c>
      <c r="Q104" s="11">
        <v>277445000</v>
      </c>
      <c r="R104" s="11">
        <v>409251000</v>
      </c>
      <c r="S104" s="11">
        <v>392325000</v>
      </c>
      <c r="T104" s="11">
        <v>1046051000</v>
      </c>
      <c r="U104" s="11">
        <v>431560000</v>
      </c>
      <c r="V104" s="11">
        <v>737877000</v>
      </c>
      <c r="W104" s="110" t="s">
        <v>115</v>
      </c>
      <c r="X104" s="110"/>
      <c r="Y104" s="110"/>
      <c r="Z104" s="110"/>
      <c r="AA104" s="110"/>
      <c r="AB104" s="77"/>
      <c r="AC104" s="72" t="s">
        <v>142</v>
      </c>
      <c r="AD104" s="93">
        <f>AD100+AD102</f>
        <v>20603666000</v>
      </c>
    </row>
    <row r="105" spans="1:39" ht="21" customHeight="1" thickTop="1" x14ac:dyDescent="0.25">
      <c r="A105" s="14" t="s">
        <v>161</v>
      </c>
      <c r="C105" s="1" t="e">
        <f t="shared" ref="C105:V105" si="23">(C22*(1-$AD$92))+C77+C88+C81</f>
        <v>#VALUE!</v>
      </c>
      <c r="D105" s="1" t="e">
        <f t="shared" si="23"/>
        <v>#VALUE!</v>
      </c>
      <c r="E105" s="1">
        <f t="shared" si="23"/>
        <v>3804746.6251044795</v>
      </c>
      <c r="F105" s="1">
        <f t="shared" si="23"/>
        <v>4978642.8326260298</v>
      </c>
      <c r="G105" s="1">
        <f t="shared" si="23"/>
        <v>-42619595.769728571</v>
      </c>
      <c r="H105" s="1">
        <f t="shared" si="23"/>
        <v>-50903876.002958044</v>
      </c>
      <c r="I105" s="1">
        <f t="shared" si="23"/>
        <v>108285761.27449515</v>
      </c>
      <c r="J105" s="1">
        <f t="shared" si="23"/>
        <v>90469436.302981257</v>
      </c>
      <c r="K105" s="1">
        <f t="shared" si="23"/>
        <v>122341417.52013233</v>
      </c>
      <c r="L105" s="1">
        <f t="shared" si="23"/>
        <v>113600536.04552412</v>
      </c>
      <c r="M105" s="1">
        <f t="shared" si="23"/>
        <v>135926516.76946461</v>
      </c>
      <c r="N105" s="1">
        <f t="shared" si="23"/>
        <v>175021445.04969603</v>
      </c>
      <c r="O105" s="1">
        <f t="shared" si="23"/>
        <v>123574500.57947671</v>
      </c>
      <c r="P105" s="1">
        <f t="shared" si="23"/>
        <v>299453122.48631787</v>
      </c>
      <c r="Q105" s="1">
        <f t="shared" si="23"/>
        <v>371827694.36429179</v>
      </c>
      <c r="R105" s="1">
        <f t="shared" si="23"/>
        <v>559763908.56339157</v>
      </c>
      <c r="S105" s="1">
        <f t="shared" si="23"/>
        <v>760842653.52779698</v>
      </c>
      <c r="T105" s="1">
        <f t="shared" si="23"/>
        <v>462414725.79381603</v>
      </c>
      <c r="U105" s="1">
        <f t="shared" si="23"/>
        <v>578224248.50802279</v>
      </c>
      <c r="V105" s="1">
        <f t="shared" si="23"/>
        <v>1167099721.3622367</v>
      </c>
      <c r="W105" s="103">
        <f>W107/W3</f>
        <v>8.805956759666278E-2</v>
      </c>
      <c r="X105" s="103">
        <f>X107/X3</f>
        <v>9.1802718181041118E-2</v>
      </c>
      <c r="Y105" s="103">
        <f>Y107/Y3</f>
        <v>9.2281608267398674E-2</v>
      </c>
      <c r="Z105" s="103">
        <f>Z107/Z3</f>
        <v>9.8511858626569526E-2</v>
      </c>
      <c r="AA105" s="103">
        <f>AA107/AA3</f>
        <v>9.8629735472997734E-2</v>
      </c>
      <c r="AB105" s="104" t="s">
        <v>167</v>
      </c>
      <c r="AC105" s="108" t="s">
        <v>143</v>
      </c>
      <c r="AD105" s="108"/>
      <c r="AE105" s="15"/>
      <c r="AF105" s="15"/>
      <c r="AG105" s="15"/>
      <c r="AH105" s="15"/>
      <c r="AI105" s="15"/>
      <c r="AJ105" s="15"/>
      <c r="AK105" s="15"/>
      <c r="AL105" s="15"/>
      <c r="AM105" s="15"/>
    </row>
    <row r="106" spans="1:39" ht="20" x14ac:dyDescent="0.25">
      <c r="A106" s="14" t="s">
        <v>106</v>
      </c>
      <c r="B106" s="1"/>
      <c r="C106" s="15" t="e">
        <f t="shared" ref="C106:V106" si="24">(C107/B107)-1</f>
        <v>#VALUE!</v>
      </c>
      <c r="D106" s="15" t="e">
        <f t="shared" si="24"/>
        <v>#VALUE!</v>
      </c>
      <c r="E106" s="15" t="e">
        <f t="shared" si="24"/>
        <v>#VALUE!</v>
      </c>
      <c r="F106" s="15">
        <f t="shared" si="24"/>
        <v>0.67274088866699944</v>
      </c>
      <c r="G106" s="15">
        <f t="shared" si="24"/>
        <v>7.2017609312042978</v>
      </c>
      <c r="H106" s="15">
        <f t="shared" si="24"/>
        <v>-0.35116448326055316</v>
      </c>
      <c r="I106" s="15">
        <f t="shared" si="24"/>
        <v>-3.9366797532249018</v>
      </c>
      <c r="J106" s="15">
        <f t="shared" si="24"/>
        <v>-0.24153473004717252</v>
      </c>
      <c r="K106" s="15">
        <f t="shared" si="24"/>
        <v>0.16144180893387716</v>
      </c>
      <c r="L106" s="15">
        <f t="shared" si="24"/>
        <v>-0.45341513913128317</v>
      </c>
      <c r="M106" s="15">
        <f t="shared" si="24"/>
        <v>1.0169565476072426</v>
      </c>
      <c r="N106" s="15">
        <f t="shared" si="24"/>
        <v>0.45057570722018458</v>
      </c>
      <c r="O106" s="15">
        <f t="shared" si="24"/>
        <v>-0.48004067107269954</v>
      </c>
      <c r="P106" s="15">
        <f t="shared" si="24"/>
        <v>2.40174951438591</v>
      </c>
      <c r="Q106" s="15">
        <f t="shared" si="24"/>
        <v>0.2978255371007672</v>
      </c>
      <c r="R106" s="15">
        <f t="shared" si="24"/>
        <v>0.88018083460307328</v>
      </c>
      <c r="S106" s="15">
        <f t="shared" si="24"/>
        <v>0.26075853544768801</v>
      </c>
      <c r="T106" s="15">
        <f t="shared" si="24"/>
        <v>-0.17971769858699804</v>
      </c>
      <c r="U106" s="15">
        <f t="shared" si="24"/>
        <v>0.34714171383272907</v>
      </c>
      <c r="V106" s="15">
        <f t="shared" si="24"/>
        <v>0.31893700441223882</v>
      </c>
      <c r="W106" s="79">
        <f>(W107/V107)-1</f>
        <v>-0.16102564102564099</v>
      </c>
      <c r="X106" s="79">
        <f>(X107/W107)-1</f>
        <v>9.4132029339853318E-2</v>
      </c>
      <c r="Y106" s="79">
        <f>(Y107/X107)-1</f>
        <v>6.4245810055865826E-2</v>
      </c>
      <c r="Z106" s="79">
        <f>(Z107/Y107)-1</f>
        <v>0.11198600174978135</v>
      </c>
      <c r="AA106" s="79">
        <f>(AA107/Z107)-1</f>
        <v>5.9008654602675126E-2</v>
      </c>
      <c r="AB106" s="80">
        <f>SUM(W106:AA106)/5</f>
        <v>3.3669370944506928E-2</v>
      </c>
      <c r="AC106" s="73" t="s">
        <v>107</v>
      </c>
      <c r="AD106" s="94">
        <f>(AD101*AD93)+(AD103*AD98)</f>
        <v>8.8034703967318759E-2</v>
      </c>
    </row>
    <row r="107" spans="1:39" ht="19" customHeight="1" x14ac:dyDescent="0.25">
      <c r="A107" s="68" t="s">
        <v>162</v>
      </c>
      <c r="B107" s="1" t="s">
        <v>91</v>
      </c>
      <c r="C107" s="1" t="s">
        <v>91</v>
      </c>
      <c r="D107" s="1" t="s">
        <v>91</v>
      </c>
      <c r="E107" s="1">
        <v>-4006000</v>
      </c>
      <c r="F107" s="1">
        <v>-6701000</v>
      </c>
      <c r="G107" s="1">
        <v>-54960000</v>
      </c>
      <c r="H107" s="1">
        <v>-35660000</v>
      </c>
      <c r="I107" s="1">
        <v>104722000</v>
      </c>
      <c r="J107" s="1">
        <v>79428000</v>
      </c>
      <c r="K107" s="1">
        <v>92251000</v>
      </c>
      <c r="L107" s="1">
        <v>50423000</v>
      </c>
      <c r="M107" s="1">
        <v>101701000</v>
      </c>
      <c r="N107" s="1">
        <v>147525000</v>
      </c>
      <c r="O107" s="1">
        <v>76707000</v>
      </c>
      <c r="P107" s="1">
        <v>260938000</v>
      </c>
      <c r="Q107" s="1">
        <v>338652000</v>
      </c>
      <c r="R107" s="1">
        <v>636727000</v>
      </c>
      <c r="S107" s="1">
        <v>802759000</v>
      </c>
      <c r="T107" s="1">
        <v>658489000</v>
      </c>
      <c r="U107" s="1">
        <v>887078000</v>
      </c>
      <c r="V107" s="1">
        <v>1170000000</v>
      </c>
      <c r="W107" s="81">
        <v>981600000</v>
      </c>
      <c r="X107" s="81">
        <v>1074000000</v>
      </c>
      <c r="Y107" s="81">
        <v>1143000000</v>
      </c>
      <c r="Z107" s="81">
        <v>1271000000</v>
      </c>
      <c r="AA107" s="81">
        <v>1346000000</v>
      </c>
      <c r="AB107" s="78" t="s">
        <v>164</v>
      </c>
      <c r="AC107" s="85" t="s">
        <v>170</v>
      </c>
      <c r="AD107" s="74">
        <f>(SUM(W4:AA4)/5)</f>
        <v>5.9926523870554818E-2</v>
      </c>
    </row>
    <row r="108" spans="1:39" ht="19" x14ac:dyDescent="0.2">
      <c r="W108" s="105"/>
      <c r="X108" s="105"/>
      <c r="Y108" s="105"/>
      <c r="Z108" s="105"/>
      <c r="AA108" s="82">
        <f>AA107*(1+AD108)/(AD109-AD108)</f>
        <v>21887149667.828999</v>
      </c>
      <c r="AB108" s="83" t="s">
        <v>145</v>
      </c>
      <c r="AC108" s="86" t="s">
        <v>146</v>
      </c>
      <c r="AD108" s="75">
        <v>2.5000000000000001E-2</v>
      </c>
    </row>
    <row r="109" spans="1:39" ht="19" x14ac:dyDescent="0.2">
      <c r="W109" s="82">
        <f t="shared" ref="W109:Y109" si="25">W108+W107</f>
        <v>981600000</v>
      </c>
      <c r="X109" s="82">
        <f t="shared" si="25"/>
        <v>1074000000</v>
      </c>
      <c r="Y109" s="82">
        <f t="shared" si="25"/>
        <v>1143000000</v>
      </c>
      <c r="Z109" s="82">
        <f>Z108+Z107</f>
        <v>1271000000</v>
      </c>
      <c r="AA109" s="82">
        <f>AA108+AA107</f>
        <v>23233149667.828999</v>
      </c>
      <c r="AB109" s="83" t="s">
        <v>142</v>
      </c>
      <c r="AC109" s="87" t="s">
        <v>147</v>
      </c>
      <c r="AD109" s="74">
        <f>AD106</f>
        <v>8.8034703967318759E-2</v>
      </c>
    </row>
    <row r="110" spans="1:39" ht="19" x14ac:dyDescent="0.2">
      <c r="W110" s="109" t="s">
        <v>148</v>
      </c>
      <c r="X110" s="109"/>
      <c r="Y110" s="77"/>
      <c r="Z110" s="77"/>
      <c r="AA110" s="77"/>
      <c r="AB110" s="77"/>
      <c r="AC110" s="77"/>
      <c r="AD110" s="77"/>
    </row>
    <row r="111" spans="1:39" ht="20" x14ac:dyDescent="0.2">
      <c r="W111" s="95" t="s">
        <v>149</v>
      </c>
      <c r="X111" s="92">
        <f>NPV(AD109,W109,X109,Y109,Z109,AA109)</f>
        <v>18840559196.201057</v>
      </c>
      <c r="Y111" s="77"/>
      <c r="Z111" s="77"/>
      <c r="AA111" s="77"/>
      <c r="AB111" s="77"/>
      <c r="AC111" s="77"/>
      <c r="AD111" s="77"/>
    </row>
    <row r="112" spans="1:39" ht="20" x14ac:dyDescent="0.2">
      <c r="W112" s="95" t="s">
        <v>150</v>
      </c>
      <c r="X112" s="92">
        <f>V40</f>
        <v>737877000</v>
      </c>
      <c r="Y112" s="77"/>
      <c r="Z112" s="77"/>
      <c r="AA112" s="77"/>
      <c r="AB112" s="77"/>
      <c r="AC112" s="77"/>
      <c r="AD112" s="77"/>
    </row>
    <row r="113" spans="23:30" ht="20" x14ac:dyDescent="0.2">
      <c r="W113" s="95" t="s">
        <v>138</v>
      </c>
      <c r="X113" s="92">
        <f>AD100</f>
        <v>1903176000</v>
      </c>
      <c r="Y113" s="77"/>
      <c r="Z113" s="77"/>
      <c r="AA113" s="77"/>
      <c r="AB113" s="77"/>
      <c r="AC113" s="77"/>
      <c r="AD113" s="77"/>
    </row>
    <row r="114" spans="23:30" ht="20" x14ac:dyDescent="0.2">
      <c r="W114" s="95" t="s">
        <v>151</v>
      </c>
      <c r="X114" s="92">
        <f>X111+X112-X113</f>
        <v>17675260196.201057</v>
      </c>
      <c r="Y114" s="77"/>
      <c r="Z114" s="77"/>
      <c r="AA114" s="77"/>
      <c r="AB114" s="77"/>
      <c r="AC114" s="77"/>
      <c r="AD114" s="77"/>
    </row>
    <row r="115" spans="23:30" ht="20" x14ac:dyDescent="0.2">
      <c r="W115" s="95" t="s">
        <v>152</v>
      </c>
      <c r="X115" s="95">
        <f>V34*(1+(5*AB16))</f>
        <v>43003211.19368273</v>
      </c>
      <c r="Y115" s="77"/>
      <c r="Z115" s="77"/>
      <c r="AA115" s="77"/>
      <c r="AB115" s="77"/>
      <c r="AC115" s="77"/>
      <c r="AD115" s="77"/>
    </row>
    <row r="116" spans="23:30" ht="20" x14ac:dyDescent="0.2">
      <c r="W116" s="96" t="s">
        <v>153</v>
      </c>
      <c r="X116" s="97">
        <f>X114/X115</f>
        <v>411.02186803197606</v>
      </c>
      <c r="Y116" s="77"/>
      <c r="Z116" s="77"/>
      <c r="AA116" s="77"/>
      <c r="AB116" s="77"/>
      <c r="AC116" s="77"/>
      <c r="AD116" s="77"/>
    </row>
    <row r="117" spans="23:30" ht="20" x14ac:dyDescent="0.2">
      <c r="W117" s="95" t="s">
        <v>154</v>
      </c>
      <c r="X117" s="98" cm="1">
        <f t="array" ref="X117">_FV(A1,"Price")</f>
        <v>379.87</v>
      </c>
      <c r="Y117" s="77"/>
      <c r="Z117" s="77"/>
      <c r="AA117" s="77"/>
      <c r="AB117" s="77"/>
      <c r="AC117" s="77"/>
      <c r="AD117" s="77"/>
    </row>
    <row r="118" spans="23:30" ht="20" x14ac:dyDescent="0.2">
      <c r="W118" s="96" t="s">
        <v>155</v>
      </c>
      <c r="X118" s="99">
        <f>X116/X117-1</f>
        <v>8.2006654992434314E-2</v>
      </c>
      <c r="Y118" s="77"/>
      <c r="Z118" s="77"/>
      <c r="AA118" s="77"/>
      <c r="AB118" s="77"/>
      <c r="AC118" s="77"/>
      <c r="AD118" s="77"/>
    </row>
    <row r="119" spans="23:30" ht="20" x14ac:dyDescent="0.2">
      <c r="W119" s="96" t="s">
        <v>156</v>
      </c>
      <c r="X119" s="100" t="str">
        <f>IF(X116&gt;X117,"BUY","SELL")</f>
        <v>BUY</v>
      </c>
      <c r="Y119" s="77"/>
      <c r="Z119" s="77"/>
      <c r="AA119" s="77"/>
      <c r="AB119" s="77"/>
      <c r="AC119" s="77"/>
      <c r="AD119" s="77"/>
    </row>
  </sheetData>
  <mergeCells count="7">
    <mergeCell ref="AC84:AD84"/>
    <mergeCell ref="AC85:AD85"/>
    <mergeCell ref="W110:X110"/>
    <mergeCell ref="W104:AA104"/>
    <mergeCell ref="AC105:AD105"/>
    <mergeCell ref="AC99:AD99"/>
    <mergeCell ref="AC94:AD94"/>
  </mergeCells>
  <hyperlinks>
    <hyperlink ref="A1" r:id="rId1" tooltip="https://roic.ai/company/ULTA" display="ROIC.AI | ULTA" xr:uid="{00000000-0004-0000-0000-000000000000}"/>
    <hyperlink ref="B36" r:id="rId2" tooltip="https://sec.gov" xr:uid="{00000000-0004-0000-0000-000001000000}"/>
    <hyperlink ref="B74" r:id="rId3" tooltip="https://sec.gov" xr:uid="{00000000-0004-0000-0000-000002000000}"/>
    <hyperlink ref="C36" r:id="rId4" tooltip="https://sec.gov" xr:uid="{00000000-0004-0000-0000-000004000000}"/>
    <hyperlink ref="C74" r:id="rId5" tooltip="https://sec.gov" xr:uid="{00000000-0004-0000-0000-000005000000}"/>
    <hyperlink ref="D36" r:id="rId6" tooltip="https://sec.gov" xr:uid="{00000000-0004-0000-0000-000007000000}"/>
    <hyperlink ref="D74" r:id="rId7" tooltip="https://sec.gov" xr:uid="{00000000-0004-0000-0000-000008000000}"/>
    <hyperlink ref="E36" r:id="rId8" tooltip="https://sec.gov" xr:uid="{00000000-0004-0000-0000-00000A000000}"/>
    <hyperlink ref="E74" r:id="rId9" tooltip="https://sec.gov" xr:uid="{00000000-0004-0000-0000-00000B000000}"/>
    <hyperlink ref="F36" r:id="rId10" tooltip="https://sec.gov" xr:uid="{00000000-0004-0000-0000-00000D000000}"/>
    <hyperlink ref="F74" r:id="rId11" tooltip="https://sec.gov" xr:uid="{00000000-0004-0000-0000-00000E000000}"/>
    <hyperlink ref="G36" r:id="rId12" tooltip="https://www.sec.gov/Archives/edgar/data/1403568/000095013708005469/0000950137-08-005469-index.html" xr:uid="{00000000-0004-0000-0000-000010000000}"/>
    <hyperlink ref="G74" r:id="rId13" tooltip="https://www.sec.gov/Archives/edgar/data/1403568/000095013708005469/0000950137-08-005469-index.html" xr:uid="{00000000-0004-0000-0000-000011000000}"/>
    <hyperlink ref="H36" r:id="rId14" tooltip="https://www.sec.gov/Archives/edgar/data/1403568/000095013709002518/0000950137-09-002518-index.html" xr:uid="{00000000-0004-0000-0000-000013000000}"/>
    <hyperlink ref="H74" r:id="rId15" tooltip="https://www.sec.gov/Archives/edgar/data/1403568/000095013709002518/0000950137-09-002518-index.html" xr:uid="{00000000-0004-0000-0000-000014000000}"/>
    <hyperlink ref="I36" r:id="rId16" tooltip="https://www.sec.gov/Archives/edgar/data/1403568/000095012310030932/0000950123-10-030932-index.html" xr:uid="{00000000-0004-0000-0000-000016000000}"/>
    <hyperlink ref="I74" r:id="rId17" tooltip="https://www.sec.gov/Archives/edgar/data/1403568/000095012310030932/0000950123-10-030932-index.html" xr:uid="{00000000-0004-0000-0000-000017000000}"/>
    <hyperlink ref="J36" r:id="rId18" tooltip="https://www.sec.gov/Archives/edgar/data/1403568/000095012311030900/c63694e10vk.htm" xr:uid="{00000000-0004-0000-0000-000019000000}"/>
    <hyperlink ref="J74" r:id="rId19" tooltip="https://www.sec.gov/Archives/edgar/data/1403568/000095012311030900/c63694e10vk.htm" xr:uid="{00000000-0004-0000-0000-00001A000000}"/>
    <hyperlink ref="K36" r:id="rId20" tooltip="https://www.sec.gov/Archives/edgar/data/1403568/000119312512136579/0001193125-12-136579-index.html" xr:uid="{00000000-0004-0000-0000-00001C000000}"/>
    <hyperlink ref="K74" r:id="rId21" tooltip="https://www.sec.gov/Archives/edgar/data/1403568/000119312512136579/0001193125-12-136579-index.html" xr:uid="{00000000-0004-0000-0000-00001D000000}"/>
    <hyperlink ref="L36" r:id="rId22" tooltip="https://www.sec.gov/Archives/edgar/data/1403568/000119312513140116/0001193125-13-140116-index.html" xr:uid="{00000000-0004-0000-0000-00001F000000}"/>
    <hyperlink ref="L74" r:id="rId23" tooltip="https://www.sec.gov/Archives/edgar/data/1403568/000119312513140116/0001193125-13-140116-index.html" xr:uid="{00000000-0004-0000-0000-000020000000}"/>
    <hyperlink ref="M36" r:id="rId24" tooltip="https://www.sec.gov/Archives/edgar/data/1403568/000119312514127781/0001193125-14-127781-index.html" xr:uid="{00000000-0004-0000-0000-000022000000}"/>
    <hyperlink ref="M74" r:id="rId25" tooltip="https://www.sec.gov/Archives/edgar/data/1403568/000119312514127781/0001193125-14-127781-index.html" xr:uid="{00000000-0004-0000-0000-000023000000}"/>
    <hyperlink ref="N36" r:id="rId26" tooltip="https://www.sec.gov/Archives/edgar/data/1403568/000119312515115602/0001193125-15-115602-index.html" xr:uid="{00000000-0004-0000-0000-000025000000}"/>
    <hyperlink ref="N74" r:id="rId27" tooltip="https://www.sec.gov/Archives/edgar/data/1403568/000119312515115602/0001193125-15-115602-index.html" xr:uid="{00000000-0004-0000-0000-000026000000}"/>
    <hyperlink ref="O36" r:id="rId28" tooltip="https://www.sec.gov/Archives/edgar/data/1403568/000119312516523101/0001193125-16-523101-index.html" xr:uid="{00000000-0004-0000-0000-000028000000}"/>
    <hyperlink ref="O74" r:id="rId29" tooltip="https://www.sec.gov/Archives/edgar/data/1403568/000119312516523101/0001193125-16-523101-index.html" xr:uid="{00000000-0004-0000-0000-000029000000}"/>
    <hyperlink ref="P36" r:id="rId30" tooltip="https://www.sec.gov/Archives/edgar/data/1403568/000119312517099261/0001193125-17-099261-index.html" xr:uid="{00000000-0004-0000-0000-00002B000000}"/>
    <hyperlink ref="P74" r:id="rId31" tooltip="https://www.sec.gov/Archives/edgar/data/1403568/000119312517099261/0001193125-17-099261-index.html" xr:uid="{00000000-0004-0000-0000-00002C000000}"/>
    <hyperlink ref="Q36" r:id="rId32" tooltip="https://www.sec.gov/Archives/edgar/data/1403568/000155837018002733/0001558370-18-002733-index.html" xr:uid="{00000000-0004-0000-0000-00002E000000}"/>
    <hyperlink ref="Q74" r:id="rId33" tooltip="https://www.sec.gov/Archives/edgar/data/1403568/000155837018002733/0001558370-18-002733-index.html" xr:uid="{00000000-0004-0000-0000-00002F000000}"/>
    <hyperlink ref="R36" r:id="rId34" tooltip="https://www.sec.gov/Archives/edgar/data/1403568/000155837019002739/0001558370-19-002739-index.html" xr:uid="{00000000-0004-0000-0000-000031000000}"/>
    <hyperlink ref="R74" r:id="rId35" tooltip="https://www.sec.gov/Archives/edgar/data/1403568/000155837019002739/0001558370-19-002739-index.html" xr:uid="{00000000-0004-0000-0000-000032000000}"/>
    <hyperlink ref="S36" r:id="rId36" tooltip="https://www.sec.gov/Archives/edgar/data/1403568/000155837020003272/0001558370-20-003272-index.html" xr:uid="{00000000-0004-0000-0000-000034000000}"/>
    <hyperlink ref="S74" r:id="rId37" tooltip="https://www.sec.gov/Archives/edgar/data/1403568/000155837020003272/0001558370-20-003272-index.html" xr:uid="{00000000-0004-0000-0000-000035000000}"/>
    <hyperlink ref="T36" r:id="rId38" tooltip="https://www.sec.gov/Archives/edgar/data/1403568/000155837021003523/0001558370-21-003523-index.htm" xr:uid="{00000000-0004-0000-0000-000037000000}"/>
    <hyperlink ref="T74" r:id="rId39" tooltip="https://www.sec.gov/Archives/edgar/data/1403568/000155837021003523/0001558370-21-003523-index.htm" xr:uid="{00000000-0004-0000-0000-000038000000}"/>
    <hyperlink ref="U36" r:id="rId40" tooltip="https://www.sec.gov/Archives/edgar/data/1403568/000155837022004330/0001558370-22-004330-index.htm" xr:uid="{00000000-0004-0000-0000-00003A000000}"/>
    <hyperlink ref="U74" r:id="rId41" tooltip="https://www.sec.gov/Archives/edgar/data/1403568/000155837022004330/0001558370-22-004330-index.htm" xr:uid="{00000000-0004-0000-0000-00003B000000}"/>
    <hyperlink ref="V36" r:id="rId42" tooltip="https://www.sec.gov/Archives/edgar/data/1403568/000155837022004330/0001558370-22-004330-index.htm" xr:uid="{25644EF6-F4DB-7640-9918-3A92358C3381}"/>
    <hyperlink ref="V74" r:id="rId43" tooltip="https://www.sec.gov/Archives/edgar/data/1403568/000155837022004330/0001558370-22-004330-index.htm" xr:uid="{09850EAB-BE63-4F4C-8A4D-C38D5A681AF3}"/>
    <hyperlink ref="W1" r:id="rId44" display="https://finbox.com/NASDAQGS:ULTA/explorer/revenue_proj" xr:uid="{B86A6E5A-3219-144F-B30D-F2293AF1966B}"/>
    <hyperlink ref="AB107" r:id="rId45" xr:uid="{30A2E8B7-8BBC-7B43-A21D-ACCEFD71BD1E}"/>
  </hyperlinks>
  <pageMargins left="0.7" right="0.7" top="0.75" bottom="0.75" header="0.3" footer="0.3"/>
  <drawing r:id="rId4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39ED4-41DC-CD48-950F-0A9D1C5D5F18}">
  <dimension ref="A1:K118"/>
  <sheetViews>
    <sheetView topLeftCell="A106" workbookViewId="0">
      <selection activeCell="O130" sqref="O130"/>
    </sheetView>
  </sheetViews>
  <sheetFormatPr baseColWidth="10" defaultRowHeight="16" x14ac:dyDescent="0.2"/>
  <cols>
    <col min="1" max="1" width="46.5" customWidth="1"/>
  </cols>
  <sheetData>
    <row r="1" spans="1:11" ht="22" thickBot="1" x14ac:dyDescent="0.3">
      <c r="A1" s="3" t="e" vm="1">
        <v>#VALUE!</v>
      </c>
      <c r="B1" s="8">
        <v>2023</v>
      </c>
      <c r="C1" s="25">
        <v>2024</v>
      </c>
      <c r="D1" s="25">
        <v>2025</v>
      </c>
      <c r="E1" s="25">
        <v>2026</v>
      </c>
      <c r="F1" s="25">
        <v>2027</v>
      </c>
      <c r="G1" s="25">
        <v>2027</v>
      </c>
    </row>
    <row r="2" spans="1:11" ht="21" x14ac:dyDescent="0.25">
      <c r="A2" s="4" t="s">
        <v>0</v>
      </c>
      <c r="B2" s="9" t="s">
        <v>90</v>
      </c>
      <c r="C2" s="9" t="s">
        <v>90</v>
      </c>
      <c r="D2" s="9" t="s">
        <v>90</v>
      </c>
      <c r="E2" s="9"/>
      <c r="F2" s="9"/>
      <c r="G2" s="9"/>
      <c r="H2" s="9"/>
      <c r="I2" s="9"/>
      <c r="J2" s="9"/>
      <c r="K2" s="9"/>
    </row>
    <row r="3" spans="1:11" ht="60" x14ac:dyDescent="0.25">
      <c r="A3" s="5" t="s">
        <v>1</v>
      </c>
      <c r="B3" s="1">
        <v>10208000000</v>
      </c>
      <c r="C3" s="26">
        <v>11092000000</v>
      </c>
      <c r="D3" s="26">
        <v>11653000000</v>
      </c>
      <c r="E3" s="26">
        <v>12390000000</v>
      </c>
      <c r="F3" s="26">
        <v>12944000000</v>
      </c>
      <c r="G3" s="26">
        <v>13613000000</v>
      </c>
      <c r="H3" s="18" t="s">
        <v>108</v>
      </c>
      <c r="I3" s="19" t="s">
        <v>109</v>
      </c>
      <c r="J3" s="19" t="s">
        <v>110</v>
      </c>
      <c r="K3" s="19" t="s">
        <v>111</v>
      </c>
    </row>
    <row r="4" spans="1:11" ht="19" x14ac:dyDescent="0.25">
      <c r="A4" s="14" t="s">
        <v>93</v>
      </c>
      <c r="B4" s="16" t="e">
        <f t="shared" ref="B4:G4" si="0">(B3/A3)-1</f>
        <v>#VALUE!</v>
      </c>
      <c r="C4" s="16">
        <f t="shared" si="0"/>
        <v>8.6598746081504752E-2</v>
      </c>
      <c r="D4" s="16">
        <f t="shared" si="0"/>
        <v>5.0576992426974332E-2</v>
      </c>
      <c r="E4" s="16">
        <f t="shared" si="0"/>
        <v>6.3245516176092087E-2</v>
      </c>
      <c r="F4" s="16">
        <f t="shared" si="0"/>
        <v>4.4713478611783763E-2</v>
      </c>
      <c r="G4" s="16">
        <f t="shared" si="0"/>
        <v>5.1684177997527891E-2</v>
      </c>
      <c r="H4" s="17" t="e">
        <f>(B4+A4+#REF!)/3</f>
        <v>#VALUE!</v>
      </c>
      <c r="I4" s="17" t="e">
        <f>(B20+A20+#REF!)/3</f>
        <v>#VALUE!</v>
      </c>
      <c r="J4" s="17" t="e">
        <f>(B29+A29+#REF!)/3</f>
        <v>#VALUE!</v>
      </c>
      <c r="K4" s="17" t="e">
        <f>(B106+A106+#REF!)/3</f>
        <v>#VALUE!</v>
      </c>
    </row>
    <row r="5" spans="1:11" ht="19" x14ac:dyDescent="0.25">
      <c r="A5" s="5" t="s">
        <v>2</v>
      </c>
      <c r="B5" s="1">
        <v>6164070000</v>
      </c>
    </row>
    <row r="6" spans="1:11" ht="60" x14ac:dyDescent="0.25">
      <c r="A6" s="6" t="s">
        <v>3</v>
      </c>
      <c r="B6" s="10">
        <v>4044510000</v>
      </c>
      <c r="H6" s="18" t="s">
        <v>112</v>
      </c>
      <c r="I6" s="19" t="s">
        <v>113</v>
      </c>
      <c r="J6" s="19" t="s">
        <v>114</v>
      </c>
      <c r="K6" s="19" t="s">
        <v>115</v>
      </c>
    </row>
    <row r="7" spans="1:11" ht="19" x14ac:dyDescent="0.25">
      <c r="A7" s="5" t="s">
        <v>4</v>
      </c>
      <c r="B7" s="2">
        <f>B6/B3</f>
        <v>0.39620983542319749</v>
      </c>
      <c r="H7" s="17">
        <f>B7</f>
        <v>0.39620983542319749</v>
      </c>
      <c r="I7" s="20">
        <f>B21</f>
        <v>0.17153800940438871</v>
      </c>
      <c r="J7" s="20">
        <f>B30</f>
        <v>0.12170924764890283</v>
      </c>
      <c r="K7" s="20">
        <f>B107/B3</f>
        <v>0.11461598746081504</v>
      </c>
    </row>
    <row r="8" spans="1:11" ht="19" x14ac:dyDescent="0.25">
      <c r="A8" s="5" t="s">
        <v>5</v>
      </c>
      <c r="B8" s="1">
        <v>0</v>
      </c>
    </row>
    <row r="9" spans="1:11" ht="40" x14ac:dyDescent="0.25">
      <c r="A9" s="14" t="s">
        <v>94</v>
      </c>
      <c r="B9" s="15">
        <f t="shared" ref="B9" si="1">B8/B3</f>
        <v>0</v>
      </c>
      <c r="C9" s="15"/>
      <c r="D9" s="15"/>
      <c r="E9" s="15"/>
      <c r="F9" s="15"/>
      <c r="H9" s="18" t="s">
        <v>95</v>
      </c>
      <c r="I9" s="19" t="s">
        <v>96</v>
      </c>
      <c r="J9" s="19" t="s">
        <v>97</v>
      </c>
      <c r="K9" s="19" t="s">
        <v>98</v>
      </c>
    </row>
    <row r="10" spans="1:11" ht="19" x14ac:dyDescent="0.25">
      <c r="A10" s="5" t="s">
        <v>6</v>
      </c>
      <c r="B10" s="1" t="s">
        <v>91</v>
      </c>
      <c r="H10" s="17">
        <f>B9</f>
        <v>0</v>
      </c>
      <c r="I10" s="20">
        <f>B13</f>
        <v>0.23464919670846396</v>
      </c>
      <c r="J10" s="20">
        <f>B80</f>
        <v>4.2166927899686523E-3</v>
      </c>
      <c r="K10" s="20">
        <f>B89</f>
        <v>3.05766065830721E-2</v>
      </c>
    </row>
    <row r="11" spans="1:11" ht="19" x14ac:dyDescent="0.25">
      <c r="A11" s="5" t="s">
        <v>7</v>
      </c>
      <c r="B11" s="1" t="s">
        <v>91</v>
      </c>
    </row>
    <row r="12" spans="1:11" ht="40" x14ac:dyDescent="0.25">
      <c r="A12" s="5" t="s">
        <v>8</v>
      </c>
      <c r="B12" s="1">
        <v>2395299000</v>
      </c>
      <c r="H12" s="18" t="s">
        <v>116</v>
      </c>
      <c r="I12" s="19" t="s">
        <v>117</v>
      </c>
      <c r="J12" s="19" t="s">
        <v>118</v>
      </c>
      <c r="K12" s="19" t="s">
        <v>119</v>
      </c>
    </row>
    <row r="13" spans="1:11" ht="19" x14ac:dyDescent="0.25">
      <c r="A13" s="14" t="s">
        <v>99</v>
      </c>
      <c r="B13" s="15">
        <f t="shared" ref="B13" si="2">B12/B3</f>
        <v>0.23464919670846396</v>
      </c>
      <c r="C13" s="15"/>
      <c r="D13" s="15"/>
      <c r="E13" s="15"/>
      <c r="F13" s="15"/>
      <c r="H13" s="17">
        <f>B28/B72</f>
        <v>0.63394276284805018</v>
      </c>
      <c r="I13" s="20">
        <f>B28/B54</f>
        <v>0.23134318770015927</v>
      </c>
      <c r="J13" s="20">
        <f>B22/(B72+B56+B61)</f>
        <v>0.42418211606717809</v>
      </c>
      <c r="K13" s="21">
        <f>B67/B72</f>
        <v>1.7402698525521083</v>
      </c>
    </row>
    <row r="14" spans="1:11" ht="19" x14ac:dyDescent="0.25">
      <c r="A14" s="5" t="s">
        <v>9</v>
      </c>
      <c r="B14" s="1">
        <v>10601000</v>
      </c>
    </row>
    <row r="15" spans="1:11" ht="60" x14ac:dyDescent="0.25">
      <c r="A15" s="5" t="s">
        <v>10</v>
      </c>
      <c r="B15" s="1">
        <f>B12+B14</f>
        <v>2405900000</v>
      </c>
      <c r="H15" s="18" t="s">
        <v>120</v>
      </c>
      <c r="I15" s="19" t="s">
        <v>121</v>
      </c>
      <c r="J15" s="19" t="s">
        <v>122</v>
      </c>
      <c r="K15" s="19" t="s">
        <v>123</v>
      </c>
    </row>
    <row r="16" spans="1:11" ht="19" x14ac:dyDescent="0.25">
      <c r="A16" s="5" t="s">
        <v>11</v>
      </c>
      <c r="B16" s="1">
        <f>B15+B5</f>
        <v>8569970000</v>
      </c>
      <c r="H16" s="27" t="e">
        <f>(B35+A35+#REF!+#REF!+#REF!)/5</f>
        <v>#VALUE!</v>
      </c>
      <c r="I16" s="64" t="e" vm="2">
        <f>J101/B3</f>
        <v>#VALUE!</v>
      </c>
      <c r="J16" s="64" t="e" vm="2">
        <f>J101/B28</f>
        <v>#VALUE!</v>
      </c>
      <c r="K16" s="65" t="e" vm="2">
        <f>J101/B107</f>
        <v>#VALUE!</v>
      </c>
    </row>
    <row r="17" spans="1:11" ht="19" x14ac:dyDescent="0.25">
      <c r="A17" s="5" t="s">
        <v>12</v>
      </c>
      <c r="B17" s="1">
        <v>4943000</v>
      </c>
    </row>
    <row r="18" spans="1:11" ht="40" x14ac:dyDescent="0.25">
      <c r="A18" s="5" t="s">
        <v>13</v>
      </c>
      <c r="B18" s="1">
        <v>112450000</v>
      </c>
      <c r="H18" s="18" t="s">
        <v>157</v>
      </c>
      <c r="I18" s="19" t="s">
        <v>158</v>
      </c>
      <c r="J18" s="19" t="s">
        <v>159</v>
      </c>
      <c r="K18" s="19" t="s">
        <v>160</v>
      </c>
    </row>
    <row r="19" spans="1:11" ht="19" x14ac:dyDescent="0.25">
      <c r="A19" s="6" t="s">
        <v>14</v>
      </c>
      <c r="B19" s="10">
        <v>1751060000</v>
      </c>
      <c r="C19" s="59">
        <v>1927000000</v>
      </c>
      <c r="D19" s="59">
        <v>1997000000</v>
      </c>
      <c r="E19" s="59">
        <v>2158000000</v>
      </c>
      <c r="F19" s="59">
        <v>2301000000</v>
      </c>
      <c r="G19" s="59">
        <v>2440000000</v>
      </c>
      <c r="H19" s="46">
        <f>B40-B56-B61</f>
        <v>-1165299000</v>
      </c>
      <c r="I19" s="64" t="e" vm="2">
        <f>J101/C3</f>
        <v>#VALUE!</v>
      </c>
      <c r="J19" s="66" t="e" vm="2">
        <f>J101/C28</f>
        <v>#VALUE!</v>
      </c>
      <c r="K19" s="65" t="e" vm="2">
        <f>J101/C106</f>
        <v>#VALUE!</v>
      </c>
    </row>
    <row r="20" spans="1:11" ht="19" x14ac:dyDescent="0.25">
      <c r="A20" s="14" t="s">
        <v>100</v>
      </c>
      <c r="B20" s="15" t="e">
        <f t="shared" ref="B20:G20" si="3">(B19/A19)-1</f>
        <v>#VALUE!</v>
      </c>
      <c r="C20" s="16">
        <f t="shared" si="3"/>
        <v>0.10047628293719235</v>
      </c>
      <c r="D20" s="16">
        <f t="shared" si="3"/>
        <v>3.6325895173845435E-2</v>
      </c>
      <c r="E20" s="16">
        <f t="shared" si="3"/>
        <v>8.0620931397095585E-2</v>
      </c>
      <c r="F20" s="16">
        <f t="shared" si="3"/>
        <v>6.6265060240963791E-2</v>
      </c>
      <c r="G20" s="16">
        <f t="shared" si="3"/>
        <v>6.0408518035636627E-2</v>
      </c>
      <c r="H20" s="15"/>
      <c r="I20" s="15"/>
      <c r="J20" s="15"/>
      <c r="K20" s="15"/>
    </row>
    <row r="21" spans="1:11" ht="40" x14ac:dyDescent="0.25">
      <c r="A21" s="5" t="s">
        <v>15</v>
      </c>
      <c r="B21" s="58">
        <f>B19/B3</f>
        <v>0.17153800940438871</v>
      </c>
      <c r="C21" s="60">
        <f>C19/C3</f>
        <v>0.17372881355932204</v>
      </c>
      <c r="D21" s="60">
        <f t="shared" ref="D21:G21" si="4">D19/D3</f>
        <v>0.17137217883806746</v>
      </c>
      <c r="E21" s="60">
        <f t="shared" si="4"/>
        <v>0.17417271993543179</v>
      </c>
      <c r="F21" s="60">
        <f t="shared" si="4"/>
        <v>0.17776576019777504</v>
      </c>
      <c r="G21" s="60">
        <f t="shared" si="4"/>
        <v>0.17924043194005729</v>
      </c>
      <c r="J21" s="18" t="s">
        <v>165</v>
      </c>
      <c r="K21" s="19" t="s">
        <v>166</v>
      </c>
    </row>
    <row r="22" spans="1:11" ht="19" x14ac:dyDescent="0.25">
      <c r="A22" s="6" t="s">
        <v>16</v>
      </c>
      <c r="B22" s="57">
        <v>1638610000</v>
      </c>
      <c r="J22" s="69" t="e" vm="2">
        <f>(-1*B98)/J101</f>
        <v>#VALUE!</v>
      </c>
      <c r="K22" s="70" t="e" vm="2">
        <f>B107/J101</f>
        <v>#VALUE!</v>
      </c>
    </row>
    <row r="23" spans="1:11" ht="19" x14ac:dyDescent="0.25">
      <c r="A23" s="5" t="s">
        <v>17</v>
      </c>
      <c r="B23" s="2">
        <f>B22/B3</f>
        <v>0.16052213949843261</v>
      </c>
    </row>
    <row r="24" spans="1:11" ht="19" x14ac:dyDescent="0.25">
      <c r="A24" s="5" t="s">
        <v>18</v>
      </c>
      <c r="B24" s="1">
        <v>1663000</v>
      </c>
    </row>
    <row r="25" spans="1:11" ht="19" x14ac:dyDescent="0.25">
      <c r="A25" s="6" t="s">
        <v>19</v>
      </c>
      <c r="B25" s="10">
        <v>1640273000</v>
      </c>
    </row>
    <row r="26" spans="1:11" ht="19" x14ac:dyDescent="0.25">
      <c r="A26" s="5" t="s">
        <v>20</v>
      </c>
      <c r="B26" s="2">
        <f>B25/B3</f>
        <v>0.16068505094043886</v>
      </c>
    </row>
    <row r="27" spans="1:11" ht="19" x14ac:dyDescent="0.25">
      <c r="A27" s="5" t="s">
        <v>21</v>
      </c>
      <c r="B27" s="1">
        <v>401163000</v>
      </c>
    </row>
    <row r="28" spans="1:11" ht="20" thickBot="1" x14ac:dyDescent="0.3">
      <c r="A28" s="7" t="s">
        <v>22</v>
      </c>
      <c r="B28" s="11">
        <v>1242408000</v>
      </c>
      <c r="C28" s="61">
        <v>1266000000</v>
      </c>
      <c r="D28" s="61">
        <v>1318000000</v>
      </c>
      <c r="E28" s="61">
        <v>1411000000</v>
      </c>
      <c r="F28" s="61">
        <v>1456000000</v>
      </c>
      <c r="G28" s="61">
        <v>1540000000</v>
      </c>
    </row>
    <row r="29" spans="1:11" ht="20" thickTop="1" x14ac:dyDescent="0.25">
      <c r="A29" s="14" t="s">
        <v>101</v>
      </c>
      <c r="B29" s="15" t="e">
        <f t="shared" ref="B29:G29" si="5">(B28/A28)-1</f>
        <v>#VALUE!</v>
      </c>
      <c r="C29" s="16">
        <f t="shared" si="5"/>
        <v>1.8988931172368551E-2</v>
      </c>
      <c r="D29" s="16">
        <f t="shared" si="5"/>
        <v>4.1074249605055346E-2</v>
      </c>
      <c r="E29" s="16">
        <f t="shared" si="5"/>
        <v>7.0561456752655571E-2</v>
      </c>
      <c r="F29" s="16">
        <f t="shared" si="5"/>
        <v>3.1892274982282087E-2</v>
      </c>
      <c r="G29" s="16">
        <f t="shared" si="5"/>
        <v>5.7692307692307709E-2</v>
      </c>
      <c r="H29" s="15"/>
      <c r="I29" s="15"/>
      <c r="J29" s="15"/>
      <c r="K29" s="15"/>
    </row>
    <row r="30" spans="1:11" ht="19" x14ac:dyDescent="0.25">
      <c r="A30" s="5" t="s">
        <v>23</v>
      </c>
      <c r="B30" s="2">
        <f>B28/B3</f>
        <v>0.12170924764890283</v>
      </c>
      <c r="C30" s="62">
        <f t="shared" ref="C30:G30" si="6">C28/C3</f>
        <v>0.1141363144608727</v>
      </c>
      <c r="D30" s="62">
        <f t="shared" si="6"/>
        <v>0.11310392173689179</v>
      </c>
      <c r="E30" s="62">
        <f t="shared" si="6"/>
        <v>0.11388216303470541</v>
      </c>
      <c r="F30" s="62">
        <f t="shared" si="6"/>
        <v>0.11248454882571075</v>
      </c>
      <c r="G30" s="62">
        <f t="shared" si="6"/>
        <v>0.11312715786380666</v>
      </c>
    </row>
    <row r="31" spans="1:11" ht="19" x14ac:dyDescent="0.25">
      <c r="A31" s="5" t="s">
        <v>24</v>
      </c>
      <c r="B31" s="12">
        <v>24.1</v>
      </c>
      <c r="C31" s="63">
        <v>25.27</v>
      </c>
      <c r="D31" s="63">
        <v>26.32</v>
      </c>
      <c r="E31" s="63">
        <v>28.17</v>
      </c>
      <c r="F31" s="63">
        <v>29.07</v>
      </c>
      <c r="G31" s="63">
        <v>30.74</v>
      </c>
    </row>
    <row r="32" spans="1:11" ht="19" x14ac:dyDescent="0.25">
      <c r="A32" s="5" t="s">
        <v>25</v>
      </c>
      <c r="B32" s="12">
        <v>23.94</v>
      </c>
    </row>
    <row r="33" spans="1:11" ht="19" x14ac:dyDescent="0.25">
      <c r="A33" s="5" t="s">
        <v>26</v>
      </c>
      <c r="B33" s="1">
        <v>51674000</v>
      </c>
    </row>
    <row r="34" spans="1:11" ht="19" x14ac:dyDescent="0.25">
      <c r="A34" s="5" t="s">
        <v>27</v>
      </c>
      <c r="B34" s="1">
        <v>51977000</v>
      </c>
    </row>
    <row r="35" spans="1:11" ht="19" x14ac:dyDescent="0.25">
      <c r="A35" s="14" t="s">
        <v>102</v>
      </c>
      <c r="B35" s="22" t="e">
        <f t="shared" ref="B35" si="7">(B34-A34)/A34</f>
        <v>#VALUE!</v>
      </c>
      <c r="C35" s="22"/>
      <c r="D35" s="22"/>
      <c r="E35" s="22"/>
      <c r="F35" s="22"/>
      <c r="G35" s="22"/>
      <c r="H35" s="22"/>
      <c r="I35" s="22"/>
      <c r="J35" s="22"/>
      <c r="K35" s="22"/>
    </row>
    <row r="36" spans="1:11" ht="19" x14ac:dyDescent="0.25">
      <c r="A36" s="5" t="s">
        <v>28</v>
      </c>
      <c r="B36" s="13" t="s">
        <v>92</v>
      </c>
    </row>
    <row r="37" spans="1:11" ht="21" x14ac:dyDescent="0.25">
      <c r="A37" s="4" t="s">
        <v>29</v>
      </c>
      <c r="B37" s="9" t="s">
        <v>90</v>
      </c>
    </row>
    <row r="38" spans="1:11" ht="19" x14ac:dyDescent="0.25">
      <c r="A38" s="5" t="s">
        <v>30</v>
      </c>
      <c r="B38" s="1">
        <v>737877000</v>
      </c>
    </row>
    <row r="39" spans="1:11" ht="19" x14ac:dyDescent="0.25">
      <c r="A39" s="5" t="s">
        <v>31</v>
      </c>
      <c r="B39" s="1" t="s">
        <v>91</v>
      </c>
    </row>
    <row r="40" spans="1:11" ht="19" x14ac:dyDescent="0.25">
      <c r="A40" s="5" t="s">
        <v>32</v>
      </c>
      <c r="B40" s="1">
        <v>737877000</v>
      </c>
    </row>
    <row r="41" spans="1:11" ht="19" x14ac:dyDescent="0.25">
      <c r="A41" s="5" t="s">
        <v>33</v>
      </c>
      <c r="B41" s="1">
        <v>199422000</v>
      </c>
    </row>
    <row r="42" spans="1:11" ht="19" x14ac:dyDescent="0.25">
      <c r="A42" s="5" t="s">
        <v>34</v>
      </c>
      <c r="B42" s="1">
        <v>1603451000</v>
      </c>
    </row>
    <row r="43" spans="1:11" ht="19" x14ac:dyDescent="0.25">
      <c r="A43" s="5" t="s">
        <v>35</v>
      </c>
      <c r="B43" s="1">
        <v>168554000</v>
      </c>
    </row>
    <row r="44" spans="1:11" ht="19" x14ac:dyDescent="0.25">
      <c r="A44" s="6" t="s">
        <v>36</v>
      </c>
      <c r="B44" s="10">
        <v>2709304000</v>
      </c>
    </row>
    <row r="45" spans="1:11" ht="19" x14ac:dyDescent="0.25">
      <c r="A45" s="5" t="s">
        <v>37</v>
      </c>
      <c r="B45" s="1">
        <v>1009273000</v>
      </c>
    </row>
    <row r="46" spans="1:11" ht="19" x14ac:dyDescent="0.25">
      <c r="A46" s="5" t="s">
        <v>38</v>
      </c>
      <c r="B46" s="1">
        <v>10870000</v>
      </c>
    </row>
    <row r="47" spans="1:11" ht="19" x14ac:dyDescent="0.25">
      <c r="A47" s="5" t="s">
        <v>39</v>
      </c>
      <c r="B47" s="1">
        <v>1312000</v>
      </c>
    </row>
    <row r="48" spans="1:11" ht="19" x14ac:dyDescent="0.25">
      <c r="A48" s="5" t="s">
        <v>40</v>
      </c>
      <c r="B48" s="1">
        <v>12182000</v>
      </c>
    </row>
    <row r="49" spans="1:2" ht="19" x14ac:dyDescent="0.25">
      <c r="A49" s="5" t="s">
        <v>41</v>
      </c>
      <c r="B49" s="1" t="s">
        <v>91</v>
      </c>
    </row>
    <row r="50" spans="1:2" ht="19" x14ac:dyDescent="0.25">
      <c r="A50" s="5" t="s">
        <v>42</v>
      </c>
      <c r="B50" s="1" t="s">
        <v>91</v>
      </c>
    </row>
    <row r="51" spans="1:2" ht="19" x14ac:dyDescent="0.25">
      <c r="A51" s="5" t="s">
        <v>43</v>
      </c>
      <c r="B51" s="1">
        <v>78389000</v>
      </c>
    </row>
    <row r="52" spans="1:2" ht="19" x14ac:dyDescent="0.25">
      <c r="A52" s="5" t="s">
        <v>44</v>
      </c>
      <c r="B52" s="1">
        <v>2661107000</v>
      </c>
    </row>
    <row r="53" spans="1:2" ht="19" x14ac:dyDescent="0.25">
      <c r="A53" s="5" t="s">
        <v>45</v>
      </c>
      <c r="B53" s="1" t="s">
        <v>91</v>
      </c>
    </row>
    <row r="54" spans="1:2" ht="20" thickBot="1" x14ac:dyDescent="0.3">
      <c r="A54" s="7" t="s">
        <v>46</v>
      </c>
      <c r="B54" s="11">
        <v>5370411000</v>
      </c>
    </row>
    <row r="55" spans="1:2" ht="20" thickTop="1" x14ac:dyDescent="0.25">
      <c r="A55" s="5" t="s">
        <v>47</v>
      </c>
      <c r="B55" s="1">
        <v>559527000</v>
      </c>
    </row>
    <row r="56" spans="1:2" ht="19" x14ac:dyDescent="0.25">
      <c r="A56" s="5" t="s">
        <v>48</v>
      </c>
      <c r="B56" s="1">
        <v>283293000</v>
      </c>
    </row>
    <row r="57" spans="1:2" ht="19" x14ac:dyDescent="0.25">
      <c r="A57" s="5" t="s">
        <v>49</v>
      </c>
      <c r="B57" s="1">
        <v>56250000</v>
      </c>
    </row>
    <row r="58" spans="1:2" ht="19" x14ac:dyDescent="0.25">
      <c r="A58" s="5" t="s">
        <v>50</v>
      </c>
      <c r="B58" s="1">
        <v>394677000</v>
      </c>
    </row>
    <row r="59" spans="1:2" ht="19" x14ac:dyDescent="0.25">
      <c r="A59" s="5" t="s">
        <v>51</v>
      </c>
      <c r="B59" s="1">
        <v>321333000</v>
      </c>
    </row>
    <row r="60" spans="1:2" ht="19" x14ac:dyDescent="0.25">
      <c r="A60" s="6" t="s">
        <v>52</v>
      </c>
      <c r="B60" s="10">
        <v>1681775000</v>
      </c>
    </row>
    <row r="61" spans="1:2" ht="19" x14ac:dyDescent="0.25">
      <c r="A61" s="5" t="s">
        <v>53</v>
      </c>
      <c r="B61" s="1">
        <v>1619883000</v>
      </c>
    </row>
    <row r="62" spans="1:2" ht="19" x14ac:dyDescent="0.25">
      <c r="A62" s="5" t="s">
        <v>50</v>
      </c>
      <c r="B62" s="1" t="s">
        <v>91</v>
      </c>
    </row>
    <row r="63" spans="1:2" ht="19" x14ac:dyDescent="0.25">
      <c r="A63" s="5" t="s">
        <v>54</v>
      </c>
      <c r="B63" s="1">
        <v>55346000</v>
      </c>
    </row>
    <row r="64" spans="1:2" ht="19" x14ac:dyDescent="0.25">
      <c r="A64" s="5" t="s">
        <v>55</v>
      </c>
      <c r="B64" s="1">
        <v>53596000</v>
      </c>
    </row>
    <row r="65" spans="1:11" ht="19" x14ac:dyDescent="0.25">
      <c r="A65" s="5" t="s">
        <v>56</v>
      </c>
      <c r="B65" s="1">
        <v>1670996000</v>
      </c>
    </row>
    <row r="66" spans="1:11" ht="19" x14ac:dyDescent="0.25">
      <c r="A66" s="5" t="s">
        <v>57</v>
      </c>
      <c r="B66" s="1" t="s">
        <v>91</v>
      </c>
    </row>
    <row r="67" spans="1:11" ht="19" x14ac:dyDescent="0.25">
      <c r="A67" s="6" t="s">
        <v>58</v>
      </c>
      <c r="B67" s="10">
        <v>3410600000</v>
      </c>
    </row>
    <row r="68" spans="1:11" ht="19" x14ac:dyDescent="0.25">
      <c r="A68" s="5" t="s">
        <v>59</v>
      </c>
      <c r="B68" s="1">
        <v>530000</v>
      </c>
    </row>
    <row r="69" spans="1:11" ht="19" x14ac:dyDescent="0.25">
      <c r="A69" s="5" t="s">
        <v>60</v>
      </c>
      <c r="B69" s="1">
        <v>424438000</v>
      </c>
    </row>
    <row r="70" spans="1:11" ht="19" x14ac:dyDescent="0.25">
      <c r="A70" s="5" t="s">
        <v>61</v>
      </c>
      <c r="B70" s="1" t="s">
        <v>91</v>
      </c>
    </row>
    <row r="71" spans="1:11" ht="19" x14ac:dyDescent="0.25">
      <c r="A71" s="5" t="s">
        <v>62</v>
      </c>
      <c r="B71" s="1">
        <v>881467000</v>
      </c>
    </row>
    <row r="72" spans="1:11" ht="19" x14ac:dyDescent="0.25">
      <c r="A72" s="6" t="s">
        <v>63</v>
      </c>
      <c r="B72" s="10">
        <v>1959811000</v>
      </c>
    </row>
    <row r="73" spans="1:11" ht="20" thickBot="1" x14ac:dyDescent="0.3">
      <c r="A73" s="7" t="s">
        <v>64</v>
      </c>
      <c r="B73" s="11">
        <v>5370411000</v>
      </c>
    </row>
    <row r="74" spans="1:11" ht="20" thickTop="1" x14ac:dyDescent="0.25">
      <c r="A74" s="5" t="s">
        <v>28</v>
      </c>
      <c r="B74" s="13" t="s">
        <v>92</v>
      </c>
    </row>
    <row r="75" spans="1:11" ht="21" x14ac:dyDescent="0.25">
      <c r="A75" s="4" t="s">
        <v>65</v>
      </c>
      <c r="B75" s="9" t="s">
        <v>90</v>
      </c>
    </row>
    <row r="76" spans="1:11" ht="19" x14ac:dyDescent="0.25">
      <c r="A76" s="5" t="s">
        <v>22</v>
      </c>
      <c r="B76" s="1">
        <v>1242408000</v>
      </c>
    </row>
    <row r="77" spans="1:11" ht="19" x14ac:dyDescent="0.25">
      <c r="A77" s="5" t="s">
        <v>13</v>
      </c>
      <c r="B77" s="1">
        <v>241372000</v>
      </c>
    </row>
    <row r="78" spans="1:11" ht="19" x14ac:dyDescent="0.25">
      <c r="A78" s="5" t="s">
        <v>67</v>
      </c>
      <c r="B78" s="1">
        <v>15653000</v>
      </c>
    </row>
    <row r="79" spans="1:11" ht="19" x14ac:dyDescent="0.25">
      <c r="A79" s="5" t="s">
        <v>68</v>
      </c>
      <c r="B79" s="1">
        <v>43044000</v>
      </c>
    </row>
    <row r="80" spans="1:11" ht="19" x14ac:dyDescent="0.25">
      <c r="A80" s="14" t="s">
        <v>103</v>
      </c>
      <c r="B80" s="15">
        <f t="shared" ref="B80" si="8">B79/B3</f>
        <v>4.2166927899686523E-3</v>
      </c>
      <c r="C80" s="15"/>
      <c r="D80" s="15"/>
      <c r="E80" s="15"/>
      <c r="F80" s="15"/>
      <c r="G80" s="15"/>
      <c r="H80" s="15"/>
      <c r="I80" s="15"/>
      <c r="J80" s="15"/>
      <c r="K80" s="15"/>
    </row>
    <row r="81" spans="1:11" ht="19" x14ac:dyDescent="0.25">
      <c r="A81" s="5" t="s">
        <v>69</v>
      </c>
      <c r="B81" s="1"/>
    </row>
    <row r="82" spans="1:11" ht="19" x14ac:dyDescent="0.25">
      <c r="A82" s="5" t="s">
        <v>70</v>
      </c>
      <c r="B82" s="1" t="s">
        <v>91</v>
      </c>
    </row>
    <row r="83" spans="1:11" ht="21" x14ac:dyDescent="0.25">
      <c r="A83" s="5" t="s">
        <v>34</v>
      </c>
      <c r="B83" s="1">
        <v>-104233000</v>
      </c>
      <c r="I83" s="113" t="s">
        <v>124</v>
      </c>
      <c r="J83" s="114"/>
    </row>
    <row r="84" spans="1:11" ht="19" x14ac:dyDescent="0.25">
      <c r="A84" s="5" t="s">
        <v>47</v>
      </c>
      <c r="B84" s="1"/>
      <c r="I84" s="115" t="s">
        <v>125</v>
      </c>
      <c r="J84" s="116"/>
    </row>
    <row r="85" spans="1:11" ht="40" x14ac:dyDescent="0.25">
      <c r="A85" s="5" t="s">
        <v>71</v>
      </c>
      <c r="B85" s="1"/>
      <c r="I85" s="47" t="s">
        <v>126</v>
      </c>
      <c r="J85" s="48">
        <f>B17</f>
        <v>4943000</v>
      </c>
    </row>
    <row r="86" spans="1:11" ht="60" x14ac:dyDescent="0.25">
      <c r="A86" s="5" t="s">
        <v>72</v>
      </c>
      <c r="B86" s="1"/>
      <c r="I86" s="47" t="s">
        <v>127</v>
      </c>
      <c r="J86" s="48">
        <f>B56</f>
        <v>283293000</v>
      </c>
    </row>
    <row r="87" spans="1:11" ht="60" x14ac:dyDescent="0.25">
      <c r="A87" s="6" t="s">
        <v>73</v>
      </c>
      <c r="B87" s="10">
        <v>1481915000</v>
      </c>
      <c r="I87" s="47" t="s">
        <v>128</v>
      </c>
      <c r="J87" s="48">
        <f>B61</f>
        <v>1619883000</v>
      </c>
    </row>
    <row r="88" spans="1:11" ht="40" x14ac:dyDescent="0.25">
      <c r="A88" s="5" t="s">
        <v>74</v>
      </c>
      <c r="B88" s="1">
        <v>-312126000</v>
      </c>
      <c r="I88" s="49" t="s">
        <v>129</v>
      </c>
      <c r="J88" s="50">
        <f>J85/(J86+J87)</f>
        <v>2.5972374599091204E-3</v>
      </c>
    </row>
    <row r="89" spans="1:11" ht="60" x14ac:dyDescent="0.25">
      <c r="A89" s="14" t="s">
        <v>104</v>
      </c>
      <c r="B89" s="15">
        <f t="shared" ref="B89" si="9">(-1*B88)/B3</f>
        <v>3.05766065830721E-2</v>
      </c>
      <c r="I89" s="47" t="s">
        <v>105</v>
      </c>
      <c r="J89" s="48">
        <f>B27</f>
        <v>401163000</v>
      </c>
      <c r="K89" s="15"/>
    </row>
    <row r="90" spans="1:11" ht="60" x14ac:dyDescent="0.25">
      <c r="A90" s="5" t="s">
        <v>75</v>
      </c>
      <c r="B90" s="1" t="s">
        <v>91</v>
      </c>
      <c r="I90" s="47" t="s">
        <v>19</v>
      </c>
      <c r="J90" s="48">
        <f>B25</f>
        <v>1640273000</v>
      </c>
    </row>
    <row r="91" spans="1:11" ht="40" x14ac:dyDescent="0.25">
      <c r="A91" s="5" t="s">
        <v>76</v>
      </c>
      <c r="B91" s="1">
        <v>-2458000</v>
      </c>
      <c r="I91" s="49" t="s">
        <v>130</v>
      </c>
      <c r="J91" s="50">
        <f>J89/J90</f>
        <v>0.24457087326317023</v>
      </c>
    </row>
    <row r="92" spans="1:11" ht="60" x14ac:dyDescent="0.25">
      <c r="A92" s="5" t="s">
        <v>77</v>
      </c>
      <c r="B92" s="1" t="s">
        <v>91</v>
      </c>
      <c r="I92" s="51" t="s">
        <v>131</v>
      </c>
      <c r="J92" s="52">
        <f>J88*(1-J91)</f>
        <v>1.9620288262673291E-3</v>
      </c>
    </row>
    <row r="93" spans="1:11" ht="19" x14ac:dyDescent="0.25">
      <c r="A93" s="5" t="s">
        <v>78</v>
      </c>
      <c r="B93" s="1">
        <f>B88</f>
        <v>-312126000</v>
      </c>
      <c r="I93" s="117" t="s">
        <v>132</v>
      </c>
      <c r="J93" s="118"/>
    </row>
    <row r="94" spans="1:11" ht="40" x14ac:dyDescent="0.25">
      <c r="A94" s="6" t="s">
        <v>79</v>
      </c>
      <c r="B94" s="10">
        <v>-314584000</v>
      </c>
      <c r="I94" s="47" t="s">
        <v>133</v>
      </c>
      <c r="J94" s="53" t="e">
        <f>#REF!</f>
        <v>#REF!</v>
      </c>
    </row>
    <row r="95" spans="1:11" ht="20" x14ac:dyDescent="0.25">
      <c r="A95" s="5" t="s">
        <v>80</v>
      </c>
      <c r="B95" s="1" t="s">
        <v>91</v>
      </c>
      <c r="I95" s="47" t="s">
        <v>134</v>
      </c>
      <c r="J95" s="54" t="e" cm="1" vm="3">
        <f t="array" ref="J95">_FV(#REF!,"Beta")</f>
        <v>#VALUE!</v>
      </c>
    </row>
    <row r="96" spans="1:11" ht="40" x14ac:dyDescent="0.25">
      <c r="A96" s="5" t="s">
        <v>81</v>
      </c>
      <c r="B96" s="1" t="s">
        <v>91</v>
      </c>
      <c r="I96" s="47" t="s">
        <v>135</v>
      </c>
      <c r="J96" s="53">
        <v>8.4000000000000005E-2</v>
      </c>
    </row>
    <row r="97" spans="1:11" ht="40" x14ac:dyDescent="0.25">
      <c r="A97" s="5" t="s">
        <v>82</v>
      </c>
      <c r="B97" s="1">
        <v>-900033000</v>
      </c>
      <c r="I97" s="51" t="s">
        <v>136</v>
      </c>
      <c r="J97" s="52" t="e">
        <f>(J94)+((J95)*(J96-J94))</f>
        <v>#REF!</v>
      </c>
    </row>
    <row r="98" spans="1:11" ht="19" x14ac:dyDescent="0.25">
      <c r="A98" s="5" t="s">
        <v>83</v>
      </c>
      <c r="B98" s="1">
        <v>0</v>
      </c>
      <c r="I98" s="117" t="s">
        <v>137</v>
      </c>
      <c r="J98" s="118"/>
    </row>
    <row r="99" spans="1:11" ht="40" x14ac:dyDescent="0.25">
      <c r="A99" s="5" t="s">
        <v>84</v>
      </c>
      <c r="B99" s="1">
        <v>46011000</v>
      </c>
      <c r="I99" s="47" t="s">
        <v>138</v>
      </c>
      <c r="J99" s="48">
        <f>J86+J87</f>
        <v>1903176000</v>
      </c>
    </row>
    <row r="100" spans="1:11" ht="40" x14ac:dyDescent="0.25">
      <c r="A100" s="6" t="s">
        <v>85</v>
      </c>
      <c r="B100" s="10">
        <v>-861014000</v>
      </c>
      <c r="I100" s="49" t="s">
        <v>139</v>
      </c>
      <c r="J100" s="50" t="e" vm="2">
        <f>J99/J103</f>
        <v>#VALUE!</v>
      </c>
    </row>
    <row r="101" spans="1:11" ht="40" x14ac:dyDescent="0.25">
      <c r="A101" s="5" t="s">
        <v>86</v>
      </c>
      <c r="B101" s="1">
        <v>-56000</v>
      </c>
      <c r="I101" s="47" t="s">
        <v>140</v>
      </c>
      <c r="J101" s="39" t="e" cm="1" vm="4">
        <f t="array" ref="J101">_FV(#REF!,"Market cap",TRUE)</f>
        <v>#VALUE!</v>
      </c>
    </row>
    <row r="102" spans="1:11" ht="40" x14ac:dyDescent="0.25">
      <c r="A102" s="6" t="s">
        <v>87</v>
      </c>
      <c r="B102" s="10">
        <v>306317000</v>
      </c>
      <c r="I102" s="49" t="s">
        <v>141</v>
      </c>
      <c r="J102" s="50" t="e" vm="2">
        <f>J101/J103</f>
        <v>#VALUE!</v>
      </c>
    </row>
    <row r="103" spans="1:11" ht="20" x14ac:dyDescent="0.25">
      <c r="A103" s="5" t="s">
        <v>88</v>
      </c>
      <c r="B103" s="1">
        <v>431560000</v>
      </c>
      <c r="I103" s="51" t="s">
        <v>142</v>
      </c>
      <c r="J103" s="55" t="e" vm="2">
        <f>J99+J101</f>
        <v>#VALUE!</v>
      </c>
    </row>
    <row r="104" spans="1:11" ht="20" thickBot="1" x14ac:dyDescent="0.3">
      <c r="A104" s="7" t="s">
        <v>89</v>
      </c>
      <c r="B104" s="11">
        <v>737877000</v>
      </c>
      <c r="I104" s="115" t="s">
        <v>143</v>
      </c>
      <c r="J104" s="116"/>
    </row>
    <row r="105" spans="1:11" ht="21" thickTop="1" x14ac:dyDescent="0.25">
      <c r="A105" s="14" t="s">
        <v>161</v>
      </c>
      <c r="B105" s="1">
        <f>(B22*(1-$AD$91))+B77+B88+B81</f>
        <v>1567856000</v>
      </c>
      <c r="C105" s="28">
        <f>B105*(1+$AD$106)</f>
        <v>1567856000</v>
      </c>
      <c r="D105" s="28">
        <f t="shared" ref="D105:G105" si="10">C105*(1+$AD$106)</f>
        <v>1567856000</v>
      </c>
      <c r="E105" s="28">
        <f t="shared" si="10"/>
        <v>1567856000</v>
      </c>
      <c r="F105" s="28">
        <f t="shared" si="10"/>
        <v>1567856000</v>
      </c>
      <c r="G105" s="28">
        <f t="shared" si="10"/>
        <v>1567856000</v>
      </c>
      <c r="H105" s="29" t="s">
        <v>163</v>
      </c>
      <c r="I105" s="23" t="s">
        <v>107</v>
      </c>
      <c r="J105" s="24" t="e" vm="2">
        <f>(J100*J92)+(J102*J97)</f>
        <v>#VALUE!</v>
      </c>
      <c r="K105" s="15"/>
    </row>
    <row r="106" spans="1:11" ht="35" x14ac:dyDescent="0.25">
      <c r="A106" s="14" t="s">
        <v>106</v>
      </c>
      <c r="B106" s="15" t="e">
        <f t="shared" ref="B106" si="11">(B107/A107)-1</f>
        <v>#VALUE!</v>
      </c>
      <c r="C106" s="67">
        <v>981700000</v>
      </c>
      <c r="D106" s="67">
        <v>1053000000</v>
      </c>
      <c r="E106" s="67">
        <v>1138000000</v>
      </c>
      <c r="F106" s="67">
        <v>1324000000</v>
      </c>
      <c r="G106" s="67">
        <v>1403000000</v>
      </c>
      <c r="H106" s="29" t="s">
        <v>164</v>
      </c>
      <c r="I106" s="30" t="s">
        <v>144</v>
      </c>
      <c r="J106" s="31">
        <f>(SUM(C4:G4)/5)</f>
        <v>5.9363782258776567E-2</v>
      </c>
    </row>
    <row r="107" spans="1:11" ht="52" x14ac:dyDescent="0.25">
      <c r="A107" s="68" t="s">
        <v>162</v>
      </c>
      <c r="B107" s="1">
        <v>1170000000</v>
      </c>
      <c r="C107" s="29"/>
      <c r="D107" s="29"/>
      <c r="E107" s="29"/>
      <c r="F107" s="29"/>
      <c r="G107" s="32" t="e" vm="2">
        <f>G105*(1+J107)/(J108-J107)</f>
        <v>#VALUE!</v>
      </c>
      <c r="H107" s="33" t="s">
        <v>145</v>
      </c>
      <c r="I107" s="34" t="s">
        <v>146</v>
      </c>
      <c r="J107" s="35">
        <v>2.5000000000000001E-2</v>
      </c>
    </row>
    <row r="108" spans="1:11" ht="19" x14ac:dyDescent="0.25">
      <c r="C108" s="32">
        <f t="shared" ref="C108:F108" si="12">C107+C105</f>
        <v>1567856000</v>
      </c>
      <c r="D108" s="32">
        <f t="shared" si="12"/>
        <v>1567856000</v>
      </c>
      <c r="E108" s="32">
        <f t="shared" si="12"/>
        <v>1567856000</v>
      </c>
      <c r="F108" s="32">
        <f t="shared" si="12"/>
        <v>1567856000</v>
      </c>
      <c r="G108" s="32" t="e" vm="2">
        <f>G107+G105</f>
        <v>#VALUE!</v>
      </c>
      <c r="H108" s="33" t="s">
        <v>142</v>
      </c>
      <c r="I108" s="36" t="s">
        <v>147</v>
      </c>
      <c r="J108" s="37" t="e" vm="2">
        <f>J105</f>
        <v>#VALUE!</v>
      </c>
    </row>
    <row r="109" spans="1:11" ht="19" x14ac:dyDescent="0.25">
      <c r="C109" s="111" t="s">
        <v>148</v>
      </c>
      <c r="D109" s="112"/>
    </row>
    <row r="110" spans="1:11" ht="40" x14ac:dyDescent="0.25">
      <c r="C110" s="38" t="s">
        <v>149</v>
      </c>
      <c r="D110" s="39" t="e" vm="2">
        <f>NPV(J108,C108,D108,E108,F108,G108)</f>
        <v>#VALUE!</v>
      </c>
    </row>
    <row r="111" spans="1:11" ht="40" x14ac:dyDescent="0.25">
      <c r="C111" s="38" t="s">
        <v>150</v>
      </c>
      <c r="D111" s="39">
        <f>B40</f>
        <v>737877000</v>
      </c>
    </row>
    <row r="112" spans="1:11" ht="40" x14ac:dyDescent="0.25">
      <c r="C112" s="38" t="s">
        <v>138</v>
      </c>
      <c r="D112" s="39">
        <f>J99</f>
        <v>1903176000</v>
      </c>
    </row>
    <row r="113" spans="3:4" ht="40" x14ac:dyDescent="0.25">
      <c r="C113" s="38" t="s">
        <v>151</v>
      </c>
      <c r="D113" s="39" t="e" vm="2">
        <f>D110+D111-D112</f>
        <v>#VALUE!</v>
      </c>
    </row>
    <row r="114" spans="3:4" ht="20" x14ac:dyDescent="0.25">
      <c r="C114" s="38" t="s">
        <v>152</v>
      </c>
      <c r="D114" s="45" t="e">
        <f>B34*(1+(5*H16))</f>
        <v>#VALUE!</v>
      </c>
    </row>
    <row r="115" spans="3:4" ht="40" x14ac:dyDescent="0.25">
      <c r="C115" s="40" t="s">
        <v>153</v>
      </c>
      <c r="D115" s="41" t="e" vm="2">
        <f>D113/D114</f>
        <v>#VALUE!</v>
      </c>
    </row>
    <row r="116" spans="3:4" ht="40" x14ac:dyDescent="0.25">
      <c r="C116" s="38" t="s">
        <v>154</v>
      </c>
      <c r="D116" s="56" t="e" cm="1" vm="5">
        <f t="array" ref="D116">_FV(#REF!,"Price")</f>
        <v>#VALUE!</v>
      </c>
    </row>
    <row r="117" spans="3:4" ht="40" x14ac:dyDescent="0.25">
      <c r="C117" s="42" t="s">
        <v>155</v>
      </c>
      <c r="D117" s="43" t="e" vm="2">
        <f>D115/D116-1</f>
        <v>#VALUE!</v>
      </c>
    </row>
    <row r="118" spans="3:4" ht="20" x14ac:dyDescent="0.25">
      <c r="C118" s="42" t="s">
        <v>156</v>
      </c>
      <c r="D118" s="44" t="e" vm="2">
        <f>IF(D115&gt;D116,"BUY","SELL")</f>
        <v>#VALUE!</v>
      </c>
    </row>
  </sheetData>
  <mergeCells count="6">
    <mergeCell ref="C109:D109"/>
    <mergeCell ref="I83:J83"/>
    <mergeCell ref="I84:J84"/>
    <mergeCell ref="I93:J93"/>
    <mergeCell ref="I98:J98"/>
    <mergeCell ref="I104:J104"/>
  </mergeCells>
  <hyperlinks>
    <hyperlink ref="A1" r:id="rId1" tooltip="https://roic.ai/company/ULTA" display="ROIC.AI | ULTA" xr:uid="{F6798634-70DF-0348-A1B8-BF68749E8389}"/>
    <hyperlink ref="B36" r:id="rId2" tooltip="https://www.sec.gov/Archives/edgar/data/1403568/000155837022004330/0001558370-22-004330-index.htm" xr:uid="{6C591D54-F908-0C47-A33F-5FA9BB99CB80}"/>
    <hyperlink ref="B74" r:id="rId3" tooltip="https://www.sec.gov/Archives/edgar/data/1403568/000155837022004330/0001558370-22-004330-index.htm" xr:uid="{A5D74D45-CD8F-5547-A72A-5EC39014E34B}"/>
    <hyperlink ref="C1" r:id="rId4" display="https://finbox.com/NASDAQGS:ULTA/explorer/revenue_proj" xr:uid="{77047621-2C6A-E646-B00D-8FBD97A93C0C}"/>
    <hyperlink ref="H106" r:id="rId5" xr:uid="{F7DEE708-5813-F848-9B56-6BD568F1C7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Avi Desai</cp:lastModifiedBy>
  <dcterms:created xsi:type="dcterms:W3CDTF">2023-01-12T11:00:38Z</dcterms:created>
  <dcterms:modified xsi:type="dcterms:W3CDTF">2023-10-30T06:57:54Z</dcterms:modified>
</cp:coreProperties>
</file>