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350441FF-9B67-4343-8A0A-23975E97403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4" i="1" l="1"/>
  <c r="AE104" i="1"/>
  <c r="AD104" i="1"/>
  <c r="AC104" i="1"/>
  <c r="AB104" i="1"/>
  <c r="AF104" i="1"/>
  <c r="AB30" i="1"/>
  <c r="AC30" i="1"/>
  <c r="AD30" i="1"/>
  <c r="AE30" i="1"/>
  <c r="AA30" i="1"/>
  <c r="AA29" i="1"/>
  <c r="AB29" i="1"/>
  <c r="AC29" i="1"/>
  <c r="AD29" i="1"/>
  <c r="AE29" i="1"/>
  <c r="AB21" i="1"/>
  <c r="AC21" i="1"/>
  <c r="AD21" i="1"/>
  <c r="AE21" i="1"/>
  <c r="AA21" i="1"/>
  <c r="AA20" i="1"/>
  <c r="AB20" i="1"/>
  <c r="AC20" i="1"/>
  <c r="AD20" i="1"/>
  <c r="AE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116" i="1" a="1"/>
  <c r="AB116" i="1" s="1"/>
  <c r="AH100" i="1" a="1"/>
  <c r="AH100" i="1" s="1"/>
  <c r="AI22" i="1" s="1"/>
  <c r="AH94" i="1" a="1"/>
  <c r="AH94" i="1" s="1"/>
  <c r="AB114" i="1"/>
  <c r="AF19" i="1"/>
  <c r="AH86" i="1"/>
  <c r="AH87" i="1" s="1"/>
  <c r="AH91" i="1" s="1"/>
  <c r="AB111" i="1"/>
  <c r="AH89" i="1"/>
  <c r="AH88" i="1"/>
  <c r="AH90" i="1" s="1"/>
  <c r="AH85" i="1"/>
  <c r="AH84" i="1"/>
  <c r="AI19" i="1" l="1"/>
  <c r="AH22" i="1"/>
  <c r="AG19" i="1"/>
  <c r="AH19" i="1"/>
  <c r="AA108" i="1"/>
  <c r="AG16" i="1"/>
  <c r="AI16" i="1"/>
  <c r="AH16" i="1"/>
  <c r="AH98" i="1"/>
  <c r="AB108" i="1"/>
  <c r="AB112" i="1"/>
  <c r="AH102" i="1"/>
  <c r="AH101" i="1" s="1"/>
  <c r="AH99" i="1" l="1"/>
  <c r="AC108" i="1"/>
  <c r="AD108" i="1" l="1"/>
  <c r="AF16" i="1" l="1"/>
  <c r="AI13" i="1"/>
  <c r="AH13" i="1"/>
  <c r="AG13" i="1"/>
  <c r="AF13" i="1"/>
  <c r="AI10" i="1"/>
  <c r="AH10" i="1"/>
  <c r="AG10" i="1"/>
  <c r="AF10" i="1"/>
  <c r="AI7" i="1"/>
  <c r="AH7" i="1"/>
  <c r="AG7" i="1"/>
  <c r="AF7" i="1"/>
  <c r="AH4" i="1"/>
  <c r="AG4" i="1"/>
  <c r="AF4" i="1"/>
  <c r="AE4" i="1"/>
  <c r="AD4" i="1"/>
  <c r="AC4" i="1"/>
  <c r="AB4" i="1"/>
  <c r="AA4" i="1"/>
  <c r="W106" i="1"/>
  <c r="X106" i="1"/>
  <c r="Y106" i="1"/>
  <c r="Z106" i="1"/>
  <c r="AI4" i="1" s="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V106" i="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A105" i="1" s="1"/>
  <c r="AB105" i="1" s="1"/>
  <c r="AC105" i="1" s="1"/>
  <c r="AD105" i="1" s="1"/>
  <c r="AE105" i="1" s="1"/>
  <c r="AH93" i="1" l="1"/>
  <c r="AH96" i="1" s="1"/>
  <c r="AH104" i="1" s="1"/>
  <c r="AH108" i="1" s="1"/>
  <c r="AE107" i="1" s="1"/>
  <c r="AE108" i="1" s="1"/>
  <c r="AB110" i="1" s="1"/>
  <c r="AB113" i="1" s="1"/>
  <c r="AB115" i="1" s="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<sst xmlns="http://schemas.openxmlformats.org/spreadsheetml/2006/main" count="738" uniqueCount="168">
  <si>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</si>
  <si>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</si>
  <si>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</si>
  <si>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</si>
  <si>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</si>
  <si>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</si>
  <si>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</si>
  <si>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</si>
  <si>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</si>
  <si>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</si>
  <si>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</si>
  <si>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</si>
  <si>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</si>
  <si>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</si>
  <si>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</si>
  <si>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</si>
  <si>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</si>
  <si>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</si>
  <si>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</si>
  <si>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</si>
  <si>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</si>
  <si>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</si>
  <si>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</si>
  <si>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</si>
  <si>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</si>
  <si>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</si>
  <si>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</si>
  <si>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</si>
  <si>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</si>
  <si>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</si>
  <si>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</si>
  <si>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</si>
  <si>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</si>
  <si>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</si>
  <si>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</si>
  <si>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</si>
  <si>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</si>
  <si>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</si>
  <si>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</si>
  <si>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</si>
  <si>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</si>
  <si>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</si>
  <si>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</si>
  <si>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</si>
  <si>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</si>
  <si>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</si>
  <si>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</si>
  <si>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</si>
  <si>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</si>
  <si>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</si>
  <si>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</si>
  <si>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</si>
  <si>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</si>
  <si>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</si>
  <si>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</si>
  <si>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</si>
  <si>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</si>
  <si>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</si>
  <si>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</si>
  <si>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</si>
  <si>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</si>
  <si>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</si>
  <si>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</si>
  <si>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</si>
  <si>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</si>
  <si>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</si>
  <si>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</si>
  <si>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</si>
  <si>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</si>
  <si>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</si>
  <si>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</si>
  <si>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</si>
  <si>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</si>
  <si>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</si>
  <si>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</si>
  <si>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</si>
  <si>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</si>
  <si>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</si>
  <si>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</si>
  <si>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</si>
  <si>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</si>
  <si>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</si>
  <si>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</si>
  <si>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</si>
  <si>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</si>
  <si>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</si>
  <si>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</si>
  <si>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</si>
  <si>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</si>
  <si>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</si>
  <si>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</si>
  <si>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</si>
  <si>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</si>
  <si>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</si>
  <si>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</si>
  <si>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</si>
  <si>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</si>
  <si>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</si>
  <si>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</si>
  <si>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</si>
  <si>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</si>
  <si>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</si>
  <si>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</si>
  <si>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</si>
  <si>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</si>
  <si>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</si>
  <si>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</si>
  <si>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</si>
  <si>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</si>
  <si>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</si>
  <si>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</si>
  <si>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</si>
  <si>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</si>
  <si>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</si>
  <si>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</si>
  <si>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</si>
  <si>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</si>
  <si>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</si>
  <si>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</si>
  <si>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</si>
  <si>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</si>
  <si>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</si>
  <si>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</si>
  <si>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</si>
  <si>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</si>
  <si>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</si>
  <si>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</si>
  <si>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</si>
  <si>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</si>
  <si>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</si>
  <si>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</si>
  <si>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</si>
  <si>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</si>
  <si>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</si>
  <si>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</si>
  <si>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</si>
  <si>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</si>
  <si>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</si>
  <si>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</si>
  <si>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</si>
  <si>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</si>
  <si>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</si>
  <si>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</si>
  <si>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</si>
  <si>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</si>
  <si>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</si>
  <si>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</si>
  <si>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</si>
  <si>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</si>
  <si>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</si>
  <si>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</si>
  <si>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</si>
  <si>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</si>
  <si>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</si>
  <si>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</si>
  <si>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</si>
  <si>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</si>
  <si>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</si>
  <si>
    <t>Forward P/S</t>
  </si>
  <si>
    <t>Forward P/E</t>
  </si>
  <si>
    <t>Forward P/FCF</t>
  </si>
  <si>
    <t>Dividend Yield</t>
  </si>
  <si>
    <t>FCF Yield</t>
  </si>
  <si>
    <t>Unlevered FCF Proj</t>
  </si>
  <si>
    <t>Unlevered FCF Forecast</t>
  </si>
  <si>
    <t>Unlevered FCF</t>
  </si>
  <si>
    <t>Levered FCF</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</si>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</sst>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0" fillId="7"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0" borderId="0" xfId="0" applyFont="1" applyAlignment="1">
      <alignment indent="1"/>
    </xf>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9" fontId="1" fillId="7" borderId="0" xfId="0" applyNumberFormat="1" applyFont="1" applyFill="1"/>
    <xf numFmtId="9" fontId="11" fillId="0" borderId="0" xfId="0"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6" borderId="0" xfId="0" applyFont="1" applyFill="1" applyAlignment="1">
      <alignment horizontal="center" vertical="center" wrapText="1"/>
    </xf>
    <xf numFmtId="0" fontId="12" fillId="5" borderId="0" xfId="0" applyFont="1" applyFill="1" applyAlignment="1">
      <alignment horizontal="center" vertical="center" wrapText="1"/>
    </xf>
    <xf numFmtId="9" fontId="1" fillId="4"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BlackRock</a:t>
            </a:r>
          </a:p>
        </c:rich>
      </c:tx>
      <c:layout>
        <c:manualLayout>
          <c:xMode val="edge"/>
          <c:yMode val="edge"/>
          <c:x val="0.42941405191826976"/>
          <c:y val="2.16655336331820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144403052603808E-2"/>
          <c:y val="0.14319546657974944"/>
          <c:w val="0.87002156996878199"/>
          <c:h val="0.662986866762938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655406183181948"/>
          <c:y val="0.88706030268627023"/>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23812</xdr:colOff>
      <xdr:row>108</xdr:row>
      <xdr:rowOff>9524</xdr:rowOff>
    </xdr:from>
    <xdr:to>
      <xdr:col>33</xdr:col>
      <xdr:colOff>1571624</xdr:colOff>
      <xdr:row>128</xdr:row>
      <xdr:rowOff>111125</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1.3010999999999999</v>
    <v>-2.52</v>
    <v>-3.6129999999999999E-3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699.48</v>
    <v>Investment Banking &amp; Investment Services</v>
    <v>Stock</v>
    <v>45187.987287279684</v>
    <v>0</v>
    <v>690.06</v>
    <v>103748883714</v>
    <v>BLACKROCK, INC.</v>
    <v>BLACKROCK, INC.</v>
    <v>696.32</v>
    <v>20.290900000000001</v>
    <v>697.41</v>
    <v>694.89</v>
    <v>694.89</v>
    <v>149302600</v>
    <v>BLK</v>
    <v>BLACKROCK, INC. (XNYS:BLK)</v>
    <v>65</v>
    <v>560776</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hyperlink" Target="https://finbox.com/NYSE:BLK/explorer/fcf_unlev_proj"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54" Type="http://schemas.openxmlformats.org/officeDocument/2006/relationships/drawing" Target="../drawings/drawing1.xm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X85" activePane="bottomRight" state="frozen"/>
      <selection pane="topRight"/>
      <selection pane="bottomLeft"/>
      <selection pane="bottomRight" activeCell="AB96" sqref="AB96"/>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3">
        <v>2023</v>
      </c>
      <c r="AB1" s="23">
        <v>2024</v>
      </c>
      <c r="AC1" s="23">
        <v>2025</v>
      </c>
      <c r="AD1" s="23">
        <v>2026</v>
      </c>
      <c r="AE1" s="23">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4">
        <v>18137000000</v>
      </c>
      <c r="AB3" s="24">
        <v>20090000000</v>
      </c>
      <c r="AC3" s="24">
        <v>22000000000</v>
      </c>
      <c r="AD3" s="24">
        <v>21000000000</v>
      </c>
      <c r="AE3" s="24">
        <v>22915000000</v>
      </c>
      <c r="AF3" s="18" t="s">
        <v>108</v>
      </c>
      <c r="AG3" s="19" t="s">
        <v>109</v>
      </c>
      <c r="AH3" s="19" t="s">
        <v>110</v>
      </c>
      <c r="AI3" s="19" t="s">
        <v>111</v>
      </c>
    </row>
    <row r="4" spans="1:42" ht="19" x14ac:dyDescent="0.25">
      <c r="A4" s="14" t="s">
        <v>93</v>
      </c>
      <c r="B4" s="1"/>
      <c r="C4" s="65">
        <f>(C3/B3)-1</f>
        <v>0.11561054172767204</v>
      </c>
      <c r="D4" s="65">
        <f>(D3/C3)-1</f>
        <v>0.25169496641564804</v>
      </c>
      <c r="E4" s="65">
        <f>(E3/D3)-1</f>
        <v>0.11800231508664805</v>
      </c>
      <c r="F4" s="65">
        <f t="shared" ref="F4:AE4" si="0">(F3/E3)-1</f>
        <v>8.2216061701904097E-2</v>
      </c>
      <c r="G4" s="65">
        <f t="shared" si="0"/>
        <v>3.6803893396097243E-2</v>
      </c>
      <c r="H4" s="65">
        <f t="shared" si="0"/>
        <v>0.21246481180584809</v>
      </c>
      <c r="I4" s="65">
        <f t="shared" si="0"/>
        <v>0.64258642154882528</v>
      </c>
      <c r="J4" s="65">
        <f t="shared" si="0"/>
        <v>0.76095404847799109</v>
      </c>
      <c r="K4" s="65">
        <f t="shared" si="0"/>
        <v>1.3092042044332253</v>
      </c>
      <c r="L4" s="65">
        <f t="shared" si="0"/>
        <v>4.5275669784535788E-2</v>
      </c>
      <c r="M4" s="65">
        <f t="shared" si="0"/>
        <v>-7.1879936808846745E-2</v>
      </c>
      <c r="N4" s="65">
        <f t="shared" si="0"/>
        <v>0.8323404255319149</v>
      </c>
      <c r="O4" s="65">
        <f t="shared" si="0"/>
        <v>5.4458894565722282E-2</v>
      </c>
      <c r="P4" s="65">
        <f t="shared" si="0"/>
        <v>2.8190727893403711E-2</v>
      </c>
      <c r="Q4" s="65">
        <f t="shared" si="0"/>
        <v>9.0285959087501366E-2</v>
      </c>
      <c r="R4" s="65">
        <f t="shared" si="0"/>
        <v>8.8506876227897768E-2</v>
      </c>
      <c r="S4" s="65">
        <f t="shared" si="0"/>
        <v>2.8878260084829854E-2</v>
      </c>
      <c r="T4" s="65">
        <f t="shared" si="0"/>
        <v>-2.1577054644329463E-2</v>
      </c>
      <c r="U4" s="65">
        <f t="shared" si="0"/>
        <v>0.11976692066337957</v>
      </c>
      <c r="V4" s="65">
        <f t="shared" si="0"/>
        <v>0.13665839404371138</v>
      </c>
      <c r="W4" s="65">
        <f t="shared" si="0"/>
        <v>2.4017467248908186E-2</v>
      </c>
      <c r="X4" s="65">
        <f t="shared" si="0"/>
        <v>0.11458834857968214</v>
      </c>
      <c r="Y4" s="65">
        <f t="shared" si="0"/>
        <v>0.1955569268744215</v>
      </c>
      <c r="Z4" s="65">
        <f t="shared" si="0"/>
        <v>-7.7474966449881277E-2</v>
      </c>
      <c r="AA4" s="16">
        <f t="shared" si="0"/>
        <v>1.4770883455491601E-2</v>
      </c>
      <c r="AB4" s="16">
        <f t="shared" si="0"/>
        <v>0.10768043226553448</v>
      </c>
      <c r="AC4" s="16">
        <f t="shared" si="0"/>
        <v>9.5072175211547982E-2</v>
      </c>
      <c r="AD4" s="16">
        <f t="shared" si="0"/>
        <v>-4.5454545454545414E-2</v>
      </c>
      <c r="AE4" s="16">
        <f t="shared" si="0"/>
        <v>9.1190476190476266E-2</v>
      </c>
      <c r="AF4" s="17">
        <f>(Z4+Y4+X4)/3</f>
        <v>7.7556769668074121E-2</v>
      </c>
      <c r="AG4" s="17">
        <f>(Z20+Y20+X20)/3</f>
        <v>4.2450239966828653E-2</v>
      </c>
      <c r="AH4" s="17">
        <f>(Z29+Y29+X29)/3</f>
        <v>5.8609029520188614E-2</v>
      </c>
      <c r="AI4" s="17">
        <f>(Z106+Y106+X106)/3</f>
        <v>0.20243659748138085</v>
      </c>
      <c r="AJ4" s="16"/>
      <c r="AK4" s="16"/>
      <c r="AL4" s="16"/>
      <c r="AM4" s="16"/>
      <c r="AN4" s="16"/>
      <c r="AO4" s="16"/>
      <c r="AP4" s="16"/>
    </row>
    <row r="5" spans="1:42" ht="19" x14ac:dyDescent="0.25">
      <c r="A5" s="5" t="s">
        <v>2</v>
      </c>
      <c r="B5" s="1" t="s">
        <v>91</v>
      </c>
      <c r="C5" s="1" t="s">
        <v>91</v>
      </c>
      <c r="D5" s="1" t="s">
        <v>91</v>
      </c>
      <c r="E5" s="1" t="s">
        <v>91</v>
      </c>
      <c r="F5" s="1" t="s">
        <v>91</v>
      </c>
      <c r="G5" s="1" t="s">
        <v>91</v>
      </c>
      <c r="H5" s="1" t="s">
        <v>91</v>
      </c>
      <c r="I5" s="1" t="s">
        <v>91</v>
      </c>
      <c r="J5" s="1" t="s">
        <v>91</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91</v>
      </c>
      <c r="C6" s="10" t="s">
        <v>91</v>
      </c>
      <c r="D6" s="10" t="s">
        <v>91</v>
      </c>
      <c r="E6" s="10" t="s">
        <v>91</v>
      </c>
      <c r="F6" s="10" t="s">
        <v>91</v>
      </c>
      <c r="G6" s="10" t="s">
        <v>91</v>
      </c>
      <c r="H6" s="10" t="s">
        <v>91</v>
      </c>
      <c r="I6" s="10" t="s">
        <v>91</v>
      </c>
      <c r="J6" s="10" t="s">
        <v>91</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112</v>
      </c>
      <c r="AG6" s="19" t="s">
        <v>113</v>
      </c>
      <c r="AH6" s="19" t="s">
        <v>114</v>
      </c>
      <c r="AI6" s="19" t="s">
        <v>115</v>
      </c>
    </row>
    <row r="7" spans="1:42" ht="19" x14ac:dyDescent="0.25">
      <c r="A7" s="5" t="s">
        <v>4</v>
      </c>
      <c r="B7" s="2" t="s">
        <v>91</v>
      </c>
      <c r="C7" s="2" t="s">
        <v>91</v>
      </c>
      <c r="D7" s="2" t="s">
        <v>91</v>
      </c>
      <c r="E7" s="2" t="s">
        <v>91</v>
      </c>
      <c r="F7" s="2" t="s">
        <v>91</v>
      </c>
      <c r="G7" s="2" t="s">
        <v>91</v>
      </c>
      <c r="H7" s="2" t="s">
        <v>91</v>
      </c>
      <c r="I7" s="2" t="s">
        <v>91</v>
      </c>
      <c r="J7" s="2" t="s">
        <v>91</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Z107/Z3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94</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95</v>
      </c>
      <c r="AG9" s="19" t="s">
        <v>96</v>
      </c>
      <c r="AH9" s="19" t="s">
        <v>97</v>
      </c>
      <c r="AI9" s="19" t="s">
        <v>98</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116</v>
      </c>
      <c r="AG12" s="19" t="s">
        <v>117</v>
      </c>
      <c r="AH12" s="19" t="s">
        <v>118</v>
      </c>
      <c r="AI12" s="19" t="s">
        <v>119</v>
      </c>
    </row>
    <row r="13" spans="1:42" ht="19" x14ac:dyDescent="0.25">
      <c r="A13" s="14" t="s">
        <v>99</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120</v>
      </c>
      <c r="AG15" s="19" t="s">
        <v>121</v>
      </c>
      <c r="AH15" s="19" t="s">
        <v>122</v>
      </c>
      <c r="AI15" s="19" t="s">
        <v>123</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5">
        <f>(Z35+Y35+X35+W35+V35)/5</f>
        <v>-1.5004940578522663E-2</v>
      </c>
      <c r="AG16" s="31">
        <f>AH100/Z3</f>
        <v>5.8047828408213507</v>
      </c>
      <c r="AH16" s="31">
        <f>AH100/Z28</f>
        <v>20.036478121668598</v>
      </c>
      <c r="AI16" s="33">
        <f>AH100/Z107</f>
        <v>23.456677303640063</v>
      </c>
    </row>
    <row r="17" spans="1:47" ht="19" x14ac:dyDescent="0.25">
      <c r="A17" s="5" t="s">
        <v>12</v>
      </c>
      <c r="B17" s="1" t="s">
        <v>91</v>
      </c>
      <c r="C17" s="1" t="s">
        <v>91</v>
      </c>
      <c r="D17" s="1" t="s">
        <v>91</v>
      </c>
      <c r="E17" s="1" t="s">
        <v>91</v>
      </c>
      <c r="F17" s="1" t="s">
        <v>91</v>
      </c>
      <c r="G17" s="1" t="s">
        <v>91</v>
      </c>
      <c r="H17" s="1" t="s">
        <v>91</v>
      </c>
      <c r="I17" s="1" t="s">
        <v>91</v>
      </c>
      <c r="J17" s="1" t="s">
        <v>91</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157</v>
      </c>
      <c r="AG18" s="19" t="s">
        <v>158</v>
      </c>
      <c r="AH18" s="19" t="s">
        <v>159</v>
      </c>
      <c r="AI18" s="19" t="s">
        <v>160</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A19" s="37">
        <v>7213000000</v>
      </c>
      <c r="AB19" s="37">
        <v>8214000000</v>
      </c>
      <c r="AC19" s="37">
        <v>8798000000</v>
      </c>
      <c r="AD19" s="37">
        <v>7400000000</v>
      </c>
      <c r="AE19" s="37">
        <v>8400000000</v>
      </c>
      <c r="AF19" s="30">
        <f>Z40-Z56-Z61</f>
        <v>5557000000</v>
      </c>
      <c r="AG19" s="31">
        <f>AH100/AA3</f>
        <v>5.720289116943265</v>
      </c>
      <c r="AH19" s="32">
        <f>AH100/AA28</f>
        <v>19.630820002649006</v>
      </c>
      <c r="AI19" s="33">
        <f>AH100/AA106</f>
        <v>19.410455325350796</v>
      </c>
    </row>
    <row r="20" spans="1:47" ht="19" customHeight="1" x14ac:dyDescent="0.25">
      <c r="A20" s="14" t="s">
        <v>100</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A20" s="16">
        <f t="shared" ref="AA20" si="8">(AA19/Z19)-1</f>
        <v>5.4994880795670609E-2</v>
      </c>
      <c r="AB20" s="16">
        <f t="shared" ref="AB20" si="9">(AB19/AA19)-1</f>
        <v>0.13877720781921532</v>
      </c>
      <c r="AC20" s="16">
        <f t="shared" ref="AC20" si="10">(AC19/AB19)-1</f>
        <v>7.109812515217917E-2</v>
      </c>
      <c r="AD20" s="16">
        <f t="shared" ref="AD20" si="11">(AD19/AC19)-1</f>
        <v>-0.15889974994316891</v>
      </c>
      <c r="AE20" s="16">
        <f t="shared" ref="AE20" si="12">(AE19/AD19)-1</f>
        <v>0.13513513513513509</v>
      </c>
      <c r="AG20" s="15"/>
      <c r="AH20" s="15"/>
      <c r="AI20" s="15"/>
      <c r="AJ20" s="15"/>
      <c r="AK20" s="15"/>
      <c r="AL20" s="15"/>
      <c r="AT20" s="15"/>
      <c r="AU20" s="15"/>
    </row>
    <row r="21" spans="1:47" ht="20"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c r="AA21" s="38">
        <f>AA19/AA3</f>
        <v>0.39769531896123944</v>
      </c>
      <c r="AB21" s="38">
        <f t="shared" ref="AB21:AE21" si="13">AB19/AB3</f>
        <v>0.40886012941762073</v>
      </c>
      <c r="AC21" s="38">
        <f t="shared" si="13"/>
        <v>0.39990909090909094</v>
      </c>
      <c r="AD21" s="38">
        <f t="shared" si="13"/>
        <v>0.35238095238095241</v>
      </c>
      <c r="AE21" s="38">
        <f t="shared" si="13"/>
        <v>0.36657211433558806</v>
      </c>
      <c r="AH21" s="18" t="s">
        <v>161</v>
      </c>
      <c r="AI21" s="19" t="s">
        <v>162</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c r="AH22" s="34">
        <f>-1*Z98/AH100</f>
        <v>2.8819587189414027E-2</v>
      </c>
      <c r="AI22" s="35">
        <f>Z107/AH100</f>
        <v>4.2631783992902419E-2</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20" thickBot="1" x14ac:dyDescent="0.3">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c r="AA28" s="39">
        <v>5285000000</v>
      </c>
      <c r="AB28" s="39">
        <v>6095000000</v>
      </c>
      <c r="AC28" s="39">
        <v>6819000000</v>
      </c>
      <c r="AD28" s="39">
        <v>6810000000</v>
      </c>
      <c r="AE28" s="39">
        <v>7240000000</v>
      </c>
    </row>
    <row r="29" spans="1:47" ht="20" customHeight="1" thickTop="1" x14ac:dyDescent="0.25">
      <c r="A29" s="14" t="s">
        <v>101</v>
      </c>
      <c r="B29" s="1"/>
      <c r="C29" s="15">
        <f>(C28/B28)-1</f>
        <v>0.66901685393258425</v>
      </c>
      <c r="D29" s="15">
        <f>(D28/C28)-1</f>
        <v>0.47030311190400065</v>
      </c>
      <c r="E29" s="15">
        <f>(E28/D28)-1</f>
        <v>0.22977072148899391</v>
      </c>
      <c r="F29" s="15">
        <f t="shared" ref="F29:V29" si="14">(F28/E28)-1</f>
        <v>0.24028705996239541</v>
      </c>
      <c r="G29" s="15">
        <f t="shared" si="14"/>
        <v>0.16625265480416362</v>
      </c>
      <c r="H29" s="15">
        <f t="shared" si="14"/>
        <v>-7.8898598473636117E-2</v>
      </c>
      <c r="I29" s="15">
        <f t="shared" si="14"/>
        <v>0.63410902536659663</v>
      </c>
      <c r="J29" s="15">
        <f t="shared" si="14"/>
        <v>0.37918326863553187</v>
      </c>
      <c r="K29" s="15">
        <f t="shared" si="14"/>
        <v>2.0851389638005964</v>
      </c>
      <c r="L29" s="15">
        <f t="shared" si="14"/>
        <v>-0.21026613830189134</v>
      </c>
      <c r="M29" s="15">
        <f t="shared" si="14"/>
        <v>0.11323155216284997</v>
      </c>
      <c r="N29" s="15">
        <f t="shared" si="14"/>
        <v>1.3577142857142857</v>
      </c>
      <c r="O29" s="15">
        <f t="shared" si="14"/>
        <v>0.13281628696073677</v>
      </c>
      <c r="P29" s="15">
        <f t="shared" si="14"/>
        <v>5.1775780915703784E-2</v>
      </c>
      <c r="Q29" s="15">
        <f t="shared" si="14"/>
        <v>0.19283970707892606</v>
      </c>
      <c r="R29" s="15">
        <f t="shared" si="14"/>
        <v>0.12346521145975453</v>
      </c>
      <c r="S29" s="15">
        <f t="shared" si="14"/>
        <v>1.5482695810564717E-2</v>
      </c>
      <c r="T29" s="15">
        <f t="shared" si="14"/>
        <v>-5.1718983557548559E-2</v>
      </c>
      <c r="U29" s="15">
        <f t="shared" si="14"/>
        <v>0.56683480453972268</v>
      </c>
      <c r="V29" s="15">
        <f t="shared" si="14"/>
        <v>-0.13380281690140849</v>
      </c>
      <c r="W29" s="15">
        <f t="shared" ref="W29" si="15">(W28/V28)-1</f>
        <v>3.9721254355400637E-2</v>
      </c>
      <c r="X29" s="15">
        <f t="shared" ref="X29" si="16">(X28/W28)-1</f>
        <v>0.10187667560321723</v>
      </c>
      <c r="Y29" s="15">
        <f t="shared" ref="Y29" si="17">(Y28/X28)-1</f>
        <v>0.19647201946472026</v>
      </c>
      <c r="Z29" s="15">
        <f t="shared" ref="Z29" si="18">(Z28/Y28)-1</f>
        <v>-0.12252160650737165</v>
      </c>
      <c r="AA29" s="16">
        <f t="shared" ref="AA29" si="19">(AA28/Z28)-1</f>
        <v>2.0664349169563501E-2</v>
      </c>
      <c r="AB29" s="16">
        <f t="shared" ref="AB29" si="20">(AB28/AA28)-1</f>
        <v>0.15326395458845798</v>
      </c>
      <c r="AC29" s="16">
        <f t="shared" ref="AC29" si="21">(AC28/AB28)-1</f>
        <v>0.118785890073831</v>
      </c>
      <c r="AD29" s="16">
        <f t="shared" ref="AD29" si="22">(AD28/AC28)-1</f>
        <v>-1.3198416190056683E-3</v>
      </c>
      <c r="AE29" s="16">
        <f t="shared" ref="AE29" si="23">(AE28/AD28)-1</f>
        <v>6.3142437591776845E-2</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c r="AA30" s="40">
        <f>AA28/AA3</f>
        <v>0.29139328444615981</v>
      </c>
      <c r="AB30" s="40">
        <f t="shared" ref="AB30:AE30" si="24">AB28/AB3</f>
        <v>0.30338476854156299</v>
      </c>
      <c r="AC30" s="40">
        <f t="shared" si="24"/>
        <v>0.30995454545454543</v>
      </c>
      <c r="AD30" s="40">
        <f t="shared" si="24"/>
        <v>0.32428571428571429</v>
      </c>
      <c r="AE30" s="40">
        <f t="shared" si="24"/>
        <v>0.31595025092734019</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c r="AA31" s="41">
        <v>35.29</v>
      </c>
      <c r="AB31" s="41">
        <v>40.700000000000003</v>
      </c>
      <c r="AC31" s="41">
        <v>45.53</v>
      </c>
      <c r="AD31" s="41">
        <v>45.47</v>
      </c>
      <c r="AE31" s="41">
        <v>48.34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102</v>
      </c>
      <c r="B35" s="1"/>
      <c r="C35" s="22">
        <f>(C34-B34)/B34</f>
        <v>6.6775550500264277E-2</v>
      </c>
      <c r="D35" s="22">
        <f t="shared" ref="D35:V35" si="25">(D34-C34)/C34</f>
        <v>0.1278493818775534</v>
      </c>
      <c r="E35" s="22">
        <f t="shared" si="25"/>
        <v>5.194121810742836E-3</v>
      </c>
      <c r="F35" s="22">
        <f t="shared" si="25"/>
        <v>5.8735765511238386E-3</v>
      </c>
      <c r="G35" s="22">
        <f t="shared" si="25"/>
        <v>8.4648714724368454E-3</v>
      </c>
      <c r="H35" s="22">
        <f t="shared" si="25"/>
        <v>1.5199581028760725E-3</v>
      </c>
      <c r="I35" s="22">
        <f t="shared" si="25"/>
        <v>1.3867032154241829E-2</v>
      </c>
      <c r="J35" s="22">
        <f t="shared" si="25"/>
        <v>0.24647788074460963</v>
      </c>
      <c r="K35" s="22">
        <f t="shared" si="25"/>
        <v>0.58458918966217133</v>
      </c>
      <c r="L35" s="22">
        <f t="shared" si="25"/>
        <v>6.8712557861638698E-3</v>
      </c>
      <c r="M35" s="22">
        <f t="shared" si="25"/>
        <v>4.8760881739784497E-2</v>
      </c>
      <c r="N35" s="22">
        <f t="shared" si="25"/>
        <v>0.38148870965629272</v>
      </c>
      <c r="O35" s="22">
        <f t="shared" si="25"/>
        <v>-2.8935480663610368E-2</v>
      </c>
      <c r="P35" s="22">
        <f t="shared" si="25"/>
        <v>-4.8626045144837912E-2</v>
      </c>
      <c r="Q35" s="22">
        <f t="shared" si="25"/>
        <v>-2.3530118039568417E-2</v>
      </c>
      <c r="R35" s="22">
        <f t="shared" si="25"/>
        <v>-1.5628246906834859E-2</v>
      </c>
      <c r="S35" s="22">
        <f t="shared" si="25"/>
        <v>-1.2118886091979112E-2</v>
      </c>
      <c r="T35" s="22">
        <f t="shared" si="25"/>
        <v>-1.4545905028977084E-2</v>
      </c>
      <c r="U35" s="22">
        <f t="shared" si="25"/>
        <v>-1.308533584561946E-2</v>
      </c>
      <c r="V35" s="22">
        <f t="shared" si="25"/>
        <v>-1.4910389294403893E-2</v>
      </c>
      <c r="W35" s="22">
        <f t="shared" ref="W35" si="26">(W34-V34)/V34</f>
        <v>-2.7719797151607214E-2</v>
      </c>
      <c r="X35" s="22">
        <f t="shared" ref="X35" si="27">(X34-W34)/W34</f>
        <v>-1.6632614957495177E-2</v>
      </c>
      <c r="Y35" s="22">
        <f t="shared" ref="Y35" si="28">(Y34-X34)/X34</f>
        <v>0</v>
      </c>
      <c r="Z35" s="22">
        <f t="shared" ref="Z35" si="29">(Z34-Y34)/Y34</f>
        <v>-1.5761901489107034E-2</v>
      </c>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38" ht="19" x14ac:dyDescent="0.25">
      <c r="A38" s="5" t="s">
        <v>30</v>
      </c>
      <c r="B38" s="1" t="s">
        <v>91</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91</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91</v>
      </c>
      <c r="C46" s="1">
        <v>194257000</v>
      </c>
      <c r="D46" s="1" t="s">
        <v>91</v>
      </c>
      <c r="E46" s="1" t="s">
        <v>91</v>
      </c>
      <c r="F46" s="1" t="s">
        <v>91</v>
      </c>
      <c r="G46" s="1" t="s">
        <v>91</v>
      </c>
      <c r="H46" s="1" t="s">
        <v>91</v>
      </c>
      <c r="I46" s="1" t="s">
        <v>91</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91</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91</v>
      </c>
      <c r="C49" s="1" t="s">
        <v>91</v>
      </c>
      <c r="D49" s="1" t="s">
        <v>91</v>
      </c>
      <c r="E49" s="1" t="s">
        <v>91</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91</v>
      </c>
      <c r="Z49" s="1" t="s">
        <v>91</v>
      </c>
    </row>
    <row r="50" spans="1:2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row>
    <row r="51" spans="1:26" ht="19" x14ac:dyDescent="0.25">
      <c r="A51" s="5" t="s">
        <v>43</v>
      </c>
      <c r="B51" s="1" t="s">
        <v>91</v>
      </c>
      <c r="C51" s="1" t="s">
        <v>91</v>
      </c>
      <c r="D51" s="1" t="s">
        <v>91</v>
      </c>
      <c r="E51" s="1" t="s">
        <v>91</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91</v>
      </c>
      <c r="Z51" s="1" t="s">
        <v>91</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91</v>
      </c>
      <c r="C55" s="1">
        <v>705000</v>
      </c>
      <c r="D55" s="1" t="s">
        <v>91</v>
      </c>
      <c r="E55" s="1" t="s">
        <v>91</v>
      </c>
      <c r="F55" s="1" t="s">
        <v>91</v>
      </c>
      <c r="G55" s="1" t="s">
        <v>91</v>
      </c>
      <c r="H55" s="1" t="s">
        <v>91</v>
      </c>
      <c r="I55" s="1" t="s">
        <v>91</v>
      </c>
      <c r="J55" s="1" t="s">
        <v>91</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91</v>
      </c>
      <c r="Z55" s="1" t="s">
        <v>91</v>
      </c>
    </row>
    <row r="56" spans="1:26" ht="19" x14ac:dyDescent="0.25">
      <c r="A56" s="5" t="s">
        <v>48</v>
      </c>
      <c r="B56" s="1">
        <v>18800000</v>
      </c>
      <c r="C56" s="1">
        <v>28200000</v>
      </c>
      <c r="D56" s="1" t="s">
        <v>91</v>
      </c>
      <c r="E56" s="1" t="s">
        <v>91</v>
      </c>
      <c r="F56" s="1" t="s">
        <v>91</v>
      </c>
      <c r="G56" s="1" t="s">
        <v>91</v>
      </c>
      <c r="H56" s="1" t="s">
        <v>91</v>
      </c>
      <c r="I56" s="1" t="s">
        <v>91</v>
      </c>
      <c r="J56" s="1" t="s">
        <v>91</v>
      </c>
      <c r="K56" s="1">
        <v>300000000</v>
      </c>
      <c r="L56" s="1">
        <v>200000000</v>
      </c>
      <c r="M56" s="1">
        <v>2234000000</v>
      </c>
      <c r="N56" s="1">
        <v>100000000</v>
      </c>
      <c r="O56" s="1">
        <v>100000000</v>
      </c>
      <c r="P56" s="1">
        <v>100000000</v>
      </c>
      <c r="Q56" s="1" t="s">
        <v>91</v>
      </c>
      <c r="R56" s="1" t="s">
        <v>91</v>
      </c>
      <c r="S56" s="1" t="s">
        <v>91</v>
      </c>
      <c r="T56" s="1" t="s">
        <v>91</v>
      </c>
      <c r="U56" s="1" t="s">
        <v>91</v>
      </c>
      <c r="V56" s="1" t="s">
        <v>91</v>
      </c>
      <c r="W56" s="1" t="s">
        <v>91</v>
      </c>
      <c r="X56" s="1" t="s">
        <v>91</v>
      </c>
      <c r="Y56" s="1">
        <v>7488000000</v>
      </c>
      <c r="Z56" s="1">
        <v>1835000000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row>
    <row r="58" spans="1:26"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3673000000</v>
      </c>
      <c r="Y58" s="1" t="s">
        <v>91</v>
      </c>
      <c r="Z58" s="1" t="s">
        <v>91</v>
      </c>
    </row>
    <row r="59" spans="1:26" ht="19" x14ac:dyDescent="0.25">
      <c r="A59" s="5" t="s">
        <v>51</v>
      </c>
      <c r="B59" s="1" t="s">
        <v>91</v>
      </c>
      <c r="C59" s="1" t="s">
        <v>91</v>
      </c>
      <c r="D59" s="1" t="s">
        <v>91</v>
      </c>
      <c r="E59" s="1" t="s">
        <v>91</v>
      </c>
      <c r="F59" s="1" t="s">
        <v>91</v>
      </c>
      <c r="G59" s="1" t="s">
        <v>91</v>
      </c>
      <c r="H59" s="1" t="s">
        <v>91</v>
      </c>
      <c r="I59" s="1" t="s">
        <v>91</v>
      </c>
      <c r="J59" s="1">
        <v>9435000000</v>
      </c>
      <c r="K59" s="1">
        <v>1200937000</v>
      </c>
      <c r="L59" s="1">
        <v>929000000</v>
      </c>
      <c r="M59" s="1">
        <v>1921000000</v>
      </c>
      <c r="N59" s="1">
        <v>1577000000</v>
      </c>
      <c r="O59" s="1">
        <v>1405000000</v>
      </c>
      <c r="P59" s="1">
        <v>14000000</v>
      </c>
      <c r="Q59" s="1" t="s">
        <v>91</v>
      </c>
      <c r="R59" s="1" t="s">
        <v>91</v>
      </c>
      <c r="S59" s="1" t="s">
        <v>91</v>
      </c>
      <c r="T59" s="1" t="s">
        <v>91</v>
      </c>
      <c r="U59" s="1" t="s">
        <v>91</v>
      </c>
      <c r="V59" s="1" t="s">
        <v>91</v>
      </c>
      <c r="W59" s="1" t="s">
        <v>91</v>
      </c>
      <c r="X59" s="1">
        <v>-3673000000</v>
      </c>
      <c r="Y59" s="1" t="s">
        <v>91</v>
      </c>
      <c r="Z59" s="1" t="s">
        <v>91</v>
      </c>
    </row>
    <row r="60" spans="1:26" ht="19" x14ac:dyDescent="0.25">
      <c r="A60" s="6" t="s">
        <v>52</v>
      </c>
      <c r="B60" s="10">
        <v>18800000</v>
      </c>
      <c r="C60" s="10">
        <v>28905000</v>
      </c>
      <c r="D60" s="10" t="s">
        <v>91</v>
      </c>
      <c r="E60" s="10" t="s">
        <v>91</v>
      </c>
      <c r="F60" s="10" t="s">
        <v>91</v>
      </c>
      <c r="G60" s="10" t="s">
        <v>91</v>
      </c>
      <c r="H60" s="10" t="s">
        <v>91</v>
      </c>
      <c r="I60" s="10" t="s">
        <v>91</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91</v>
      </c>
      <c r="E61" s="1" t="s">
        <v>91</v>
      </c>
      <c r="F61" s="1" t="s">
        <v>91</v>
      </c>
      <c r="G61" s="1" t="s">
        <v>91</v>
      </c>
      <c r="H61" s="1" t="s">
        <v>91</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91</v>
      </c>
      <c r="Z61" s="1">
        <v>7490000000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row>
    <row r="63" spans="1:26" ht="19" x14ac:dyDescent="0.25">
      <c r="A63" s="5" t="s">
        <v>54</v>
      </c>
      <c r="B63" s="1" t="s">
        <v>91</v>
      </c>
      <c r="C63" s="1" t="s">
        <v>91</v>
      </c>
      <c r="D63" s="1" t="s">
        <v>91</v>
      </c>
      <c r="E63" s="1" t="s">
        <v>91</v>
      </c>
      <c r="F63" s="1" t="s">
        <v>91</v>
      </c>
      <c r="G63" s="1" t="s">
        <v>91</v>
      </c>
      <c r="H63" s="1" t="s">
        <v>91</v>
      </c>
      <c r="I63" s="1" t="s">
        <v>91</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91</v>
      </c>
      <c r="C64" s="1" t="s">
        <v>91</v>
      </c>
      <c r="D64" s="1" t="s">
        <v>91</v>
      </c>
      <c r="E64" s="1" t="s">
        <v>91</v>
      </c>
      <c r="F64" s="1" t="s">
        <v>91</v>
      </c>
      <c r="G64" s="1" t="s">
        <v>91</v>
      </c>
      <c r="H64" s="1" t="s">
        <v>91</v>
      </c>
      <c r="I64" s="1" t="s">
        <v>91</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91</v>
      </c>
      <c r="E65" s="1" t="s">
        <v>91</v>
      </c>
      <c r="F65" s="1" t="s">
        <v>91</v>
      </c>
      <c r="G65" s="1" t="s">
        <v>91</v>
      </c>
      <c r="H65" s="1" t="s">
        <v>91</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91</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91</v>
      </c>
      <c r="C70" s="1" t="s">
        <v>91</v>
      </c>
      <c r="D70" s="1" t="s">
        <v>91</v>
      </c>
      <c r="E70" s="1" t="s">
        <v>91</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91</v>
      </c>
      <c r="C78" s="1" t="s">
        <v>91</v>
      </c>
      <c r="D78" s="1" t="s">
        <v>91</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91</v>
      </c>
      <c r="C79" s="1" t="s">
        <v>91</v>
      </c>
      <c r="D79" s="1" t="s">
        <v>91</v>
      </c>
      <c r="E79" s="1" t="s">
        <v>91</v>
      </c>
      <c r="F79" s="1" t="s">
        <v>91</v>
      </c>
      <c r="G79" s="1" t="s">
        <v>91</v>
      </c>
      <c r="H79" s="1" t="s">
        <v>91</v>
      </c>
      <c r="I79" s="1" t="s">
        <v>91</v>
      </c>
      <c r="J79" s="1" t="s">
        <v>91</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103</v>
      </c>
      <c r="B80" s="15" t="e">
        <f t="shared" ref="B80:Z80" si="30">B79/B3</f>
        <v>#VALUE!</v>
      </c>
      <c r="C80" s="15" t="e">
        <f t="shared" si="30"/>
        <v>#VALUE!</v>
      </c>
      <c r="D80" s="15" t="e">
        <f t="shared" si="30"/>
        <v>#VALUE!</v>
      </c>
      <c r="E80" s="15" t="e">
        <f t="shared" si="30"/>
        <v>#VALUE!</v>
      </c>
      <c r="F80" s="15" t="e">
        <f t="shared" si="30"/>
        <v>#VALUE!</v>
      </c>
      <c r="G80" s="15" t="e">
        <f t="shared" si="30"/>
        <v>#VALUE!</v>
      </c>
      <c r="H80" s="15" t="e">
        <f t="shared" si="30"/>
        <v>#VALUE!</v>
      </c>
      <c r="I80" s="15" t="e">
        <f t="shared" si="30"/>
        <v>#VALUE!</v>
      </c>
      <c r="J80" s="15" t="e">
        <f t="shared" si="30"/>
        <v>#VALUE!</v>
      </c>
      <c r="K80" s="15">
        <f t="shared" si="30"/>
        <v>3.8858494567724639E-2</v>
      </c>
      <c r="L80" s="15">
        <f t="shared" si="30"/>
        <v>5.4897314375987362E-2</v>
      </c>
      <c r="M80" s="15">
        <f t="shared" si="30"/>
        <v>6.7446808510638293E-2</v>
      </c>
      <c r="N80" s="15">
        <f t="shared" si="30"/>
        <v>5.1672085462145842E-2</v>
      </c>
      <c r="O80" s="15">
        <f t="shared" si="30"/>
        <v>5.4729655324303489E-2</v>
      </c>
      <c r="P80" s="15">
        <f t="shared" si="30"/>
        <v>4.8302452607904035E-2</v>
      </c>
      <c r="Q80" s="15">
        <f t="shared" si="30"/>
        <v>4.4007858546168961E-2</v>
      </c>
      <c r="R80" s="15">
        <f t="shared" si="30"/>
        <v>4.0880786932587308E-2</v>
      </c>
      <c r="S80" s="15">
        <f t="shared" si="30"/>
        <v>4.5083764582054209E-2</v>
      </c>
      <c r="T80" s="15">
        <f t="shared" si="30"/>
        <v>4.6705513222770056E-2</v>
      </c>
      <c r="U80" s="15">
        <f t="shared" si="30"/>
        <v>4.3391241694019693E-2</v>
      </c>
      <c r="V80" s="15">
        <f t="shared" si="30"/>
        <v>3.9723904775320465E-2</v>
      </c>
      <c r="W80" s="15">
        <f t="shared" si="30"/>
        <v>3.8998555609051515E-2</v>
      </c>
      <c r="X80" s="15">
        <f t="shared" si="30"/>
        <v>3.8383215057081151E-2</v>
      </c>
      <c r="Y80" s="15">
        <f t="shared" si="30"/>
        <v>3.7885826365231752E-2</v>
      </c>
      <c r="Z80" s="15">
        <f t="shared" si="30"/>
        <v>3.961282381245454E-2</v>
      </c>
      <c r="AH80" s="15"/>
      <c r="AI80" s="15"/>
      <c r="AJ80" s="15"/>
      <c r="AK80" s="15"/>
      <c r="AL80" s="15"/>
    </row>
    <row r="81" spans="1:38"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38"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67" t="s">
        <v>107</v>
      </c>
      <c r="AH82" s="68"/>
    </row>
    <row r="83" spans="1:3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G83" s="70" t="s">
        <v>124</v>
      </c>
      <c r="AH83" s="70"/>
    </row>
    <row r="84" spans="1:38"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91</v>
      </c>
      <c r="L84" s="1" t="s">
        <v>91</v>
      </c>
      <c r="M84" s="1" t="s">
        <v>91</v>
      </c>
      <c r="N84" s="1" t="s">
        <v>91</v>
      </c>
      <c r="O84" s="1" t="s">
        <v>91</v>
      </c>
      <c r="P84" s="1">
        <v>114000000</v>
      </c>
      <c r="Q84" s="1">
        <v>7000000</v>
      </c>
      <c r="R84" s="1">
        <v>-69000000</v>
      </c>
      <c r="S84" s="1">
        <v>14000000</v>
      </c>
      <c r="T84" s="1">
        <v>51000000</v>
      </c>
      <c r="U84" s="1">
        <v>308000000</v>
      </c>
      <c r="V84" s="1">
        <v>43000000</v>
      </c>
      <c r="W84" s="1" t="s">
        <v>91</v>
      </c>
      <c r="X84" s="1" t="s">
        <v>91</v>
      </c>
      <c r="Y84" s="1">
        <v>342000000</v>
      </c>
      <c r="Z84" s="1" t="s">
        <v>91</v>
      </c>
      <c r="AG84" s="44" t="s">
        <v>125</v>
      </c>
      <c r="AH84" s="45">
        <f>Z17</f>
        <v>212000000</v>
      </c>
    </row>
    <row r="85" spans="1:38"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91</v>
      </c>
      <c r="AG85" s="44" t="s">
        <v>126</v>
      </c>
      <c r="AH85" s="45">
        <f>Z56</f>
        <v>1835000000</v>
      </c>
    </row>
    <row r="86" spans="1:38"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91</v>
      </c>
      <c r="AG86" s="44" t="s">
        <v>127</v>
      </c>
      <c r="AH86" s="45">
        <f>Z61</f>
        <v>7490000000</v>
      </c>
    </row>
    <row r="87" spans="1:38"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46" t="s">
        <v>128</v>
      </c>
      <c r="AH87" s="47">
        <f>AH84/(AH85+AH86)</f>
        <v>2.2734584450402145E-2</v>
      </c>
    </row>
    <row r="88" spans="1:38"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44" t="s">
        <v>105</v>
      </c>
      <c r="AH88" s="45">
        <f>Z27</f>
        <v>1296000000</v>
      </c>
    </row>
    <row r="89" spans="1:38" ht="20" customHeight="1" x14ac:dyDescent="0.25">
      <c r="A89" s="14" t="s">
        <v>104</v>
      </c>
      <c r="B89" s="15">
        <f t="shared" ref="B89:Z89" si="31">(-1*B88)/B3</f>
        <v>2.4597364568081991E-2</v>
      </c>
      <c r="C89" s="15">
        <f t="shared" si="31"/>
        <v>4.9674393211210005E-2</v>
      </c>
      <c r="D89" s="15">
        <f t="shared" si="31"/>
        <v>6.8699776879330307E-2</v>
      </c>
      <c r="E89" s="15">
        <f t="shared" si="31"/>
        <v>7.592507840283301E-2</v>
      </c>
      <c r="F89" s="15">
        <f t="shared" si="31"/>
        <v>7.4226528960426502E-2</v>
      </c>
      <c r="G89" s="15">
        <f t="shared" si="31"/>
        <v>2.2488682941833329E-2</v>
      </c>
      <c r="H89" s="15">
        <f t="shared" si="31"/>
        <v>3.528417465059816E-2</v>
      </c>
      <c r="I89" s="15">
        <f t="shared" si="31"/>
        <v>4.6293980288504316E-2</v>
      </c>
      <c r="J89" s="15">
        <f t="shared" si="31"/>
        <v>4.0035253024820111E-2</v>
      </c>
      <c r="K89" s="15">
        <f t="shared" si="31"/>
        <v>2.2977281147986802E-2</v>
      </c>
      <c r="L89" s="15">
        <f t="shared" si="31"/>
        <v>1.5205371248025276E-2</v>
      </c>
      <c r="M89" s="15">
        <f t="shared" si="31"/>
        <v>1.425531914893617E-2</v>
      </c>
      <c r="N89" s="15">
        <f t="shared" si="31"/>
        <v>1.5327450069670227E-2</v>
      </c>
      <c r="O89" s="15">
        <f t="shared" si="31"/>
        <v>2.7199647615901334E-2</v>
      </c>
      <c r="P89" s="15">
        <f t="shared" si="31"/>
        <v>1.606511727535611E-2</v>
      </c>
      <c r="Q89" s="15">
        <f t="shared" si="31"/>
        <v>9.2337917485265219E-3</v>
      </c>
      <c r="R89" s="15">
        <f t="shared" si="31"/>
        <v>5.9561411424961649E-3</v>
      </c>
      <c r="S89" s="15">
        <f t="shared" si="31"/>
        <v>1.9384264538198404E-2</v>
      </c>
      <c r="T89" s="15">
        <f t="shared" si="31"/>
        <v>1.0667861945316002E-2</v>
      </c>
      <c r="U89" s="15">
        <f t="shared" si="31"/>
        <v>1.240893443279161E-2</v>
      </c>
      <c r="V89" s="15">
        <f t="shared" si="31"/>
        <v>1.4368220876179744E-2</v>
      </c>
      <c r="W89" s="15">
        <f t="shared" si="31"/>
        <v>1.7470252424513378E-2</v>
      </c>
      <c r="X89" s="15">
        <f t="shared" si="31"/>
        <v>1.1971613699475471E-2</v>
      </c>
      <c r="Y89" s="15">
        <f t="shared" si="31"/>
        <v>1.7600908433983691E-2</v>
      </c>
      <c r="Z89" s="15">
        <f t="shared" si="31"/>
        <v>2.9821518491579477E-2</v>
      </c>
      <c r="AG89" s="44" t="s">
        <v>19</v>
      </c>
      <c r="AH89" s="45">
        <f>Z25</f>
        <v>6290000000</v>
      </c>
      <c r="AI89" s="15"/>
      <c r="AJ89" s="15"/>
      <c r="AK89" s="15"/>
      <c r="AL89" s="15"/>
    </row>
    <row r="90" spans="1:38" ht="20" x14ac:dyDescent="0.25">
      <c r="A90" s="5" t="s">
        <v>75</v>
      </c>
      <c r="B90" s="1" t="s">
        <v>91</v>
      </c>
      <c r="C90" s="1" t="s">
        <v>91</v>
      </c>
      <c r="D90" s="1" t="s">
        <v>91</v>
      </c>
      <c r="E90" s="1" t="s">
        <v>91</v>
      </c>
      <c r="F90" s="1">
        <v>-1733000</v>
      </c>
      <c r="G90" s="1">
        <v>-8930000</v>
      </c>
      <c r="H90" s="1">
        <v>-74000</v>
      </c>
      <c r="I90" s="1">
        <v>-275218000</v>
      </c>
      <c r="J90" s="1">
        <v>-272353000</v>
      </c>
      <c r="K90" s="1">
        <v>-591765000</v>
      </c>
      <c r="L90" s="1">
        <v>-34000000</v>
      </c>
      <c r="M90" s="1">
        <v>-5755000000</v>
      </c>
      <c r="N90" s="1">
        <v>-21000000</v>
      </c>
      <c r="O90" s="1" t="s">
        <v>91</v>
      </c>
      <c r="P90" s="1">
        <v>-267000000</v>
      </c>
      <c r="Q90" s="1">
        <v>-298000000</v>
      </c>
      <c r="R90" s="1" t="s">
        <v>91</v>
      </c>
      <c r="S90" s="1">
        <v>-273000000</v>
      </c>
      <c r="T90" s="1">
        <v>-30000000</v>
      </c>
      <c r="U90" s="1">
        <v>-102000000</v>
      </c>
      <c r="V90" s="1">
        <v>-699000000</v>
      </c>
      <c r="W90" s="1">
        <v>-1510000000</v>
      </c>
      <c r="X90" s="1" t="s">
        <v>91</v>
      </c>
      <c r="Y90" s="1">
        <v>-1106000000</v>
      </c>
      <c r="Z90" s="1" t="s">
        <v>91</v>
      </c>
      <c r="AG90" s="46" t="s">
        <v>129</v>
      </c>
      <c r="AH90" s="47">
        <f>AH88/AH89</f>
        <v>0.20604133545310016</v>
      </c>
    </row>
    <row r="91" spans="1:38" ht="20" x14ac:dyDescent="0.25">
      <c r="A91" s="5" t="s">
        <v>76</v>
      </c>
      <c r="B91" s="1" t="s">
        <v>91</v>
      </c>
      <c r="C91" s="1" t="s">
        <v>91</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46" t="s">
        <v>130</v>
      </c>
      <c r="AH91" s="47">
        <f>AH87*(1-AH90)</f>
        <v>1.8050320309270004E-2</v>
      </c>
    </row>
    <row r="92" spans="1:38" ht="19" x14ac:dyDescent="0.25">
      <c r="A92" s="5" t="s">
        <v>77</v>
      </c>
      <c r="B92" s="1">
        <v>3400000</v>
      </c>
      <c r="C92" s="1">
        <v>29000</v>
      </c>
      <c r="D92" s="1" t="s">
        <v>91</v>
      </c>
      <c r="E92" s="1" t="s">
        <v>91</v>
      </c>
      <c r="F92" s="1" t="s">
        <v>91</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69" t="s">
        <v>131</v>
      </c>
      <c r="AH92" s="69"/>
    </row>
    <row r="93" spans="1:38" ht="19" customHeight="1" x14ac:dyDescent="0.25">
      <c r="A93" s="5" t="s">
        <v>78</v>
      </c>
      <c r="B93" s="1" t="s">
        <v>91</v>
      </c>
      <c r="C93" s="1" t="s">
        <v>91</v>
      </c>
      <c r="D93" s="1" t="s">
        <v>91</v>
      </c>
      <c r="E93" s="1" t="s">
        <v>91</v>
      </c>
      <c r="F93" s="1" t="s">
        <v>91</v>
      </c>
      <c r="G93" s="1" t="s">
        <v>91</v>
      </c>
      <c r="H93" s="1">
        <v>-61925000</v>
      </c>
      <c r="I93" s="1">
        <v>-7700000</v>
      </c>
      <c r="J93" s="1">
        <v>546878000</v>
      </c>
      <c r="K93" s="1">
        <v>7017000</v>
      </c>
      <c r="L93" s="1">
        <v>15000000</v>
      </c>
      <c r="M93" s="1">
        <v>89000000</v>
      </c>
      <c r="N93" s="1" t="s">
        <v>91</v>
      </c>
      <c r="O93" s="1" t="s">
        <v>91</v>
      </c>
      <c r="P93" s="1">
        <v>73000000</v>
      </c>
      <c r="Q93" s="1">
        <v>83000000</v>
      </c>
      <c r="R93" s="1">
        <v>143000000</v>
      </c>
      <c r="S93" s="1">
        <v>66000000</v>
      </c>
      <c r="T93" s="1">
        <v>34000000</v>
      </c>
      <c r="U93" s="1">
        <v>32000000</v>
      </c>
      <c r="V93" s="1">
        <v>24000000</v>
      </c>
      <c r="W93" s="1">
        <v>136000000</v>
      </c>
      <c r="X93" s="1">
        <v>183000000</v>
      </c>
      <c r="Y93" s="1">
        <v>-9000000</v>
      </c>
      <c r="Z93" s="1">
        <v>-15000000</v>
      </c>
      <c r="AG93" s="44" t="s">
        <v>132</v>
      </c>
      <c r="AH93" s="48">
        <f>[1]Treasuries!$C$8</f>
        <v>4.3220000000000001E-2</v>
      </c>
    </row>
    <row r="94" spans="1:38"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44" t="s">
        <v>133</v>
      </c>
      <c r="AH94" s="49" cm="1">
        <f t="array" ref="AH94">_FV(A1,"Beta")</f>
        <v>1.3010999999999999</v>
      </c>
    </row>
    <row r="95" spans="1:38" ht="20" x14ac:dyDescent="0.25">
      <c r="A95" s="5" t="s">
        <v>80</v>
      </c>
      <c r="B95" s="1">
        <v>-28200000</v>
      </c>
      <c r="C95" s="1">
        <v>-168800000</v>
      </c>
      <c r="D95" s="1">
        <v>-28200000</v>
      </c>
      <c r="E95" s="1" t="s">
        <v>91</v>
      </c>
      <c r="F95" s="1" t="s">
        <v>91</v>
      </c>
      <c r="G95" s="1">
        <v>-842000</v>
      </c>
      <c r="H95" s="1" t="s">
        <v>91</v>
      </c>
      <c r="I95" s="1">
        <v>-523680000</v>
      </c>
      <c r="J95" s="1" t="s">
        <v>91</v>
      </c>
      <c r="K95" s="1" t="s">
        <v>91</v>
      </c>
      <c r="L95" s="1">
        <v>-401000000</v>
      </c>
      <c r="M95" s="1">
        <v>-7000000</v>
      </c>
      <c r="N95" s="1">
        <v>-2310000000</v>
      </c>
      <c r="O95" s="1">
        <v>-792000000</v>
      </c>
      <c r="P95" s="1">
        <v>-500000000</v>
      </c>
      <c r="Q95" s="1">
        <v>-1260000000</v>
      </c>
      <c r="R95" s="1">
        <v>-488000000</v>
      </c>
      <c r="S95" s="1">
        <v>-750000000</v>
      </c>
      <c r="T95" s="1" t="s">
        <v>91</v>
      </c>
      <c r="U95" s="1">
        <v>-700000000</v>
      </c>
      <c r="V95" s="1" t="s">
        <v>91</v>
      </c>
      <c r="W95" s="1">
        <v>-1000000000</v>
      </c>
      <c r="X95" s="1" t="s">
        <v>91</v>
      </c>
      <c r="Y95" s="1">
        <v>-750000000</v>
      </c>
      <c r="Z95" s="1">
        <v>-750000000</v>
      </c>
      <c r="AG95" s="44" t="s">
        <v>134</v>
      </c>
      <c r="AH95" s="48">
        <v>8.4000000000000005E-2</v>
      </c>
    </row>
    <row r="96" spans="1:38"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91</v>
      </c>
      <c r="S96" s="1" t="s">
        <v>91</v>
      </c>
      <c r="T96" s="1" t="s">
        <v>91</v>
      </c>
      <c r="U96" s="1" t="s">
        <v>91</v>
      </c>
      <c r="V96" s="1" t="s">
        <v>91</v>
      </c>
      <c r="W96" s="1" t="s">
        <v>91</v>
      </c>
      <c r="X96" s="1" t="s">
        <v>91</v>
      </c>
      <c r="Y96" s="1">
        <v>387000000</v>
      </c>
      <c r="Z96" s="1">
        <v>576000000</v>
      </c>
      <c r="AG96" s="46" t="s">
        <v>135</v>
      </c>
      <c r="AH96" s="47">
        <f>(AH93)+((AH94)*(AH95-AH93))</f>
        <v>9.6278857999999995E-2</v>
      </c>
    </row>
    <row r="97" spans="1:38"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69" t="s">
        <v>136</v>
      </c>
      <c r="AH97" s="69"/>
    </row>
    <row r="98" spans="1:38" ht="19" customHeight="1" x14ac:dyDescent="0.25">
      <c r="A98" s="5" t="s">
        <v>83</v>
      </c>
      <c r="B98" s="1">
        <v>-12300000</v>
      </c>
      <c r="C98" s="1" t="s">
        <v>91</v>
      </c>
      <c r="D98" s="1" t="s">
        <v>91</v>
      </c>
      <c r="E98" s="1" t="s">
        <v>91</v>
      </c>
      <c r="F98" s="1" t="s">
        <v>91</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44" t="s">
        <v>137</v>
      </c>
      <c r="AH98" s="45">
        <f>AH85+AH86</f>
        <v>9325000000</v>
      </c>
    </row>
    <row r="99" spans="1:38" ht="20" x14ac:dyDescent="0.25">
      <c r="A99" s="5" t="s">
        <v>84</v>
      </c>
      <c r="B99" s="1">
        <v>2100000</v>
      </c>
      <c r="C99" s="1">
        <v>-2646000</v>
      </c>
      <c r="D99" s="1">
        <v>-91000</v>
      </c>
      <c r="E99" s="1">
        <v>-696000</v>
      </c>
      <c r="F99" s="1">
        <v>-766000</v>
      </c>
      <c r="G99" s="1" t="s">
        <v>91</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46" t="s">
        <v>138</v>
      </c>
      <c r="AH99" s="47">
        <f>AH98/AH102</f>
        <v>8.2468203034273643E-2</v>
      </c>
    </row>
    <row r="100" spans="1:38"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44" t="s">
        <v>139</v>
      </c>
      <c r="AH100" s="28" cm="1">
        <f t="array" ref="AH100">_FV(A1,"Market cap",TRUE)</f>
        <v>103748883714</v>
      </c>
    </row>
    <row r="101" spans="1:38" ht="20" x14ac:dyDescent="0.25">
      <c r="A101" s="5" t="s">
        <v>86</v>
      </c>
      <c r="B101" s="1" t="s">
        <v>91</v>
      </c>
      <c r="C101" s="1" t="s">
        <v>91</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46" t="s">
        <v>140</v>
      </c>
      <c r="AH101" s="47">
        <f>AH100/AH102</f>
        <v>0.9175317969657264</v>
      </c>
    </row>
    <row r="102" spans="1:38"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46" t="s">
        <v>141</v>
      </c>
      <c r="AH102" s="50">
        <f>AH98+AH100</f>
        <v>113073883714</v>
      </c>
    </row>
    <row r="103" spans="1:38"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F103" s="27" t="s">
        <v>167</v>
      </c>
      <c r="AG103" s="70" t="s">
        <v>142</v>
      </c>
      <c r="AH103" s="70"/>
    </row>
    <row r="104" spans="1:38" ht="19" customHeight="1" thickBot="1" x14ac:dyDescent="0.3">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A104" s="64">
        <f>(AA106/Z107)-1</f>
        <v>0.20845579923129098</v>
      </c>
      <c r="AB104" s="64">
        <f>(AB106/AA106)-1</f>
        <v>0.13751169317118794</v>
      </c>
      <c r="AC104" s="64">
        <f>(AC106/AB106)-1</f>
        <v>9.5723684210526239E-2</v>
      </c>
      <c r="AD104" s="64">
        <f>(AD106/AC106)-1</f>
        <v>-0.14440108075652958</v>
      </c>
      <c r="AE104" s="64">
        <f>(AE106/AD106)-1</f>
        <v>0.11087719298245613</v>
      </c>
      <c r="AF104" s="64">
        <f>SUM(AA104:AE104)/5</f>
        <v>8.1633457767786341E-2</v>
      </c>
      <c r="AG104" s="51" t="s">
        <v>107</v>
      </c>
      <c r="AH104" s="52">
        <f>(AH99*AH91)+(AH101*AH96)</f>
        <v>8.9827491070646553E-2</v>
      </c>
    </row>
    <row r="105" spans="1:38" ht="20" thickTop="1" x14ac:dyDescent="0.25">
      <c r="A105" s="14" t="s">
        <v>165</v>
      </c>
      <c r="B105" s="1">
        <f t="shared" ref="B105:Y105" si="32">(B22*(1-$AH$90))+B77+B88+B81</f>
        <v>367987440.38155806</v>
      </c>
      <c r="C105" s="1">
        <f t="shared" si="32"/>
        <v>125968156.12082672</v>
      </c>
      <c r="D105" s="1">
        <f t="shared" si="32"/>
        <v>100573259.45945947</v>
      </c>
      <c r="E105" s="1">
        <f t="shared" si="32"/>
        <v>152920709.69793323</v>
      </c>
      <c r="F105" s="1">
        <f t="shared" si="32"/>
        <v>162441473.1319555</v>
      </c>
      <c r="G105" s="1">
        <f t="shared" si="32"/>
        <v>206233708.10810813</v>
      </c>
      <c r="H105" s="1">
        <f t="shared" si="32"/>
        <v>121515758.66454691</v>
      </c>
      <c r="I105" s="1">
        <f t="shared" si="32"/>
        <v>138989477.58346581</v>
      </c>
      <c r="J105" s="1">
        <f t="shared" si="32"/>
        <v>563129697.9332273</v>
      </c>
      <c r="K105" s="1">
        <f t="shared" si="32"/>
        <v>734278741.81240082</v>
      </c>
      <c r="L105" s="1">
        <f t="shared" si="32"/>
        <v>1530776152.6232116</v>
      </c>
      <c r="M105" s="1">
        <f t="shared" si="32"/>
        <v>906679173.2909379</v>
      </c>
      <c r="N105" s="1">
        <f t="shared" si="32"/>
        <v>2264288076.3116059</v>
      </c>
      <c r="O105" s="1">
        <f t="shared" si="32"/>
        <v>2248571701.1128778</v>
      </c>
      <c r="P105" s="1">
        <f t="shared" si="32"/>
        <v>2383910333.8632751</v>
      </c>
      <c r="Q105" s="1">
        <f t="shared" si="32"/>
        <v>3253298569.157393</v>
      </c>
      <c r="R105" s="1">
        <f t="shared" si="32"/>
        <v>3444171065.1828303</v>
      </c>
      <c r="S105" s="1">
        <f t="shared" si="32"/>
        <v>3187023211.4467411</v>
      </c>
      <c r="T105" s="1">
        <f t="shared" si="32"/>
        <v>2985391096.9793324</v>
      </c>
      <c r="U105" s="1">
        <f t="shared" si="32"/>
        <v>4118750079.4912567</v>
      </c>
      <c r="V105" s="1">
        <f t="shared" si="32"/>
        <v>4190632432.4324331</v>
      </c>
      <c r="W105" s="1">
        <f t="shared" si="32"/>
        <v>3950264546.8998413</v>
      </c>
      <c r="X105" s="1">
        <f t="shared" si="32"/>
        <v>4854594594.594595</v>
      </c>
      <c r="Y105" s="1">
        <f t="shared" si="32"/>
        <v>6646992050.874404</v>
      </c>
      <c r="Z105" s="1">
        <f>(Z22*(1-$AH$90))+Z77+Z88+Z81</f>
        <v>3270997774.244833</v>
      </c>
      <c r="AA105" s="26">
        <f>Z105*(1+$AH$106)</f>
        <v>3443221970.710165</v>
      </c>
      <c r="AB105" s="26">
        <f t="shared" ref="AB105:AE105" si="33">AA105*(1+$AH$106)</f>
        <v>3624514095.6472545</v>
      </c>
      <c r="AC105" s="26">
        <f t="shared" si="33"/>
        <v>3815351592.5771422</v>
      </c>
      <c r="AD105" s="26">
        <f t="shared" si="33"/>
        <v>4016237043.3219156</v>
      </c>
      <c r="AE105" s="26">
        <f t="shared" si="33"/>
        <v>4227699491.5836263</v>
      </c>
      <c r="AF105" s="27" t="s">
        <v>163</v>
      </c>
      <c r="AG105" s="71" t="s">
        <v>156</v>
      </c>
      <c r="AH105" s="71"/>
      <c r="AI105" s="15"/>
      <c r="AJ105" s="15"/>
      <c r="AK105" s="15"/>
      <c r="AL105" s="15"/>
    </row>
    <row r="106" spans="1:38" ht="19" x14ac:dyDescent="0.25">
      <c r="A106" s="14" t="s">
        <v>106</v>
      </c>
      <c r="B106" s="1"/>
      <c r="C106" s="15">
        <f t="shared" ref="C106:Z106" si="34">(C107/B107)-1</f>
        <v>1.1501324503311259</v>
      </c>
      <c r="D106" s="15">
        <f t="shared" si="34"/>
        <v>-0.22130162934672126</v>
      </c>
      <c r="E106" s="15">
        <f t="shared" si="34"/>
        <v>0.67304801835297834</v>
      </c>
      <c r="F106" s="15">
        <f t="shared" si="34"/>
        <v>1.8314498715463312E-2</v>
      </c>
      <c r="G106" s="15">
        <f t="shared" si="34"/>
        <v>0.28574966335959395</v>
      </c>
      <c r="H106" s="15">
        <f t="shared" si="34"/>
        <v>0.2384947815723899</v>
      </c>
      <c r="I106" s="15">
        <f t="shared" si="34"/>
        <v>-2.907671821389346E-2</v>
      </c>
      <c r="J106" s="15">
        <f t="shared" si="34"/>
        <v>2.1879138865669252</v>
      </c>
      <c r="K106" s="15">
        <f t="shared" si="34"/>
        <v>-0.25241210819433779</v>
      </c>
      <c r="L106" s="15">
        <f t="shared" si="34"/>
        <v>2.8623742995639865</v>
      </c>
      <c r="M106" s="15">
        <f t="shared" si="34"/>
        <v>-0.27569331158238175</v>
      </c>
      <c r="N106" s="15">
        <f t="shared" si="34"/>
        <v>0.76876876876876876</v>
      </c>
      <c r="O106" s="15">
        <f t="shared" si="34"/>
        <v>9.4651952461799693E-2</v>
      </c>
      <c r="P106" s="15">
        <f t="shared" si="34"/>
        <v>-0.18960837533927877</v>
      </c>
      <c r="Q106" s="15">
        <f t="shared" si="34"/>
        <v>0.69760765550239245</v>
      </c>
      <c r="R106" s="15">
        <f t="shared" si="34"/>
        <v>-0.1502254791431793</v>
      </c>
      <c r="S106" s="15">
        <f t="shared" si="34"/>
        <v>-7.6948590381426207E-2</v>
      </c>
      <c r="T106" s="15">
        <f t="shared" si="34"/>
        <v>-0.26877470355731226</v>
      </c>
      <c r="U106" s="15">
        <f t="shared" si="34"/>
        <v>0.80491400491400489</v>
      </c>
      <c r="V106" s="15">
        <f t="shared" si="34"/>
        <v>-0.21835012251565478</v>
      </c>
      <c r="W106" s="15">
        <f t="shared" si="34"/>
        <v>-8.3942877046325304E-2</v>
      </c>
      <c r="X106" s="15">
        <f t="shared" si="34"/>
        <v>0.34942965779467672</v>
      </c>
      <c r="Y106" s="15">
        <f t="shared" si="34"/>
        <v>0.29698506621583554</v>
      </c>
      <c r="Z106" s="15">
        <f t="shared" si="34"/>
        <v>-3.9104931566369738E-2</v>
      </c>
      <c r="AA106" s="36">
        <v>5345000000</v>
      </c>
      <c r="AB106" s="36">
        <v>6080000000</v>
      </c>
      <c r="AC106" s="36">
        <v>6662000000</v>
      </c>
      <c r="AD106" s="36">
        <v>5700000000</v>
      </c>
      <c r="AE106" s="36">
        <v>6332000000</v>
      </c>
      <c r="AF106" s="27" t="s">
        <v>164</v>
      </c>
      <c r="AG106" s="53" t="s">
        <v>143</v>
      </c>
      <c r="AH106" s="54">
        <f>(SUM(AA4:AE4)/5)</f>
        <v>5.265188433370098E-2</v>
      </c>
    </row>
    <row r="107" spans="1:38" ht="19" x14ac:dyDescent="0.25">
      <c r="A107" s="43" t="s">
        <v>166</v>
      </c>
      <c r="B107" s="1">
        <v>45300000</v>
      </c>
      <c r="C107" s="1">
        <v>97401000</v>
      </c>
      <c r="D107" s="1">
        <v>75846000</v>
      </c>
      <c r="E107" s="1">
        <v>126894000</v>
      </c>
      <c r="F107" s="1">
        <v>129218000</v>
      </c>
      <c r="G107" s="1">
        <v>166142000</v>
      </c>
      <c r="H107" s="1">
        <v>205766000</v>
      </c>
      <c r="I107" s="1">
        <v>199783000</v>
      </c>
      <c r="J107" s="1">
        <v>636891000</v>
      </c>
      <c r="K107" s="1">
        <v>476132000</v>
      </c>
      <c r="L107" s="1">
        <v>1839000000</v>
      </c>
      <c r="M107" s="1">
        <v>1332000000</v>
      </c>
      <c r="N107" s="1">
        <v>2356000000</v>
      </c>
      <c r="O107" s="1">
        <v>2579000000</v>
      </c>
      <c r="P107" s="1">
        <v>2090000000</v>
      </c>
      <c r="Q107" s="1">
        <v>3548000000</v>
      </c>
      <c r="R107" s="1">
        <v>3015000000</v>
      </c>
      <c r="S107" s="1">
        <v>2783000000</v>
      </c>
      <c r="T107" s="1">
        <v>2035000000</v>
      </c>
      <c r="U107" s="1">
        <v>3673000000</v>
      </c>
      <c r="V107" s="1">
        <v>2871000000</v>
      </c>
      <c r="W107" s="1">
        <v>2630000000</v>
      </c>
      <c r="X107" s="1">
        <v>3549000000</v>
      </c>
      <c r="Y107" s="1">
        <v>4603000000</v>
      </c>
      <c r="Z107" s="1">
        <v>4423000000</v>
      </c>
      <c r="AA107" s="27"/>
      <c r="AB107" s="27"/>
      <c r="AC107" s="27"/>
      <c r="AD107" s="27"/>
      <c r="AE107" s="42">
        <f>AE106*(1+AH107)/(AH108-AH107)</f>
        <v>100116476710.89282</v>
      </c>
      <c r="AF107" s="29" t="s">
        <v>144</v>
      </c>
      <c r="AG107" s="55" t="s">
        <v>145</v>
      </c>
      <c r="AH107" s="56">
        <v>2.5000000000000001E-2</v>
      </c>
    </row>
    <row r="108" spans="1:38" ht="19" x14ac:dyDescent="0.25">
      <c r="AA108" s="28">
        <f t="shared" ref="AA108:AC108" si="35">AA107+AA106</f>
        <v>5345000000</v>
      </c>
      <c r="AB108" s="28">
        <f t="shared" si="35"/>
        <v>6080000000</v>
      </c>
      <c r="AC108" s="28">
        <f t="shared" si="35"/>
        <v>6662000000</v>
      </c>
      <c r="AD108" s="28">
        <f>AD107+AD106</f>
        <v>5700000000</v>
      </c>
      <c r="AE108" s="42">
        <f>AE107+AE106</f>
        <v>106448476710.89282</v>
      </c>
      <c r="AF108" s="29" t="s">
        <v>141</v>
      </c>
      <c r="AG108" s="57" t="s">
        <v>146</v>
      </c>
      <c r="AH108" s="54">
        <f>AH104</f>
        <v>8.9827491070646553E-2</v>
      </c>
    </row>
    <row r="109" spans="1:38" ht="19" x14ac:dyDescent="0.25">
      <c r="AA109" s="66" t="s">
        <v>147</v>
      </c>
      <c r="AB109" s="66"/>
    </row>
    <row r="110" spans="1:38" ht="20" x14ac:dyDescent="0.25">
      <c r="AA110" s="58" t="s">
        <v>148</v>
      </c>
      <c r="AB110" s="28">
        <f>NPV(AH108,AA108,AB108,AC108,AD108,AE108)</f>
        <v>88449770372.599258</v>
      </c>
    </row>
    <row r="111" spans="1:38" ht="20" x14ac:dyDescent="0.25">
      <c r="AA111" s="58" t="s">
        <v>149</v>
      </c>
      <c r="AB111" s="28">
        <f>Z40</f>
        <v>14882000000</v>
      </c>
    </row>
    <row r="112" spans="1:38" ht="20" x14ac:dyDescent="0.25">
      <c r="AA112" s="58" t="s">
        <v>137</v>
      </c>
      <c r="AB112" s="28">
        <f>AH98</f>
        <v>9325000000</v>
      </c>
    </row>
    <row r="113" spans="27:28" ht="20" x14ac:dyDescent="0.25">
      <c r="AA113" s="58" t="s">
        <v>150</v>
      </c>
      <c r="AB113" s="28">
        <f>AB110+AB111-AB112</f>
        <v>94006770372.599258</v>
      </c>
    </row>
    <row r="114" spans="27:28" ht="20" x14ac:dyDescent="0.25">
      <c r="AA114" s="58" t="s">
        <v>151</v>
      </c>
      <c r="AB114" s="58">
        <f>Z34*(1+(5*AF16))</f>
        <v>140966235.27916574</v>
      </c>
    </row>
    <row r="115" spans="27:28" ht="20" x14ac:dyDescent="0.25">
      <c r="AA115" s="59" t="s">
        <v>152</v>
      </c>
      <c r="AB115" s="60">
        <f>AB113/AB114</f>
        <v>666.8743773034073</v>
      </c>
    </row>
    <row r="116" spans="27:28" ht="20" x14ac:dyDescent="0.25">
      <c r="AA116" s="58" t="s">
        <v>153</v>
      </c>
      <c r="AB116" s="61" cm="1">
        <f t="array" ref="AB116">_FV(A1,"Price")</f>
        <v>694.89</v>
      </c>
    </row>
    <row r="117" spans="27:28" ht="20" x14ac:dyDescent="0.25">
      <c r="AA117" s="59" t="s">
        <v>154</v>
      </c>
      <c r="AB117" s="62">
        <f>AB115/AB116-1</f>
        <v>-4.0316629533584725E-2</v>
      </c>
    </row>
    <row r="118" spans="27:28" ht="20" x14ac:dyDescent="0.25">
      <c r="AA118" s="59" t="s">
        <v>155</v>
      </c>
      <c r="AB118" s="63"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 ref="AF106" r:id="rId53" xr:uid="{94AF886E-F849-1C40-BCDD-3CC0CFCA91EF}"/>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2023-02-25T14:45:46Z</dcterms:created>
  <dcterms:modified xsi:type="dcterms:W3CDTF">2023-09-19T13:16:21Z</dcterms:modified>
</cp:coreProperties>
</file>