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ECEB97C1-768A-AB4A-8546-6C71817BAAB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2" l="1"/>
  <c r="O10" i="2"/>
  <c r="O9" i="2"/>
  <c r="O7" i="2"/>
  <c r="G7" i="2"/>
  <c r="E7" i="2"/>
  <c r="O6" i="2"/>
  <c r="O19" i="2" s="1"/>
  <c r="G6" i="2"/>
  <c r="E6" i="2"/>
  <c r="C6" i="2"/>
  <c r="G5" i="2"/>
  <c r="C5" i="2"/>
  <c r="C4" i="2"/>
  <c r="A4" i="2"/>
  <c r="G3" i="2"/>
  <c r="C3" i="2"/>
  <c r="O20" i="2" a="1"/>
  <c r="O20" i="2" s="1"/>
  <c r="A20" i="2" a="1"/>
  <c r="A20" i="2" s="1"/>
  <c r="C19" i="2" a="1"/>
  <c r="C19" i="2" s="1"/>
  <c r="A19" i="2" a="1"/>
  <c r="A19" i="2" s="1"/>
  <c r="O15" i="2" a="1"/>
  <c r="O15" i="2" s="1"/>
  <c r="J15" i="2"/>
  <c r="I15" i="2"/>
  <c r="H15" i="2"/>
  <c r="G15" i="2"/>
  <c r="F15" i="2"/>
  <c r="E15" i="2"/>
  <c r="D15" i="2"/>
  <c r="C15" i="2"/>
  <c r="O14" i="2"/>
  <c r="J13" i="2"/>
  <c r="I13" i="2"/>
  <c r="H13" i="2"/>
  <c r="G13" i="2"/>
  <c r="F13" i="2"/>
  <c r="E13" i="2"/>
  <c r="D13" i="2"/>
  <c r="C13" i="2"/>
  <c r="J11" i="2"/>
  <c r="I11" i="2"/>
  <c r="H11" i="2"/>
  <c r="G11" i="2"/>
  <c r="F11" i="2"/>
  <c r="E11" i="2"/>
  <c r="D11" i="2"/>
  <c r="C11" i="2"/>
  <c r="E3" i="2" s="1"/>
  <c r="O11" i="2"/>
  <c r="K5" i="2" a="1"/>
  <c r="K5" i="2" s="1"/>
  <c r="A5" i="2" a="1"/>
  <c r="A5" i="2" s="1"/>
  <c r="G4" i="2" s="1"/>
  <c r="E4" i="2"/>
  <c r="A3" i="2" a="1"/>
  <c r="A3" i="2" s="1"/>
  <c r="K4" i="2" s="1"/>
  <c r="O17" i="2" l="1"/>
  <c r="K15" i="2"/>
  <c r="K13" i="2"/>
  <c r="K11" i="2"/>
  <c r="E5" i="2"/>
  <c r="O21" i="2"/>
  <c r="C7" i="2" s="1"/>
  <c r="A6" i="2"/>
  <c r="A7" i="2"/>
  <c r="O8" i="2"/>
  <c r="O12" i="2" s="1"/>
  <c r="O23" i="2" l="1"/>
  <c r="O22" i="2"/>
  <c r="N25" i="2" l="1"/>
  <c r="I6" i="2" s="1"/>
  <c r="I3" i="2" s="1"/>
  <c r="I4" i="2" s="1"/>
  <c r="I5" i="2" s="1"/>
  <c r="K6" i="2" s="1"/>
  <c r="K7" i="2" s="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<sst xmlns="http://schemas.openxmlformats.org/spreadsheetml/2006/main" count="1524" uniqueCount="250">
  <si>
    <t>2011 Y</t>
  </si>
  <si>
    <t>2012 Y</t>
  </si>
  <si>
    <t>2013 Y</t>
  </si>
  <si>
    <t>2014 Y</t>
  </si>
  <si>
    <t>2015 Y</t>
  </si>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</sst>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165" fontId="11" fillId="6" borderId="2" xfId="0" applyNumberFormat="1" applyFont="1" applyFill="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10" fontId="4" fillId="9" borderId="2" xfId="1"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1" xfId="1" applyFont="1" applyFill="1" applyBorder="1" applyAlignment="1">
      <alignment horizontal="right" vertical="center" indent="1"/>
    </xf>
    <xf numFmtId="166" fontId="4" fillId="9" borderId="2"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0</v>
    <v>VEEVA SYSTEMS INC. (XNYS:VEEV)</v>
    <v>2</v>
    <v>3</v>
    <v>Finance</v>
    <v>4</v>
    <v>en-US</v>
    <v>a259jc</v>
    <v>268435456</v>
    <v>1</v>
    <v>Powered by Refinitiv</v>
    <v>225.48500000000001</v>
    <v>154.30000000000001</v>
    <v>0.86629999999999996</v>
    <v>-2.41</v>
    <v>-1.2222E-2</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200</v>
    <v>Healthcare Equipment &amp; Supplies</v>
    <v>Stock</v>
    <v>45224.987024478905</v>
    <v>0</v>
    <v>193.84</v>
    <v>31292478290</v>
    <v>VEEVA SYSTEMS INC.</v>
    <v>VEEVA SYSTEMS INC.</v>
    <v>200</v>
    <v>58.7639</v>
    <v>197.19</v>
    <v>194.78</v>
    <v>160655500</v>
    <v>VEEV</v>
    <v>VEEVA SYSTEMS INC. (XNYS:VEEV)</v>
    <v>25</v>
    <v>820484</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EEV%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VEE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9" workbookViewId="0">
      <pane xSplit="1" topLeftCell="J1" activePane="topRight" state="frozen"/>
      <selection pane="topRight" activeCell="J184" sqref="J184"/>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3" t="s">
        <v>18</v>
      </c>
      <c r="B2" s="31">
        <v>29129000</v>
      </c>
      <c r="C2" s="31">
        <v>61262000</v>
      </c>
      <c r="D2" s="31">
        <v>129548000</v>
      </c>
      <c r="E2" s="31">
        <v>210151000</v>
      </c>
      <c r="F2" s="31">
        <v>313222000</v>
      </c>
      <c r="G2" s="31">
        <v>409221000</v>
      </c>
      <c r="H2" s="31">
        <v>544043000</v>
      </c>
      <c r="I2" s="31">
        <v>685571000</v>
      </c>
      <c r="J2" s="31">
        <v>862210000</v>
      </c>
      <c r="K2" s="31">
        <v>1104081000</v>
      </c>
      <c r="L2" s="31">
        <v>1465069000</v>
      </c>
      <c r="M2" s="31">
        <v>1850777000</v>
      </c>
      <c r="N2" s="31">
        <v>2155060000</v>
      </c>
      <c r="O2" s="32">
        <v>2232290000</v>
      </c>
      <c r="P2" s="31">
        <v>552351000</v>
      </c>
      <c r="Q2" s="31">
        <v>563389000</v>
      </c>
      <c r="R2" s="31">
        <v>526325000</v>
      </c>
      <c r="S2" s="31">
        <v>590225000</v>
      </c>
    </row>
    <row r="3" spans="1:30" ht="19" x14ac:dyDescent="0.25">
      <c r="A3" s="9" t="s">
        <v>191</v>
      </c>
      <c r="B3" s="10"/>
      <c r="C3" s="11">
        <f>(C2/B2)-1</f>
        <v>1.1031274674722784</v>
      </c>
      <c r="D3" s="11">
        <f>(D2/C2)-1</f>
        <v>1.1146550879827624</v>
      </c>
      <c r="E3" s="11">
        <f>(E2/D2)-1</f>
        <v>0.62218637107481389</v>
      </c>
      <c r="F3" s="11">
        <f t="shared" ref="F3:S3" si="0">(F2/E2)-1</f>
        <v>0.4904616204538641</v>
      </c>
      <c r="G3" s="11">
        <f t="shared" si="0"/>
        <v>0.30648868853401101</v>
      </c>
      <c r="H3" s="11">
        <f t="shared" si="0"/>
        <v>0.32946012057054741</v>
      </c>
      <c r="I3" s="11">
        <f t="shared" si="0"/>
        <v>0.26014120207410074</v>
      </c>
      <c r="J3" s="11">
        <f t="shared" si="0"/>
        <v>0.25765238027862902</v>
      </c>
      <c r="K3" s="11">
        <f t="shared" si="0"/>
        <v>0.28052446619733007</v>
      </c>
      <c r="L3" s="11">
        <f t="shared" si="0"/>
        <v>0.3269578952993486</v>
      </c>
      <c r="M3" s="11">
        <f t="shared" si="0"/>
        <v>0.26326951153836431</v>
      </c>
      <c r="N3" s="11">
        <f t="shared" si="0"/>
        <v>0.16440824583404701</v>
      </c>
      <c r="O3" s="11">
        <f>(O2/N2)-1</f>
        <v>3.5836589236494465E-2</v>
      </c>
      <c r="P3" s="11"/>
      <c r="Q3" s="11">
        <f t="shared" si="0"/>
        <v>1.9983669804164439E-2</v>
      </c>
      <c r="R3" s="11">
        <f t="shared" si="0"/>
        <v>-6.5787581937169493E-2</v>
      </c>
      <c r="S3" s="11">
        <f t="shared" si="0"/>
        <v>0.12140787536218123</v>
      </c>
      <c r="T3" s="12"/>
      <c r="U3" s="12"/>
      <c r="V3" s="12"/>
      <c r="W3" s="12"/>
      <c r="X3" s="12"/>
      <c r="Y3" s="12"/>
      <c r="Z3" s="12"/>
      <c r="AA3" s="13"/>
      <c r="AB3" s="13"/>
      <c r="AC3" s="13"/>
      <c r="AD3" s="13"/>
    </row>
    <row r="4" spans="1:30" ht="16" x14ac:dyDescent="0.2">
      <c r="A4" s="3" t="s">
        <v>19</v>
      </c>
      <c r="B4" s="4">
        <v>29129000</v>
      </c>
      <c r="C4" s="4">
        <v>61262000</v>
      </c>
      <c r="D4" s="4">
        <v>129548000</v>
      </c>
      <c r="E4" s="4">
        <v>210151000</v>
      </c>
      <c r="F4" s="4">
        <v>313222000</v>
      </c>
      <c r="G4" s="4">
        <v>409221000</v>
      </c>
      <c r="H4" s="4">
        <v>544043000</v>
      </c>
      <c r="I4" s="4">
        <v>685571000</v>
      </c>
      <c r="J4" s="4">
        <v>862210000</v>
      </c>
      <c r="K4" s="4">
        <v>1104081000</v>
      </c>
      <c r="L4" s="4">
        <v>1465069000</v>
      </c>
      <c r="M4" s="4">
        <v>1850777000</v>
      </c>
      <c r="N4" s="4">
        <v>2155060000</v>
      </c>
      <c r="O4" s="5">
        <v>2232290000</v>
      </c>
      <c r="P4" s="4">
        <v>552351000</v>
      </c>
      <c r="Q4" s="4">
        <v>563389000</v>
      </c>
      <c r="R4" s="4">
        <v>526325000</v>
      </c>
      <c r="S4" s="4">
        <v>590225000</v>
      </c>
    </row>
    <row r="5" spans="1:30" ht="16" x14ac:dyDescent="0.2">
      <c r="A5" s="3" t="s">
        <v>20</v>
      </c>
      <c r="B5" s="4">
        <v>12317000</v>
      </c>
      <c r="C5" s="4">
        <v>29056000</v>
      </c>
      <c r="D5" s="4">
        <v>57016000</v>
      </c>
      <c r="E5" s="4">
        <v>82602000</v>
      </c>
      <c r="F5" s="4">
        <v>115658000</v>
      </c>
      <c r="G5" s="4">
        <v>142214000</v>
      </c>
      <c r="H5" s="4">
        <v>173681000</v>
      </c>
      <c r="I5" s="4">
        <v>211439000</v>
      </c>
      <c r="J5" s="4">
        <v>245281000</v>
      </c>
      <c r="K5" s="4">
        <v>303369000</v>
      </c>
      <c r="L5" s="4">
        <v>408928000</v>
      </c>
      <c r="M5" s="4">
        <v>503678000</v>
      </c>
      <c r="N5" s="4">
        <v>609405000</v>
      </c>
      <c r="O5" s="5">
        <v>653902000</v>
      </c>
      <c r="P5" s="4">
        <v>153907000</v>
      </c>
      <c r="Q5" s="4">
        <v>164314000</v>
      </c>
      <c r="R5" s="4">
        <v>166663000</v>
      </c>
      <c r="S5" s="4">
        <v>169018000</v>
      </c>
    </row>
    <row r="6" spans="1:30" ht="16" x14ac:dyDescent="0.2">
      <c r="A6" s="3" t="s">
        <v>21</v>
      </c>
      <c r="B6" s="4">
        <v>12317000</v>
      </c>
      <c r="C6" s="4">
        <v>29056000</v>
      </c>
      <c r="D6" s="4">
        <v>57016000</v>
      </c>
      <c r="E6" s="4">
        <v>82602000</v>
      </c>
      <c r="F6" s="4">
        <v>115658000</v>
      </c>
      <c r="G6" s="4">
        <v>142214000</v>
      </c>
      <c r="H6" s="4">
        <v>173681000</v>
      </c>
      <c r="I6" s="4">
        <v>211439000</v>
      </c>
      <c r="J6" s="4">
        <v>245281000</v>
      </c>
      <c r="K6" s="4">
        <v>303369000</v>
      </c>
      <c r="L6" s="4">
        <v>408928000</v>
      </c>
      <c r="M6" s="4">
        <v>503678000</v>
      </c>
      <c r="N6" s="4">
        <v>609405000</v>
      </c>
      <c r="O6" s="5">
        <v>653902000</v>
      </c>
      <c r="P6" s="4">
        <v>153907000</v>
      </c>
      <c r="Q6" s="4">
        <v>164314000</v>
      </c>
      <c r="R6" s="4">
        <v>166663000</v>
      </c>
      <c r="S6" s="4">
        <v>169018000</v>
      </c>
    </row>
    <row r="7" spans="1:30" ht="16" x14ac:dyDescent="0.2">
      <c r="A7" s="3" t="s">
        <v>22</v>
      </c>
      <c r="B7" s="4">
        <v>16812000</v>
      </c>
      <c r="C7" s="4">
        <v>32206000</v>
      </c>
      <c r="D7" s="4">
        <v>72532000</v>
      </c>
      <c r="E7" s="4">
        <v>127549000</v>
      </c>
      <c r="F7" s="4">
        <v>197564000</v>
      </c>
      <c r="G7" s="4">
        <v>267007000</v>
      </c>
      <c r="H7" s="4">
        <v>370362000</v>
      </c>
      <c r="I7" s="4">
        <v>474132000</v>
      </c>
      <c r="J7" s="4">
        <v>616929000</v>
      </c>
      <c r="K7" s="4">
        <v>800712000</v>
      </c>
      <c r="L7" s="4">
        <v>1056141000</v>
      </c>
      <c r="M7" s="4">
        <v>1347099000</v>
      </c>
      <c r="N7" s="4">
        <v>1545655000</v>
      </c>
      <c r="O7" s="5">
        <v>1578388000</v>
      </c>
      <c r="P7" s="4">
        <v>398444000</v>
      </c>
      <c r="Q7" s="4">
        <v>399075000</v>
      </c>
      <c r="R7" s="4">
        <v>359662000</v>
      </c>
      <c r="S7" s="4">
        <v>421207000</v>
      </c>
    </row>
    <row r="8" spans="1:30" ht="16" x14ac:dyDescent="0.2">
      <c r="A8" s="3" t="s">
        <v>58</v>
      </c>
      <c r="B8" s="6">
        <v>57.72</v>
      </c>
      <c r="C8" s="6">
        <v>52.57</v>
      </c>
      <c r="D8" s="6">
        <v>55.99</v>
      </c>
      <c r="E8" s="6">
        <v>60.69</v>
      </c>
      <c r="F8" s="6">
        <v>63.07</v>
      </c>
      <c r="G8" s="6">
        <v>65.25</v>
      </c>
      <c r="H8" s="6">
        <v>68.08</v>
      </c>
      <c r="I8" s="6">
        <v>69.16</v>
      </c>
      <c r="J8" s="6">
        <v>71.55</v>
      </c>
      <c r="K8" s="6">
        <v>72.52</v>
      </c>
      <c r="L8" s="6">
        <v>72.09</v>
      </c>
      <c r="M8" s="6">
        <v>72.790000000000006</v>
      </c>
      <c r="N8" s="6">
        <v>71.72</v>
      </c>
      <c r="O8" s="7">
        <v>70.709999999999994</v>
      </c>
      <c r="P8" s="6">
        <v>72.14</v>
      </c>
      <c r="Q8" s="6">
        <v>70.83</v>
      </c>
      <c r="R8" s="6">
        <v>68.33</v>
      </c>
      <c r="S8" s="6">
        <v>71.36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11721000</v>
      </c>
      <c r="C10" s="4">
        <v>25568000</v>
      </c>
      <c r="D10" s="4">
        <v>42499000</v>
      </c>
      <c r="E10" s="4">
        <v>88245000</v>
      </c>
      <c r="F10" s="4">
        <v>127598000</v>
      </c>
      <c r="G10" s="4">
        <v>188418000</v>
      </c>
      <c r="H10" s="4">
        <v>262394000</v>
      </c>
      <c r="I10" s="4">
        <v>323340000</v>
      </c>
      <c r="J10" s="4">
        <v>394063000</v>
      </c>
      <c r="K10" s="4">
        <v>514493000</v>
      </c>
      <c r="L10" s="4">
        <v>678347000</v>
      </c>
      <c r="M10" s="4">
        <v>841603000</v>
      </c>
      <c r="N10" s="4">
        <v>1086564000</v>
      </c>
      <c r="O10" s="5">
        <v>1182482000</v>
      </c>
      <c r="P10" s="4">
        <v>277040000</v>
      </c>
      <c r="Q10" s="4">
        <v>290152000</v>
      </c>
      <c r="R10" s="4">
        <v>298132000</v>
      </c>
      <c r="S10" s="4">
        <v>317158000</v>
      </c>
    </row>
    <row r="11" spans="1:30" ht="16" x14ac:dyDescent="0.2">
      <c r="A11" s="3" t="s">
        <v>26</v>
      </c>
      <c r="B11" s="4">
        <v>8084000</v>
      </c>
      <c r="C11" s="4">
        <v>17818000</v>
      </c>
      <c r="D11" s="4">
        <v>27861000</v>
      </c>
      <c r="E11" s="4">
        <v>61918000</v>
      </c>
      <c r="F11" s="4">
        <v>86442000</v>
      </c>
      <c r="G11" s="4">
        <v>122442000</v>
      </c>
      <c r="H11" s="4">
        <v>165644000</v>
      </c>
      <c r="I11" s="4">
        <v>191289000</v>
      </c>
      <c r="J11" s="4">
        <v>235280000</v>
      </c>
      <c r="K11" s="4">
        <v>304598000</v>
      </c>
      <c r="L11" s="4">
        <v>384127000</v>
      </c>
      <c r="M11" s="4">
        <v>459568000</v>
      </c>
      <c r="N11" s="4">
        <v>566286000</v>
      </c>
      <c r="O11" s="5">
        <v>605499000</v>
      </c>
      <c r="P11" s="4">
        <v>146783000</v>
      </c>
      <c r="Q11" s="4">
        <v>147614000</v>
      </c>
      <c r="R11" s="4">
        <v>151172000</v>
      </c>
      <c r="S11" s="4">
        <v>159930000</v>
      </c>
    </row>
    <row r="12" spans="1:30" ht="19" x14ac:dyDescent="0.25">
      <c r="A12" s="14" t="s">
        <v>192</v>
      </c>
      <c r="B12" s="11">
        <f t="shared" ref="B12:S12" si="1">B11/B2</f>
        <v>0.27752411685948714</v>
      </c>
      <c r="C12" s="11">
        <f t="shared" si="1"/>
        <v>0.29084913976037347</v>
      </c>
      <c r="D12" s="11">
        <f t="shared" si="1"/>
        <v>0.21506314261895204</v>
      </c>
      <c r="E12" s="11">
        <f t="shared" si="1"/>
        <v>0.29463576190453533</v>
      </c>
      <c r="F12" s="11">
        <f t="shared" si="1"/>
        <v>0.2759767832400023</v>
      </c>
      <c r="G12" s="11">
        <f t="shared" si="1"/>
        <v>0.29920751867572781</v>
      </c>
      <c r="H12" s="11">
        <f t="shared" si="1"/>
        <v>0.30446858060851806</v>
      </c>
      <c r="I12" s="11">
        <f t="shared" si="1"/>
        <v>0.27902142885273734</v>
      </c>
      <c r="J12" s="11">
        <f t="shared" si="1"/>
        <v>0.27288015680634647</v>
      </c>
      <c r="K12" s="11">
        <f t="shared" si="1"/>
        <v>0.27588374403689586</v>
      </c>
      <c r="L12" s="11">
        <f t="shared" si="1"/>
        <v>0.26219038147691337</v>
      </c>
      <c r="M12" s="11">
        <f t="shared" si="1"/>
        <v>0.24831084458041136</v>
      </c>
      <c r="N12" s="11">
        <f t="shared" si="1"/>
        <v>0.26277041010459107</v>
      </c>
      <c r="O12" s="11">
        <f t="shared" si="1"/>
        <v>0.27124567148533568</v>
      </c>
      <c r="P12" s="11">
        <f t="shared" si="1"/>
        <v>0.26574225447224681</v>
      </c>
      <c r="Q12" s="11">
        <f t="shared" si="1"/>
        <v>0.26201079538294147</v>
      </c>
      <c r="R12" s="11">
        <f t="shared" si="1"/>
        <v>0.28722177361896167</v>
      </c>
      <c r="S12" s="11">
        <f t="shared" si="1"/>
        <v>0.27096446270490065</v>
      </c>
      <c r="T12" s="12"/>
      <c r="U12" s="12"/>
      <c r="V12" s="12"/>
      <c r="W12" s="12"/>
      <c r="X12" s="12"/>
      <c r="Y12" s="12"/>
      <c r="Z12" s="12"/>
      <c r="AA12" s="13"/>
      <c r="AB12" s="13"/>
      <c r="AC12" s="13"/>
      <c r="AD12" s="13"/>
    </row>
    <row r="13" spans="1:30" ht="16" x14ac:dyDescent="0.2">
      <c r="A13" s="3" t="s">
        <v>27</v>
      </c>
      <c r="B13" s="4">
        <v>3637000</v>
      </c>
      <c r="C13" s="4">
        <v>7750000</v>
      </c>
      <c r="D13" s="4">
        <v>14638000</v>
      </c>
      <c r="E13" s="4">
        <v>26327000</v>
      </c>
      <c r="F13" s="4">
        <v>41156000</v>
      </c>
      <c r="G13" s="4">
        <v>65976000</v>
      </c>
      <c r="H13" s="4">
        <v>96750000</v>
      </c>
      <c r="I13" s="4">
        <v>132051000</v>
      </c>
      <c r="J13" s="4">
        <v>158783000</v>
      </c>
      <c r="K13" s="4">
        <v>209895000</v>
      </c>
      <c r="L13" s="4">
        <v>294220000</v>
      </c>
      <c r="M13" s="4">
        <v>382035000</v>
      </c>
      <c r="N13" s="4">
        <v>520278000</v>
      </c>
      <c r="O13" s="5">
        <v>576983000</v>
      </c>
      <c r="P13" s="4">
        <v>130257000</v>
      </c>
      <c r="Q13" s="4">
        <v>142538000</v>
      </c>
      <c r="R13" s="4">
        <v>146960000</v>
      </c>
      <c r="S13" s="4">
        <v>157228000</v>
      </c>
    </row>
    <row r="14" spans="1:30" ht="19" x14ac:dyDescent="0.25">
      <c r="A14" s="14" t="s">
        <v>193</v>
      </c>
      <c r="B14" s="11">
        <f t="shared" ref="B14:S14" si="2">B13/B2</f>
        <v>0.12485838854749562</v>
      </c>
      <c r="C14" s="11">
        <f t="shared" si="2"/>
        <v>0.12650582742972805</v>
      </c>
      <c r="D14" s="11">
        <f t="shared" si="2"/>
        <v>0.11299286750856825</v>
      </c>
      <c r="E14" s="11">
        <f t="shared" si="2"/>
        <v>0.12527658683518042</v>
      </c>
      <c r="F14" s="11">
        <f t="shared" si="2"/>
        <v>0.13139562355134696</v>
      </c>
      <c r="G14" s="11">
        <f t="shared" si="2"/>
        <v>0.16122339762622154</v>
      </c>
      <c r="H14" s="11">
        <f t="shared" si="2"/>
        <v>0.17783520787878898</v>
      </c>
      <c r="I14" s="11">
        <f t="shared" si="2"/>
        <v>0.19261462343068769</v>
      </c>
      <c r="J14" s="11">
        <f t="shared" si="2"/>
        <v>0.18415815172637756</v>
      </c>
      <c r="K14" s="11">
        <f t="shared" si="2"/>
        <v>0.19010833444285338</v>
      </c>
      <c r="L14" s="11">
        <f t="shared" si="2"/>
        <v>0.20082330593303113</v>
      </c>
      <c r="M14" s="11">
        <f t="shared" si="2"/>
        <v>0.2064187095473955</v>
      </c>
      <c r="N14" s="11">
        <f t="shared" si="2"/>
        <v>0.24142158454985013</v>
      </c>
      <c r="O14" s="11">
        <f t="shared" si="2"/>
        <v>0.25847134556890011</v>
      </c>
      <c r="P14" s="11">
        <f t="shared" si="2"/>
        <v>0.23582287349891645</v>
      </c>
      <c r="Q14" s="11">
        <f t="shared" si="2"/>
        <v>0.25300103480898634</v>
      </c>
      <c r="R14" s="11">
        <f t="shared" si="2"/>
        <v>0.27921911366551083</v>
      </c>
      <c r="S14" s="11">
        <f t="shared" si="2"/>
        <v>0.26638654750307084</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3" t="s">
        <v>29</v>
      </c>
      <c r="B16" s="31">
        <v>5091000</v>
      </c>
      <c r="C16" s="31">
        <v>6638000</v>
      </c>
      <c r="D16" s="31">
        <v>30033000</v>
      </c>
      <c r="E16" s="31">
        <v>39304000</v>
      </c>
      <c r="F16" s="31">
        <v>69966000</v>
      </c>
      <c r="G16" s="31">
        <v>78589000</v>
      </c>
      <c r="H16" s="31">
        <v>107968000</v>
      </c>
      <c r="I16" s="31">
        <v>150792000</v>
      </c>
      <c r="J16" s="31">
        <v>222866000</v>
      </c>
      <c r="K16" s="31">
        <v>286219000</v>
      </c>
      <c r="L16" s="31">
        <v>377794000</v>
      </c>
      <c r="M16" s="31">
        <v>505496000</v>
      </c>
      <c r="N16" s="31">
        <v>459091000</v>
      </c>
      <c r="O16" s="32">
        <v>395906000</v>
      </c>
      <c r="P16" s="31">
        <v>121404000</v>
      </c>
      <c r="Q16" s="31">
        <v>108923000</v>
      </c>
      <c r="R16" s="31">
        <v>61530000</v>
      </c>
      <c r="S16" s="31">
        <v>104049000</v>
      </c>
    </row>
    <row r="17" spans="1:30" ht="16" x14ac:dyDescent="0.2">
      <c r="A17" s="26" t="s">
        <v>59</v>
      </c>
      <c r="B17" s="34">
        <v>17.48</v>
      </c>
      <c r="C17" s="34">
        <v>10.84</v>
      </c>
      <c r="D17" s="34">
        <v>23.18</v>
      </c>
      <c r="E17" s="34">
        <v>18.7</v>
      </c>
      <c r="F17" s="34">
        <v>22.34</v>
      </c>
      <c r="G17" s="34">
        <v>19.2</v>
      </c>
      <c r="H17" s="34">
        <v>19.850000000000001</v>
      </c>
      <c r="I17" s="31">
        <v>22</v>
      </c>
      <c r="J17" s="34">
        <v>25.85</v>
      </c>
      <c r="K17" s="34">
        <v>25.92</v>
      </c>
      <c r="L17" s="34">
        <v>25.79</v>
      </c>
      <c r="M17" s="34">
        <v>27.31</v>
      </c>
      <c r="N17" s="34">
        <v>21.3</v>
      </c>
      <c r="O17" s="35">
        <v>17.739999999999998</v>
      </c>
      <c r="P17" s="34">
        <v>21.98</v>
      </c>
      <c r="Q17" s="34">
        <v>19.329999999999998</v>
      </c>
      <c r="R17" s="34">
        <v>11.69</v>
      </c>
      <c r="S17" s="34">
        <v>17.63</v>
      </c>
    </row>
    <row r="18" spans="1:30" ht="19" x14ac:dyDescent="0.25">
      <c r="A18" s="15" t="s">
        <v>194</v>
      </c>
      <c r="B18" s="10"/>
      <c r="C18" s="11">
        <f>(C16/B16)-1</f>
        <v>0.30386957375761137</v>
      </c>
      <c r="D18" s="11">
        <f>(D16/C16)-1</f>
        <v>3.5244049412473633</v>
      </c>
      <c r="E18" s="11">
        <f>(E16/D16)-1</f>
        <v>0.30869377018612854</v>
      </c>
      <c r="F18" s="11">
        <f t="shared" ref="F18:N18" si="3">(F16/E16)-1</f>
        <v>0.78012416039080001</v>
      </c>
      <c r="G18" s="11">
        <f t="shared" si="3"/>
        <v>0.12324557642283396</v>
      </c>
      <c r="H18" s="11">
        <f t="shared" si="3"/>
        <v>0.37383094326177968</v>
      </c>
      <c r="I18" s="11">
        <f t="shared" si="3"/>
        <v>0.3966360403082394</v>
      </c>
      <c r="J18" s="11">
        <f t="shared" si="3"/>
        <v>0.4779696535625233</v>
      </c>
      <c r="K18" s="11">
        <f t="shared" si="3"/>
        <v>0.28426498434036596</v>
      </c>
      <c r="L18" s="11">
        <f t="shared" si="3"/>
        <v>0.31994731307145918</v>
      </c>
      <c r="M18" s="11">
        <f t="shared" si="3"/>
        <v>0.33802019089768498</v>
      </c>
      <c r="N18" s="11">
        <f t="shared" si="3"/>
        <v>-9.1800924240745707E-2</v>
      </c>
      <c r="O18" s="11">
        <f>(O16/N16)-1</f>
        <v>-0.13763066581570971</v>
      </c>
      <c r="P18" s="11"/>
      <c r="Q18" s="11">
        <f>(Q16/P16)-1</f>
        <v>-0.10280550887944384</v>
      </c>
      <c r="R18" s="11">
        <f>(R16/Q16)-1</f>
        <v>-0.43510553326661949</v>
      </c>
      <c r="S18" s="11">
        <f>(S16/R16)-1</f>
        <v>0.69102876645538758</v>
      </c>
      <c r="T18" s="12"/>
      <c r="U18" s="12"/>
      <c r="V18" s="12"/>
      <c r="W18" s="12"/>
      <c r="X18" s="12"/>
      <c r="Y18" s="12"/>
      <c r="Z18" s="12"/>
      <c r="AA18" s="13"/>
      <c r="AB18" s="13"/>
      <c r="AC18" s="13"/>
      <c r="AD18" s="13"/>
    </row>
    <row r="19" spans="1:30" ht="16" x14ac:dyDescent="0.2">
      <c r="A19" s="3" t="s">
        <v>30</v>
      </c>
      <c r="B19" s="4">
        <v>-173000</v>
      </c>
      <c r="C19" s="4">
        <v>-15000</v>
      </c>
      <c r="D19" s="4">
        <v>940000</v>
      </c>
      <c r="E19" s="4">
        <v>804000</v>
      </c>
      <c r="F19" s="4">
        <v>2780000</v>
      </c>
      <c r="G19" s="4">
        <v>-28000</v>
      </c>
      <c r="H19" s="4">
        <v>-1667000</v>
      </c>
      <c r="I19" s="4">
        <v>-7842000</v>
      </c>
      <c r="J19" s="4">
        <v>-15777000</v>
      </c>
      <c r="K19" s="4">
        <v>-27478000</v>
      </c>
      <c r="L19" s="4">
        <v>-16199000</v>
      </c>
      <c r="M19" s="4">
        <v>-6815000</v>
      </c>
      <c r="N19" s="4">
        <v>-50005000</v>
      </c>
      <c r="O19" s="5">
        <v>-107972000</v>
      </c>
      <c r="P19" s="4">
        <v>-12458000</v>
      </c>
      <c r="Q19" s="4">
        <v>-26440000</v>
      </c>
      <c r="R19" s="4">
        <v>-30248000</v>
      </c>
      <c r="S19" s="4">
        <v>-38826000</v>
      </c>
    </row>
    <row r="20" spans="1:30" ht="16" x14ac:dyDescent="0.2">
      <c r="A20" s="3" t="s">
        <v>31</v>
      </c>
      <c r="B20" s="4" t="s">
        <v>24</v>
      </c>
      <c r="C20" s="4" t="s">
        <v>24</v>
      </c>
      <c r="D20" s="4">
        <v>-148000</v>
      </c>
      <c r="E20" s="4">
        <v>-502000</v>
      </c>
      <c r="F20" s="4">
        <v>-3537000</v>
      </c>
      <c r="G20" s="4">
        <v>-4617000</v>
      </c>
      <c r="H20" s="4">
        <v>-4477000</v>
      </c>
      <c r="I20" s="4">
        <v>-8383000</v>
      </c>
      <c r="J20" s="4">
        <v>-15388000</v>
      </c>
      <c r="K20" s="4">
        <v>-25185000</v>
      </c>
      <c r="L20" s="4">
        <v>-15859000</v>
      </c>
      <c r="M20" s="4">
        <v>-14730000</v>
      </c>
      <c r="N20" s="4">
        <v>-45860000</v>
      </c>
      <c r="O20" s="5">
        <v>0</v>
      </c>
      <c r="P20" s="4" t="s">
        <v>24</v>
      </c>
      <c r="Q20" s="4" t="s">
        <v>24</v>
      </c>
      <c r="R20" s="4" t="s">
        <v>24</v>
      </c>
      <c r="S20" s="4" t="s">
        <v>24</v>
      </c>
    </row>
    <row r="21" spans="1:30" ht="16" x14ac:dyDescent="0.2">
      <c r="A21" s="3" t="s">
        <v>32</v>
      </c>
      <c r="B21" s="4" t="s">
        <v>24</v>
      </c>
      <c r="C21" s="4" t="s">
        <v>24</v>
      </c>
      <c r="D21" s="4" t="s">
        <v>24</v>
      </c>
      <c r="E21" s="4" t="s">
        <v>24</v>
      </c>
      <c r="F21" s="4" t="s">
        <v>24</v>
      </c>
      <c r="G21" s="4" t="s">
        <v>24</v>
      </c>
      <c r="H21" s="4" t="s">
        <v>24</v>
      </c>
      <c r="I21" s="4" t="s">
        <v>24</v>
      </c>
      <c r="J21" s="4" t="s">
        <v>24</v>
      </c>
      <c r="K21" s="4" t="s">
        <v>24</v>
      </c>
      <c r="L21" s="4" t="s">
        <v>24</v>
      </c>
      <c r="M21" s="4" t="s">
        <v>24</v>
      </c>
      <c r="N21" s="4" t="s">
        <v>24</v>
      </c>
      <c r="O21" s="5" t="s">
        <v>24</v>
      </c>
      <c r="P21" s="4" t="s">
        <v>24</v>
      </c>
      <c r="Q21" s="4" t="s">
        <v>24</v>
      </c>
      <c r="R21" s="4" t="s">
        <v>24</v>
      </c>
      <c r="S21" s="4" t="s">
        <v>24</v>
      </c>
    </row>
    <row r="22" spans="1:30" ht="16" x14ac:dyDescent="0.2">
      <c r="A22" s="3" t="s">
        <v>33</v>
      </c>
      <c r="B22" s="4" t="s">
        <v>24</v>
      </c>
      <c r="C22" s="4" t="s">
        <v>24</v>
      </c>
      <c r="D22" s="4">
        <v>148000</v>
      </c>
      <c r="E22" s="4">
        <v>502000</v>
      </c>
      <c r="F22" s="4">
        <v>3537000</v>
      </c>
      <c r="G22" s="4">
        <v>4617000</v>
      </c>
      <c r="H22" s="4">
        <v>4477000</v>
      </c>
      <c r="I22" s="4">
        <v>8383000</v>
      </c>
      <c r="J22" s="4">
        <v>15388000</v>
      </c>
      <c r="K22" s="4">
        <v>25185000</v>
      </c>
      <c r="L22" s="4">
        <v>15859000</v>
      </c>
      <c r="M22" s="4">
        <v>14730000</v>
      </c>
      <c r="N22" s="4">
        <v>45860000</v>
      </c>
      <c r="O22" s="5" t="s">
        <v>24</v>
      </c>
      <c r="P22" s="4" t="s">
        <v>24</v>
      </c>
      <c r="Q22" s="4" t="s">
        <v>24</v>
      </c>
      <c r="R22" s="4" t="s">
        <v>24</v>
      </c>
      <c r="S22" s="4" t="s">
        <v>24</v>
      </c>
    </row>
    <row r="23" spans="1:30" ht="16" x14ac:dyDescent="0.2">
      <c r="A23" s="3" t="s">
        <v>34</v>
      </c>
      <c r="B23" s="4">
        <v>-173000</v>
      </c>
      <c r="C23" s="4">
        <v>-15000</v>
      </c>
      <c r="D23" s="4">
        <v>1088000</v>
      </c>
      <c r="E23" s="4">
        <v>1306000</v>
      </c>
      <c r="F23" s="4">
        <v>6317000</v>
      </c>
      <c r="G23" s="4">
        <v>4589000</v>
      </c>
      <c r="H23" s="4">
        <v>2810000</v>
      </c>
      <c r="I23" s="4">
        <v>541000</v>
      </c>
      <c r="J23" s="4">
        <v>-389000</v>
      </c>
      <c r="K23" s="4">
        <v>-2293000</v>
      </c>
      <c r="L23" s="4">
        <v>-340000</v>
      </c>
      <c r="M23" s="4">
        <v>7915000</v>
      </c>
      <c r="N23" s="4">
        <v>-4145000</v>
      </c>
      <c r="O23" s="5">
        <v>-107972000</v>
      </c>
      <c r="P23" s="4">
        <v>-12458000</v>
      </c>
      <c r="Q23" s="4">
        <v>-26440000</v>
      </c>
      <c r="R23" s="4">
        <v>-30248000</v>
      </c>
      <c r="S23" s="4">
        <v>-38826000</v>
      </c>
    </row>
    <row r="24" spans="1:30" ht="16" x14ac:dyDescent="0.2">
      <c r="A24" s="3" t="s">
        <v>35</v>
      </c>
      <c r="B24" s="4">
        <v>5264000</v>
      </c>
      <c r="C24" s="4">
        <v>6653000</v>
      </c>
      <c r="D24" s="4">
        <v>29093000</v>
      </c>
      <c r="E24" s="4">
        <v>38500000</v>
      </c>
      <c r="F24" s="4">
        <v>67186000</v>
      </c>
      <c r="G24" s="4">
        <v>78617000</v>
      </c>
      <c r="H24" s="4">
        <v>109635000</v>
      </c>
      <c r="I24" s="4">
        <v>158634000</v>
      </c>
      <c r="J24" s="4">
        <v>238643000</v>
      </c>
      <c r="K24" s="4">
        <v>313697000</v>
      </c>
      <c r="L24" s="4">
        <v>393993000</v>
      </c>
      <c r="M24" s="4">
        <v>512311000</v>
      </c>
      <c r="N24" s="4">
        <v>509096000</v>
      </c>
      <c r="O24" s="5">
        <v>503878000</v>
      </c>
      <c r="P24" s="4">
        <v>133862000</v>
      </c>
      <c r="Q24" s="4">
        <v>135363000</v>
      </c>
      <c r="R24" s="4">
        <v>91778000</v>
      </c>
      <c r="S24" s="4">
        <v>142875000</v>
      </c>
    </row>
    <row r="25" spans="1:30" ht="16" x14ac:dyDescent="0.2">
      <c r="A25" s="3" t="s">
        <v>36</v>
      </c>
      <c r="B25" s="4">
        <v>1355000</v>
      </c>
      <c r="C25" s="4">
        <v>2423000</v>
      </c>
      <c r="D25" s="4">
        <v>10310000</v>
      </c>
      <c r="E25" s="4">
        <v>14885000</v>
      </c>
      <c r="F25" s="4">
        <v>26803000</v>
      </c>
      <c r="G25" s="4">
        <v>24157000</v>
      </c>
      <c r="H25" s="4">
        <v>40831000</v>
      </c>
      <c r="I25" s="4">
        <v>16668000</v>
      </c>
      <c r="J25" s="4">
        <v>8811000</v>
      </c>
      <c r="K25" s="4">
        <v>12579000</v>
      </c>
      <c r="L25" s="4">
        <v>13995000</v>
      </c>
      <c r="M25" s="4">
        <v>84921000</v>
      </c>
      <c r="N25" s="4">
        <v>21390000</v>
      </c>
      <c r="O25" s="5">
        <v>-36261000</v>
      </c>
      <c r="P25" s="4">
        <v>25405000</v>
      </c>
      <c r="Q25" s="4">
        <v>-53170000</v>
      </c>
      <c r="R25" s="4">
        <v>-39743000</v>
      </c>
      <c r="S25" s="4">
        <v>31247000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3909000</v>
      </c>
      <c r="C27" s="4">
        <v>4230000</v>
      </c>
      <c r="D27" s="4">
        <v>18783000</v>
      </c>
      <c r="E27" s="4">
        <v>23615000</v>
      </c>
      <c r="F27" s="4">
        <v>40383000</v>
      </c>
      <c r="G27" s="4">
        <v>54460000</v>
      </c>
      <c r="H27" s="4">
        <v>68804000</v>
      </c>
      <c r="I27" s="4">
        <v>141966000</v>
      </c>
      <c r="J27" s="4">
        <v>229832000</v>
      </c>
      <c r="K27" s="4">
        <v>301118000</v>
      </c>
      <c r="L27" s="4">
        <v>379998000</v>
      </c>
      <c r="M27" s="4">
        <v>427390000</v>
      </c>
      <c r="N27" s="4">
        <v>487706000</v>
      </c>
      <c r="O27" s="5">
        <v>540139000</v>
      </c>
      <c r="P27" s="4">
        <v>108457000</v>
      </c>
      <c r="Q27" s="4">
        <v>188533000</v>
      </c>
      <c r="R27" s="4">
        <v>131521000</v>
      </c>
      <c r="S27" s="4">
        <v>111628000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3909000</v>
      </c>
      <c r="C31" s="4">
        <v>4230000</v>
      </c>
      <c r="D31" s="4">
        <v>18783000</v>
      </c>
      <c r="E31" s="4">
        <v>23615000</v>
      </c>
      <c r="F31" s="4">
        <v>40383000</v>
      </c>
      <c r="G31" s="4">
        <v>54460000</v>
      </c>
      <c r="H31" s="4">
        <v>68804000</v>
      </c>
      <c r="I31" s="4">
        <v>141966000</v>
      </c>
      <c r="J31" s="4">
        <v>229832000</v>
      </c>
      <c r="K31" s="4">
        <v>301118000</v>
      </c>
      <c r="L31" s="4">
        <v>379998000</v>
      </c>
      <c r="M31" s="4">
        <v>427390000</v>
      </c>
      <c r="N31" s="4">
        <v>487706000</v>
      </c>
      <c r="O31" s="5">
        <v>540139000</v>
      </c>
      <c r="P31" s="4">
        <v>108457000</v>
      </c>
      <c r="Q31" s="4">
        <v>188533000</v>
      </c>
      <c r="R31" s="4">
        <v>131521000</v>
      </c>
      <c r="S31" s="4">
        <v>111628000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3" t="s">
        <v>44</v>
      </c>
      <c r="B33" s="31">
        <v>3909000</v>
      </c>
      <c r="C33" s="31">
        <v>4230000</v>
      </c>
      <c r="D33" s="31">
        <v>18783000</v>
      </c>
      <c r="E33" s="31">
        <v>23615000</v>
      </c>
      <c r="F33" s="31">
        <v>40383000</v>
      </c>
      <c r="G33" s="31">
        <v>54460000</v>
      </c>
      <c r="H33" s="31">
        <v>68804000</v>
      </c>
      <c r="I33" s="31">
        <v>141966000</v>
      </c>
      <c r="J33" s="31">
        <v>229832000</v>
      </c>
      <c r="K33" s="31">
        <v>301118000</v>
      </c>
      <c r="L33" s="31">
        <v>379998000</v>
      </c>
      <c r="M33" s="31">
        <v>427390000</v>
      </c>
      <c r="N33" s="31">
        <v>487706000</v>
      </c>
      <c r="O33" s="32">
        <v>540139000</v>
      </c>
      <c r="P33" s="31">
        <v>108457000</v>
      </c>
      <c r="Q33" s="31">
        <v>188533000</v>
      </c>
      <c r="R33" s="31">
        <v>131521000</v>
      </c>
      <c r="S33" s="31">
        <v>111628000</v>
      </c>
    </row>
    <row r="34" spans="1:30" ht="16" x14ac:dyDescent="0.2">
      <c r="A34" s="26" t="s">
        <v>60</v>
      </c>
      <c r="B34" s="34">
        <v>13.42</v>
      </c>
      <c r="C34" s="34">
        <v>6.9</v>
      </c>
      <c r="D34" s="34">
        <v>14.5</v>
      </c>
      <c r="E34" s="34">
        <v>11.24</v>
      </c>
      <c r="F34" s="34">
        <v>12.89</v>
      </c>
      <c r="G34" s="34">
        <v>13.31</v>
      </c>
      <c r="H34" s="34">
        <v>12.65</v>
      </c>
      <c r="I34" s="34">
        <v>20.71</v>
      </c>
      <c r="J34" s="34">
        <v>26.66</v>
      </c>
      <c r="K34" s="34">
        <v>27.27</v>
      </c>
      <c r="L34" s="34">
        <v>25.94</v>
      </c>
      <c r="M34" s="34">
        <v>23.09</v>
      </c>
      <c r="N34" s="34">
        <v>22.63</v>
      </c>
      <c r="O34" s="35">
        <v>24.2</v>
      </c>
      <c r="P34" s="34">
        <v>19.64</v>
      </c>
      <c r="Q34" s="34">
        <v>33.46</v>
      </c>
      <c r="R34" s="34">
        <v>24.99</v>
      </c>
      <c r="S34" s="34">
        <v>18.91</v>
      </c>
    </row>
    <row r="35" spans="1:30" ht="19" x14ac:dyDescent="0.25">
      <c r="A35" s="16" t="s">
        <v>195</v>
      </c>
      <c r="B35" s="17"/>
      <c r="C35" s="18">
        <f>(C33/B33)-1</f>
        <v>8.2118188795088365E-2</v>
      </c>
      <c r="D35" s="18">
        <f>(D33/C33)-1</f>
        <v>3.4404255319148938</v>
      </c>
      <c r="E35" s="18">
        <f>(E33/D33)-1</f>
        <v>0.25725389980301339</v>
      </c>
      <c r="F35" s="18">
        <f t="shared" ref="F35:N35" si="4">(F33/E33)-1</f>
        <v>0.71005716705483812</v>
      </c>
      <c r="G35" s="18">
        <f t="shared" si="4"/>
        <v>0.34858727682440627</v>
      </c>
      <c r="H35" s="18">
        <f t="shared" si="4"/>
        <v>0.26338597135512298</v>
      </c>
      <c r="I35" s="18">
        <f t="shared" si="4"/>
        <v>1.0633393407360039</v>
      </c>
      <c r="J35" s="18">
        <f t="shared" si="4"/>
        <v>0.61892284068016279</v>
      </c>
      <c r="K35" s="18">
        <f t="shared" si="4"/>
        <v>0.31016568624038432</v>
      </c>
      <c r="L35" s="18">
        <f t="shared" si="4"/>
        <v>0.26195710651638238</v>
      </c>
      <c r="M35" s="18">
        <f t="shared" si="4"/>
        <v>0.12471644587603103</v>
      </c>
      <c r="N35" s="18">
        <f t="shared" si="4"/>
        <v>0.1411263716979807</v>
      </c>
      <c r="O35" s="18">
        <f>(O33/N33)-1</f>
        <v>0.10750944216392666</v>
      </c>
      <c r="P35" s="18"/>
      <c r="Q35" s="18">
        <f>(Q33/P33)-1</f>
        <v>0.73832025595397255</v>
      </c>
      <c r="R35" s="18">
        <f>(R33/Q33)-1</f>
        <v>-0.30239798868102663</v>
      </c>
      <c r="S35" s="18">
        <f>(S33/R33)-1</f>
        <v>-0.15125341200264597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f t="shared" si="5"/>
        <v>0.35300999787279302</v>
      </c>
      <c r="D36" s="20">
        <f t="shared" si="5"/>
        <v>0.66315580286168518</v>
      </c>
      <c r="E36" s="20">
        <f t="shared" si="5"/>
        <v>0.10524248828972924</v>
      </c>
      <c r="F36" s="20">
        <f t="shared" si="5"/>
        <v>0.12898289961728768</v>
      </c>
      <c r="G36" s="20">
        <f t="shared" si="5"/>
        <v>0.11665881575223305</v>
      </c>
      <c r="H36" s="20">
        <f t="shared" si="5"/>
        <v>0.12401030356306032</v>
      </c>
      <c r="I36" s="20">
        <f t="shared" si="5"/>
        <v>0.12976534289815461</v>
      </c>
      <c r="J36" s="20">
        <f t="shared" si="5"/>
        <v>0.13504313071551663</v>
      </c>
      <c r="K36" s="20">
        <f t="shared" si="5"/>
        <v>0.12477418331083885</v>
      </c>
      <c r="L36" s="20">
        <f t="shared" si="5"/>
        <v>0.12163684974659124</v>
      </c>
      <c r="M36" s="20">
        <f t="shared" si="5"/>
        <v>0.12781296091833896</v>
      </c>
      <c r="N36" s="20">
        <f t="shared" si="5"/>
        <v>9.1156332103860288E-2</v>
      </c>
      <c r="O36" s="20">
        <f t="shared" si="5"/>
        <v>7.0510345397502061E-2</v>
      </c>
      <c r="P36" s="20">
        <f t="shared" si="5"/>
        <v>2.6159528506195049E-2</v>
      </c>
      <c r="Q36" s="20">
        <f t="shared" si="5"/>
        <v>2.1627566564687121E-2</v>
      </c>
      <c r="R36" s="20">
        <f t="shared" si="5"/>
        <v>1.1533152674974153E-2</v>
      </c>
      <c r="S36" s="20">
        <f t="shared" si="5"/>
        <v>1.8530992024027651E-2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3909000</v>
      </c>
      <c r="C39" s="4">
        <v>4230000</v>
      </c>
      <c r="D39" s="4">
        <v>18783000</v>
      </c>
      <c r="E39" s="4">
        <v>23615000</v>
      </c>
      <c r="F39" s="4">
        <v>40383000</v>
      </c>
      <c r="G39" s="4">
        <v>54460000</v>
      </c>
      <c r="H39" s="4">
        <v>68804000</v>
      </c>
      <c r="I39" s="4">
        <v>141966000</v>
      </c>
      <c r="J39" s="4">
        <v>229832000</v>
      </c>
      <c r="K39" s="4">
        <v>301118000</v>
      </c>
      <c r="L39" s="4">
        <v>379998000</v>
      </c>
      <c r="M39" s="4">
        <v>427390000</v>
      </c>
      <c r="N39" s="4">
        <v>487706000</v>
      </c>
      <c r="O39" s="5">
        <v>540139000</v>
      </c>
      <c r="P39" s="4">
        <v>108457000</v>
      </c>
      <c r="Q39" s="4">
        <v>188533000</v>
      </c>
      <c r="R39" s="4">
        <v>131521000</v>
      </c>
      <c r="S39" s="4">
        <v>111628000</v>
      </c>
    </row>
    <row r="40" spans="1:30" ht="16" x14ac:dyDescent="0.2">
      <c r="A40" s="3" t="s">
        <v>48</v>
      </c>
      <c r="B40" s="4">
        <v>105887000</v>
      </c>
      <c r="C40" s="4">
        <v>108440000</v>
      </c>
      <c r="D40" s="4">
        <v>108440000</v>
      </c>
      <c r="E40" s="4">
        <v>51725000</v>
      </c>
      <c r="F40" s="4">
        <v>127713000</v>
      </c>
      <c r="G40" s="4">
        <v>132020000</v>
      </c>
      <c r="H40" s="4">
        <v>135698000</v>
      </c>
      <c r="I40" s="4">
        <v>140311000</v>
      </c>
      <c r="J40" s="4">
        <v>144244000</v>
      </c>
      <c r="K40" s="4">
        <v>147796000</v>
      </c>
      <c r="L40" s="4">
        <v>150666000</v>
      </c>
      <c r="M40" s="4">
        <v>153251000</v>
      </c>
      <c r="N40" s="4">
        <v>155385000</v>
      </c>
      <c r="O40" s="5">
        <v>158038000</v>
      </c>
      <c r="P40" s="4">
        <v>155392000</v>
      </c>
      <c r="Q40" s="4">
        <v>156512000</v>
      </c>
      <c r="R40" s="4">
        <v>159852000</v>
      </c>
      <c r="S40" s="4">
        <v>160396000</v>
      </c>
    </row>
    <row r="41" spans="1:30" ht="16" x14ac:dyDescent="0.2">
      <c r="A41" s="3" t="s">
        <v>49</v>
      </c>
      <c r="B41" s="6">
        <v>0.04</v>
      </c>
      <c r="C41" s="6">
        <v>0.04</v>
      </c>
      <c r="D41" s="6">
        <v>0.17</v>
      </c>
      <c r="E41" s="6">
        <v>0.46</v>
      </c>
      <c r="F41" s="6">
        <v>0.32</v>
      </c>
      <c r="G41" s="6">
        <v>0.41</v>
      </c>
      <c r="H41" s="6">
        <v>0.51</v>
      </c>
      <c r="I41" s="6">
        <v>1.01</v>
      </c>
      <c r="J41" s="6">
        <v>1.59</v>
      </c>
      <c r="K41" s="6">
        <v>2.04</v>
      </c>
      <c r="L41" s="6">
        <v>2.52</v>
      </c>
      <c r="M41" s="6">
        <v>2.79</v>
      </c>
      <c r="N41" s="6">
        <v>3.14</v>
      </c>
      <c r="O41" s="7">
        <v>3.42</v>
      </c>
      <c r="P41" s="6">
        <v>0.7</v>
      </c>
      <c r="Q41" s="6">
        <v>1.2</v>
      </c>
      <c r="R41" s="6">
        <v>0.82</v>
      </c>
      <c r="S41" s="6">
        <v>0.7</v>
      </c>
    </row>
    <row r="42" spans="1:30" ht="16" x14ac:dyDescent="0.2">
      <c r="A42" s="3" t="s">
        <v>50</v>
      </c>
      <c r="B42" s="6">
        <v>0.04</v>
      </c>
      <c r="C42" s="6">
        <v>0.04</v>
      </c>
      <c r="D42" s="6">
        <v>0.17</v>
      </c>
      <c r="E42" s="6">
        <v>0.46</v>
      </c>
      <c r="F42" s="6">
        <v>0.32</v>
      </c>
      <c r="G42" s="6">
        <v>0.41</v>
      </c>
      <c r="H42" s="6">
        <v>0.51</v>
      </c>
      <c r="I42" s="6">
        <v>1.01</v>
      </c>
      <c r="J42" s="6">
        <v>1.59</v>
      </c>
      <c r="K42" s="6">
        <v>2.04</v>
      </c>
      <c r="L42" s="6">
        <v>2.52</v>
      </c>
      <c r="M42" s="6">
        <v>2.79</v>
      </c>
      <c r="N42" s="6">
        <v>3.14</v>
      </c>
      <c r="O42" s="7">
        <v>3.42</v>
      </c>
      <c r="P42" s="6">
        <v>0.7</v>
      </c>
      <c r="Q42" s="6">
        <v>1.2</v>
      </c>
      <c r="R42" s="6">
        <v>0.82</v>
      </c>
      <c r="S42" s="6">
        <v>0.7</v>
      </c>
    </row>
    <row r="43" spans="1:30" ht="16" x14ac:dyDescent="0.2">
      <c r="A43" s="3" t="s">
        <v>51</v>
      </c>
      <c r="B43" s="4">
        <v>115599000</v>
      </c>
      <c r="C43" s="4">
        <v>120833000</v>
      </c>
      <c r="D43" s="4">
        <v>120833000</v>
      </c>
      <c r="E43" s="4">
        <v>68024000</v>
      </c>
      <c r="F43" s="4">
        <v>144204000</v>
      </c>
      <c r="G43" s="4">
        <v>144977000</v>
      </c>
      <c r="H43" s="4">
        <v>147578000</v>
      </c>
      <c r="I43" s="4">
        <v>153681000</v>
      </c>
      <c r="J43" s="4">
        <v>156117000</v>
      </c>
      <c r="K43" s="4">
        <v>158296000</v>
      </c>
      <c r="L43" s="4">
        <v>160732000</v>
      </c>
      <c r="M43" s="4">
        <v>162277000</v>
      </c>
      <c r="N43" s="4">
        <v>162437000</v>
      </c>
      <c r="O43" s="5">
        <v>162551000</v>
      </c>
      <c r="P43" s="4">
        <v>162295000</v>
      </c>
      <c r="Q43" s="4">
        <v>162104000</v>
      </c>
      <c r="R43" s="4">
        <v>162521000</v>
      </c>
      <c r="S43" s="4">
        <v>163284000</v>
      </c>
    </row>
    <row r="44" spans="1:30" ht="16" x14ac:dyDescent="0.2">
      <c r="A44" s="3" t="s">
        <v>52</v>
      </c>
      <c r="B44" s="6">
        <v>0.03</v>
      </c>
      <c r="C44" s="6">
        <v>0.04</v>
      </c>
      <c r="D44" s="6">
        <v>0.16</v>
      </c>
      <c r="E44" s="6">
        <v>0.35</v>
      </c>
      <c r="F44" s="6">
        <v>0.28000000000000003</v>
      </c>
      <c r="G44" s="6">
        <v>0.38</v>
      </c>
      <c r="H44" s="6">
        <v>0.47</v>
      </c>
      <c r="I44" s="6">
        <v>0.92</v>
      </c>
      <c r="J44" s="6">
        <v>1.47</v>
      </c>
      <c r="K44" s="6">
        <v>1.9</v>
      </c>
      <c r="L44" s="6">
        <v>2.36</v>
      </c>
      <c r="M44" s="6">
        <v>2.63</v>
      </c>
      <c r="N44" s="4">
        <v>3</v>
      </c>
      <c r="O44" s="7">
        <v>3.32</v>
      </c>
      <c r="P44" s="6">
        <v>0.67</v>
      </c>
      <c r="Q44" s="6">
        <v>1.1599999999999999</v>
      </c>
      <c r="R44" s="6">
        <v>0.81</v>
      </c>
      <c r="S44" s="6">
        <v>0.68</v>
      </c>
    </row>
    <row r="45" spans="1:30" ht="16" x14ac:dyDescent="0.2">
      <c r="A45" s="3" t="s">
        <v>53</v>
      </c>
      <c r="B45" s="6">
        <v>0.03</v>
      </c>
      <c r="C45" s="6">
        <v>0.04</v>
      </c>
      <c r="D45" s="6">
        <v>0.16</v>
      </c>
      <c r="E45" s="6">
        <v>0.35</v>
      </c>
      <c r="F45" s="6">
        <v>0.28000000000000003</v>
      </c>
      <c r="G45" s="6">
        <v>0.38</v>
      </c>
      <c r="H45" s="6">
        <v>0.47</v>
      </c>
      <c r="I45" s="6">
        <v>0.92</v>
      </c>
      <c r="J45" s="6">
        <v>1.47</v>
      </c>
      <c r="K45" s="6">
        <v>1.9</v>
      </c>
      <c r="L45" s="6">
        <v>2.36</v>
      </c>
      <c r="M45" s="6">
        <v>2.63</v>
      </c>
      <c r="N45" s="4">
        <v>3</v>
      </c>
      <c r="O45" s="7">
        <v>3.32</v>
      </c>
      <c r="P45" s="6">
        <v>0.67</v>
      </c>
      <c r="Q45" s="6">
        <v>1.1599999999999999</v>
      </c>
      <c r="R45" s="6">
        <v>0.81</v>
      </c>
      <c r="S45" s="6">
        <v>0.68</v>
      </c>
    </row>
    <row r="46" spans="1:30" ht="16" x14ac:dyDescent="0.2">
      <c r="A46" s="3" t="s">
        <v>54</v>
      </c>
      <c r="B46" s="4">
        <v>5310000</v>
      </c>
      <c r="C46" s="4">
        <v>7045000</v>
      </c>
      <c r="D46" s="4">
        <v>30822000</v>
      </c>
      <c r="E46" s="4">
        <v>41714000</v>
      </c>
      <c r="F46" s="4">
        <v>73895000</v>
      </c>
      <c r="G46" s="4">
        <v>87053000</v>
      </c>
      <c r="H46" s="4">
        <v>121793000</v>
      </c>
      <c r="I46" s="4">
        <v>165069000</v>
      </c>
      <c r="J46" s="4">
        <v>236937000</v>
      </c>
      <c r="K46" s="4">
        <v>314044000</v>
      </c>
      <c r="L46" s="4">
        <v>407249000</v>
      </c>
      <c r="M46" s="4">
        <v>532944000</v>
      </c>
      <c r="N46" s="4">
        <v>488213000</v>
      </c>
      <c r="O46" s="5">
        <v>426378000</v>
      </c>
      <c r="P46" s="4">
        <v>128561000</v>
      </c>
      <c r="Q46" s="4">
        <v>116602000</v>
      </c>
      <c r="R46" s="4">
        <v>69079000</v>
      </c>
      <c r="S46" s="4">
        <v>112136000</v>
      </c>
    </row>
    <row r="47" spans="1:30" ht="16" x14ac:dyDescent="0.2">
      <c r="A47" s="3" t="s">
        <v>55</v>
      </c>
      <c r="B47" s="6">
        <v>18.23</v>
      </c>
      <c r="C47" s="6">
        <v>11.5</v>
      </c>
      <c r="D47" s="6">
        <v>23.79</v>
      </c>
      <c r="E47" s="6">
        <v>19.850000000000001</v>
      </c>
      <c r="F47" s="6">
        <v>23.59</v>
      </c>
      <c r="G47" s="6">
        <v>21.27</v>
      </c>
      <c r="H47" s="6">
        <v>22.39</v>
      </c>
      <c r="I47" s="6">
        <v>24.08</v>
      </c>
      <c r="J47" s="6">
        <v>27.48</v>
      </c>
      <c r="K47" s="6">
        <v>28.44</v>
      </c>
      <c r="L47" s="6">
        <v>27.8</v>
      </c>
      <c r="M47" s="6">
        <v>28.8</v>
      </c>
      <c r="N47" s="6">
        <v>22.65</v>
      </c>
      <c r="O47" s="7">
        <v>19.100000000000001</v>
      </c>
      <c r="P47" s="6">
        <v>23.99</v>
      </c>
      <c r="Q47" s="6">
        <v>22.65</v>
      </c>
      <c r="R47" s="6">
        <v>19.420000000000002</v>
      </c>
      <c r="S47" s="6">
        <v>19.100000000000001</v>
      </c>
    </row>
    <row r="48" spans="1:30" ht="16" x14ac:dyDescent="0.2">
      <c r="A48" s="3" t="s">
        <v>56</v>
      </c>
      <c r="B48" s="4">
        <v>5091000</v>
      </c>
      <c r="C48" s="4">
        <v>6638000</v>
      </c>
      <c r="D48" s="4">
        <v>30033000</v>
      </c>
      <c r="E48" s="4">
        <v>39304000</v>
      </c>
      <c r="F48" s="4">
        <v>69966000</v>
      </c>
      <c r="G48" s="4">
        <v>78589000</v>
      </c>
      <c r="H48" s="4">
        <v>107968000</v>
      </c>
      <c r="I48" s="4">
        <v>150792000</v>
      </c>
      <c r="J48" s="4">
        <v>222866000</v>
      </c>
      <c r="K48" s="4">
        <v>286219000</v>
      </c>
      <c r="L48" s="4">
        <v>377794000</v>
      </c>
      <c r="M48" s="4">
        <v>505496000</v>
      </c>
      <c r="N48" s="4">
        <v>459091000</v>
      </c>
      <c r="O48" s="5">
        <v>395906000</v>
      </c>
      <c r="P48" s="4">
        <v>121404000</v>
      </c>
      <c r="Q48" s="4">
        <v>108923000</v>
      </c>
      <c r="R48" s="4">
        <v>61530000</v>
      </c>
      <c r="S48" s="4">
        <v>104049000</v>
      </c>
    </row>
    <row r="49" spans="1:19" ht="16" x14ac:dyDescent="0.2">
      <c r="A49" s="3" t="s">
        <v>57</v>
      </c>
      <c r="B49" s="4">
        <v>5091000</v>
      </c>
      <c r="C49" s="4">
        <v>6638000</v>
      </c>
      <c r="D49" s="4">
        <v>30033000</v>
      </c>
      <c r="E49" s="4">
        <v>39304000</v>
      </c>
      <c r="F49" s="4">
        <v>69966000</v>
      </c>
      <c r="G49" s="4">
        <v>78589000</v>
      </c>
      <c r="H49" s="4">
        <v>107968000</v>
      </c>
      <c r="I49" s="4">
        <v>150792000</v>
      </c>
      <c r="J49" s="4">
        <v>222866000</v>
      </c>
      <c r="K49" s="4">
        <v>286219000</v>
      </c>
      <c r="L49" s="4">
        <v>377794000</v>
      </c>
      <c r="M49" s="4">
        <v>505496000</v>
      </c>
      <c r="N49" s="4">
        <v>459091000</v>
      </c>
      <c r="O49" s="5">
        <v>395906000</v>
      </c>
      <c r="P49" s="4">
        <v>121404000</v>
      </c>
      <c r="Q49" s="4">
        <v>108923000</v>
      </c>
      <c r="R49" s="4">
        <v>61530000</v>
      </c>
      <c r="S49" s="4">
        <v>104049000</v>
      </c>
    </row>
    <row r="50" spans="1:19" ht="16" x14ac:dyDescent="0.2">
      <c r="A50" s="3" t="s">
        <v>61</v>
      </c>
      <c r="B50" s="4" t="s">
        <v>24</v>
      </c>
      <c r="C50" s="4" t="s">
        <v>24</v>
      </c>
      <c r="D50" s="4" t="s">
        <v>24</v>
      </c>
      <c r="E50" s="4">
        <v>289863</v>
      </c>
      <c r="F50" s="4">
        <v>329361</v>
      </c>
      <c r="G50" s="4">
        <v>277626</v>
      </c>
      <c r="H50" s="4">
        <v>303257</v>
      </c>
      <c r="I50" s="4">
        <v>315786</v>
      </c>
      <c r="J50" s="4">
        <v>337724</v>
      </c>
      <c r="K50" s="4">
        <v>315362</v>
      </c>
      <c r="L50" s="4">
        <v>325137</v>
      </c>
      <c r="M50" s="4">
        <v>337610</v>
      </c>
      <c r="N50" s="4">
        <v>319552</v>
      </c>
      <c r="O50" s="5">
        <v>331004</v>
      </c>
      <c r="P50" s="4">
        <v>100757</v>
      </c>
      <c r="Q50" s="4">
        <v>83539</v>
      </c>
      <c r="R50" s="4">
        <v>78043</v>
      </c>
      <c r="S50" s="4">
        <v>87519</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219000</v>
      </c>
      <c r="C52" s="4">
        <v>407000</v>
      </c>
      <c r="D52" s="4">
        <v>789000</v>
      </c>
      <c r="E52" s="4">
        <v>2410000</v>
      </c>
      <c r="F52" s="4">
        <v>3929000</v>
      </c>
      <c r="G52" s="4">
        <v>8464000</v>
      </c>
      <c r="H52" s="4">
        <v>13825000</v>
      </c>
      <c r="I52" s="4">
        <v>14277000</v>
      </c>
      <c r="J52" s="4">
        <v>14071000</v>
      </c>
      <c r="K52" s="4">
        <v>27825000</v>
      </c>
      <c r="L52" s="4">
        <v>29455000</v>
      </c>
      <c r="M52" s="4">
        <v>27448000</v>
      </c>
      <c r="N52" s="4">
        <v>29122000</v>
      </c>
      <c r="O52" s="5">
        <v>30472000</v>
      </c>
      <c r="P52" s="4">
        <v>7157000</v>
      </c>
      <c r="Q52" s="4">
        <v>7679000</v>
      </c>
      <c r="R52" s="4">
        <v>7549000</v>
      </c>
      <c r="S52" s="4">
        <v>8087000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t="s">
        <v>24</v>
      </c>
      <c r="C55" s="4">
        <v>39664000</v>
      </c>
      <c r="D55" s="4">
        <v>86890000</v>
      </c>
      <c r="E55" s="4">
        <v>353732000</v>
      </c>
      <c r="F55" s="4">
        <v>501837000</v>
      </c>
      <c r="G55" s="4">
        <v>501224000</v>
      </c>
      <c r="H55" s="4">
        <v>711865000</v>
      </c>
      <c r="I55" s="4">
        <v>1008136000</v>
      </c>
      <c r="J55" s="4">
        <v>1433414000</v>
      </c>
      <c r="K55" s="4">
        <v>1531124000</v>
      </c>
      <c r="L55" s="4">
        <v>2310826000</v>
      </c>
      <c r="M55" s="4">
        <v>3107183000</v>
      </c>
      <c r="N55" s="4">
        <v>3969313000</v>
      </c>
      <c r="O55" s="5">
        <v>4361753000</v>
      </c>
      <c r="P55" s="4">
        <v>3386485000</v>
      </c>
      <c r="Q55" s="4">
        <v>3969313000</v>
      </c>
      <c r="R55" s="4">
        <v>4188134000</v>
      </c>
      <c r="S55" s="4">
        <v>4361753000</v>
      </c>
    </row>
    <row r="56" spans="1:19" ht="16" x14ac:dyDescent="0.2">
      <c r="A56" s="3" t="s">
        <v>65</v>
      </c>
      <c r="B56" s="4" t="s">
        <v>24</v>
      </c>
      <c r="C56" s="4">
        <v>16880000</v>
      </c>
      <c r="D56" s="4">
        <v>46166000</v>
      </c>
      <c r="E56" s="4">
        <v>288132000</v>
      </c>
      <c r="F56" s="4">
        <v>397873000</v>
      </c>
      <c r="G56" s="4">
        <v>346203000</v>
      </c>
      <c r="H56" s="4">
        <v>518872000</v>
      </c>
      <c r="I56" s="4">
        <v>761962000</v>
      </c>
      <c r="J56" s="4">
        <v>1090161000</v>
      </c>
      <c r="K56" s="4">
        <v>1086748000</v>
      </c>
      <c r="L56" s="4">
        <v>1663626000</v>
      </c>
      <c r="M56" s="4">
        <v>2376104000</v>
      </c>
      <c r="N56" s="4">
        <v>3102628000</v>
      </c>
      <c r="O56" s="5">
        <v>3868739000</v>
      </c>
      <c r="P56" s="4">
        <v>3022555000</v>
      </c>
      <c r="Q56" s="4">
        <v>3102628000</v>
      </c>
      <c r="R56" s="4">
        <v>3614902000</v>
      </c>
      <c r="S56" s="4">
        <v>3868739000</v>
      </c>
    </row>
    <row r="57" spans="1:19" ht="16" x14ac:dyDescent="0.2">
      <c r="A57" s="3" t="s">
        <v>66</v>
      </c>
      <c r="B57" s="4" t="s">
        <v>24</v>
      </c>
      <c r="C57" s="4">
        <v>16880000</v>
      </c>
      <c r="D57" s="4">
        <v>31890000</v>
      </c>
      <c r="E57" s="4">
        <v>262507000</v>
      </c>
      <c r="F57" s="4">
        <v>129253000</v>
      </c>
      <c r="G57" s="4">
        <v>132179000</v>
      </c>
      <c r="H57" s="4">
        <v>217606000</v>
      </c>
      <c r="I57" s="4">
        <v>320183000</v>
      </c>
      <c r="J57" s="4">
        <v>550971000</v>
      </c>
      <c r="K57" s="4">
        <v>476733000</v>
      </c>
      <c r="L57" s="4">
        <v>730504000</v>
      </c>
      <c r="M57" s="4">
        <v>1138040000</v>
      </c>
      <c r="N57" s="4">
        <v>886465000</v>
      </c>
      <c r="O57" s="5">
        <v>742607000</v>
      </c>
      <c r="P57" s="4">
        <v>865159000</v>
      </c>
      <c r="Q57" s="4">
        <v>886465000</v>
      </c>
      <c r="R57" s="4">
        <v>1093634000</v>
      </c>
      <c r="S57" s="4">
        <v>742607000</v>
      </c>
    </row>
    <row r="58" spans="1:19" ht="16" x14ac:dyDescent="0.2">
      <c r="A58" s="3" t="s">
        <v>67</v>
      </c>
      <c r="B58" s="4" t="s">
        <v>24</v>
      </c>
      <c r="C58" s="4" t="s">
        <v>24</v>
      </c>
      <c r="D58" s="4">
        <v>14276000</v>
      </c>
      <c r="E58" s="4">
        <v>25625000</v>
      </c>
      <c r="F58" s="4">
        <v>268620000</v>
      </c>
      <c r="G58" s="4">
        <v>214024000</v>
      </c>
      <c r="H58" s="4">
        <v>301266000</v>
      </c>
      <c r="I58" s="4">
        <v>441779000</v>
      </c>
      <c r="J58" s="4">
        <v>539190000</v>
      </c>
      <c r="K58" s="4">
        <v>610015000</v>
      </c>
      <c r="L58" s="4">
        <v>933122000</v>
      </c>
      <c r="M58" s="4">
        <v>1238064000</v>
      </c>
      <c r="N58" s="4">
        <v>2216163000</v>
      </c>
      <c r="O58" s="5">
        <v>3126132000</v>
      </c>
      <c r="P58" s="4">
        <v>2157396000</v>
      </c>
      <c r="Q58" s="4">
        <v>2216163000</v>
      </c>
      <c r="R58" s="4">
        <v>2521268000</v>
      </c>
      <c r="S58" s="4">
        <v>3126132000</v>
      </c>
    </row>
    <row r="59" spans="1:19" ht="16" x14ac:dyDescent="0.2">
      <c r="A59" s="3" t="s">
        <v>68</v>
      </c>
      <c r="B59" s="4" t="s">
        <v>24</v>
      </c>
      <c r="C59" s="4">
        <v>21869000</v>
      </c>
      <c r="D59" s="4">
        <v>38458000</v>
      </c>
      <c r="E59" s="4">
        <v>59822000</v>
      </c>
      <c r="F59" s="4">
        <v>92661000</v>
      </c>
      <c r="G59" s="4">
        <v>144798000</v>
      </c>
      <c r="H59" s="4">
        <v>182816000</v>
      </c>
      <c r="I59" s="4">
        <v>233731000</v>
      </c>
      <c r="J59" s="4">
        <v>321587000</v>
      </c>
      <c r="K59" s="4">
        <v>422507000</v>
      </c>
      <c r="L59" s="4">
        <v>611593000</v>
      </c>
      <c r="M59" s="4">
        <v>694400000</v>
      </c>
      <c r="N59" s="4">
        <v>785229000</v>
      </c>
      <c r="O59" s="5">
        <v>416607000</v>
      </c>
      <c r="P59" s="4">
        <v>324944000</v>
      </c>
      <c r="Q59" s="4">
        <v>785229000</v>
      </c>
      <c r="R59" s="4">
        <v>451010000</v>
      </c>
      <c r="S59" s="4">
        <v>416607000</v>
      </c>
    </row>
    <row r="60" spans="1:19" ht="16" x14ac:dyDescent="0.2">
      <c r="A60" s="3" t="s">
        <v>69</v>
      </c>
      <c r="B60" s="4" t="s">
        <v>24</v>
      </c>
      <c r="C60" s="4">
        <v>20567000</v>
      </c>
      <c r="D60" s="4">
        <v>37094000</v>
      </c>
      <c r="E60" s="4">
        <v>58433000</v>
      </c>
      <c r="F60" s="4">
        <v>92661000</v>
      </c>
      <c r="G60" s="4">
        <v>144798000</v>
      </c>
      <c r="H60" s="4">
        <v>182816000</v>
      </c>
      <c r="I60" s="4">
        <v>233731000</v>
      </c>
      <c r="J60" s="4">
        <v>303465000</v>
      </c>
      <c r="K60" s="4">
        <v>389690000</v>
      </c>
      <c r="L60" s="4">
        <v>564387000</v>
      </c>
      <c r="M60" s="4">
        <v>631134000</v>
      </c>
      <c r="N60" s="4">
        <v>703055000</v>
      </c>
      <c r="O60" s="5">
        <v>379066000</v>
      </c>
      <c r="P60" s="4">
        <v>242859000</v>
      </c>
      <c r="Q60" s="4">
        <v>703055000</v>
      </c>
      <c r="R60" s="4">
        <v>412940000</v>
      </c>
      <c r="S60" s="4">
        <v>379066000</v>
      </c>
    </row>
    <row r="61" spans="1:19" ht="16" x14ac:dyDescent="0.2">
      <c r="A61" s="3" t="s">
        <v>70</v>
      </c>
      <c r="B61" s="4" t="s">
        <v>24</v>
      </c>
      <c r="C61" s="4">
        <v>250000</v>
      </c>
      <c r="D61" s="4">
        <v>253000</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v>1052000</v>
      </c>
      <c r="D63" s="4">
        <v>1111000</v>
      </c>
      <c r="E63" s="4">
        <v>1389000</v>
      </c>
      <c r="F63" s="4" t="s">
        <v>24</v>
      </c>
      <c r="G63" s="4" t="s">
        <v>24</v>
      </c>
      <c r="H63" s="4" t="s">
        <v>24</v>
      </c>
      <c r="I63" s="4" t="s">
        <v>24</v>
      </c>
      <c r="J63" s="4">
        <v>18122000</v>
      </c>
      <c r="K63" s="4">
        <v>32817000</v>
      </c>
      <c r="L63" s="4">
        <v>47206000</v>
      </c>
      <c r="M63" s="4">
        <v>63266000</v>
      </c>
      <c r="N63" s="4">
        <v>82174000</v>
      </c>
      <c r="O63" s="5">
        <v>37541000</v>
      </c>
      <c r="P63" s="4">
        <v>82085000</v>
      </c>
      <c r="Q63" s="4">
        <v>82174000</v>
      </c>
      <c r="R63" s="4">
        <v>38070000</v>
      </c>
      <c r="S63" s="4">
        <v>37541000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t="s">
        <v>24</v>
      </c>
      <c r="C70" s="4">
        <v>915000</v>
      </c>
      <c r="D70" s="4">
        <v>2266000</v>
      </c>
      <c r="E70" s="4">
        <v>5778000</v>
      </c>
      <c r="F70" s="4">
        <v>11303000</v>
      </c>
      <c r="G70" s="4">
        <v>10223000</v>
      </c>
      <c r="H70" s="4">
        <v>10177000</v>
      </c>
      <c r="I70" s="4">
        <v>12443000</v>
      </c>
      <c r="J70" s="4">
        <v>21666000</v>
      </c>
      <c r="K70" s="4">
        <v>21869000</v>
      </c>
      <c r="L70" s="4">
        <v>35607000</v>
      </c>
      <c r="M70" s="4">
        <v>36679000</v>
      </c>
      <c r="N70" s="4">
        <v>81456000</v>
      </c>
      <c r="O70" s="5">
        <v>76407000</v>
      </c>
      <c r="P70" s="4">
        <v>38986000</v>
      </c>
      <c r="Q70" s="4">
        <v>81456000</v>
      </c>
      <c r="R70" s="4">
        <v>122222000</v>
      </c>
      <c r="S70" s="4">
        <v>76407000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t="s">
        <v>24</v>
      </c>
      <c r="C76" s="4">
        <v>1750000</v>
      </c>
      <c r="D76" s="4">
        <v>2930000</v>
      </c>
      <c r="E76" s="4">
        <v>16576000</v>
      </c>
      <c r="F76" s="4">
        <v>43053000</v>
      </c>
      <c r="G76" s="4">
        <v>204575000</v>
      </c>
      <c r="H76" s="4">
        <v>205835000</v>
      </c>
      <c r="I76" s="4">
        <v>192351000</v>
      </c>
      <c r="J76" s="4">
        <v>220352000</v>
      </c>
      <c r="K76" s="4">
        <v>740653000</v>
      </c>
      <c r="L76" s="4">
        <v>735241000</v>
      </c>
      <c r="M76" s="4">
        <v>709282000</v>
      </c>
      <c r="N76" s="4">
        <v>834983000</v>
      </c>
      <c r="O76" s="5">
        <v>866390000</v>
      </c>
      <c r="P76" s="4">
        <v>796232000</v>
      </c>
      <c r="Q76" s="4">
        <v>834983000</v>
      </c>
      <c r="R76" s="4">
        <v>835236000</v>
      </c>
      <c r="S76" s="4">
        <v>866390000</v>
      </c>
    </row>
    <row r="77" spans="1:19" ht="16" x14ac:dyDescent="0.2">
      <c r="A77" s="3" t="s">
        <v>86</v>
      </c>
      <c r="B77" s="4" t="s">
        <v>24</v>
      </c>
      <c r="C77" s="4">
        <v>824000</v>
      </c>
      <c r="D77" s="4">
        <v>1379000</v>
      </c>
      <c r="E77" s="4">
        <v>1051000</v>
      </c>
      <c r="F77" s="4">
        <v>25864000</v>
      </c>
      <c r="G77" s="4">
        <v>43122000</v>
      </c>
      <c r="H77" s="4">
        <v>41036000</v>
      </c>
      <c r="I77" s="4">
        <v>39447000</v>
      </c>
      <c r="J77" s="4">
        <v>38702000</v>
      </c>
      <c r="K77" s="4">
        <v>78534000</v>
      </c>
      <c r="L77" s="4">
        <v>80951000</v>
      </c>
      <c r="M77" s="4">
        <v>73861000</v>
      </c>
      <c r="N77" s="4">
        <v>73038000</v>
      </c>
      <c r="O77" s="5">
        <v>73872000</v>
      </c>
      <c r="P77" s="4">
        <v>76974000</v>
      </c>
      <c r="Q77" s="4">
        <v>73038000</v>
      </c>
      <c r="R77" s="4">
        <v>69093000</v>
      </c>
      <c r="S77" s="4">
        <v>73872000</v>
      </c>
    </row>
    <row r="78" spans="1:19" ht="16" x14ac:dyDescent="0.2">
      <c r="A78" s="3" t="s">
        <v>87</v>
      </c>
      <c r="B78" s="4" t="s">
        <v>24</v>
      </c>
      <c r="C78" s="4">
        <v>1239000</v>
      </c>
      <c r="D78" s="4">
        <v>2283000</v>
      </c>
      <c r="E78" s="4">
        <v>2445000</v>
      </c>
      <c r="F78" s="4">
        <v>28203000</v>
      </c>
      <c r="G78" s="4">
        <v>47469000</v>
      </c>
      <c r="H78" s="4">
        <v>49907000</v>
      </c>
      <c r="I78" s="4">
        <v>52284000</v>
      </c>
      <c r="J78" s="4">
        <v>54966000</v>
      </c>
      <c r="K78" s="4">
        <v>103884000</v>
      </c>
      <c r="L78" s="4">
        <v>110567000</v>
      </c>
      <c r="M78" s="4">
        <v>104135000</v>
      </c>
      <c r="N78" s="4">
        <v>105153000</v>
      </c>
      <c r="O78" s="5">
        <v>107996000</v>
      </c>
      <c r="P78" s="4">
        <v>108384000</v>
      </c>
      <c r="Q78" s="4">
        <v>105153000</v>
      </c>
      <c r="R78" s="4">
        <v>102237000</v>
      </c>
      <c r="S78" s="4">
        <v>107996000</v>
      </c>
    </row>
    <row r="79" spans="1:19" ht="16" x14ac:dyDescent="0.2">
      <c r="A79" s="3" t="s">
        <v>88</v>
      </c>
      <c r="B79" s="4" t="s">
        <v>24</v>
      </c>
      <c r="C79" s="4">
        <v>415000</v>
      </c>
      <c r="D79" s="4">
        <v>904000</v>
      </c>
      <c r="E79" s="4">
        <v>1394000</v>
      </c>
      <c r="F79" s="4">
        <v>2339000</v>
      </c>
      <c r="G79" s="4">
        <v>4347000</v>
      </c>
      <c r="H79" s="4">
        <v>8871000</v>
      </c>
      <c r="I79" s="4">
        <v>12837000</v>
      </c>
      <c r="J79" s="4">
        <v>16264000</v>
      </c>
      <c r="K79" s="4">
        <v>25350000</v>
      </c>
      <c r="L79" s="4">
        <v>29616000</v>
      </c>
      <c r="M79" s="4">
        <v>30274000</v>
      </c>
      <c r="N79" s="4">
        <v>32115000</v>
      </c>
      <c r="O79" s="5">
        <v>34124000</v>
      </c>
      <c r="P79" s="4">
        <v>31410000</v>
      </c>
      <c r="Q79" s="4">
        <v>32115000</v>
      </c>
      <c r="R79" s="4">
        <v>33144000</v>
      </c>
      <c r="S79" s="4">
        <v>34124000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t="s">
        <v>24</v>
      </c>
      <c r="C83" s="4">
        <v>926000</v>
      </c>
      <c r="D83" s="4">
        <v>1551000</v>
      </c>
      <c r="E83" s="4">
        <v>15525000</v>
      </c>
      <c r="F83" s="4">
        <v>17189000</v>
      </c>
      <c r="G83" s="4">
        <v>161453000</v>
      </c>
      <c r="H83" s="4">
        <v>164799000</v>
      </c>
      <c r="I83" s="4">
        <v>152904000</v>
      </c>
      <c r="J83" s="4">
        <v>181650000</v>
      </c>
      <c r="K83" s="4">
        <v>662119000</v>
      </c>
      <c r="L83" s="4">
        <v>654290000</v>
      </c>
      <c r="M83" s="4">
        <v>635421000</v>
      </c>
      <c r="N83" s="4">
        <v>761945000</v>
      </c>
      <c r="O83" s="5">
        <v>792518000</v>
      </c>
      <c r="P83" s="4">
        <v>719258000</v>
      </c>
      <c r="Q83" s="4">
        <v>761945000</v>
      </c>
      <c r="R83" s="4">
        <v>766143000</v>
      </c>
      <c r="S83" s="4">
        <v>792518000</v>
      </c>
    </row>
    <row r="84" spans="1:19" ht="16" x14ac:dyDescent="0.2">
      <c r="A84" s="3" t="s">
        <v>93</v>
      </c>
      <c r="B84" s="4" t="s">
        <v>24</v>
      </c>
      <c r="C84" s="4">
        <v>590000</v>
      </c>
      <c r="D84" s="4">
        <v>880000</v>
      </c>
      <c r="E84" s="4">
        <v>12986000</v>
      </c>
      <c r="F84" s="4">
        <v>10994000</v>
      </c>
      <c r="G84" s="4">
        <v>144023000</v>
      </c>
      <c r="H84" s="4">
        <v>135087000</v>
      </c>
      <c r="I84" s="4">
        <v>127294000</v>
      </c>
      <c r="J84" s="4">
        <v>120325000</v>
      </c>
      <c r="K84" s="4">
        <v>573130000</v>
      </c>
      <c r="L84" s="4">
        <v>550624000</v>
      </c>
      <c r="M84" s="4">
        <v>541817000</v>
      </c>
      <c r="N84" s="4">
        <v>522353000</v>
      </c>
      <c r="O84" s="5">
        <v>512702000</v>
      </c>
      <c r="P84" s="4">
        <v>527259000</v>
      </c>
      <c r="Q84" s="4">
        <v>522353000</v>
      </c>
      <c r="R84" s="4">
        <v>517608000</v>
      </c>
      <c r="S84" s="4">
        <v>512702000</v>
      </c>
    </row>
    <row r="85" spans="1:19" ht="16" x14ac:dyDescent="0.2">
      <c r="A85" s="3" t="s">
        <v>94</v>
      </c>
      <c r="B85" s="4" t="s">
        <v>24</v>
      </c>
      <c r="C85" s="4" t="s">
        <v>24</v>
      </c>
      <c r="D85" s="4" t="s">
        <v>24</v>
      </c>
      <c r="E85" s="4">
        <v>4850000</v>
      </c>
      <c r="F85" s="4">
        <v>4850000</v>
      </c>
      <c r="G85" s="4">
        <v>95544000</v>
      </c>
      <c r="H85" s="4">
        <v>95804000</v>
      </c>
      <c r="I85" s="4">
        <v>95804000</v>
      </c>
      <c r="J85" s="4">
        <v>95804000</v>
      </c>
      <c r="K85" s="4">
        <v>438529000</v>
      </c>
      <c r="L85" s="4">
        <v>436029000</v>
      </c>
      <c r="M85" s="4">
        <v>439877000</v>
      </c>
      <c r="N85" s="4">
        <v>439877000</v>
      </c>
      <c r="O85" s="5">
        <v>439877000</v>
      </c>
      <c r="P85" s="4">
        <v>439877000</v>
      </c>
      <c r="Q85" s="4">
        <v>439877000</v>
      </c>
      <c r="R85" s="4">
        <v>439877000</v>
      </c>
      <c r="S85" s="4">
        <v>439877000</v>
      </c>
    </row>
    <row r="86" spans="1:19" ht="16" x14ac:dyDescent="0.2">
      <c r="A86" s="3" t="s">
        <v>95</v>
      </c>
      <c r="B86" s="4" t="s">
        <v>24</v>
      </c>
      <c r="C86" s="4">
        <v>590000</v>
      </c>
      <c r="D86" s="4">
        <v>880000</v>
      </c>
      <c r="E86" s="4">
        <v>8136000</v>
      </c>
      <c r="F86" s="4">
        <v>6144000</v>
      </c>
      <c r="G86" s="4">
        <v>48479000</v>
      </c>
      <c r="H86" s="4">
        <v>39283000</v>
      </c>
      <c r="I86" s="4">
        <v>31490000</v>
      </c>
      <c r="J86" s="4">
        <v>24521000</v>
      </c>
      <c r="K86" s="4">
        <v>134601000</v>
      </c>
      <c r="L86" s="4">
        <v>114595000</v>
      </c>
      <c r="M86" s="4">
        <v>101940000</v>
      </c>
      <c r="N86" s="4">
        <v>82476000</v>
      </c>
      <c r="O86" s="5">
        <v>72825000</v>
      </c>
      <c r="P86" s="4">
        <v>87382000</v>
      </c>
      <c r="Q86" s="4">
        <v>82476000</v>
      </c>
      <c r="R86" s="4">
        <v>77731000</v>
      </c>
      <c r="S86" s="4">
        <v>72825000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v>336000</v>
      </c>
      <c r="D89" s="4">
        <v>671000</v>
      </c>
      <c r="E89" s="4">
        <v>2539000</v>
      </c>
      <c r="F89" s="4">
        <v>6195000</v>
      </c>
      <c r="G89" s="4">
        <v>17430000</v>
      </c>
      <c r="H89" s="4">
        <v>29712000</v>
      </c>
      <c r="I89" s="4">
        <v>25610000</v>
      </c>
      <c r="J89" s="4">
        <v>61325000</v>
      </c>
      <c r="K89" s="4">
        <v>88989000</v>
      </c>
      <c r="L89" s="4">
        <v>103666000</v>
      </c>
      <c r="M89" s="4">
        <v>93604000</v>
      </c>
      <c r="N89" s="4">
        <v>239592000</v>
      </c>
      <c r="O89" s="5">
        <v>279816000</v>
      </c>
      <c r="P89" s="4">
        <v>191999000</v>
      </c>
      <c r="Q89" s="4">
        <v>239592000</v>
      </c>
      <c r="R89" s="4">
        <v>248535000</v>
      </c>
      <c r="S89" s="4">
        <v>279816000</v>
      </c>
    </row>
    <row r="90" spans="1:19" ht="16" x14ac:dyDescent="0.2">
      <c r="A90" s="3" t="s">
        <v>99</v>
      </c>
      <c r="B90" s="4" t="s">
        <v>24</v>
      </c>
      <c r="C90" s="4">
        <v>41414000</v>
      </c>
      <c r="D90" s="4">
        <v>89820000</v>
      </c>
      <c r="E90" s="4">
        <v>370308000</v>
      </c>
      <c r="F90" s="4">
        <v>544890000</v>
      </c>
      <c r="G90" s="4">
        <v>705799000</v>
      </c>
      <c r="H90" s="4">
        <v>917700000</v>
      </c>
      <c r="I90" s="4">
        <v>1200487000</v>
      </c>
      <c r="J90" s="4">
        <v>1653766000</v>
      </c>
      <c r="K90" s="4">
        <v>2271777000</v>
      </c>
      <c r="L90" s="4">
        <v>3046067000</v>
      </c>
      <c r="M90" s="4">
        <v>3816465000</v>
      </c>
      <c r="N90" s="4">
        <v>4804296000</v>
      </c>
      <c r="O90" s="5">
        <v>5228143000</v>
      </c>
      <c r="P90" s="4">
        <v>4182717000</v>
      </c>
      <c r="Q90" s="4">
        <v>4804296000</v>
      </c>
      <c r="R90" s="4">
        <v>5023370000</v>
      </c>
      <c r="S90" s="4">
        <v>5228143000</v>
      </c>
    </row>
    <row r="91" spans="1:19" ht="16" x14ac:dyDescent="0.2">
      <c r="A91" s="3" t="s">
        <v>100</v>
      </c>
      <c r="B91" s="4" t="s">
        <v>24</v>
      </c>
      <c r="C91" s="4">
        <v>7684000</v>
      </c>
      <c r="D91" s="4">
        <v>14690000</v>
      </c>
      <c r="E91" s="4">
        <v>19237000</v>
      </c>
      <c r="F91" s="4">
        <v>16066000</v>
      </c>
      <c r="G91" s="4">
        <v>16409000</v>
      </c>
      <c r="H91" s="4">
        <v>21215000</v>
      </c>
      <c r="I91" s="4">
        <v>22176000</v>
      </c>
      <c r="J91" s="4">
        <v>29341000</v>
      </c>
      <c r="K91" s="4">
        <v>46653000</v>
      </c>
      <c r="L91" s="4">
        <v>56825000</v>
      </c>
      <c r="M91" s="4">
        <v>64218000</v>
      </c>
      <c r="N91" s="4">
        <v>81930000</v>
      </c>
      <c r="O91" s="5">
        <v>106506000</v>
      </c>
      <c r="P91" s="4">
        <v>128252000</v>
      </c>
      <c r="Q91" s="4">
        <v>81930000</v>
      </c>
      <c r="R91" s="4">
        <v>81290000</v>
      </c>
      <c r="S91" s="4">
        <v>106506000</v>
      </c>
    </row>
    <row r="92" spans="1:19" ht="16" x14ac:dyDescent="0.2">
      <c r="A92" s="3" t="s">
        <v>101</v>
      </c>
      <c r="B92" s="4" t="s">
        <v>24</v>
      </c>
      <c r="C92" s="4">
        <v>1513000</v>
      </c>
      <c r="D92" s="4">
        <v>3340000</v>
      </c>
      <c r="E92" s="4">
        <v>2117000</v>
      </c>
      <c r="F92" s="4">
        <v>3886000</v>
      </c>
      <c r="G92" s="4">
        <v>4600000</v>
      </c>
      <c r="H92" s="4">
        <v>5677000</v>
      </c>
      <c r="I92" s="4">
        <v>6944000</v>
      </c>
      <c r="J92" s="4">
        <v>9110000</v>
      </c>
      <c r="K92" s="4">
        <v>19420000</v>
      </c>
      <c r="L92" s="4">
        <v>23253000</v>
      </c>
      <c r="M92" s="4">
        <v>20348000</v>
      </c>
      <c r="N92" s="4">
        <v>41678000</v>
      </c>
      <c r="O92" s="5">
        <v>49932000</v>
      </c>
      <c r="P92" s="4">
        <v>40926000</v>
      </c>
      <c r="Q92" s="4">
        <v>41678000</v>
      </c>
      <c r="R92" s="4">
        <v>44404000</v>
      </c>
      <c r="S92" s="4">
        <v>49932000</v>
      </c>
    </row>
    <row r="93" spans="1:19" ht="16" x14ac:dyDescent="0.2">
      <c r="A93" s="3" t="s">
        <v>102</v>
      </c>
      <c r="B93" s="4" t="s">
        <v>24</v>
      </c>
      <c r="C93" s="4" t="s">
        <v>24</v>
      </c>
      <c r="D93" s="4">
        <v>5183000</v>
      </c>
      <c r="E93" s="4">
        <v>439000</v>
      </c>
      <c r="F93" s="4">
        <v>3241000</v>
      </c>
      <c r="G93" s="4">
        <v>750000</v>
      </c>
      <c r="H93" s="4">
        <v>3228000</v>
      </c>
      <c r="I93" s="4">
        <v>2080000</v>
      </c>
      <c r="J93" s="4">
        <v>4086000</v>
      </c>
      <c r="K93" s="4">
        <v>5613000</v>
      </c>
      <c r="L93" s="4">
        <v>2590000</v>
      </c>
      <c r="M93" s="4">
        <v>7761000</v>
      </c>
      <c r="N93" s="4">
        <v>4946000</v>
      </c>
      <c r="O93" s="5">
        <v>24143000</v>
      </c>
      <c r="P93" s="4">
        <v>54466000</v>
      </c>
      <c r="Q93" s="4">
        <v>4946000</v>
      </c>
      <c r="R93" s="4">
        <v>4617000</v>
      </c>
      <c r="S93" s="4">
        <v>24143000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v>6171000</v>
      </c>
      <c r="D95" s="4">
        <v>6167000</v>
      </c>
      <c r="E95" s="4">
        <v>16681000</v>
      </c>
      <c r="F95" s="4">
        <v>8939000</v>
      </c>
      <c r="G95" s="4">
        <v>11059000</v>
      </c>
      <c r="H95" s="4">
        <v>12310000</v>
      </c>
      <c r="I95" s="4">
        <v>13152000</v>
      </c>
      <c r="J95" s="4">
        <v>16145000</v>
      </c>
      <c r="K95" s="4">
        <v>21620000</v>
      </c>
      <c r="L95" s="4">
        <v>30982000</v>
      </c>
      <c r="M95" s="4">
        <v>36109000</v>
      </c>
      <c r="N95" s="4">
        <v>35306000</v>
      </c>
      <c r="O95" s="5">
        <v>32431000</v>
      </c>
      <c r="P95" s="4">
        <v>32860000</v>
      </c>
      <c r="Q95" s="4">
        <v>35306000</v>
      </c>
      <c r="R95" s="4">
        <v>32269000</v>
      </c>
      <c r="S95" s="4">
        <v>32431000</v>
      </c>
    </row>
    <row r="96" spans="1:19" ht="16" x14ac:dyDescent="0.2">
      <c r="A96" s="3" t="s">
        <v>105</v>
      </c>
      <c r="B96" s="4" t="s">
        <v>24</v>
      </c>
      <c r="C96" s="4">
        <v>0</v>
      </c>
      <c r="D96" s="4">
        <v>0</v>
      </c>
      <c r="E96" s="4">
        <v>0</v>
      </c>
      <c r="F96" s="4">
        <v>0</v>
      </c>
      <c r="G96" s="4">
        <v>0</v>
      </c>
      <c r="H96" s="4">
        <v>0</v>
      </c>
      <c r="I96" s="4">
        <v>0</v>
      </c>
      <c r="J96" s="4">
        <v>0</v>
      </c>
      <c r="K96" s="4">
        <v>10013000</v>
      </c>
      <c r="L96" s="4">
        <v>11725000</v>
      </c>
      <c r="M96" s="4">
        <v>10981000</v>
      </c>
      <c r="N96" s="4">
        <v>11306000</v>
      </c>
      <c r="O96" s="5">
        <v>10652000</v>
      </c>
      <c r="P96" s="4">
        <v>11665000</v>
      </c>
      <c r="Q96" s="4">
        <v>11306000</v>
      </c>
      <c r="R96" s="4">
        <v>10734000</v>
      </c>
      <c r="S96" s="4">
        <v>10652000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10013000</v>
      </c>
      <c r="L98" s="4">
        <v>11725000</v>
      </c>
      <c r="M98" s="4">
        <v>10981000</v>
      </c>
      <c r="N98" s="4">
        <v>11306000</v>
      </c>
      <c r="O98" s="5">
        <v>10652000</v>
      </c>
      <c r="P98" s="4">
        <v>11665000</v>
      </c>
      <c r="Q98" s="4">
        <v>11306000</v>
      </c>
      <c r="R98" s="4">
        <v>10734000</v>
      </c>
      <c r="S98" s="4">
        <v>10652000</v>
      </c>
    </row>
    <row r="99" spans="1:19" ht="16" x14ac:dyDescent="0.2">
      <c r="A99" s="3" t="s">
        <v>108</v>
      </c>
      <c r="B99" s="4" t="s">
        <v>24</v>
      </c>
      <c r="C99" s="4">
        <v>18524000</v>
      </c>
      <c r="D99" s="4">
        <v>39599000</v>
      </c>
      <c r="E99" s="4">
        <v>67380000</v>
      </c>
      <c r="F99" s="4">
        <v>119457000</v>
      </c>
      <c r="G99" s="4">
        <v>169870000</v>
      </c>
      <c r="H99" s="4">
        <v>225569000</v>
      </c>
      <c r="I99" s="4">
        <v>292500000</v>
      </c>
      <c r="J99" s="4">
        <v>371681000</v>
      </c>
      <c r="K99" s="4">
        <v>494506000</v>
      </c>
      <c r="L99" s="4">
        <v>647402000</v>
      </c>
      <c r="M99" s="4">
        <v>765580000</v>
      </c>
      <c r="N99" s="4">
        <v>913567000</v>
      </c>
      <c r="O99" s="5">
        <v>884796000</v>
      </c>
      <c r="P99" s="4">
        <v>550363000</v>
      </c>
      <c r="Q99" s="4">
        <v>913567000</v>
      </c>
      <c r="R99" s="4">
        <v>914278000</v>
      </c>
      <c r="S99" s="4">
        <v>884796000</v>
      </c>
    </row>
    <row r="100" spans="1:19" ht="16" x14ac:dyDescent="0.2">
      <c r="A100" s="3" t="s">
        <v>109</v>
      </c>
      <c r="B100" s="4" t="s">
        <v>24</v>
      </c>
      <c r="C100" s="4">
        <v>17925000</v>
      </c>
      <c r="D100" s="4">
        <v>38785000</v>
      </c>
      <c r="E100" s="4">
        <v>67380000</v>
      </c>
      <c r="F100" s="4">
        <v>112960000</v>
      </c>
      <c r="G100" s="4">
        <v>157419000</v>
      </c>
      <c r="H100" s="4">
        <v>213562000</v>
      </c>
      <c r="I100" s="4">
        <v>275446000</v>
      </c>
      <c r="J100" s="4">
        <v>356357000</v>
      </c>
      <c r="K100" s="4">
        <v>468887000</v>
      </c>
      <c r="L100" s="4">
        <v>616992000</v>
      </c>
      <c r="M100" s="4">
        <v>731746000</v>
      </c>
      <c r="N100" s="4">
        <v>869285000</v>
      </c>
      <c r="O100" s="5">
        <v>836500000</v>
      </c>
      <c r="P100" s="4">
        <v>510098000</v>
      </c>
      <c r="Q100" s="4">
        <v>869285000</v>
      </c>
      <c r="R100" s="4">
        <v>869920000</v>
      </c>
      <c r="S100" s="4">
        <v>836500000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599000</v>
      </c>
      <c r="D103" s="4">
        <v>814000</v>
      </c>
      <c r="E103" s="4" t="s">
        <v>24</v>
      </c>
      <c r="F103" s="4">
        <v>6497000</v>
      </c>
      <c r="G103" s="4">
        <v>12451000</v>
      </c>
      <c r="H103" s="4">
        <v>12007000</v>
      </c>
      <c r="I103" s="4">
        <v>17054000</v>
      </c>
      <c r="J103" s="4">
        <v>15324000</v>
      </c>
      <c r="K103" s="4">
        <v>25619000</v>
      </c>
      <c r="L103" s="4">
        <v>30410000</v>
      </c>
      <c r="M103" s="4">
        <v>33834000</v>
      </c>
      <c r="N103" s="4">
        <v>44282000</v>
      </c>
      <c r="O103" s="5">
        <v>48296000</v>
      </c>
      <c r="P103" s="4">
        <v>40265000</v>
      </c>
      <c r="Q103" s="4">
        <v>44282000</v>
      </c>
      <c r="R103" s="4">
        <v>44358000</v>
      </c>
      <c r="S103" s="4">
        <v>48296000</v>
      </c>
    </row>
    <row r="104" spans="1:19" ht="16" x14ac:dyDescent="0.2">
      <c r="A104" s="3" t="s">
        <v>113</v>
      </c>
      <c r="B104" s="4" t="s">
        <v>24</v>
      </c>
      <c r="C104" s="4">
        <v>26208000</v>
      </c>
      <c r="D104" s="4">
        <v>54289000</v>
      </c>
      <c r="E104" s="4">
        <v>86617000</v>
      </c>
      <c r="F104" s="4">
        <v>135523000</v>
      </c>
      <c r="G104" s="4">
        <v>186279000</v>
      </c>
      <c r="H104" s="4">
        <v>246784000</v>
      </c>
      <c r="I104" s="4">
        <v>314676000</v>
      </c>
      <c r="J104" s="4">
        <v>401022000</v>
      </c>
      <c r="K104" s="4">
        <v>551172000</v>
      </c>
      <c r="L104" s="4">
        <v>715952000</v>
      </c>
      <c r="M104" s="4">
        <v>840779000</v>
      </c>
      <c r="N104" s="4">
        <v>1006803000</v>
      </c>
      <c r="O104" s="5">
        <v>1001954000</v>
      </c>
      <c r="P104" s="4">
        <v>690280000</v>
      </c>
      <c r="Q104" s="4">
        <v>1006803000</v>
      </c>
      <c r="R104" s="4">
        <v>1006302000</v>
      </c>
      <c r="S104" s="4">
        <v>1001954000</v>
      </c>
    </row>
    <row r="105" spans="1:19" ht="16" x14ac:dyDescent="0.2">
      <c r="A105" s="3" t="s">
        <v>114</v>
      </c>
      <c r="B105" s="4" t="s">
        <v>24</v>
      </c>
      <c r="C105" s="4">
        <v>0</v>
      </c>
      <c r="D105" s="4">
        <v>0</v>
      </c>
      <c r="E105" s="4">
        <v>0</v>
      </c>
      <c r="F105" s="4">
        <v>0</v>
      </c>
      <c r="G105" s="4">
        <v>0</v>
      </c>
      <c r="H105" s="4">
        <v>0</v>
      </c>
      <c r="I105" s="4">
        <v>0</v>
      </c>
      <c r="J105" s="4">
        <v>0</v>
      </c>
      <c r="K105" s="4">
        <v>44815000</v>
      </c>
      <c r="L105" s="4">
        <v>51393000</v>
      </c>
      <c r="M105" s="4">
        <v>43607000</v>
      </c>
      <c r="N105" s="4">
        <v>49670000</v>
      </c>
      <c r="O105" s="5">
        <v>47853000</v>
      </c>
      <c r="P105" s="4">
        <v>50225000</v>
      </c>
      <c r="Q105" s="4">
        <v>49670000</v>
      </c>
      <c r="R105" s="4">
        <v>47494000</v>
      </c>
      <c r="S105" s="4">
        <v>47853000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t="s">
        <v>24</v>
      </c>
      <c r="C107" s="4" t="s">
        <v>24</v>
      </c>
      <c r="D107" s="4" t="s">
        <v>24</v>
      </c>
      <c r="E107" s="4" t="s">
        <v>24</v>
      </c>
      <c r="F107" s="4" t="s">
        <v>24</v>
      </c>
      <c r="G107" s="4" t="s">
        <v>24</v>
      </c>
      <c r="H107" s="4" t="s">
        <v>24</v>
      </c>
      <c r="I107" s="4" t="s">
        <v>24</v>
      </c>
      <c r="J107" s="4" t="s">
        <v>24</v>
      </c>
      <c r="K107" s="4">
        <v>44815000</v>
      </c>
      <c r="L107" s="4">
        <v>51393000</v>
      </c>
      <c r="M107" s="4">
        <v>43607000</v>
      </c>
      <c r="N107" s="4">
        <v>49670000</v>
      </c>
      <c r="O107" s="5">
        <v>47853000</v>
      </c>
      <c r="P107" s="4">
        <v>50225000</v>
      </c>
      <c r="Q107" s="4">
        <v>49670000</v>
      </c>
      <c r="R107" s="4">
        <v>47494000</v>
      </c>
      <c r="S107" s="4">
        <v>47853000</v>
      </c>
    </row>
    <row r="108" spans="1:19" ht="16" x14ac:dyDescent="0.2">
      <c r="A108" s="3" t="s">
        <v>117</v>
      </c>
      <c r="B108" s="4" t="s">
        <v>24</v>
      </c>
      <c r="C108" s="4">
        <v>1103000</v>
      </c>
      <c r="D108" s="4">
        <v>1565000</v>
      </c>
      <c r="E108" s="4">
        <v>3595000</v>
      </c>
      <c r="F108" s="4">
        <v>2534000</v>
      </c>
      <c r="G108" s="4">
        <v>14271000</v>
      </c>
      <c r="H108" s="4">
        <v>17938000</v>
      </c>
      <c r="I108" s="4">
        <v>14284000</v>
      </c>
      <c r="J108" s="4">
        <v>14995000</v>
      </c>
      <c r="K108" s="4">
        <v>10196000</v>
      </c>
      <c r="L108" s="4">
        <v>12402000</v>
      </c>
      <c r="M108" s="4">
        <v>20442000</v>
      </c>
      <c r="N108" s="4">
        <v>31571000</v>
      </c>
      <c r="O108" s="5">
        <v>25693000</v>
      </c>
      <c r="P108" s="4">
        <v>23420000</v>
      </c>
      <c r="Q108" s="4">
        <v>31571000</v>
      </c>
      <c r="R108" s="4">
        <v>26511000</v>
      </c>
      <c r="S108" s="4">
        <v>25693000</v>
      </c>
    </row>
    <row r="109" spans="1:19" ht="16" x14ac:dyDescent="0.2">
      <c r="A109" s="3" t="s">
        <v>118</v>
      </c>
      <c r="B109" s="4" t="s">
        <v>24</v>
      </c>
      <c r="C109" s="4">
        <v>422000</v>
      </c>
      <c r="D109" s="4">
        <v>441000</v>
      </c>
      <c r="E109" s="4">
        <v>1698000</v>
      </c>
      <c r="F109" s="4">
        <v>170000</v>
      </c>
      <c r="G109" s="4">
        <v>10622000</v>
      </c>
      <c r="H109" s="4">
        <v>12974000</v>
      </c>
      <c r="I109" s="4">
        <v>7307000</v>
      </c>
      <c r="J109" s="4">
        <v>6095000</v>
      </c>
      <c r="K109" s="4">
        <v>2417000</v>
      </c>
      <c r="L109" s="4">
        <v>1835000</v>
      </c>
      <c r="M109" s="4">
        <v>2216000</v>
      </c>
      <c r="N109" s="4">
        <v>1492000</v>
      </c>
      <c r="O109" s="5">
        <v>1283000</v>
      </c>
      <c r="P109" s="4">
        <v>1546000</v>
      </c>
      <c r="Q109" s="4">
        <v>1492000</v>
      </c>
      <c r="R109" s="4">
        <v>1407000</v>
      </c>
      <c r="S109" s="4">
        <v>1283000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v>681000</v>
      </c>
      <c r="D114" s="4">
        <v>1124000</v>
      </c>
      <c r="E114" s="4">
        <v>1897000</v>
      </c>
      <c r="F114" s="4">
        <v>2364000</v>
      </c>
      <c r="G114" s="4">
        <v>3649000</v>
      </c>
      <c r="H114" s="4">
        <v>4964000</v>
      </c>
      <c r="I114" s="4">
        <v>6977000</v>
      </c>
      <c r="J114" s="4">
        <v>8900000</v>
      </c>
      <c r="K114" s="4">
        <v>7779000</v>
      </c>
      <c r="L114" s="4">
        <v>10567000</v>
      </c>
      <c r="M114" s="4">
        <v>18226000</v>
      </c>
      <c r="N114" s="4">
        <v>30079000</v>
      </c>
      <c r="O114" s="5">
        <v>24410000</v>
      </c>
      <c r="P114" s="4">
        <v>21874000</v>
      </c>
      <c r="Q114" s="4">
        <v>30079000</v>
      </c>
      <c r="R114" s="4">
        <v>25104000</v>
      </c>
      <c r="S114" s="4">
        <v>24410000</v>
      </c>
    </row>
    <row r="115" spans="1:19" ht="16" x14ac:dyDescent="0.2">
      <c r="A115" s="3" t="s">
        <v>121</v>
      </c>
      <c r="B115" s="4" t="s">
        <v>24</v>
      </c>
      <c r="C115" s="4">
        <v>1103000</v>
      </c>
      <c r="D115" s="4">
        <v>1565000</v>
      </c>
      <c r="E115" s="4">
        <v>3595000</v>
      </c>
      <c r="F115" s="4">
        <v>2534000</v>
      </c>
      <c r="G115" s="4">
        <v>14271000</v>
      </c>
      <c r="H115" s="4">
        <v>17938000</v>
      </c>
      <c r="I115" s="4">
        <v>14284000</v>
      </c>
      <c r="J115" s="4">
        <v>14995000</v>
      </c>
      <c r="K115" s="4">
        <v>55011000</v>
      </c>
      <c r="L115" s="4">
        <v>63795000</v>
      </c>
      <c r="M115" s="4">
        <v>64049000</v>
      </c>
      <c r="N115" s="4">
        <v>81241000</v>
      </c>
      <c r="O115" s="5">
        <v>73546000</v>
      </c>
      <c r="P115" s="4">
        <v>73645000</v>
      </c>
      <c r="Q115" s="4">
        <v>81241000</v>
      </c>
      <c r="R115" s="4">
        <v>74005000</v>
      </c>
      <c r="S115" s="4">
        <v>73546000</v>
      </c>
    </row>
    <row r="116" spans="1:19" ht="16" x14ac:dyDescent="0.2">
      <c r="A116" s="3" t="s">
        <v>122</v>
      </c>
      <c r="B116" s="4" t="s">
        <v>24</v>
      </c>
      <c r="C116" s="4">
        <v>27311000</v>
      </c>
      <c r="D116" s="4">
        <v>55854000</v>
      </c>
      <c r="E116" s="4">
        <v>90212000</v>
      </c>
      <c r="F116" s="4">
        <v>138057000</v>
      </c>
      <c r="G116" s="4">
        <v>200550000</v>
      </c>
      <c r="H116" s="4">
        <v>264722000</v>
      </c>
      <c r="I116" s="4">
        <v>328960000</v>
      </c>
      <c r="J116" s="4">
        <v>416017000</v>
      </c>
      <c r="K116" s="4">
        <v>606183000</v>
      </c>
      <c r="L116" s="4">
        <v>779747000</v>
      </c>
      <c r="M116" s="4">
        <v>904828000</v>
      </c>
      <c r="N116" s="4">
        <v>1088044000</v>
      </c>
      <c r="O116" s="5">
        <v>1075500000</v>
      </c>
      <c r="P116" s="4">
        <v>763925000</v>
      </c>
      <c r="Q116" s="4">
        <v>1088044000</v>
      </c>
      <c r="R116" s="4">
        <v>1080307000</v>
      </c>
      <c r="S116" s="4">
        <v>1075500000</v>
      </c>
    </row>
    <row r="117" spans="1:19" ht="16" x14ac:dyDescent="0.2">
      <c r="A117" s="3" t="s">
        <v>123</v>
      </c>
      <c r="B117" s="4" t="s">
        <v>24</v>
      </c>
      <c r="C117" s="4">
        <v>6933000</v>
      </c>
      <c r="D117" s="4">
        <v>6933000</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v>1026000</v>
      </c>
      <c r="D118" s="4">
        <v>2101000</v>
      </c>
      <c r="E118" s="4">
        <v>231535000</v>
      </c>
      <c r="F118" s="4">
        <v>317882000</v>
      </c>
      <c r="G118" s="4">
        <v>361692000</v>
      </c>
      <c r="H118" s="4">
        <v>440678000</v>
      </c>
      <c r="I118" s="4">
        <v>515273000</v>
      </c>
      <c r="J118" s="4">
        <v>617624000</v>
      </c>
      <c r="K118" s="4">
        <v>745476000</v>
      </c>
      <c r="L118" s="4">
        <v>965672000</v>
      </c>
      <c r="M118" s="4">
        <v>1196549000</v>
      </c>
      <c r="N118" s="4">
        <v>1532629000</v>
      </c>
      <c r="O118" s="5">
        <v>1729125000</v>
      </c>
      <c r="P118" s="4">
        <v>1438215000</v>
      </c>
      <c r="Q118" s="4">
        <v>1532629000</v>
      </c>
      <c r="R118" s="4">
        <v>1622549000</v>
      </c>
      <c r="S118" s="4">
        <v>1729125000</v>
      </c>
    </row>
    <row r="119" spans="1:19" ht="16" x14ac:dyDescent="0.2">
      <c r="A119" s="3" t="s">
        <v>125</v>
      </c>
      <c r="B119" s="4" t="s">
        <v>24</v>
      </c>
      <c r="C119" s="4" t="s">
        <v>24</v>
      </c>
      <c r="D119" s="4" t="s">
        <v>24</v>
      </c>
      <c r="E119" s="4">
        <v>1000</v>
      </c>
      <c r="F119" s="4">
        <v>1000</v>
      </c>
      <c r="G119" s="4">
        <v>1000</v>
      </c>
      <c r="H119" s="4">
        <v>1000</v>
      </c>
      <c r="I119" s="4">
        <v>1000</v>
      </c>
      <c r="J119" s="4">
        <v>1000</v>
      </c>
      <c r="K119" s="4">
        <v>1000</v>
      </c>
      <c r="L119" s="4">
        <v>2000</v>
      </c>
      <c r="M119" s="4">
        <v>2000</v>
      </c>
      <c r="N119" s="4">
        <v>2000</v>
      </c>
      <c r="O119" s="5">
        <v>2000</v>
      </c>
      <c r="P119" s="4">
        <v>2000</v>
      </c>
      <c r="Q119" s="4">
        <v>2000</v>
      </c>
      <c r="R119" s="4">
        <v>2000</v>
      </c>
      <c r="S119" s="4">
        <v>2000</v>
      </c>
    </row>
    <row r="120" spans="1:19" ht="16" x14ac:dyDescent="0.2">
      <c r="A120" s="3" t="s">
        <v>126</v>
      </c>
      <c r="B120" s="4" t="s">
        <v>24</v>
      </c>
      <c r="C120" s="4">
        <v>1026000</v>
      </c>
      <c r="D120" s="4">
        <v>2101000</v>
      </c>
      <c r="E120" s="4">
        <v>231534000</v>
      </c>
      <c r="F120" s="4">
        <v>317881000</v>
      </c>
      <c r="G120" s="4">
        <v>361691000</v>
      </c>
      <c r="H120" s="4">
        <v>440677000</v>
      </c>
      <c r="I120" s="4">
        <v>515272000</v>
      </c>
      <c r="J120" s="4">
        <v>617623000</v>
      </c>
      <c r="K120" s="4">
        <v>745475000</v>
      </c>
      <c r="L120" s="4">
        <v>965670000</v>
      </c>
      <c r="M120" s="4">
        <v>1196547000</v>
      </c>
      <c r="N120" s="4">
        <v>1532627000</v>
      </c>
      <c r="O120" s="5">
        <v>1729123000</v>
      </c>
      <c r="P120" s="4">
        <v>1438213000</v>
      </c>
      <c r="Q120" s="4">
        <v>1532627000</v>
      </c>
      <c r="R120" s="4">
        <v>1622547000</v>
      </c>
      <c r="S120" s="4">
        <v>1729123000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t="s">
        <v>24</v>
      </c>
      <c r="C122" s="4">
        <v>6144000</v>
      </c>
      <c r="D122" s="4">
        <v>24927000</v>
      </c>
      <c r="E122" s="4">
        <v>48542000</v>
      </c>
      <c r="F122" s="4">
        <v>88925000</v>
      </c>
      <c r="G122" s="4">
        <v>143385000</v>
      </c>
      <c r="H122" s="4">
        <v>212189000</v>
      </c>
      <c r="I122" s="4">
        <v>354850000</v>
      </c>
      <c r="J122" s="4">
        <v>619197000</v>
      </c>
      <c r="K122" s="4">
        <v>919658000</v>
      </c>
      <c r="L122" s="4">
        <v>1299656000</v>
      </c>
      <c r="M122" s="4">
        <v>1727046000</v>
      </c>
      <c r="N122" s="4">
        <v>2214752000</v>
      </c>
      <c r="O122" s="5">
        <v>2457901000</v>
      </c>
      <c r="P122" s="4">
        <v>2026219000</v>
      </c>
      <c r="Q122" s="4">
        <v>2214752000</v>
      </c>
      <c r="R122" s="4">
        <v>2346273000</v>
      </c>
      <c r="S122" s="4">
        <v>2457901000</v>
      </c>
    </row>
    <row r="123" spans="1:19" ht="16" x14ac:dyDescent="0.2">
      <c r="A123" s="3" t="s">
        <v>129</v>
      </c>
      <c r="B123" s="4" t="s">
        <v>24</v>
      </c>
      <c r="C123" s="4" t="s">
        <v>24</v>
      </c>
      <c r="D123" s="4">
        <v>5000</v>
      </c>
      <c r="E123" s="4">
        <v>19000</v>
      </c>
      <c r="F123" s="4">
        <v>26000</v>
      </c>
      <c r="G123" s="4">
        <v>172000</v>
      </c>
      <c r="H123" s="4">
        <v>111000</v>
      </c>
      <c r="I123" s="4">
        <v>1404000</v>
      </c>
      <c r="J123" s="4">
        <v>928000</v>
      </c>
      <c r="K123" s="4">
        <v>460000</v>
      </c>
      <c r="L123" s="4">
        <v>992000</v>
      </c>
      <c r="M123" s="4">
        <v>-11958000</v>
      </c>
      <c r="N123" s="4">
        <v>-31129000</v>
      </c>
      <c r="O123" s="5">
        <v>-34383000</v>
      </c>
      <c r="P123" s="4">
        <v>-45642000</v>
      </c>
      <c r="Q123" s="4">
        <v>-31129000</v>
      </c>
      <c r="R123" s="4">
        <v>-25759000</v>
      </c>
      <c r="S123" s="4">
        <v>-34383000</v>
      </c>
    </row>
    <row r="124" spans="1:19" ht="16" x14ac:dyDescent="0.2">
      <c r="A124" s="3" t="s">
        <v>130</v>
      </c>
      <c r="B124" s="4" t="s">
        <v>24</v>
      </c>
      <c r="C124" s="4">
        <v>14103000</v>
      </c>
      <c r="D124" s="4">
        <v>33966000</v>
      </c>
      <c r="E124" s="4">
        <v>280096000</v>
      </c>
      <c r="F124" s="4">
        <v>406833000</v>
      </c>
      <c r="G124" s="4">
        <v>505249000</v>
      </c>
      <c r="H124" s="4">
        <v>652978000</v>
      </c>
      <c r="I124" s="4">
        <v>871527000</v>
      </c>
      <c r="J124" s="4">
        <v>1237749000</v>
      </c>
      <c r="K124" s="4">
        <v>1665594000</v>
      </c>
      <c r="L124" s="4">
        <v>2266320000</v>
      </c>
      <c r="M124" s="4">
        <v>2911637000</v>
      </c>
      <c r="N124" s="4">
        <v>3716252000</v>
      </c>
      <c r="O124" s="5">
        <v>4152643000</v>
      </c>
      <c r="P124" s="4">
        <v>3418792000</v>
      </c>
      <c r="Q124" s="4">
        <v>3716252000</v>
      </c>
      <c r="R124" s="4">
        <v>3943063000</v>
      </c>
      <c r="S124" s="4">
        <v>4152643000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t="s">
        <v>24</v>
      </c>
      <c r="C126" s="4">
        <v>14103000</v>
      </c>
      <c r="D126" s="4">
        <v>33966000</v>
      </c>
      <c r="E126" s="4">
        <v>280096000</v>
      </c>
      <c r="F126" s="4">
        <v>406833000</v>
      </c>
      <c r="G126" s="4">
        <v>505249000</v>
      </c>
      <c r="H126" s="4">
        <v>652978000</v>
      </c>
      <c r="I126" s="4">
        <v>871527000</v>
      </c>
      <c r="J126" s="4">
        <v>1237749000</v>
      </c>
      <c r="K126" s="4">
        <v>1665594000</v>
      </c>
      <c r="L126" s="4">
        <v>2266320000</v>
      </c>
      <c r="M126" s="4">
        <v>2911637000</v>
      </c>
      <c r="N126" s="4">
        <v>3716252000</v>
      </c>
      <c r="O126" s="5">
        <v>4152643000</v>
      </c>
      <c r="P126" s="4">
        <v>3418792000</v>
      </c>
      <c r="Q126" s="4">
        <v>3716252000</v>
      </c>
      <c r="R126" s="4">
        <v>3943063000</v>
      </c>
      <c r="S126" s="4">
        <v>4152643000</v>
      </c>
    </row>
    <row r="127" spans="1:19" ht="16" x14ac:dyDescent="0.2">
      <c r="A127" s="3" t="s">
        <v>133</v>
      </c>
      <c r="B127" s="4" t="s">
        <v>24</v>
      </c>
      <c r="C127" s="4">
        <v>41414000</v>
      </c>
      <c r="D127" s="4">
        <v>89820000</v>
      </c>
      <c r="E127" s="4">
        <v>370308000</v>
      </c>
      <c r="F127" s="4">
        <v>544890000</v>
      </c>
      <c r="G127" s="4">
        <v>705799000</v>
      </c>
      <c r="H127" s="4">
        <v>917700000</v>
      </c>
      <c r="I127" s="4">
        <v>1200487000</v>
      </c>
      <c r="J127" s="4">
        <v>1653766000</v>
      </c>
      <c r="K127" s="4">
        <v>2271777000</v>
      </c>
      <c r="L127" s="4">
        <v>3046067000</v>
      </c>
      <c r="M127" s="4">
        <v>3816465000</v>
      </c>
      <c r="N127" s="4">
        <v>4804296000</v>
      </c>
      <c r="O127" s="5">
        <v>5228143000</v>
      </c>
      <c r="P127" s="4">
        <v>4182717000</v>
      </c>
      <c r="Q127" s="4">
        <v>4804296000</v>
      </c>
      <c r="R127" s="4">
        <v>5023370000</v>
      </c>
      <c r="S127" s="4">
        <v>5228143000</v>
      </c>
    </row>
    <row r="128" spans="1:19" ht="16" x14ac:dyDescent="0.2">
      <c r="A128" s="33" t="s">
        <v>134</v>
      </c>
      <c r="B128" s="31">
        <v>115599000</v>
      </c>
      <c r="C128" s="31">
        <v>122252440</v>
      </c>
      <c r="D128" s="31">
        <v>122252440</v>
      </c>
      <c r="E128" s="31">
        <v>124791545</v>
      </c>
      <c r="F128" s="31">
        <v>131067625</v>
      </c>
      <c r="G128" s="31">
        <v>133545185</v>
      </c>
      <c r="H128" s="31">
        <v>137886619</v>
      </c>
      <c r="I128" s="31">
        <v>142069396</v>
      </c>
      <c r="J128" s="31">
        <v>146190079</v>
      </c>
      <c r="K128" s="31">
        <v>149095583</v>
      </c>
      <c r="L128" s="31">
        <v>152056808</v>
      </c>
      <c r="M128" s="31">
        <v>154196597</v>
      </c>
      <c r="N128" s="31">
        <v>158244607</v>
      </c>
      <c r="O128" s="32">
        <v>160622618</v>
      </c>
      <c r="P128" s="31">
        <v>155632024</v>
      </c>
      <c r="Q128" s="31">
        <v>158244607</v>
      </c>
      <c r="R128" s="31">
        <v>160200232</v>
      </c>
      <c r="S128" s="31">
        <v>160622618</v>
      </c>
    </row>
    <row r="129" spans="1:30" ht="19" x14ac:dyDescent="0.25">
      <c r="A129" s="15" t="s">
        <v>197</v>
      </c>
      <c r="B129" s="22"/>
      <c r="C129" s="21">
        <f>(C128/B128)-1</f>
        <v>5.7556207233626644E-2</v>
      </c>
      <c r="D129" s="21">
        <f>(D128/C128)-1</f>
        <v>0</v>
      </c>
      <c r="E129" s="21">
        <f>(E128/D128)-1</f>
        <v>2.0769360513376967E-2</v>
      </c>
      <c r="F129" s="21">
        <f t="shared" ref="F129:N129" si="6">(F128/E128)-1</f>
        <v>5.0292509801044716E-2</v>
      </c>
      <c r="G129" s="21">
        <f t="shared" si="6"/>
        <v>1.8902913667658172E-2</v>
      </c>
      <c r="H129" s="21">
        <f t="shared" si="6"/>
        <v>3.250910169468102E-2</v>
      </c>
      <c r="I129" s="21">
        <f t="shared" si="6"/>
        <v>3.033490145987261E-2</v>
      </c>
      <c r="J129" s="21">
        <f t="shared" si="6"/>
        <v>2.9004719637155452E-2</v>
      </c>
      <c r="K129" s="21">
        <f t="shared" si="6"/>
        <v>1.9874837060591455E-2</v>
      </c>
      <c r="L129" s="21">
        <f t="shared" si="6"/>
        <v>1.986125236184888E-2</v>
      </c>
      <c r="M129" s="21">
        <f t="shared" si="6"/>
        <v>1.4072299873610472E-2</v>
      </c>
      <c r="N129" s="21">
        <f t="shared" si="6"/>
        <v>2.625226547639059E-2</v>
      </c>
      <c r="O129" s="21">
        <f>(O128/N128)-1</f>
        <v>1.5027437870283933E-2</v>
      </c>
      <c r="P129" s="21"/>
      <c r="Q129" s="21">
        <f>(Q128/P128)-1</f>
        <v>1.6786924264379E-2</v>
      </c>
      <c r="R129" s="21">
        <f>(R128/Q128)-1</f>
        <v>1.2358241061573683E-2</v>
      </c>
      <c r="S129" s="21">
        <f>(S128/R128)-1</f>
        <v>2.6366129107728842E-3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54828000</v>
      </c>
      <c r="L130" s="4">
        <v>63118000</v>
      </c>
      <c r="M130" s="4">
        <v>54588000</v>
      </c>
      <c r="N130" s="4">
        <v>60976000</v>
      </c>
      <c r="O130" s="5">
        <v>58505000</v>
      </c>
      <c r="P130" s="4">
        <v>61890000</v>
      </c>
      <c r="Q130" s="4">
        <v>60976000</v>
      </c>
      <c r="R130" s="4">
        <v>58228000</v>
      </c>
      <c r="S130" s="4">
        <v>58505000</v>
      </c>
    </row>
    <row r="131" spans="1:30" ht="16" x14ac:dyDescent="0.2">
      <c r="A131" s="3" t="s">
        <v>136</v>
      </c>
      <c r="B131" s="4" t="s">
        <v>24</v>
      </c>
      <c r="C131" s="4">
        <v>-16880000</v>
      </c>
      <c r="D131" s="4">
        <v>-31890000</v>
      </c>
      <c r="E131" s="4">
        <v>-262507000</v>
      </c>
      <c r="F131" s="4">
        <v>-129253000</v>
      </c>
      <c r="G131" s="4">
        <v>-132179000</v>
      </c>
      <c r="H131" s="4">
        <v>-217606000</v>
      </c>
      <c r="I131" s="4">
        <v>-320183000</v>
      </c>
      <c r="J131" s="4">
        <v>-550971000</v>
      </c>
      <c r="K131" s="4">
        <v>-476733000</v>
      </c>
      <c r="L131" s="4">
        <v>-730504000</v>
      </c>
      <c r="M131" s="4">
        <v>-1138040000</v>
      </c>
      <c r="N131" s="4">
        <v>-886465000</v>
      </c>
      <c r="O131" s="5">
        <v>-742607000</v>
      </c>
      <c r="P131" s="4">
        <v>-865159000</v>
      </c>
      <c r="Q131" s="4">
        <v>-886465000</v>
      </c>
      <c r="R131" s="4">
        <v>-1093634000</v>
      </c>
      <c r="S131" s="4">
        <v>-742607000</v>
      </c>
    </row>
    <row r="132" spans="1:30" ht="16" x14ac:dyDescent="0.2">
      <c r="A132" s="3" t="s">
        <v>137</v>
      </c>
      <c r="B132" s="4" t="s">
        <v>24</v>
      </c>
      <c r="C132" s="6">
        <v>-119.69</v>
      </c>
      <c r="D132" s="6">
        <v>-93.89</v>
      </c>
      <c r="E132" s="6">
        <v>-93.72</v>
      </c>
      <c r="F132" s="6">
        <v>-31.77</v>
      </c>
      <c r="G132" s="6">
        <v>-26.16</v>
      </c>
      <c r="H132" s="6">
        <v>-33.33</v>
      </c>
      <c r="I132" s="6">
        <v>-36.74</v>
      </c>
      <c r="J132" s="6">
        <v>-44.51</v>
      </c>
      <c r="K132" s="6">
        <v>-28.62</v>
      </c>
      <c r="L132" s="6">
        <v>-32.229999999999997</v>
      </c>
      <c r="M132" s="6">
        <v>-39.090000000000003</v>
      </c>
      <c r="N132" s="6">
        <v>-23.85</v>
      </c>
      <c r="O132" s="7">
        <v>-17.88</v>
      </c>
      <c r="P132" s="6">
        <v>-25.31</v>
      </c>
      <c r="Q132" s="6">
        <v>-23.85</v>
      </c>
      <c r="R132" s="6">
        <v>-27.74</v>
      </c>
      <c r="S132" s="6">
        <v>-17.88</v>
      </c>
    </row>
    <row r="133" spans="1:30" ht="16" x14ac:dyDescent="0.2">
      <c r="A133" s="3" t="s">
        <v>138</v>
      </c>
      <c r="B133" s="4" t="s">
        <v>24</v>
      </c>
      <c r="C133" s="6">
        <v>16.12</v>
      </c>
      <c r="D133" s="6">
        <v>29.41</v>
      </c>
      <c r="E133" s="6">
        <v>74.75</v>
      </c>
      <c r="F133" s="6">
        <v>74.14</v>
      </c>
      <c r="G133" s="6">
        <v>64.3</v>
      </c>
      <c r="H133" s="6">
        <v>66.17</v>
      </c>
      <c r="I133" s="6">
        <v>69.349999999999994</v>
      </c>
      <c r="J133" s="6">
        <v>72.87</v>
      </c>
      <c r="K133" s="6">
        <v>64.31</v>
      </c>
      <c r="L133" s="6">
        <v>68.75</v>
      </c>
      <c r="M133" s="6">
        <v>72.37</v>
      </c>
      <c r="N133" s="6">
        <v>74.59</v>
      </c>
      <c r="O133" s="7">
        <v>77.19</v>
      </c>
      <c r="P133" s="6">
        <v>79.099999999999994</v>
      </c>
      <c r="Q133" s="6">
        <v>74.59</v>
      </c>
      <c r="R133" s="6">
        <v>76.02</v>
      </c>
      <c r="S133" s="6">
        <v>77.19</v>
      </c>
    </row>
    <row r="134" spans="1:30" ht="16" x14ac:dyDescent="0.2">
      <c r="A134" s="3" t="s">
        <v>139</v>
      </c>
      <c r="B134" s="4" t="s">
        <v>24</v>
      </c>
      <c r="C134" s="6">
        <v>1.51</v>
      </c>
      <c r="D134" s="6">
        <v>1.6</v>
      </c>
      <c r="E134" s="6">
        <v>4.08</v>
      </c>
      <c r="F134" s="6">
        <v>3.7</v>
      </c>
      <c r="G134" s="6">
        <v>2.69</v>
      </c>
      <c r="H134" s="6">
        <v>2.88</v>
      </c>
      <c r="I134" s="6">
        <v>3.2</v>
      </c>
      <c r="J134" s="6">
        <v>3.57</v>
      </c>
      <c r="K134" s="6">
        <v>2.78</v>
      </c>
      <c r="L134" s="6">
        <v>3.23</v>
      </c>
      <c r="M134" s="6">
        <v>3.7</v>
      </c>
      <c r="N134" s="6">
        <v>3.94</v>
      </c>
      <c r="O134" s="7">
        <v>4.3499999999999996</v>
      </c>
      <c r="P134" s="6">
        <v>4.91</v>
      </c>
      <c r="Q134" s="6">
        <v>3.94</v>
      </c>
      <c r="R134" s="6">
        <v>4.16</v>
      </c>
      <c r="S134" s="6">
        <v>4.3499999999999996</v>
      </c>
    </row>
    <row r="135" spans="1:30" ht="16" x14ac:dyDescent="0.2">
      <c r="A135" s="3" t="s">
        <v>140</v>
      </c>
      <c r="B135" s="4" t="s">
        <v>24</v>
      </c>
      <c r="C135" s="6">
        <v>51.77</v>
      </c>
      <c r="D135" s="6">
        <v>65.7</v>
      </c>
      <c r="E135" s="6">
        <v>70.900000000000006</v>
      </c>
      <c r="F135" s="6">
        <v>78.56</v>
      </c>
      <c r="G135" s="6">
        <v>95.01</v>
      </c>
      <c r="H135" s="6">
        <v>99.1</v>
      </c>
      <c r="I135" s="6">
        <v>99.99</v>
      </c>
      <c r="J135" s="6">
        <v>101.76</v>
      </c>
      <c r="K135" s="6">
        <v>97.41</v>
      </c>
      <c r="L135" s="6">
        <v>99.8</v>
      </c>
      <c r="M135" s="6">
        <v>102.09</v>
      </c>
      <c r="N135" s="6">
        <v>94.41</v>
      </c>
      <c r="O135" s="7">
        <v>34.03</v>
      </c>
      <c r="P135" s="6">
        <v>18.98</v>
      </c>
      <c r="Q135" s="6">
        <v>94.41</v>
      </c>
      <c r="R135" s="6">
        <v>42.26</v>
      </c>
      <c r="S135" s="6">
        <v>34.03</v>
      </c>
    </row>
    <row r="136" spans="1:30" ht="16" x14ac:dyDescent="0.2">
      <c r="A136" s="3" t="s">
        <v>141</v>
      </c>
      <c r="B136" s="4" t="s">
        <v>24</v>
      </c>
      <c r="C136" s="4" t="s">
        <v>24</v>
      </c>
      <c r="D136" s="4" t="s">
        <v>24</v>
      </c>
      <c r="E136" s="4">
        <v>725</v>
      </c>
      <c r="F136" s="4">
        <v>951</v>
      </c>
      <c r="G136" s="4">
        <v>1474</v>
      </c>
      <c r="H136" s="4">
        <v>1794</v>
      </c>
      <c r="I136" s="4">
        <v>2171</v>
      </c>
      <c r="J136" s="4">
        <v>2553</v>
      </c>
      <c r="K136" s="4">
        <v>3501</v>
      </c>
      <c r="L136" s="4">
        <v>4506</v>
      </c>
      <c r="M136" s="4">
        <v>5482</v>
      </c>
      <c r="N136" s="4">
        <v>6744</v>
      </c>
      <c r="O136" s="5">
        <v>6744</v>
      </c>
      <c r="P136" s="4">
        <v>5482</v>
      </c>
      <c r="Q136" s="4">
        <v>6744</v>
      </c>
      <c r="R136" s="4">
        <v>6744</v>
      </c>
      <c r="S136" s="4">
        <v>6744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3909000</v>
      </c>
      <c r="C139" s="4">
        <v>4230000</v>
      </c>
      <c r="D139" s="4">
        <v>18783000</v>
      </c>
      <c r="E139" s="4">
        <v>23615000</v>
      </c>
      <c r="F139" s="4">
        <v>40383000</v>
      </c>
      <c r="G139" s="4">
        <v>54460000</v>
      </c>
      <c r="H139" s="4">
        <v>68804000</v>
      </c>
      <c r="I139" s="4">
        <v>141966000</v>
      </c>
      <c r="J139" s="4">
        <v>229832000</v>
      </c>
      <c r="K139" s="4">
        <v>301118000</v>
      </c>
      <c r="L139" s="4">
        <v>379998000</v>
      </c>
      <c r="M139" s="4">
        <v>427390000</v>
      </c>
      <c r="N139" s="4">
        <v>487706000</v>
      </c>
      <c r="O139" s="5">
        <v>540139000</v>
      </c>
      <c r="P139" s="4">
        <v>108457000</v>
      </c>
      <c r="Q139" s="4">
        <v>188533000</v>
      </c>
      <c r="R139" s="4">
        <v>131521000</v>
      </c>
      <c r="S139" s="4">
        <v>111628000</v>
      </c>
    </row>
    <row r="140" spans="1:30" ht="16" x14ac:dyDescent="0.2">
      <c r="A140" s="3" t="s">
        <v>143</v>
      </c>
      <c r="B140" s="4">
        <v>219000</v>
      </c>
      <c r="C140" s="4">
        <v>407000</v>
      </c>
      <c r="D140" s="4">
        <v>789000</v>
      </c>
      <c r="E140" s="4">
        <v>2410000</v>
      </c>
      <c r="F140" s="4">
        <v>3929000</v>
      </c>
      <c r="G140" s="4">
        <v>8464000</v>
      </c>
      <c r="H140" s="4">
        <v>13825000</v>
      </c>
      <c r="I140" s="4">
        <v>14277000</v>
      </c>
      <c r="J140" s="4">
        <v>14071000</v>
      </c>
      <c r="K140" s="4">
        <v>27825000</v>
      </c>
      <c r="L140" s="4">
        <v>29455000</v>
      </c>
      <c r="M140" s="4">
        <v>27448000</v>
      </c>
      <c r="N140" s="4">
        <v>29122000</v>
      </c>
      <c r="O140" s="5">
        <v>30472000</v>
      </c>
      <c r="P140" s="4">
        <v>7157000</v>
      </c>
      <c r="Q140" s="4">
        <v>7679000</v>
      </c>
      <c r="R140" s="4">
        <v>7549000</v>
      </c>
      <c r="S140" s="4">
        <v>8087000</v>
      </c>
    </row>
    <row r="141" spans="1:30" ht="16" x14ac:dyDescent="0.2">
      <c r="A141" s="3" t="s">
        <v>144</v>
      </c>
      <c r="B141" s="4">
        <v>-450000</v>
      </c>
      <c r="C141" s="4">
        <v>1264000</v>
      </c>
      <c r="D141" s="4">
        <v>717000</v>
      </c>
      <c r="E141" s="4">
        <v>5568000</v>
      </c>
      <c r="F141" s="4">
        <v>12460000</v>
      </c>
      <c r="G141" s="4">
        <v>21357000</v>
      </c>
      <c r="H141" s="4">
        <v>37707000</v>
      </c>
      <c r="I141" s="4">
        <v>59827000</v>
      </c>
      <c r="J141" s="4">
        <v>84302000</v>
      </c>
      <c r="K141" s="4">
        <v>126614000</v>
      </c>
      <c r="L141" s="4">
        <v>217439000</v>
      </c>
      <c r="M141" s="4">
        <v>288964000</v>
      </c>
      <c r="N141" s="4">
        <v>256302000</v>
      </c>
      <c r="O141" s="5">
        <v>278266000</v>
      </c>
      <c r="P141" s="4">
        <v>70134000</v>
      </c>
      <c r="Q141" s="4">
        <v>56753000</v>
      </c>
      <c r="R141" s="4">
        <v>74245000</v>
      </c>
      <c r="S141" s="4">
        <v>77134000</v>
      </c>
    </row>
    <row r="142" spans="1:30" ht="16" x14ac:dyDescent="0.2">
      <c r="A142" s="33" t="s">
        <v>145</v>
      </c>
      <c r="B142" s="31">
        <v>169000</v>
      </c>
      <c r="C142" s="31">
        <v>434000</v>
      </c>
      <c r="D142" s="31">
        <v>715000</v>
      </c>
      <c r="E142" s="31">
        <v>6950000</v>
      </c>
      <c r="F142" s="31">
        <v>14325000</v>
      </c>
      <c r="G142" s="31">
        <v>24258000</v>
      </c>
      <c r="H142" s="31">
        <v>40798000</v>
      </c>
      <c r="I142" s="31">
        <v>54049000</v>
      </c>
      <c r="J142" s="31">
        <v>76425000</v>
      </c>
      <c r="K142" s="31">
        <v>115906000</v>
      </c>
      <c r="L142" s="31">
        <v>185001000</v>
      </c>
      <c r="M142" s="31">
        <v>234636000</v>
      </c>
      <c r="N142" s="31">
        <v>351907000</v>
      </c>
      <c r="O142" s="32">
        <v>382346000</v>
      </c>
      <c r="P142" s="31">
        <v>93187000</v>
      </c>
      <c r="Q142" s="31">
        <v>95545000</v>
      </c>
      <c r="R142" s="31">
        <v>90719000</v>
      </c>
      <c r="S142" s="31">
        <v>102895000</v>
      </c>
    </row>
    <row r="143" spans="1:30" ht="19" x14ac:dyDescent="0.25">
      <c r="A143" s="14" t="s">
        <v>198</v>
      </c>
      <c r="B143" s="21">
        <f t="shared" ref="B143:S143" si="7">B142/B2</f>
        <v>5.8017782965429643E-3</v>
      </c>
      <c r="C143" s="21">
        <f t="shared" si="7"/>
        <v>7.0843263360647708E-3</v>
      </c>
      <c r="D143" s="21">
        <f t="shared" si="7"/>
        <v>5.5191897983758913E-3</v>
      </c>
      <c r="E143" s="21">
        <f t="shared" si="7"/>
        <v>3.3071458142002658E-2</v>
      </c>
      <c r="F143" s="21">
        <f t="shared" si="7"/>
        <v>4.5734335391511449E-2</v>
      </c>
      <c r="G143" s="21">
        <f t="shared" si="7"/>
        <v>5.9278482775810624E-2</v>
      </c>
      <c r="H143" s="21">
        <f t="shared" si="7"/>
        <v>7.4990395979729549E-2</v>
      </c>
      <c r="I143" s="21">
        <f t="shared" si="7"/>
        <v>7.8837932176244324E-2</v>
      </c>
      <c r="J143" s="21">
        <f t="shared" si="7"/>
        <v>8.863849874160587E-2</v>
      </c>
      <c r="K143" s="21">
        <f t="shared" si="7"/>
        <v>0.10497961653175808</v>
      </c>
      <c r="L143" s="21">
        <f t="shared" si="7"/>
        <v>0.12627459867077934</v>
      </c>
      <c r="M143" s="21">
        <f t="shared" si="7"/>
        <v>0.12677702392022377</v>
      </c>
      <c r="N143" s="21">
        <f t="shared" si="7"/>
        <v>0.16329336538193831</v>
      </c>
      <c r="O143" s="21">
        <f t="shared" si="7"/>
        <v>0.17127971724103946</v>
      </c>
      <c r="P143" s="21">
        <f t="shared" si="7"/>
        <v>0.16870975158911633</v>
      </c>
      <c r="Q143" s="21">
        <f t="shared" si="7"/>
        <v>0.16958975059860948</v>
      </c>
      <c r="R143" s="21">
        <f t="shared" si="7"/>
        <v>0.1723630836460362</v>
      </c>
      <c r="S143" s="21">
        <f t="shared" si="7"/>
        <v>0.17433182261002161</v>
      </c>
      <c r="T143" s="12"/>
      <c r="U143" s="12"/>
      <c r="V143" s="12"/>
      <c r="W143" s="12"/>
      <c r="X143" s="12"/>
      <c r="Y143" s="12"/>
      <c r="Z143" s="12"/>
      <c r="AA143" s="13"/>
      <c r="AB143" s="13"/>
      <c r="AC143" s="13"/>
      <c r="AD143" s="13"/>
    </row>
    <row r="144" spans="1:30" ht="16" x14ac:dyDescent="0.2">
      <c r="A144" s="3" t="s">
        <v>146</v>
      </c>
      <c r="B144" s="4">
        <v>-619000</v>
      </c>
      <c r="C144" s="4">
        <v>530000</v>
      </c>
      <c r="D144" s="4">
        <v>-639000</v>
      </c>
      <c r="E144" s="4">
        <v>-1781000</v>
      </c>
      <c r="F144" s="4">
        <v>-4268000</v>
      </c>
      <c r="G144" s="4">
        <v>-5906000</v>
      </c>
      <c r="H144" s="4">
        <v>-5073000</v>
      </c>
      <c r="I144" s="4">
        <v>4366000</v>
      </c>
      <c r="J144" s="4">
        <v>-8091000</v>
      </c>
      <c r="K144" s="4">
        <v>-6663000</v>
      </c>
      <c r="L144" s="4">
        <v>-1048000</v>
      </c>
      <c r="M144" s="4">
        <v>11079000</v>
      </c>
      <c r="N144" s="4">
        <v>-127502000</v>
      </c>
      <c r="O144" s="5">
        <v>-120916000</v>
      </c>
      <c r="P144" s="4">
        <v>-31056000</v>
      </c>
      <c r="Q144" s="4">
        <v>-43133000</v>
      </c>
      <c r="R144" s="4">
        <v>-21514000</v>
      </c>
      <c r="S144" s="4">
        <v>-25213000</v>
      </c>
    </row>
    <row r="145" spans="1:19" ht="16" x14ac:dyDescent="0.2">
      <c r="A145" s="3" t="s">
        <v>147</v>
      </c>
      <c r="B145" s="4" t="s">
        <v>24</v>
      </c>
      <c r="C145" s="4">
        <v>300000</v>
      </c>
      <c r="D145" s="4">
        <v>540000</v>
      </c>
      <c r="E145" s="4">
        <v>35000</v>
      </c>
      <c r="F145" s="4">
        <v>227000</v>
      </c>
      <c r="G145" s="4">
        <v>201000</v>
      </c>
      <c r="H145" s="4">
        <v>130000</v>
      </c>
      <c r="I145" s="4">
        <v>-242000</v>
      </c>
      <c r="J145" s="4">
        <v>198000</v>
      </c>
      <c r="K145" s="4">
        <v>244000</v>
      </c>
      <c r="L145" s="4">
        <v>-307000</v>
      </c>
      <c r="M145" s="4">
        <v>272000</v>
      </c>
      <c r="N145" s="4">
        <v>256000</v>
      </c>
      <c r="O145" s="5">
        <v>631000</v>
      </c>
      <c r="P145" s="4">
        <v>1089000</v>
      </c>
      <c r="Q145" s="4">
        <v>-954000</v>
      </c>
      <c r="R145" s="4">
        <v>155000</v>
      </c>
      <c r="S145" s="4">
        <v>341000</v>
      </c>
    </row>
    <row r="146" spans="1:19" ht="16" x14ac:dyDescent="0.2">
      <c r="A146" s="3" t="s">
        <v>148</v>
      </c>
      <c r="B146" s="4" t="s">
        <v>24</v>
      </c>
      <c r="C146" s="4" t="s">
        <v>24</v>
      </c>
      <c r="D146" s="4">
        <v>101000</v>
      </c>
      <c r="E146" s="4">
        <v>364000</v>
      </c>
      <c r="F146" s="4">
        <v>2176000</v>
      </c>
      <c r="G146" s="4">
        <v>2804000</v>
      </c>
      <c r="H146" s="4">
        <v>1852000</v>
      </c>
      <c r="I146" s="4">
        <v>1654000</v>
      </c>
      <c r="J146" s="4">
        <v>15770000</v>
      </c>
      <c r="K146" s="4">
        <v>17127000</v>
      </c>
      <c r="L146" s="4">
        <v>33793000</v>
      </c>
      <c r="M146" s="4">
        <v>42977000</v>
      </c>
      <c r="N146" s="4">
        <v>31641000</v>
      </c>
      <c r="O146" s="5">
        <v>16205000</v>
      </c>
      <c r="P146" s="4">
        <v>6914000</v>
      </c>
      <c r="Q146" s="4">
        <v>5295000</v>
      </c>
      <c r="R146" s="4">
        <v>4885000</v>
      </c>
      <c r="S146" s="4">
        <v>-889000</v>
      </c>
    </row>
    <row r="147" spans="1:19" ht="16" x14ac:dyDescent="0.2">
      <c r="A147" s="3" t="s">
        <v>149</v>
      </c>
      <c r="B147" s="4">
        <v>1225000</v>
      </c>
      <c r="C147" s="4">
        <v>-1165000</v>
      </c>
      <c r="D147" s="4">
        <v>10510000</v>
      </c>
      <c r="E147" s="4">
        <v>10160000</v>
      </c>
      <c r="F147" s="4">
        <v>10927000</v>
      </c>
      <c r="G147" s="4">
        <v>-4173000</v>
      </c>
      <c r="H147" s="4">
        <v>23675000</v>
      </c>
      <c r="I147" s="4">
        <v>18451000</v>
      </c>
      <c r="J147" s="4">
        <v>-17378000</v>
      </c>
      <c r="K147" s="4">
        <v>-18182000</v>
      </c>
      <c r="L147" s="4">
        <v>-75646000</v>
      </c>
      <c r="M147" s="4">
        <v>20661000</v>
      </c>
      <c r="N147" s="4">
        <v>7340000</v>
      </c>
      <c r="O147" s="5">
        <v>128053000</v>
      </c>
      <c r="P147" s="4">
        <v>-43088000</v>
      </c>
      <c r="Q147" s="4">
        <v>-189667000</v>
      </c>
      <c r="R147" s="4">
        <v>292621000</v>
      </c>
      <c r="S147" s="4">
        <v>68187000</v>
      </c>
    </row>
    <row r="148" spans="1:19" ht="16" x14ac:dyDescent="0.2">
      <c r="A148" s="3" t="s">
        <v>150</v>
      </c>
      <c r="B148" s="4">
        <v>-5468000</v>
      </c>
      <c r="C148" s="4">
        <v>-12838000</v>
      </c>
      <c r="D148" s="4">
        <v>-17067000</v>
      </c>
      <c r="E148" s="4">
        <v>-19738000</v>
      </c>
      <c r="F148" s="4">
        <v>-34455000</v>
      </c>
      <c r="G148" s="4">
        <v>-46653000</v>
      </c>
      <c r="H148" s="4">
        <v>-38148000</v>
      </c>
      <c r="I148" s="4">
        <v>-50673000</v>
      </c>
      <c r="J148" s="4">
        <v>-83769000</v>
      </c>
      <c r="K148" s="4">
        <v>-70086000</v>
      </c>
      <c r="L148" s="4">
        <v>-188454000</v>
      </c>
      <c r="M148" s="4">
        <v>-83080000</v>
      </c>
      <c r="N148" s="4">
        <v>-91085000</v>
      </c>
      <c r="O148" s="5">
        <v>-26241000</v>
      </c>
      <c r="P148" s="4">
        <v>64965000</v>
      </c>
      <c r="Q148" s="4">
        <v>-459332000</v>
      </c>
      <c r="R148" s="4">
        <v>334064000</v>
      </c>
      <c r="S148" s="4">
        <v>34062000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t="s">
        <v>24</v>
      </c>
      <c r="C150" s="4" t="s">
        <v>24</v>
      </c>
      <c r="D150" s="4" t="s">
        <v>24</v>
      </c>
      <c r="E150" s="4">
        <v>-2951000</v>
      </c>
      <c r="F150" s="4">
        <v>-4652000</v>
      </c>
      <c r="G150" s="4">
        <v>180000</v>
      </c>
      <c r="H150" s="4">
        <v>831000</v>
      </c>
      <c r="I150" s="4">
        <v>-2492000</v>
      </c>
      <c r="J150" s="4">
        <v>-10562000</v>
      </c>
      <c r="K150" s="4">
        <v>-2700000</v>
      </c>
      <c r="L150" s="4">
        <v>-12424000</v>
      </c>
      <c r="M150" s="4">
        <v>-2910000</v>
      </c>
      <c r="N150" s="4">
        <v>-47399000</v>
      </c>
      <c r="O150" s="5">
        <v>-27078000</v>
      </c>
      <c r="P150" s="4">
        <v>7326000</v>
      </c>
      <c r="Q150" s="4">
        <v>-43649000</v>
      </c>
      <c r="R150" s="4">
        <v>-36298000</v>
      </c>
      <c r="S150" s="4">
        <v>45543000</v>
      </c>
    </row>
    <row r="151" spans="1:19" ht="16" x14ac:dyDescent="0.2">
      <c r="A151" s="3" t="s">
        <v>153</v>
      </c>
      <c r="B151" s="4">
        <v>945000</v>
      </c>
      <c r="C151" s="4">
        <v>4212000</v>
      </c>
      <c r="D151" s="4">
        <v>6867000</v>
      </c>
      <c r="E151" s="4">
        <v>3603000</v>
      </c>
      <c r="F151" s="4">
        <v>3987000</v>
      </c>
      <c r="G151" s="4">
        <v>1196000</v>
      </c>
      <c r="H151" s="4">
        <v>2360000</v>
      </c>
      <c r="I151" s="4">
        <v>6025000</v>
      </c>
      <c r="J151" s="4">
        <v>3422000</v>
      </c>
      <c r="K151" s="4">
        <v>-11286000</v>
      </c>
      <c r="L151" s="4">
        <v>11620000</v>
      </c>
      <c r="M151" s="4">
        <v>11717000</v>
      </c>
      <c r="N151" s="4">
        <v>27890000</v>
      </c>
      <c r="O151" s="5">
        <v>48780000</v>
      </c>
      <c r="P151" s="4">
        <v>64790000</v>
      </c>
      <c r="Q151" s="4">
        <v>-42132000</v>
      </c>
      <c r="R151" s="4">
        <v>-1718000</v>
      </c>
      <c r="S151" s="4">
        <v>27840000</v>
      </c>
    </row>
    <row r="152" spans="1:19" ht="16" x14ac:dyDescent="0.2">
      <c r="A152" s="3" t="s">
        <v>154</v>
      </c>
      <c r="B152" s="4">
        <v>5748000</v>
      </c>
      <c r="C152" s="4">
        <v>7461000</v>
      </c>
      <c r="D152" s="4">
        <v>20710000</v>
      </c>
      <c r="E152" s="4">
        <v>29246000</v>
      </c>
      <c r="F152" s="4">
        <v>46047000</v>
      </c>
      <c r="G152" s="4">
        <v>41104000</v>
      </c>
      <c r="H152" s="4">
        <v>58632000</v>
      </c>
      <c r="I152" s="4">
        <v>65591000</v>
      </c>
      <c r="J152" s="4">
        <v>73531000</v>
      </c>
      <c r="K152" s="4">
        <v>65890000</v>
      </c>
      <c r="L152" s="4">
        <v>113612000</v>
      </c>
      <c r="M152" s="4">
        <v>94934000</v>
      </c>
      <c r="N152" s="4">
        <v>117934000</v>
      </c>
      <c r="O152" s="5">
        <v>132592000</v>
      </c>
      <c r="P152" s="4">
        <v>-180169000</v>
      </c>
      <c r="Q152" s="4">
        <v>355446000</v>
      </c>
      <c r="R152" s="4">
        <v>-3427000</v>
      </c>
      <c r="S152" s="4">
        <v>-39258000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4903000</v>
      </c>
      <c r="C154" s="4">
        <v>4736000</v>
      </c>
      <c r="D154" s="4">
        <v>30799000</v>
      </c>
      <c r="E154" s="4">
        <v>41753000</v>
      </c>
      <c r="F154" s="4">
        <v>67699000</v>
      </c>
      <c r="G154" s="4">
        <v>80108000</v>
      </c>
      <c r="H154" s="4">
        <v>144011000</v>
      </c>
      <c r="I154" s="4">
        <v>234521000</v>
      </c>
      <c r="J154" s="4">
        <v>310827000</v>
      </c>
      <c r="K154" s="4">
        <v>437375000</v>
      </c>
      <c r="L154" s="4">
        <v>551246000</v>
      </c>
      <c r="M154" s="4">
        <v>764463000</v>
      </c>
      <c r="N154" s="4">
        <v>780470000</v>
      </c>
      <c r="O154" s="5">
        <v>976930000</v>
      </c>
      <c r="P154" s="4">
        <v>142660000</v>
      </c>
      <c r="Q154" s="4">
        <v>63298000</v>
      </c>
      <c r="R154" s="4">
        <v>505936000</v>
      </c>
      <c r="S154" s="4">
        <v>265036000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-582000</v>
      </c>
      <c r="C159" s="4">
        <v>-1193000</v>
      </c>
      <c r="D159" s="4">
        <v>-1554000</v>
      </c>
      <c r="E159" s="4">
        <v>-2977000</v>
      </c>
      <c r="F159" s="4">
        <v>-26979000</v>
      </c>
      <c r="G159" s="4">
        <v>-21721000</v>
      </c>
      <c r="H159" s="4">
        <v>-6923000</v>
      </c>
      <c r="I159" s="4">
        <v>-9633000</v>
      </c>
      <c r="J159" s="4">
        <v>-8440000</v>
      </c>
      <c r="K159" s="4">
        <v>-3113000</v>
      </c>
      <c r="L159" s="4" t="s">
        <v>24</v>
      </c>
      <c r="M159" s="4" t="s">
        <v>24</v>
      </c>
      <c r="N159" s="4" t="s">
        <v>24</v>
      </c>
      <c r="O159" s="5" t="s">
        <v>24</v>
      </c>
      <c r="P159" s="4" t="s">
        <v>24</v>
      </c>
      <c r="Q159" s="4" t="s">
        <v>24</v>
      </c>
      <c r="R159" s="4" t="s">
        <v>24</v>
      </c>
      <c r="S159" s="4" t="s">
        <v>24</v>
      </c>
    </row>
    <row r="160" spans="1:19" ht="16" x14ac:dyDescent="0.2">
      <c r="A160" s="3" t="s">
        <v>162</v>
      </c>
      <c r="B160" s="4">
        <v>-426000</v>
      </c>
      <c r="C160" s="4">
        <v>-650000</v>
      </c>
      <c r="D160" s="4">
        <v>-964000</v>
      </c>
      <c r="E160" s="4">
        <v>-1860000</v>
      </c>
      <c r="F160" s="4">
        <v>-26979000</v>
      </c>
      <c r="G160" s="4">
        <v>-21153000</v>
      </c>
      <c r="H160" s="4">
        <v>-6923000</v>
      </c>
      <c r="I160" s="4">
        <v>-9633000</v>
      </c>
      <c r="J160" s="4">
        <v>-8440000</v>
      </c>
      <c r="K160" s="4">
        <v>-3113000</v>
      </c>
      <c r="L160" s="4" t="s">
        <v>24</v>
      </c>
      <c r="M160" s="4" t="s">
        <v>24</v>
      </c>
      <c r="N160" s="4" t="s">
        <v>24</v>
      </c>
      <c r="O160" s="5" t="s">
        <v>24</v>
      </c>
      <c r="P160" s="4" t="s">
        <v>24</v>
      </c>
      <c r="Q160" s="4" t="s">
        <v>24</v>
      </c>
      <c r="R160" s="4" t="s">
        <v>24</v>
      </c>
      <c r="S160" s="4" t="s">
        <v>24</v>
      </c>
    </row>
    <row r="161" spans="1:19" ht="16" x14ac:dyDescent="0.2">
      <c r="A161" s="3" t="s">
        <v>163</v>
      </c>
      <c r="B161" s="4">
        <v>-156000</v>
      </c>
      <c r="C161" s="4">
        <v>-543000</v>
      </c>
      <c r="D161" s="4">
        <v>-590000</v>
      </c>
      <c r="E161" s="4">
        <v>-1117000</v>
      </c>
      <c r="F161" s="4" t="s">
        <v>24</v>
      </c>
      <c r="G161" s="4">
        <v>-568000</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v>-14372000</v>
      </c>
      <c r="E162" s="4">
        <v>-11703000</v>
      </c>
      <c r="F162" s="4">
        <v>-245095000</v>
      </c>
      <c r="G162" s="4">
        <v>51611000</v>
      </c>
      <c r="H162" s="4">
        <v>-89247000</v>
      </c>
      <c r="I162" s="4">
        <v>-144237000</v>
      </c>
      <c r="J162" s="4">
        <v>-94050000</v>
      </c>
      <c r="K162" s="4">
        <v>-64427000</v>
      </c>
      <c r="L162" s="4">
        <v>-324951000</v>
      </c>
      <c r="M162" s="4">
        <v>-324158000</v>
      </c>
      <c r="N162" s="4">
        <v>-994171000</v>
      </c>
      <c r="O162" s="5">
        <v>-1339248000</v>
      </c>
      <c r="P162" s="4">
        <v>-400120000</v>
      </c>
      <c r="Q162" s="4">
        <v>-35355000</v>
      </c>
      <c r="R162" s="4">
        <v>-294436000</v>
      </c>
      <c r="S162" s="4">
        <v>-609337000</v>
      </c>
    </row>
    <row r="163" spans="1:19" ht="16" x14ac:dyDescent="0.2">
      <c r="A163" s="3" t="s">
        <v>165</v>
      </c>
      <c r="B163" s="4" t="s">
        <v>24</v>
      </c>
      <c r="C163" s="4" t="s">
        <v>24</v>
      </c>
      <c r="D163" s="4" t="s">
        <v>24</v>
      </c>
      <c r="E163" s="4">
        <v>9700000</v>
      </c>
      <c r="F163" s="4">
        <v>156860000</v>
      </c>
      <c r="G163" s="4">
        <v>364968000</v>
      </c>
      <c r="H163" s="4">
        <v>225600000</v>
      </c>
      <c r="I163" s="4">
        <v>293621000</v>
      </c>
      <c r="J163" s="4">
        <v>632329000</v>
      </c>
      <c r="K163" s="4">
        <v>688091000</v>
      </c>
      <c r="L163" s="4">
        <v>654341000</v>
      </c>
      <c r="M163" s="4">
        <v>792918000</v>
      </c>
      <c r="N163" s="4">
        <v>1002707000</v>
      </c>
      <c r="O163" s="5">
        <v>1252779000</v>
      </c>
      <c r="P163" s="4">
        <v>310713000</v>
      </c>
      <c r="Q163" s="4">
        <v>245273000</v>
      </c>
      <c r="R163" s="4">
        <v>318056000</v>
      </c>
      <c r="S163" s="4">
        <v>378737000</v>
      </c>
    </row>
    <row r="164" spans="1:19" ht="16" x14ac:dyDescent="0.2">
      <c r="A164" s="3" t="s">
        <v>166</v>
      </c>
      <c r="B164" s="4" t="s">
        <v>24</v>
      </c>
      <c r="C164" s="4" t="s">
        <v>24</v>
      </c>
      <c r="D164" s="4">
        <v>-14372000</v>
      </c>
      <c r="E164" s="4">
        <v>-21403000</v>
      </c>
      <c r="F164" s="4">
        <v>-401955000</v>
      </c>
      <c r="G164" s="4">
        <v>-313357000</v>
      </c>
      <c r="H164" s="4">
        <v>-314847000</v>
      </c>
      <c r="I164" s="4">
        <v>-437858000</v>
      </c>
      <c r="J164" s="4">
        <v>-726379000</v>
      </c>
      <c r="K164" s="4">
        <v>-752518000</v>
      </c>
      <c r="L164" s="4">
        <v>-979292000</v>
      </c>
      <c r="M164" s="4">
        <v>-1117076000</v>
      </c>
      <c r="N164" s="4">
        <v>-1996878000</v>
      </c>
      <c r="O164" s="5">
        <v>-2592027000</v>
      </c>
      <c r="P164" s="4">
        <v>-710833000</v>
      </c>
      <c r="Q164" s="4">
        <v>-280628000</v>
      </c>
      <c r="R164" s="4">
        <v>-612492000</v>
      </c>
      <c r="S164" s="4">
        <v>-988074000</v>
      </c>
    </row>
    <row r="165" spans="1:19" ht="16" x14ac:dyDescent="0.2">
      <c r="A165" s="3" t="s">
        <v>167</v>
      </c>
      <c r="B165" s="4" t="s">
        <v>24</v>
      </c>
      <c r="C165" s="4" t="s">
        <v>24</v>
      </c>
      <c r="D165" s="4" t="s">
        <v>24</v>
      </c>
      <c r="E165" s="4">
        <v>-12149000</v>
      </c>
      <c r="F165" s="4" t="s">
        <v>24</v>
      </c>
      <c r="G165" s="4">
        <v>-126183000</v>
      </c>
      <c r="H165" s="4" t="s">
        <v>24</v>
      </c>
      <c r="I165" s="4" t="s">
        <v>24</v>
      </c>
      <c r="J165" s="4" t="s">
        <v>24</v>
      </c>
      <c r="K165" s="4">
        <v>-448162000</v>
      </c>
      <c r="L165" s="4" t="s">
        <v>24</v>
      </c>
      <c r="M165" s="4">
        <v>-7780000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-12149000</v>
      </c>
      <c r="F167" s="4" t="s">
        <v>24</v>
      </c>
      <c r="G167" s="4">
        <v>-126183000</v>
      </c>
      <c r="H167" s="4" t="s">
        <v>24</v>
      </c>
      <c r="I167" s="4" t="s">
        <v>24</v>
      </c>
      <c r="J167" s="4" t="s">
        <v>24</v>
      </c>
      <c r="K167" s="4">
        <v>-448162000</v>
      </c>
      <c r="L167" s="4" t="s">
        <v>24</v>
      </c>
      <c r="M167" s="4">
        <v>-7780000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-75000</v>
      </c>
      <c r="C169" s="4">
        <v>-490000</v>
      </c>
      <c r="D169" s="4">
        <v>-438000</v>
      </c>
      <c r="E169" s="4">
        <v>253000</v>
      </c>
      <c r="F169" s="4">
        <v>-392000</v>
      </c>
      <c r="G169" s="4">
        <v>-390000</v>
      </c>
      <c r="H169" s="4">
        <v>-482000</v>
      </c>
      <c r="I169" s="4">
        <v>-1936000</v>
      </c>
      <c r="J169" s="4">
        <v>-1379000</v>
      </c>
      <c r="K169" s="4">
        <v>-1208000</v>
      </c>
      <c r="L169" s="4">
        <v>-8683000</v>
      </c>
      <c r="M169" s="4">
        <v>-14214000</v>
      </c>
      <c r="N169" s="4">
        <v>-13512000</v>
      </c>
      <c r="O169" s="5">
        <v>-22067000</v>
      </c>
      <c r="P169" s="4">
        <v>-5609000</v>
      </c>
      <c r="Q169" s="4">
        <v>-3907000</v>
      </c>
      <c r="R169" s="4">
        <v>-2958000</v>
      </c>
      <c r="S169" s="4">
        <v>-9593000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-657000</v>
      </c>
      <c r="C171" s="4">
        <v>-1683000</v>
      </c>
      <c r="D171" s="4">
        <v>-16364000</v>
      </c>
      <c r="E171" s="4">
        <v>-26576000</v>
      </c>
      <c r="F171" s="4">
        <v>-272466000</v>
      </c>
      <c r="G171" s="4">
        <v>-96683000</v>
      </c>
      <c r="H171" s="4">
        <v>-96652000</v>
      </c>
      <c r="I171" s="4">
        <v>-155806000</v>
      </c>
      <c r="J171" s="4">
        <v>-103869000</v>
      </c>
      <c r="K171" s="4">
        <v>-516910000</v>
      </c>
      <c r="L171" s="4">
        <v>-333634000</v>
      </c>
      <c r="M171" s="4">
        <v>-346152000</v>
      </c>
      <c r="N171" s="4">
        <v>-1007683000</v>
      </c>
      <c r="O171" s="5">
        <v>-1361315000</v>
      </c>
      <c r="P171" s="4">
        <v>-405729000</v>
      </c>
      <c r="Q171" s="4">
        <v>-39262000</v>
      </c>
      <c r="R171" s="4">
        <v>-297394000</v>
      </c>
      <c r="S171" s="4">
        <v>-618930000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5">
        <v>0</v>
      </c>
      <c r="Q172" s="5">
        <v>0</v>
      </c>
      <c r="R172" s="5">
        <v>0</v>
      </c>
      <c r="S172" s="5">
        <v>0</v>
      </c>
    </row>
    <row r="173" spans="1:19" ht="16" x14ac:dyDescent="0.2">
      <c r="A173" s="3" t="s">
        <v>174</v>
      </c>
      <c r="B173" s="4" t="s">
        <v>24</v>
      </c>
      <c r="C173" s="4" t="s">
        <v>24</v>
      </c>
      <c r="D173" s="4" t="s">
        <v>24</v>
      </c>
      <c r="E173" s="4" t="s">
        <v>24</v>
      </c>
      <c r="F173" s="4" t="s">
        <v>24</v>
      </c>
      <c r="G173" s="4" t="s">
        <v>24</v>
      </c>
      <c r="H173" s="4" t="s">
        <v>24</v>
      </c>
      <c r="I173" s="4" t="s">
        <v>24</v>
      </c>
      <c r="J173" s="4" t="s">
        <v>24</v>
      </c>
      <c r="K173" s="4">
        <v>-984000</v>
      </c>
      <c r="L173" s="4">
        <v>-1039000</v>
      </c>
      <c r="M173" s="4">
        <v>-384000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t="s">
        <v>24</v>
      </c>
      <c r="I175" s="4" t="s">
        <v>24</v>
      </c>
      <c r="J175" s="4" t="s">
        <v>24</v>
      </c>
      <c r="K175" s="4">
        <v>-984000</v>
      </c>
      <c r="L175" s="4">
        <v>-1039000</v>
      </c>
      <c r="M175" s="4">
        <v>-384000</v>
      </c>
      <c r="N175" s="4" t="s">
        <v>24</v>
      </c>
      <c r="O175" s="5" t="s">
        <v>24</v>
      </c>
      <c r="P175" s="4" t="s">
        <v>24</v>
      </c>
      <c r="Q175" s="4" t="s">
        <v>24</v>
      </c>
      <c r="R175" s="4" t="s">
        <v>24</v>
      </c>
      <c r="S175" s="4" t="s">
        <v>24</v>
      </c>
    </row>
    <row r="176" spans="1:19" ht="16" x14ac:dyDescent="0.2">
      <c r="A176" s="3" t="s">
        <v>177</v>
      </c>
      <c r="B176" s="4" t="s">
        <v>24</v>
      </c>
      <c r="C176" s="4" t="s">
        <v>24</v>
      </c>
      <c r="D176" s="4" t="s">
        <v>24</v>
      </c>
      <c r="E176" s="4">
        <v>214523000</v>
      </c>
      <c r="F176" s="4">
        <v>34495000</v>
      </c>
      <c r="G176" s="4" t="s">
        <v>24</v>
      </c>
      <c r="H176" s="4" t="s">
        <v>24</v>
      </c>
      <c r="I176" s="4" t="s">
        <v>24</v>
      </c>
      <c r="J176" s="4" t="s">
        <v>24</v>
      </c>
      <c r="K176" s="4" t="s">
        <v>24</v>
      </c>
      <c r="L176" s="4" t="s">
        <v>24</v>
      </c>
      <c r="M176" s="4" t="s">
        <v>24</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v>214523000</v>
      </c>
      <c r="F177" s="4">
        <v>34495000</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887000</v>
      </c>
      <c r="C179" s="4">
        <v>49000</v>
      </c>
      <c r="D179" s="4">
        <v>575000</v>
      </c>
      <c r="E179" s="4">
        <v>917000</v>
      </c>
      <c r="F179" s="4">
        <v>37090000</v>
      </c>
      <c r="G179" s="4">
        <v>19452000</v>
      </c>
      <c r="H179" s="4">
        <v>37976000</v>
      </c>
      <c r="I179" s="4">
        <v>20773000</v>
      </c>
      <c r="J179" s="4">
        <v>25910000</v>
      </c>
      <c r="K179" s="4">
        <v>10994000</v>
      </c>
      <c r="L179" s="4">
        <v>34857000</v>
      </c>
      <c r="M179" s="4">
        <v>-3756000</v>
      </c>
      <c r="N179" s="4">
        <v>-19376000</v>
      </c>
      <c r="O179" s="5">
        <v>-11599000</v>
      </c>
      <c r="P179" s="4">
        <v>-10543000</v>
      </c>
      <c r="Q179" s="4">
        <v>-2241000</v>
      </c>
      <c r="R179" s="4">
        <v>-1392000</v>
      </c>
      <c r="S179" s="4">
        <v>2577000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887000</v>
      </c>
      <c r="C181" s="4">
        <v>49000</v>
      </c>
      <c r="D181" s="4">
        <v>575000</v>
      </c>
      <c r="E181" s="4">
        <v>215440000</v>
      </c>
      <c r="F181" s="4">
        <v>71585000</v>
      </c>
      <c r="G181" s="4">
        <v>19452000</v>
      </c>
      <c r="H181" s="4">
        <v>37976000</v>
      </c>
      <c r="I181" s="4">
        <v>20773000</v>
      </c>
      <c r="J181" s="4">
        <v>25910000</v>
      </c>
      <c r="K181" s="4">
        <v>10010000</v>
      </c>
      <c r="L181" s="4">
        <v>33818000</v>
      </c>
      <c r="M181" s="4">
        <v>-4140000</v>
      </c>
      <c r="N181" s="4">
        <v>-19376000</v>
      </c>
      <c r="O181" s="5">
        <v>-11599000</v>
      </c>
      <c r="P181" s="4">
        <v>-10543000</v>
      </c>
      <c r="Q181" s="4">
        <v>-2241000</v>
      </c>
      <c r="R181" s="4">
        <v>-1392000</v>
      </c>
      <c r="S181" s="4">
        <v>2577000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v>-72000</v>
      </c>
      <c r="G182" s="4">
        <v>49000</v>
      </c>
      <c r="H182" s="4">
        <v>92000</v>
      </c>
      <c r="I182" s="4">
        <v>3089000</v>
      </c>
      <c r="J182" s="4">
        <v>-2077000</v>
      </c>
      <c r="K182" s="4">
        <v>-2856000</v>
      </c>
      <c r="L182" s="4">
        <v>484000</v>
      </c>
      <c r="M182" s="4">
        <v>-4657000</v>
      </c>
      <c r="N182" s="4">
        <v>-4986000</v>
      </c>
      <c r="O182" s="5">
        <v>-1655000</v>
      </c>
      <c r="P182" s="4">
        <v>-1475000</v>
      </c>
      <c r="Q182" s="4">
        <v>-489000</v>
      </c>
      <c r="R182" s="4">
        <v>19000</v>
      </c>
      <c r="S182" s="4">
        <v>290000</v>
      </c>
    </row>
    <row r="183" spans="1:1022 1027:2048 2053:3060 3074:4086 4100:5112 5126:6138 6152:7164 7178:8190 8204:9216 9230:10237 10242:11263 11268:12275 12289:13301 13315:14327 14341:15353 15367:16379" ht="16" x14ac:dyDescent="0.2">
      <c r="A183" s="3" t="s">
        <v>183</v>
      </c>
      <c r="B183" s="4">
        <v>5133000</v>
      </c>
      <c r="C183" s="4">
        <v>3102000</v>
      </c>
      <c r="D183" s="4">
        <v>15010000</v>
      </c>
      <c r="E183" s="4">
        <v>230617000</v>
      </c>
      <c r="F183" s="4">
        <v>-133182000</v>
      </c>
      <c r="G183" s="4">
        <v>2877000</v>
      </c>
      <c r="H183" s="4">
        <v>85335000</v>
      </c>
      <c r="I183" s="4">
        <v>99488000</v>
      </c>
      <c r="J183" s="4">
        <v>232868000</v>
      </c>
      <c r="K183" s="4">
        <v>-69525000</v>
      </c>
      <c r="L183" s="4">
        <v>251430000</v>
      </c>
      <c r="M183" s="4">
        <v>414171000</v>
      </c>
      <c r="N183" s="4">
        <v>-246589000</v>
      </c>
      <c r="O183" s="5">
        <v>-395984000</v>
      </c>
      <c r="P183" s="4">
        <v>-273612000</v>
      </c>
      <c r="Q183" s="4">
        <v>21795000</v>
      </c>
      <c r="R183" s="4">
        <v>207150000</v>
      </c>
      <c r="S183" s="4">
        <v>-351317000</v>
      </c>
    </row>
    <row r="184" spans="1:1022 1027:2048 2053:3060 3074:4086 4100:5112 5126:6138 6152:7164 7178:8190 8204:9216 9230:10237 10242:11263 11268:12275 12289:13301 13315:14327 14341:15353 15367:16379" ht="16" x14ac:dyDescent="0.2">
      <c r="A184" s="3" t="s">
        <v>54</v>
      </c>
      <c r="B184" s="4">
        <v>5310000</v>
      </c>
      <c r="C184" s="4">
        <v>7045000</v>
      </c>
      <c r="D184" s="4">
        <v>30822000</v>
      </c>
      <c r="E184" s="4">
        <v>41714000</v>
      </c>
      <c r="F184" s="4">
        <v>73895000</v>
      </c>
      <c r="G184" s="4">
        <v>87053000</v>
      </c>
      <c r="H184" s="4">
        <v>121793000</v>
      </c>
      <c r="I184" s="4">
        <v>165069000</v>
      </c>
      <c r="J184" s="4">
        <v>236937000</v>
      </c>
      <c r="K184" s="4">
        <v>314044000</v>
      </c>
      <c r="L184" s="4">
        <v>407249000</v>
      </c>
      <c r="M184" s="4">
        <v>532944000</v>
      </c>
      <c r="N184" s="4">
        <v>488213000</v>
      </c>
      <c r="O184" s="5">
        <v>426378000</v>
      </c>
      <c r="P184" s="4">
        <v>128561000</v>
      </c>
      <c r="Q184" s="4">
        <v>116602000</v>
      </c>
      <c r="R184" s="4">
        <v>69079000</v>
      </c>
      <c r="S184" s="4">
        <v>112136000</v>
      </c>
    </row>
    <row r="185" spans="1:1022 1027:2048 2053:3060 3074:4086 4100:5112 5126:6138 6152:7164 7178:8190 8204:9216 9230:10237 10242:11263 11268:12275 12289:13301 13315:14327 14341:15353 15367:16379" ht="16" x14ac:dyDescent="0.2">
      <c r="A185" s="3" t="s">
        <v>55</v>
      </c>
      <c r="B185" s="6">
        <v>18.23</v>
      </c>
      <c r="C185" s="6">
        <v>11.5</v>
      </c>
      <c r="D185" s="6">
        <v>23.79</v>
      </c>
      <c r="E185" s="6">
        <v>19.850000000000001</v>
      </c>
      <c r="F185" s="6">
        <v>23.59</v>
      </c>
      <c r="G185" s="6">
        <v>21.27</v>
      </c>
      <c r="H185" s="6">
        <v>22.39</v>
      </c>
      <c r="I185" s="6">
        <v>24.08</v>
      </c>
      <c r="J185" s="6">
        <v>27.48</v>
      </c>
      <c r="K185" s="6">
        <v>28.44</v>
      </c>
      <c r="L185" s="6">
        <v>27.8</v>
      </c>
      <c r="M185" s="6">
        <v>28.8</v>
      </c>
      <c r="N185" s="6">
        <v>22.65</v>
      </c>
      <c r="O185" s="7">
        <v>19.100000000000001</v>
      </c>
      <c r="P185" s="6">
        <v>23.99</v>
      </c>
      <c r="Q185" s="6">
        <v>22.65</v>
      </c>
      <c r="R185" s="6">
        <v>19.420000000000002</v>
      </c>
      <c r="S185" s="6">
        <v>19.100000000000001</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v>12149000</v>
      </c>
      <c r="F186" s="4" t="s">
        <v>24</v>
      </c>
      <c r="G186" s="4">
        <v>126183000</v>
      </c>
      <c r="H186" s="4" t="s">
        <v>24</v>
      </c>
      <c r="I186" s="4" t="s">
        <v>24</v>
      </c>
      <c r="J186" s="4" t="s">
        <v>24</v>
      </c>
      <c r="K186" s="4">
        <v>448162000</v>
      </c>
      <c r="L186" s="4" t="s">
        <v>24</v>
      </c>
      <c r="M186" s="4">
        <v>7780000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4321000</v>
      </c>
      <c r="C187" s="4">
        <v>3543000</v>
      </c>
      <c r="D187" s="4">
        <v>29245000</v>
      </c>
      <c r="E187" s="4">
        <v>38776000</v>
      </c>
      <c r="F187" s="4">
        <v>40720000</v>
      </c>
      <c r="G187" s="4">
        <v>58387000</v>
      </c>
      <c r="H187" s="4">
        <v>137088000</v>
      </c>
      <c r="I187" s="4">
        <v>224888000</v>
      </c>
      <c r="J187" s="4">
        <v>302387000</v>
      </c>
      <c r="K187" s="4">
        <v>434262000</v>
      </c>
      <c r="L187" s="4">
        <v>551246000</v>
      </c>
      <c r="M187" s="4">
        <v>764463000</v>
      </c>
      <c r="N187" s="4">
        <v>780470000</v>
      </c>
      <c r="O187" s="5">
        <v>976930000</v>
      </c>
      <c r="P187" s="4">
        <v>142660000</v>
      </c>
      <c r="Q187" s="4">
        <v>63298000</v>
      </c>
      <c r="R187" s="4">
        <v>505936000</v>
      </c>
      <c r="S187" s="4">
        <v>265036000</v>
      </c>
    </row>
    <row r="188" spans="1:1022 1027:2048 2053:3060 3074:4086 4100:5112 5126:6138 6152:7164 7178:8190 8204:9216 9230:10237 10242:11263 11268:12275 12289:13301 13315:14327 14341:15353 15367:16379" ht="16" x14ac:dyDescent="0.2">
      <c r="A188" s="33" t="s">
        <v>186</v>
      </c>
      <c r="B188" s="31">
        <v>4321000</v>
      </c>
      <c r="C188" s="31">
        <v>3543000</v>
      </c>
      <c r="D188" s="31">
        <v>29245000</v>
      </c>
      <c r="E188" s="31">
        <v>38776000</v>
      </c>
      <c r="F188" s="31">
        <v>40720000</v>
      </c>
      <c r="G188" s="31">
        <v>58387000</v>
      </c>
      <c r="H188" s="31">
        <v>137088000</v>
      </c>
      <c r="I188" s="31">
        <v>224888000</v>
      </c>
      <c r="J188" s="31">
        <v>302387000</v>
      </c>
      <c r="K188" s="31">
        <v>434262000</v>
      </c>
      <c r="L188" s="31">
        <v>551246000</v>
      </c>
      <c r="M188" s="31">
        <v>764463000</v>
      </c>
      <c r="N188" s="31">
        <v>780470000</v>
      </c>
      <c r="O188" s="32">
        <v>976930000</v>
      </c>
      <c r="P188" s="31">
        <v>142660000</v>
      </c>
      <c r="Q188" s="31">
        <v>63298000</v>
      </c>
      <c r="R188" s="31">
        <v>505936000</v>
      </c>
      <c r="S188" s="31">
        <v>265036000</v>
      </c>
    </row>
    <row r="189" spans="1:1022 1027:2048 2053:3060 3074:4086 4100:5112 5126:6138 6152:7164 7178:8190 8204:9216 9230:10237 10242:11263 11268:12275 12289:13301 13315:14327 14341:15353 15367:16379" ht="19" x14ac:dyDescent="0.25">
      <c r="A189" s="23" t="s">
        <v>199</v>
      </c>
      <c r="B189" s="24"/>
      <c r="C189" s="25">
        <f>(C188/B188)-1</f>
        <v>-0.18005091414024532</v>
      </c>
      <c r="D189" s="25">
        <f>(D188/C188)-1</f>
        <v>7.2543042619249221</v>
      </c>
      <c r="E189" s="25">
        <f>(E188/D188)-1</f>
        <v>0.3259018635664217</v>
      </c>
      <c r="F189" s="25">
        <f t="shared" ref="F189:N189" si="8">(F188/E188)-1</f>
        <v>5.0134103569217991E-2</v>
      </c>
      <c r="G189" s="25">
        <f t="shared" si="8"/>
        <v>0.43386542239685655</v>
      </c>
      <c r="H189" s="25">
        <f t="shared" si="8"/>
        <v>1.3479199136794149</v>
      </c>
      <c r="I189" s="25">
        <f t="shared" si="8"/>
        <v>0.64046451914098967</v>
      </c>
      <c r="J189" s="25">
        <f t="shared" si="8"/>
        <v>0.34461153996656124</v>
      </c>
      <c r="K189" s="25">
        <f t="shared" si="8"/>
        <v>0.43611332497759503</v>
      </c>
      <c r="L189" s="25">
        <f t="shared" si="8"/>
        <v>0.26938576251203195</v>
      </c>
      <c r="M189" s="25">
        <f t="shared" si="8"/>
        <v>0.38679101526360271</v>
      </c>
      <c r="N189" s="25">
        <f t="shared" si="8"/>
        <v>2.0938881280061938E-2</v>
      </c>
      <c r="O189" s="25">
        <f>(O188/N188)-1</f>
        <v>0.2517201173651773</v>
      </c>
      <c r="P189" s="25"/>
      <c r="Q189" s="25">
        <f>(Q188/P188)-1</f>
        <v>-0.5563016963409505</v>
      </c>
      <c r="R189" s="25">
        <f>(R188/Q188)-1</f>
        <v>6.9929223672153942</v>
      </c>
      <c r="S189" s="25">
        <f>(S188/R188)-1</f>
        <v>-0.47614718067107298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9" customFormat="1" ht="16" customHeight="1" x14ac:dyDescent="0.2">
      <c r="A190" s="26" t="s">
        <v>200</v>
      </c>
      <c r="B190" s="27">
        <f t="shared" ref="B190:S190" si="9">B188/B2</f>
        <v>0.14834014212640323</v>
      </c>
      <c r="C190" s="27">
        <f t="shared" si="9"/>
        <v>5.7833567301100196E-2</v>
      </c>
      <c r="D190" s="27">
        <f t="shared" si="9"/>
        <v>0.2257464414734307</v>
      </c>
      <c r="E190" s="27">
        <f t="shared" si="9"/>
        <v>0.18451494401644533</v>
      </c>
      <c r="F190" s="27">
        <f t="shared" si="9"/>
        <v>0.13000363959108874</v>
      </c>
      <c r="G190" s="27">
        <f t="shared" si="9"/>
        <v>0.14267840604465556</v>
      </c>
      <c r="H190" s="27">
        <f t="shared" si="9"/>
        <v>0.2519800824567176</v>
      </c>
      <c r="I190" s="27">
        <f t="shared" si="9"/>
        <v>0.32803021131290561</v>
      </c>
      <c r="J190" s="27">
        <f t="shared" si="9"/>
        <v>0.35071154359146844</v>
      </c>
      <c r="K190" s="27">
        <f t="shared" si="9"/>
        <v>0.39332440282914027</v>
      </c>
      <c r="L190" s="27">
        <f t="shared" si="9"/>
        <v>0.37625941167276078</v>
      </c>
      <c r="M190" s="27">
        <f t="shared" si="9"/>
        <v>0.41304976234305918</v>
      </c>
      <c r="N190" s="27">
        <f t="shared" si="9"/>
        <v>0.36215697010756082</v>
      </c>
      <c r="O190" s="28">
        <f t="shared" si="9"/>
        <v>0.43763579104865408</v>
      </c>
      <c r="P190" s="27">
        <f t="shared" si="9"/>
        <v>0.25827779799439127</v>
      </c>
      <c r="Q190" s="27">
        <f t="shared" si="9"/>
        <v>0.11235221134952937</v>
      </c>
      <c r="R190" s="27">
        <f t="shared" si="9"/>
        <v>0.96126157792238631</v>
      </c>
      <c r="S190" s="27">
        <f t="shared" si="9"/>
        <v>0.44904231437163794</v>
      </c>
      <c r="T190" s="3"/>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187</v>
      </c>
      <c r="B191" s="4" t="s">
        <v>24</v>
      </c>
      <c r="C191" s="4">
        <v>11019000</v>
      </c>
      <c r="D191" s="4">
        <v>29835000</v>
      </c>
      <c r="E191" s="4">
        <v>32960000</v>
      </c>
      <c r="F191" s="4">
        <v>40720000</v>
      </c>
      <c r="G191" s="4">
        <v>58955000</v>
      </c>
      <c r="H191" s="4">
        <v>137088000</v>
      </c>
      <c r="I191" s="4">
        <v>224888000</v>
      </c>
      <c r="J191" s="4">
        <v>302387000</v>
      </c>
      <c r="K191" s="4">
        <v>433278000</v>
      </c>
      <c r="L191" s="4">
        <v>550207000</v>
      </c>
      <c r="M191" s="4">
        <v>764079000</v>
      </c>
      <c r="N191" s="4">
        <v>780470000</v>
      </c>
      <c r="O191" s="5">
        <v>976930000</v>
      </c>
      <c r="P191" s="4">
        <v>142660000</v>
      </c>
      <c r="Q191" s="4">
        <v>63298000</v>
      </c>
      <c r="R191" s="4">
        <v>505936000</v>
      </c>
      <c r="S191" s="4">
        <v>265036000</v>
      </c>
    </row>
    <row r="192" spans="1:1022 1027:2048 2053:3060 3074:4086 4100:5112 5126:6138 6152:7164 7178:8190 8204:9216 9230:10237 10242:11263 11268:12275 12289:13301 13315:14327 14341:15353 15367:16379" ht="16" x14ac:dyDescent="0.2">
      <c r="A192" s="3" t="s">
        <v>188</v>
      </c>
      <c r="B192" s="6">
        <v>0.04</v>
      </c>
      <c r="C192" s="6">
        <v>0.03</v>
      </c>
      <c r="D192" s="6">
        <v>0.27</v>
      </c>
      <c r="E192" s="6">
        <v>0.75</v>
      </c>
      <c r="F192" s="6">
        <v>0.32</v>
      </c>
      <c r="G192" s="6">
        <v>0.44</v>
      </c>
      <c r="H192" s="6">
        <v>1.01</v>
      </c>
      <c r="I192" s="6">
        <v>1.6</v>
      </c>
      <c r="J192" s="6">
        <v>2.1</v>
      </c>
      <c r="K192" s="6">
        <v>2.94</v>
      </c>
      <c r="L192" s="6">
        <v>3.66</v>
      </c>
      <c r="M192" s="6">
        <v>4.99</v>
      </c>
      <c r="N192" s="6">
        <v>5.0199999999999996</v>
      </c>
      <c r="O192" s="7">
        <v>6.18</v>
      </c>
      <c r="P192" s="6">
        <v>0.92</v>
      </c>
      <c r="Q192" s="6">
        <v>0.4</v>
      </c>
      <c r="R192" s="6">
        <v>3.17</v>
      </c>
      <c r="S192" s="6">
        <v>1.65</v>
      </c>
    </row>
    <row r="193" spans="1:19" ht="16" x14ac:dyDescent="0.2">
      <c r="A193" s="3" t="s">
        <v>189</v>
      </c>
      <c r="B193" s="4" t="s">
        <v>24</v>
      </c>
      <c r="C193" s="4" t="s">
        <v>24</v>
      </c>
      <c r="D193" s="4" t="s">
        <v>24</v>
      </c>
      <c r="E193" s="6">
        <v>48.35</v>
      </c>
      <c r="F193" s="6">
        <v>43.8</v>
      </c>
      <c r="G193" s="6">
        <v>34.31</v>
      </c>
      <c r="H193" s="6">
        <v>41.39</v>
      </c>
      <c r="I193" s="6">
        <v>39.57</v>
      </c>
      <c r="J193" s="6">
        <v>53.33</v>
      </c>
      <c r="K193" s="6">
        <v>52.69</v>
      </c>
      <c r="L193" s="6">
        <v>80.599999999999994</v>
      </c>
      <c r="M193" s="6">
        <v>50.21</v>
      </c>
      <c r="N193" s="6">
        <v>35.5</v>
      </c>
      <c r="O193" s="7">
        <v>33.979999999999997</v>
      </c>
      <c r="P193" s="6">
        <v>35.340000000000003</v>
      </c>
      <c r="Q193" s="6">
        <v>35.43</v>
      </c>
      <c r="R193" s="6">
        <v>36.08</v>
      </c>
      <c r="S193" s="6">
        <v>33.979999999999997</v>
      </c>
    </row>
    <row r="194" spans="1:19" ht="16" x14ac:dyDescent="0.2">
      <c r="A194" s="3" t="s">
        <v>190</v>
      </c>
      <c r="B194" s="6">
        <v>1.25</v>
      </c>
      <c r="C194" s="6">
        <v>1.1200000000000001</v>
      </c>
      <c r="D194" s="6">
        <v>1.64</v>
      </c>
      <c r="E194" s="6">
        <v>1.77</v>
      </c>
      <c r="F194" s="6">
        <v>1.68</v>
      </c>
      <c r="G194" s="6">
        <v>1.47</v>
      </c>
      <c r="H194" s="6">
        <v>2.09</v>
      </c>
      <c r="I194" s="6">
        <v>1.65</v>
      </c>
      <c r="J194" s="6">
        <v>1.35</v>
      </c>
      <c r="K194" s="6">
        <v>1.45</v>
      </c>
      <c r="L194" s="6">
        <v>1.45</v>
      </c>
      <c r="M194" s="6">
        <v>1.79</v>
      </c>
      <c r="N194" s="6">
        <v>1.6</v>
      </c>
      <c r="O194" s="7">
        <v>1.81</v>
      </c>
      <c r="P194" s="6">
        <v>1.32</v>
      </c>
      <c r="Q194" s="6">
        <v>0.34</v>
      </c>
      <c r="R194" s="6">
        <v>3.85</v>
      </c>
      <c r="S194" s="6">
        <v>2.37</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19 A144:S171 A191:S195 A188:N188 P188 S188 A2:S2 A9:S11 A13:S13 A37:S95 A130:S142 A21:S33 A20:N20 P20:S20 A173:S187 A172:N172 A97:S104 A96:B96 K96:S96 A106:S128 A105:B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E8F6-9093-B44F-8ACE-FC5FAB10BAA1}">
  <dimension ref="A1:P110"/>
  <sheetViews>
    <sheetView tabSelected="1" workbookViewId="0">
      <selection activeCell="F11" sqref="F11"/>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x14ac:dyDescent="0.2">
      <c r="A2" s="111"/>
      <c r="B2" s="111"/>
      <c r="C2" s="111"/>
      <c r="D2" s="111"/>
      <c r="E2" s="111"/>
      <c r="F2" s="111"/>
      <c r="G2" s="111"/>
      <c r="H2" s="111"/>
      <c r="I2" s="111"/>
      <c r="J2" s="111"/>
      <c r="K2" s="111"/>
      <c r="L2" s="111"/>
      <c r="M2" s="111"/>
      <c r="N2" s="111"/>
      <c r="O2" s="111"/>
      <c r="P2" s="111"/>
    </row>
    <row r="3" spans="1:16" ht="22" customHeight="1" x14ac:dyDescent="0.2">
      <c r="A3" s="36" cm="1">
        <f t="array" ref="A3">_FV(A1,"Market cap",TRUE)</f>
        <v>31292478290</v>
      </c>
      <c r="B3" s="37" t="s">
        <v>201</v>
      </c>
      <c r="C3" s="38">
        <f>Financials!O8*0.01</f>
        <v>0.70709999999999995</v>
      </c>
      <c r="D3" s="37" t="s">
        <v>202</v>
      </c>
      <c r="E3" s="38">
        <f>SUM(C11:E11)/3</f>
        <v>0.25154521755725329</v>
      </c>
      <c r="F3" s="39" t="s">
        <v>203</v>
      </c>
      <c r="G3" s="40">
        <f>SUM(Financials!K129:N129)/4</f>
        <v>2.0015163693110349E-2</v>
      </c>
      <c r="H3" s="39" t="s">
        <v>204</v>
      </c>
      <c r="I3" s="41">
        <f>J14*(1+I7)/(I6-I7)</f>
        <v>33217693343.768623</v>
      </c>
      <c r="J3" s="37" t="s">
        <v>205</v>
      </c>
      <c r="K3" s="42"/>
      <c r="L3" s="43"/>
      <c r="M3" s="44"/>
      <c r="N3" s="113" t="s">
        <v>206</v>
      </c>
      <c r="O3" s="114"/>
      <c r="P3" s="44"/>
    </row>
    <row r="4" spans="1:16" ht="22" customHeight="1" x14ac:dyDescent="0.2">
      <c r="A4" s="45">
        <f>Financials!O56-Financials!O96-Financials!O105</f>
        <v>3810234000</v>
      </c>
      <c r="B4" s="46" t="s">
        <v>207</v>
      </c>
      <c r="C4" s="47">
        <f>Financials!O17*0.01</f>
        <v>0.17739999999999997</v>
      </c>
      <c r="D4" s="46" t="s">
        <v>208</v>
      </c>
      <c r="E4" s="47">
        <f>SUM(C13:E13)/3</f>
        <v>0.17593330803013138</v>
      </c>
      <c r="F4" s="48" t="s">
        <v>209</v>
      </c>
      <c r="G4" s="49">
        <f>A5*(1+(5*G3))</f>
        <v>176733230.65349245</v>
      </c>
      <c r="H4" s="50" t="s">
        <v>210</v>
      </c>
      <c r="I4" s="51">
        <f>NPV(I6,F14,G14,H14,I14,(J14+I3))</f>
        <v>27368567444.660439</v>
      </c>
      <c r="J4" s="50" t="s">
        <v>211</v>
      </c>
      <c r="K4" s="52">
        <f>(Financials!O172*-1)/Model!A3</f>
        <v>0</v>
      </c>
      <c r="L4" s="53" t="s">
        <v>212</v>
      </c>
      <c r="M4" s="44"/>
      <c r="N4" s="115" t="s">
        <v>213</v>
      </c>
      <c r="O4" s="116"/>
      <c r="P4" s="44"/>
    </row>
    <row r="5" spans="1:16" ht="22" customHeight="1" x14ac:dyDescent="0.2">
      <c r="A5" s="49" cm="1">
        <f t="array" ref="A5">_FV(A1,"Shares outstanding",TRUE)</f>
        <v>160655500</v>
      </c>
      <c r="B5" s="46" t="s">
        <v>214</v>
      </c>
      <c r="C5" s="54">
        <f>Financials!O34*0.01</f>
        <v>0.24199999999999999</v>
      </c>
      <c r="D5" s="46" t="s">
        <v>215</v>
      </c>
      <c r="E5" s="47">
        <f>SUM(C15:E15)/3</f>
        <v>0.22570521968523219</v>
      </c>
      <c r="F5" s="48" t="s">
        <v>216</v>
      </c>
      <c r="G5" s="49">
        <f>Financials!O56</f>
        <v>3868739000</v>
      </c>
      <c r="H5" s="50" t="s">
        <v>217</v>
      </c>
      <c r="I5" s="51">
        <f>I4+G5-G6</f>
        <v>31178801444.660439</v>
      </c>
      <c r="J5" s="50" t="s">
        <v>218</v>
      </c>
      <c r="K5" s="55" cm="1">
        <f t="array" ref="K5">_FV(A1,"Price")</f>
        <v>194.78</v>
      </c>
      <c r="L5" s="53" t="s">
        <v>219</v>
      </c>
      <c r="M5" s="44"/>
      <c r="N5" s="56" t="s">
        <v>220</v>
      </c>
      <c r="O5" s="57">
        <f>Financials!O20</f>
        <v>0</v>
      </c>
      <c r="P5" s="44"/>
    </row>
    <row r="6" spans="1:16" ht="22" customHeight="1" x14ac:dyDescent="0.2">
      <c r="A6" s="58">
        <f>O20/F10</f>
        <v>13.209150818910933</v>
      </c>
      <c r="B6" s="46" t="s">
        <v>221</v>
      </c>
      <c r="C6" s="47">
        <f>Financials!O190</f>
        <v>0.43763579104865408</v>
      </c>
      <c r="D6" s="59" t="s">
        <v>200</v>
      </c>
      <c r="E6" s="47">
        <f>Financials!O33/Financials!O126</f>
        <v>0.13007113782716212</v>
      </c>
      <c r="F6" s="46" t="s">
        <v>222</v>
      </c>
      <c r="G6" s="51">
        <f>Financials!O96+Financials!O105</f>
        <v>58505000</v>
      </c>
      <c r="H6" s="50" t="s">
        <v>223</v>
      </c>
      <c r="I6" s="60">
        <f>N25</f>
        <v>7.9092407362688535E-2</v>
      </c>
      <c r="J6" s="50" t="s">
        <v>224</v>
      </c>
      <c r="K6" s="61">
        <f>I5/G4</f>
        <v>176.41731172668014</v>
      </c>
      <c r="L6" s="62" t="s">
        <v>225</v>
      </c>
      <c r="M6" s="44"/>
      <c r="N6" s="63" t="s">
        <v>226</v>
      </c>
      <c r="O6" s="64">
        <f>Financials!O96</f>
        <v>10652000</v>
      </c>
      <c r="P6" s="44"/>
    </row>
    <row r="7" spans="1:16" ht="22" customHeight="1" x14ac:dyDescent="0.2">
      <c r="A7" s="65">
        <f>O20/F12</f>
        <v>42.516954198369568</v>
      </c>
      <c r="B7" s="66" t="s">
        <v>227</v>
      </c>
      <c r="C7" s="67">
        <f>F14/O21</f>
        <v>2.4114076200000424E-2</v>
      </c>
      <c r="D7" s="68" t="s">
        <v>228</v>
      </c>
      <c r="E7" s="69">
        <f>(Financials!O16*(1-0.25))/(Financials!O126+Financials!O105+Financials!O96)</f>
        <v>7.0510345397502061E-2</v>
      </c>
      <c r="F7" s="66" t="s">
        <v>196</v>
      </c>
      <c r="G7" s="70">
        <f>(Financials!O96+Financials!O105)/Financials!O126</f>
        <v>1.4088617779086716E-2</v>
      </c>
      <c r="H7" s="71" t="s">
        <v>229</v>
      </c>
      <c r="I7" s="72">
        <v>2.5000000000000001E-2</v>
      </c>
      <c r="J7" s="73" t="s">
        <v>230</v>
      </c>
      <c r="K7" s="74">
        <f>K6/K5-1</f>
        <v>-9.4273992572748044E-2</v>
      </c>
      <c r="L7" s="75" t="s">
        <v>231</v>
      </c>
      <c r="M7" s="44"/>
      <c r="N7" s="63" t="s">
        <v>232</v>
      </c>
      <c r="O7" s="64">
        <f>Financials!O105</f>
        <v>47853000</v>
      </c>
      <c r="P7" s="44"/>
    </row>
    <row r="8" spans="1:16" ht="22" customHeight="1" x14ac:dyDescent="0.2">
      <c r="A8" s="76"/>
      <c r="B8" s="44"/>
      <c r="C8" s="44"/>
      <c r="D8" s="44"/>
      <c r="E8" s="44"/>
      <c r="F8" s="44"/>
      <c r="G8" s="44"/>
      <c r="H8" s="44"/>
      <c r="I8" s="44"/>
      <c r="J8" s="44"/>
      <c r="K8" s="44"/>
      <c r="L8" s="44"/>
      <c r="M8" s="44"/>
      <c r="N8" s="77" t="s">
        <v>213</v>
      </c>
      <c r="O8" s="78">
        <f>O5/(O6+O7)</f>
        <v>0</v>
      </c>
      <c r="P8" s="44"/>
    </row>
    <row r="9" spans="1:16" ht="22" customHeight="1" x14ac:dyDescent="0.2">
      <c r="A9" s="79"/>
      <c r="B9" s="80">
        <v>2020</v>
      </c>
      <c r="C9" s="80">
        <v>2021</v>
      </c>
      <c r="D9" s="80">
        <v>2022</v>
      </c>
      <c r="E9" s="80">
        <v>2023</v>
      </c>
      <c r="F9" s="81">
        <v>2024</v>
      </c>
      <c r="G9" s="82">
        <v>2025</v>
      </c>
      <c r="H9" s="82">
        <v>2026</v>
      </c>
      <c r="I9" s="82">
        <v>2027</v>
      </c>
      <c r="J9" s="82">
        <v>2028</v>
      </c>
      <c r="K9" s="83"/>
      <c r="L9" s="84"/>
      <c r="M9" s="84"/>
      <c r="N9" s="63" t="s">
        <v>233</v>
      </c>
      <c r="O9" s="64">
        <f>Financials!O25</f>
        <v>-36261000</v>
      </c>
      <c r="P9" s="44"/>
    </row>
    <row r="10" spans="1:16" ht="22" customHeight="1" x14ac:dyDescent="0.2">
      <c r="A10" s="85" t="s">
        <v>234</v>
      </c>
      <c r="B10" s="86">
        <v>1104081000</v>
      </c>
      <c r="C10" s="86">
        <v>1465069000</v>
      </c>
      <c r="D10" s="86">
        <v>1850777000</v>
      </c>
      <c r="E10" s="86">
        <v>2155060000</v>
      </c>
      <c r="F10" s="87">
        <v>2369000000</v>
      </c>
      <c r="G10" s="86">
        <v>2821000000</v>
      </c>
      <c r="H10" s="86">
        <v>3237000000</v>
      </c>
      <c r="I10" s="86">
        <v>3689000000</v>
      </c>
      <c r="J10" s="86">
        <v>4186000000</v>
      </c>
      <c r="K10" s="88" t="s">
        <v>235</v>
      </c>
      <c r="N10" s="63" t="s">
        <v>236</v>
      </c>
      <c r="O10" s="64">
        <f>Financials!O24</f>
        <v>503878000</v>
      </c>
      <c r="P10" s="44"/>
    </row>
    <row r="11" spans="1:16" ht="22" customHeight="1" x14ac:dyDescent="0.2">
      <c r="A11" s="89"/>
      <c r="B11" s="90"/>
      <c r="C11" s="90">
        <f t="shared" ref="C11:J11" si="0">(C10/B10)-1</f>
        <v>0.3269578952993486</v>
      </c>
      <c r="D11" s="90">
        <f t="shared" si="0"/>
        <v>0.26326951153836431</v>
      </c>
      <c r="E11" s="90">
        <f t="shared" si="0"/>
        <v>0.16440824583404701</v>
      </c>
      <c r="F11" s="91">
        <f t="shared" si="0"/>
        <v>9.92733380973152E-2</v>
      </c>
      <c r="G11" s="90">
        <f t="shared" si="0"/>
        <v>0.19079780498100463</v>
      </c>
      <c r="H11" s="90">
        <f t="shared" si="0"/>
        <v>0.14746543778801846</v>
      </c>
      <c r="I11" s="90">
        <f t="shared" si="0"/>
        <v>0.13963546493666978</v>
      </c>
      <c r="J11" s="90">
        <f t="shared" si="0"/>
        <v>0.13472485768500952</v>
      </c>
      <c r="K11" s="91">
        <f>SUM(F11:J11)/5</f>
        <v>0.14237938069760353</v>
      </c>
      <c r="L11" s="84"/>
      <c r="M11" s="84"/>
      <c r="N11" s="63" t="s">
        <v>237</v>
      </c>
      <c r="O11" s="92">
        <f>O9/O10</f>
        <v>-7.1963848391872642E-2</v>
      </c>
      <c r="P11" s="44"/>
    </row>
    <row r="12" spans="1:16" ht="22" customHeight="1" x14ac:dyDescent="0.2">
      <c r="A12" s="85" t="s">
        <v>142</v>
      </c>
      <c r="B12" s="86">
        <v>301118000</v>
      </c>
      <c r="C12" s="86">
        <v>379998000</v>
      </c>
      <c r="D12" s="86">
        <v>427390000</v>
      </c>
      <c r="E12" s="86">
        <v>487706000</v>
      </c>
      <c r="F12" s="87">
        <v>736000000</v>
      </c>
      <c r="G12" s="86">
        <v>919000000</v>
      </c>
      <c r="H12" s="86">
        <v>1047000000</v>
      </c>
      <c r="I12" s="86">
        <v>1227000000</v>
      </c>
      <c r="J12" s="86">
        <v>1318000000</v>
      </c>
      <c r="K12" s="88" t="s">
        <v>238</v>
      </c>
      <c r="L12" s="84"/>
      <c r="M12" s="84"/>
      <c r="N12" s="93" t="s">
        <v>239</v>
      </c>
      <c r="O12" s="94">
        <f>O8*(1-O11)</f>
        <v>0</v>
      </c>
      <c r="P12" s="44"/>
    </row>
    <row r="13" spans="1:16" ht="22" customHeight="1" x14ac:dyDescent="0.2">
      <c r="A13" s="89"/>
      <c r="B13" s="90"/>
      <c r="C13" s="90">
        <f t="shared" ref="C13:J13" si="1">(C12/B12)-1</f>
        <v>0.26195710651638238</v>
      </c>
      <c r="D13" s="90">
        <f t="shared" si="1"/>
        <v>0.12471644587603103</v>
      </c>
      <c r="E13" s="90">
        <f t="shared" si="1"/>
        <v>0.1411263716979807</v>
      </c>
      <c r="F13" s="91">
        <f t="shared" si="1"/>
        <v>0.50910589576507159</v>
      </c>
      <c r="G13" s="90">
        <f t="shared" si="1"/>
        <v>0.24864130434782616</v>
      </c>
      <c r="H13" s="90">
        <f t="shared" si="1"/>
        <v>0.13928182807399336</v>
      </c>
      <c r="I13" s="90">
        <f t="shared" si="1"/>
        <v>0.17191977077363907</v>
      </c>
      <c r="J13" s="90">
        <f t="shared" si="1"/>
        <v>7.4164629176854069E-2</v>
      </c>
      <c r="K13" s="91">
        <f>SUM(F13:J13)/5</f>
        <v>0.22862268562747684</v>
      </c>
      <c r="L13" s="84"/>
      <c r="M13" s="84"/>
      <c r="N13" s="115" t="s">
        <v>240</v>
      </c>
      <c r="O13" s="116"/>
      <c r="P13" s="44"/>
    </row>
    <row r="14" spans="1:16" ht="22" customHeight="1" x14ac:dyDescent="0.2">
      <c r="A14" s="85" t="s">
        <v>185</v>
      </c>
      <c r="B14" s="86">
        <v>434262000</v>
      </c>
      <c r="C14" s="86">
        <v>551246000</v>
      </c>
      <c r="D14" s="86">
        <v>764463000</v>
      </c>
      <c r="E14" s="86">
        <v>780470000</v>
      </c>
      <c r="F14" s="87">
        <v>756000000</v>
      </c>
      <c r="G14" s="86">
        <v>968000000</v>
      </c>
      <c r="H14" s="86">
        <v>1100000000</v>
      </c>
      <c r="I14" s="86">
        <v>1438000000</v>
      </c>
      <c r="J14" s="86">
        <v>1753000000</v>
      </c>
      <c r="K14" s="88" t="s">
        <v>241</v>
      </c>
      <c r="L14" s="84"/>
      <c r="M14" s="84"/>
      <c r="N14" s="63" t="s">
        <v>242</v>
      </c>
      <c r="O14" s="92">
        <f>'[1]US Treasury Bonds'!$C$8</f>
        <v>4.8399999999999999E-2</v>
      </c>
      <c r="P14" s="44"/>
    </row>
    <row r="15" spans="1:16" ht="22" customHeight="1" x14ac:dyDescent="0.2">
      <c r="A15" s="95"/>
      <c r="B15" s="90"/>
      <c r="C15" s="90">
        <f t="shared" ref="C15:J15" si="2">(C14/B14)-1</f>
        <v>0.26938576251203195</v>
      </c>
      <c r="D15" s="90">
        <f t="shared" si="2"/>
        <v>0.38679101526360271</v>
      </c>
      <c r="E15" s="90">
        <f t="shared" si="2"/>
        <v>2.0938881280061938E-2</v>
      </c>
      <c r="F15" s="91">
        <f t="shared" si="2"/>
        <v>-3.1352902738093658E-2</v>
      </c>
      <c r="G15" s="90">
        <f t="shared" si="2"/>
        <v>0.28042328042328046</v>
      </c>
      <c r="H15" s="90">
        <f t="shared" si="2"/>
        <v>0.13636363636363646</v>
      </c>
      <c r="I15" s="90">
        <f t="shared" si="2"/>
        <v>0.30727272727272736</v>
      </c>
      <c r="J15" s="90">
        <f t="shared" si="2"/>
        <v>0.21905424200278167</v>
      </c>
      <c r="K15" s="91">
        <f>SUM(F15:J15)/5</f>
        <v>0.18235219666486646</v>
      </c>
      <c r="L15" s="84"/>
      <c r="M15" s="84"/>
      <c r="N15" s="63" t="s">
        <v>243</v>
      </c>
      <c r="O15" s="96" cm="1">
        <f t="array" ref="O15">_FV(A1,"Beta")</f>
        <v>0.86629999999999996</v>
      </c>
      <c r="P15" s="44"/>
    </row>
    <row r="16" spans="1:16" ht="22" customHeight="1" x14ac:dyDescent="0.2">
      <c r="A16" s="85" t="s">
        <v>196</v>
      </c>
      <c r="B16" s="97">
        <v>0.12477418331083885</v>
      </c>
      <c r="C16" s="97">
        <v>0.12163684974659124</v>
      </c>
      <c r="D16" s="97">
        <v>0.12781296091833896</v>
      </c>
      <c r="E16" s="97">
        <v>9.1156332103860288E-2</v>
      </c>
      <c r="F16" s="98"/>
      <c r="G16" s="99"/>
      <c r="H16" s="99"/>
      <c r="I16" s="99"/>
      <c r="J16" s="99"/>
      <c r="K16" s="98"/>
      <c r="L16" s="84"/>
      <c r="M16" s="84"/>
      <c r="N16" s="63" t="s">
        <v>244</v>
      </c>
      <c r="O16" s="92">
        <v>8.4000000000000005E-2</v>
      </c>
      <c r="P16" s="44"/>
    </row>
    <row r="17" spans="1:16" ht="22" customHeight="1" x14ac:dyDescent="0.2">
      <c r="A17" s="84"/>
      <c r="B17" s="90"/>
      <c r="C17" s="90"/>
      <c r="D17" s="90"/>
      <c r="E17" s="90"/>
      <c r="F17" s="84"/>
      <c r="G17" s="84"/>
      <c r="H17" s="84"/>
      <c r="I17" s="84"/>
      <c r="J17" s="84"/>
      <c r="K17" s="84"/>
      <c r="L17" s="84"/>
      <c r="M17" s="84"/>
      <c r="N17" s="100" t="s">
        <v>240</v>
      </c>
      <c r="O17" s="101">
        <f>(O14)+((O15)*(O16-O14))</f>
        <v>7.9240279999999996E-2</v>
      </c>
      <c r="P17" s="44"/>
    </row>
    <row r="18" spans="1:16" ht="22" customHeight="1" x14ac:dyDescent="0.2">
      <c r="A18" s="84"/>
      <c r="B18" s="84"/>
      <c r="C18" s="84"/>
      <c r="D18" s="84"/>
      <c r="E18" s="84"/>
      <c r="F18" s="84"/>
      <c r="G18" s="84"/>
      <c r="H18" s="84"/>
      <c r="I18" s="84"/>
      <c r="J18" s="84"/>
      <c r="K18" s="84"/>
      <c r="L18" s="84"/>
      <c r="M18" s="84"/>
      <c r="N18" s="115" t="s">
        <v>245</v>
      </c>
      <c r="O18" s="116"/>
      <c r="P18" s="44"/>
    </row>
    <row r="19" spans="1:16" ht="22" customHeight="1" x14ac:dyDescent="0.2">
      <c r="A19" s="106" t="str" cm="1">
        <f t="array" ref="A19">_FV(A1,"Industry")</f>
        <v>Healthcare Equipment &amp; Supplies</v>
      </c>
      <c r="B19" s="106"/>
      <c r="C19" s="117" cm="1">
        <f t="array" ref="C19">_FV(A1,"Year incorporated",TRUE)</f>
        <v>2007</v>
      </c>
      <c r="D19" s="117"/>
      <c r="E19" s="102"/>
      <c r="F19" s="84"/>
      <c r="G19" s="84"/>
      <c r="H19" s="84"/>
      <c r="I19" s="84"/>
      <c r="J19" s="84"/>
      <c r="K19" s="84"/>
      <c r="L19" s="84"/>
      <c r="M19" s="84"/>
      <c r="N19" s="63" t="s">
        <v>223</v>
      </c>
      <c r="O19" s="103">
        <f>O6+O7</f>
        <v>58505000</v>
      </c>
      <c r="P19" s="44"/>
    </row>
    <row r="20" spans="1:16" ht="22" customHeight="1" x14ac:dyDescent="0.2">
      <c r="A20" s="106" t="str" cm="1">
        <f t="array" ref="A20">_FV(A1,"Description")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B20" s="106"/>
      <c r="C20" s="106"/>
      <c r="D20" s="106"/>
      <c r="E20" s="106"/>
      <c r="F20" s="84"/>
      <c r="G20" s="84"/>
      <c r="H20" s="84"/>
      <c r="I20" s="84"/>
      <c r="J20" s="84"/>
      <c r="K20" s="84"/>
      <c r="L20" s="84"/>
      <c r="M20" s="84"/>
      <c r="N20" s="63" t="s">
        <v>201</v>
      </c>
      <c r="O20" s="103" cm="1">
        <f t="array" ref="O20">_FV(A1,"Market cap",TRUE)</f>
        <v>31292478290</v>
      </c>
      <c r="P20" s="44"/>
    </row>
    <row r="21" spans="1:16" ht="22" customHeight="1" x14ac:dyDescent="0.2">
      <c r="A21" s="106"/>
      <c r="B21" s="106"/>
      <c r="C21" s="106"/>
      <c r="D21" s="106"/>
      <c r="E21" s="106"/>
      <c r="F21" s="84"/>
      <c r="G21" s="84"/>
      <c r="H21" s="84"/>
      <c r="I21" s="84"/>
      <c r="J21" s="84"/>
      <c r="K21" s="84"/>
      <c r="M21" s="84"/>
      <c r="N21" s="63" t="s">
        <v>246</v>
      </c>
      <c r="O21" s="103">
        <f>O19+O20</f>
        <v>31350983290</v>
      </c>
      <c r="P21" s="44"/>
    </row>
    <row r="22" spans="1:16" ht="22" customHeight="1" x14ac:dyDescent="0.2">
      <c r="A22" s="106"/>
      <c r="B22" s="106"/>
      <c r="C22" s="106"/>
      <c r="D22" s="106"/>
      <c r="E22" s="106"/>
      <c r="F22" s="84"/>
      <c r="G22" s="84"/>
      <c r="H22" s="84"/>
      <c r="I22" s="84"/>
      <c r="J22" s="84"/>
      <c r="K22" s="84"/>
      <c r="L22" s="84"/>
      <c r="M22" s="84"/>
      <c r="N22" s="77" t="s">
        <v>247</v>
      </c>
      <c r="O22" s="104">
        <f>(O19/O21)</f>
        <v>1.8661296667738423E-3</v>
      </c>
      <c r="P22" s="44"/>
    </row>
    <row r="23" spans="1:16" ht="22" customHeight="1" x14ac:dyDescent="0.2">
      <c r="A23" s="106"/>
      <c r="B23" s="106"/>
      <c r="C23" s="106"/>
      <c r="D23" s="106"/>
      <c r="E23" s="106"/>
      <c r="F23" s="84"/>
      <c r="G23" s="84"/>
      <c r="H23" s="84"/>
      <c r="I23" s="84"/>
      <c r="J23" s="84"/>
      <c r="K23" s="84"/>
      <c r="L23" s="84"/>
      <c r="M23" s="84"/>
      <c r="N23" s="100" t="s">
        <v>248</v>
      </c>
      <c r="O23" s="105">
        <f>O20/O21</f>
        <v>0.9981338703332262</v>
      </c>
      <c r="P23" s="44"/>
    </row>
    <row r="24" spans="1:16" ht="22" customHeight="1" x14ac:dyDescent="0.2">
      <c r="A24" s="106"/>
      <c r="B24" s="106"/>
      <c r="C24" s="106"/>
      <c r="D24" s="106"/>
      <c r="E24" s="106"/>
      <c r="F24" s="84"/>
      <c r="G24" s="84"/>
      <c r="H24" s="84"/>
      <c r="I24" s="84"/>
      <c r="J24" s="84"/>
      <c r="K24" s="84"/>
      <c r="L24" s="84"/>
      <c r="M24" s="84"/>
      <c r="N24" s="107" t="s">
        <v>249</v>
      </c>
      <c r="O24" s="108"/>
      <c r="P24" s="44"/>
    </row>
    <row r="25" spans="1:16" ht="22" customHeight="1" x14ac:dyDescent="0.2">
      <c r="A25" s="106"/>
      <c r="B25" s="106"/>
      <c r="C25" s="106"/>
      <c r="D25" s="106"/>
      <c r="E25" s="106"/>
      <c r="F25" s="84"/>
      <c r="G25" s="84"/>
      <c r="H25" s="84"/>
      <c r="I25" s="84"/>
      <c r="J25" s="84"/>
      <c r="K25" s="84"/>
      <c r="L25" s="84"/>
      <c r="M25" s="84"/>
      <c r="N25" s="109">
        <f>(O22*O12)+(O23*O17)</f>
        <v>7.9092407362688535E-2</v>
      </c>
      <c r="O25" s="110"/>
      <c r="P25" s="44"/>
    </row>
    <row r="26" spans="1:16" ht="22" customHeight="1" x14ac:dyDescent="0.2">
      <c r="A26" s="106"/>
      <c r="B26" s="106"/>
      <c r="C26" s="106"/>
      <c r="D26" s="106"/>
      <c r="E26" s="106"/>
      <c r="F26" s="84"/>
      <c r="G26" s="84"/>
      <c r="H26" s="84"/>
      <c r="I26" s="84"/>
      <c r="J26" s="84"/>
      <c r="K26" s="84"/>
      <c r="L26" s="84"/>
      <c r="M26" s="84"/>
      <c r="N26" s="84"/>
      <c r="O26" s="44"/>
      <c r="P26" s="44"/>
    </row>
    <row r="27" spans="1:16" ht="22" customHeight="1" x14ac:dyDescent="0.2">
      <c r="A27" s="106"/>
      <c r="B27" s="106"/>
      <c r="C27" s="106"/>
      <c r="D27" s="106"/>
      <c r="E27" s="106"/>
      <c r="F27" s="84"/>
      <c r="G27" s="84"/>
      <c r="H27" s="84"/>
      <c r="I27" s="84"/>
      <c r="J27" s="84"/>
      <c r="K27" s="84"/>
      <c r="L27" s="84"/>
      <c r="M27" s="84"/>
      <c r="N27" s="84"/>
      <c r="O27" s="44"/>
      <c r="P27" s="44"/>
    </row>
    <row r="28" spans="1:16" ht="22" customHeight="1" x14ac:dyDescent="0.2">
      <c r="A28" s="84"/>
      <c r="B28" s="84"/>
      <c r="C28" s="84"/>
      <c r="D28" s="84"/>
      <c r="E28" s="84"/>
      <c r="F28" s="84"/>
      <c r="G28" s="84"/>
      <c r="H28" s="84"/>
      <c r="I28" s="84"/>
      <c r="J28" s="84"/>
      <c r="K28" s="84"/>
      <c r="L28" s="84"/>
      <c r="M28" s="84"/>
      <c r="N28" s="84"/>
      <c r="O28" s="44"/>
      <c r="P28" s="44"/>
    </row>
    <row r="29" spans="1:16" ht="22" customHeight="1" x14ac:dyDescent="0.2">
      <c r="A29" s="84"/>
      <c r="B29" s="84"/>
      <c r="C29" s="84"/>
      <c r="D29" s="84"/>
      <c r="E29" s="84"/>
      <c r="F29" s="84"/>
      <c r="G29" s="84"/>
      <c r="H29" s="84"/>
      <c r="I29" s="84"/>
      <c r="J29" s="84"/>
      <c r="K29" s="84"/>
      <c r="L29" s="84"/>
      <c r="M29" s="84"/>
      <c r="N29" s="84"/>
      <c r="O29" s="44"/>
      <c r="P29" s="44"/>
    </row>
    <row r="30" spans="1:16" ht="22" customHeight="1" x14ac:dyDescent="0.2">
      <c r="A30" s="84"/>
      <c r="B30" s="84"/>
      <c r="C30" s="84"/>
      <c r="D30" s="84"/>
      <c r="E30" s="84"/>
      <c r="F30" s="84"/>
      <c r="G30" s="84"/>
      <c r="H30" s="84"/>
      <c r="I30" s="84"/>
      <c r="J30" s="84"/>
      <c r="K30" s="84"/>
      <c r="L30" s="84"/>
      <c r="M30" s="84"/>
      <c r="N30" s="84"/>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VEEV/explorer/revenue_proj" xr:uid="{DC91032B-6DB2-664F-AE52-DFF87BF6AE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2023-10-26T08:47:14Z</dcterms:modified>
</cp:coreProperties>
</file>